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sumo" sheetId="1" r:id="rId4"/>
    <sheet state="hidden" name="Orcamento RU" sheetId="2" r:id="rId5"/>
    <sheet state="hidden" name="Example Orcamento PT Viora Buil" sheetId="3" r:id="rId6"/>
    <sheet state="hidden" name="Orcamento PT" sheetId="4" r:id="rId7"/>
    <sheet state="hidden" name="Orcamento ENG" sheetId="5" r:id="rId8"/>
    <sheet state="visible" name="Resumo Viora Build" sheetId="6" r:id="rId9"/>
    <sheet state="visible" name="Orcamento RU Viora Build" sheetId="7" r:id="rId10"/>
    <sheet state="visible" name="Master List" sheetId="8" r:id="rId11"/>
    <sheet state="hidden" name="Orcamento RU ЧЕРНОВИК 26.06.202" sheetId="9" r:id="rId12"/>
    <sheet state="hidden" name="Sheet1" sheetId="10" r:id="rId13"/>
    <sheet state="hidden" name="Дорожняя карта" sheetId="11" r:id="rId14"/>
    <sheet state="hidden" name="Альтернативы" sheetId="12" r:id="rId15"/>
    <sheet state="hidden" name="Альтернативы ENG" sheetId="13" r:id="rId16"/>
    <sheet state="hidden" name="Sheet8" sheetId="14" r:id="rId17"/>
    <sheet state="hidden" name="Sheet5" sheetId="15" r:id="rId18"/>
    <sheet state="hidden" name="Sheet4" sheetId="16" r:id="rId19"/>
    <sheet state="hidden" name="Sheet2" sheetId="17" r:id="rId20"/>
    <sheet state="hidden" name="Sheet3" sheetId="18"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901">
      <text>
        <t xml:space="preserve">Должно стоить около 6000</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Впиши Наценку для всех позиций
</t>
      </text>
    </comment>
    <comment authorId="0" ref="B10">
      <text>
        <t xml:space="preserve">нужен размер сколько мм (15, 20, 25, 30, 40)
	-Viora Build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975">
      <text>
        <t xml:space="preserve">Должно стоить около 6000</t>
      </text>
    </comment>
  </commentList>
</comments>
</file>

<file path=xl/sharedStrings.xml><?xml version="1.0" encoding="utf-8"?>
<sst xmlns="http://schemas.openxmlformats.org/spreadsheetml/2006/main" count="28925" uniqueCount="8074">
  <si>
    <t>25-</t>
  </si>
  <si>
    <t>Клиент</t>
  </si>
  <si>
    <t>Matthew Renier</t>
  </si>
  <si>
    <t>Местоположение</t>
  </si>
  <si>
    <t>Das Gaivotas, Mata Porcas, Praia da Luz</t>
  </si>
  <si>
    <t>Описание работ</t>
  </si>
  <si>
    <t>Общая площадь застройки (м²)</t>
  </si>
  <si>
    <t>Прочее (цоколь, бассейн, пристройки, стены):</t>
  </si>
  <si>
    <t>Бассейн (м²)</t>
  </si>
  <si>
    <t>Дата</t>
  </si>
  <si>
    <t>АРТ º</t>
  </si>
  <si>
    <t>ОПИСАНИЕ РАБОТ</t>
  </si>
  <si>
    <t>ИТОГО ПО РАЗДЕЛУ</t>
  </si>
  <si>
    <t>СТОИМОСТЬ (м2)</t>
  </si>
  <si>
    <t>ИТОГО ЗА ЖИЛЬЕ</t>
  </si>
  <si>
    <t>IVA (23%)</t>
  </si>
  <si>
    <t>ИТОГО С IVA</t>
  </si>
  <si>
    <t>ИТОГО ЗА БАССЕЙН</t>
  </si>
  <si>
    <t>ОБЩИЙ ИТОГ</t>
  </si>
  <si>
    <t>№</t>
  </si>
  <si>
    <t>ЕД. ИЗМ.</t>
  </si>
  <si>
    <t>КОЛ-ВО</t>
  </si>
  <si>
    <t>ЦЕНА ЗА ЕДИНИЦУ</t>
  </si>
  <si>
    <t>ОБЩАЯ СТОИМОСТЬ</t>
  </si>
  <si>
    <t>My Unit Price</t>
  </si>
  <si>
    <t>My total Price</t>
  </si>
  <si>
    <t>My Savings</t>
  </si>
  <si>
    <t>1</t>
  </si>
  <si>
    <t>СТРОИТЕЛЬНАЯ ПЛОЩАДКА</t>
  </si>
  <si>
    <t>1.1</t>
  </si>
  <si>
    <t>СТРОИТЕЛЬНАЯ ПЛОЩАДКА И ДОПОЛНИТЕЛЬНЫЕ РАБОТЫ</t>
  </si>
  <si>
    <t>1.1.1</t>
  </si>
  <si>
    <t>Монтаж, строительство, обслуживание, демонтаж и снос строительной площадки, включая соответствующие установки, временные сети водоснабжения, канализации, электричества и средства телекоммуникаций, внутренние пути движения и все остальное необходимое в соответствии с Декретом-Законом № 18/08 от 29 января, удовлетворяющее предписаниям по безопасности, гигиене и охране труда, в соответствии с Декретом-Законом № 273/2003 от 29 октября и прочим действующим законодательством, разработка и внедрение плана предотвращения и управления отходами строительства и сноса (в понимании Д.З. № 46/2008 от 12 марта).</t>
  </si>
  <si>
    <t>vg</t>
  </si>
  <si>
    <t>2.1</t>
  </si>
  <si>
    <t>КАМЕННАЯ КЛАДКА И ЛЁГКИЕ ОГРАЖДАЮЩИЕ КОНСТРУКЦИИ</t>
  </si>
  <si>
    <t>2.1.1</t>
  </si>
  <si>
    <t>НАРУЖНАЯ КЛАДКА</t>
  </si>
  <si>
    <t>2.1.1.1</t>
  </si>
  <si>
    <t>Поставка и выполнение наружной стены с 1 слоем термического кирпича Preceram толщиной 25 см, включая кладочный раствор в пропорции 1:4, железобетонные перемычки над проемами, анкеры из нержавеющей стали для связи между кладкой и бетонной конструкцией и все подготовительные работы и аксессуары, необходимые для идеального завершения. (PE-A) (PE-B) (PE-C) (PE-D) (PE-E) (PE-P) (PE-F)</t>
  </si>
  <si>
    <t>m2</t>
  </si>
  <si>
    <t>2.1.1.2</t>
  </si>
  <si>
    <t>Поставка и выполнение наружной стены с 1 слоем кладки из керамического кирпича размером 30x20x15 см, включая кладочный раствор в пропорции 1:4, железобетонные перемычки над проемами и все подготовительные работы и аксессуары, необходимые для идеального завершения. (PE-M) (PE-N)</t>
  </si>
  <si>
    <t>2.1.1.3</t>
  </si>
  <si>
    <t>Поставка и выполнение наружной стены с 1 слоем кладки из керамического кирпича размером 30x20x11 см, включая кладочный раствор в пропорции 1:4, железобетонные перемычки над проемами, в промежутках воздушных камер предусмотреть желоб в стяжке с уклоном для отвода конденсационной воды к сливу с выходом, и все подготовительные работы и аксессуары, необходимые для идеального завершения. (PE-H) (PE-K) (PE-L)</t>
  </si>
  <si>
    <t>2.1.2</t>
  </si>
  <si>
    <t>ВНУТРЕННЯЯ КЛАДКА</t>
  </si>
  <si>
    <t>2.1.2.1</t>
  </si>
  <si>
    <t>Поставка и выполнение внутренних стен с 1 слоем кладки из керамического кирпича размером 30x20x15 см, включая кладочный раствор в пропорции 1:4, железобетонные перемычки над проемами и все подготовительные работы и аксессуары, необходимые для идеального завершения. (PI-A) (PI-B)</t>
  </si>
  <si>
    <t>2.1.2.2</t>
  </si>
  <si>
    <t>Поставка и выполнение внутренних стен с 1 слоем кладки из керамического кирпича размером 30x20x7 см, включая кладочный раствор в пропорции 1:4, железобетонные перемычки над проемами и все подготовительные работы и аксессуары, необходимые для идеального завершения. (PI-C)</t>
  </si>
  <si>
    <t>2.1.2.3</t>
  </si>
  <si>
    <t>Поставка и выполнение внутренних стен с 2 слоями кладки из керамического кирпича размером 30x20x11 см + воздушная камера 3 см + 30x20x11 см, включая кладочный раствор в пропорции 1:4, железобетонные перемычки над проемами и все подготовительные работы и аксессуары, необходимые для идеального завершения. (PI-D) (PI-E)</t>
  </si>
  <si>
    <t>2.1.3</t>
  </si>
  <si>
    <t>ЛЕГКИЕ ВНУТРЕННИЕ ПЕРЕГОРОДКИ</t>
  </si>
  <si>
    <t>2.1.3.1</t>
  </si>
  <si>
    <t>Поставка и выполнение облицовки гипсокартонными плитами толщиной 12 мм на внутренних поверхностях наружных стен, система двойной обшивки, внутреннее заполнение минеральной ватой толщиной 9 см, включая профилированную конструкцию для поддержки плит со стойками 90 мм, систему крепления, обработку швов, шпатлевку и финишную подготовку под покраску или финишную отделку и все подготовительные работы и аксессуары, необходимые для идеального завершения. (PE-P)</t>
  </si>
  <si>
    <t>2.1.3.2</t>
  </si>
  <si>
    <t>Поставка и выполнение облицовки стандартными гипсокартонными плитами толщиной 12 мм на внутренних поверхностях наружных стен, система двойной обшивки, внутреннее заполнение минеральной ватой толщиной 5 см, включая профилированную конструкцию для поддержки плит со стойками 48 мм, систему крепления, обработку швов, шпатлевку и финишную подготовку под покраску или финишную отделку и все подготовительные работы и аксессуары, необходимые для идеального завершения. (PE-C) (PE-D) (PI-G)</t>
  </si>
  <si>
    <t>2.1.3.3</t>
  </si>
  <si>
    <t>Поставка и выполнение облицовки влагостойкими гипсокартонными плитами толщиной 12 мм на внутренних поверхностях наружных стен, система двойной обшивки, внутреннее заполнение минеральной ватой толщиной 5 см, включая профилированную конструкцию для поддержки плит со стойками 48 мм, систему крепления, обработку швов, шпатлевку и финишную подготовку под покраску или финишную отделку и все подготовительные работы и аксессуары, необходимые для идеального завершения. (PE-I) (PI-H)</t>
  </si>
  <si>
    <t>2.1.3.4</t>
  </si>
  <si>
    <t>Поставка и выполнение облицовки влагостойкими гипсокартонными плитами толщиной 12 мм на внутренних поверхностях наружных стен, система двойной обшивки, внутреннее заполнение минеральной ватой толщиной 3 см, включая профилированную конструкцию для поддержки плит со стойками 30 мм, систему крепления, обработку швов, шпатлевку и финишную подготовку под покраску или финишную отделку и все подготовительные работы и аксессуары, необходимые для идеального завершения. (PE-J)</t>
  </si>
  <si>
    <t>2.1.3.5</t>
  </si>
  <si>
    <t>Поставка и монтаж легких перегородок с двойной обшивкой влагостойким гипсокартоном толщиной 12 мм с каждой стороны, внутренняя облицовка акустической изоляцией из минеральной ваты толщиной 5 см, включая профилированную конструкцию для поддержки плит со стойками 48 мм, систему крепления, обработку швов, шпатлевку и финишную подготовку под покраску и все подготовительные работы и аксессуары, необходимые для идеального завершения. (PI-F)</t>
  </si>
  <si>
    <t>2.1.3.6</t>
  </si>
  <si>
    <t>Поставка и монтаж легких перегородок с простой обшивкой влагостойким МДФ толщиной 19 мм, лакированным с каждой стороны, с матовым покрытием цвета RAL 9003, внутренняя облицовка акустической изоляцией из минеральной ваты толщиной 4 см, включая конструкцию из труб FACAR диаметром 4 см для поддержки плит, систему крепления и все подготовительные работы и аксессуары, необходимые для идеального завершения. (PI-I) (PR06)</t>
  </si>
  <si>
    <t>2.2</t>
  </si>
  <si>
    <t>КАМЕННЫЕ ИЗДЕЛИЯ</t>
  </si>
  <si>
    <t>2.2.1</t>
  </si>
  <si>
    <t>БЕТОННЫЕ ПОРОГИ</t>
  </si>
  <si>
    <t>2.2.1.1</t>
  </si>
  <si>
    <t>Поставка и выполнение бетонных порогов со шпатлевкой, согласно детали PORM10, приподнятых на 1 см с резиновыми опорами по усмотрению исполнителя, включая резку, отделку и все подготовительные работы и аксессуары, необходимые для идеального завершения.</t>
  </si>
  <si>
    <t>2.2.1.1.1</t>
  </si>
  <si>
    <t>Порог VE 01.1 - Размер 1,10 м.</t>
  </si>
  <si>
    <t>un</t>
  </si>
  <si>
    <t>2.2.1.1.2</t>
  </si>
  <si>
    <t>Порог VE 01.2 - Размер 4,68 м.</t>
  </si>
  <si>
    <t>2.2.1.1.3</t>
  </si>
  <si>
    <t>Порог VE 01.3 - Размер 4,61 м.</t>
  </si>
  <si>
    <t>2.2.1.1.4</t>
  </si>
  <si>
    <t>Порог VE 01.4 - Размер 3,04 м.</t>
  </si>
  <si>
    <t>2.2.1.2</t>
  </si>
  <si>
    <t>Поставка и выполнение узких порогов между проемами 1-го этажа из бетонных элементов со шпатлевкой, согласно детали PORM10, приподнятых на 1 см с резиновыми опорами по усмотрению исполнителя, включая резку, отделку и все подготовительные работы и аксессуары, необходимые для идеального завершения.</t>
  </si>
  <si>
    <t>2.2.1.2.1</t>
  </si>
  <si>
    <t>Порог A - Размер 400x70 мм.</t>
  </si>
  <si>
    <t>2.2.1.2.2</t>
  </si>
  <si>
    <t>Порог B - Размер 3960x70 мм.</t>
  </si>
  <si>
    <t>2.2.1.2.3</t>
  </si>
  <si>
    <t>Порог C - Размер 5300x70 мм.</t>
  </si>
  <si>
    <t>2.2.1.2.4</t>
  </si>
  <si>
    <t>Порог D - Размер 1390x70 мм.</t>
  </si>
  <si>
    <t>2.2.1.2.5</t>
  </si>
  <si>
    <t>Порог E - Размер 1040x70 мм.</t>
  </si>
  <si>
    <t>2.3</t>
  </si>
  <si>
    <t>ГИДРОИЗОЛЯЦИЯ И ТЕПЛОИЗОЛЯЦИЯ</t>
  </si>
  <si>
    <t>2.3.1</t>
  </si>
  <si>
    <t>НА КРОВЛЕ #2 и #3</t>
  </si>
  <si>
    <t>2.3.1.1</t>
  </si>
  <si>
    <t>Поставка и выполнение гидроизоляции плоских кровель (#2 и #3) 1-го этажа (недоступные), включая все подготовительные работы и аксессуары, необходимые для идеального завершения, согласно следующим работам:</t>
  </si>
  <si>
    <t>2.3.1.1.1</t>
  </si>
  <si>
    <t>Теплоизоляция плитами экструдированного полистирола "IFOAM COBERTURAS" толщиной 8 см, включая резку, отделку.</t>
  </si>
  <si>
    <t>2.3.1.1.2</t>
  </si>
  <si>
    <t>Формирующий слой из легкого бетона для выравнивания и создания желобов и уклонов необходимой толщины, с затертой поверхностью для укладки мембран.</t>
  </si>
  <si>
    <t>2.3.1.1.3</t>
  </si>
  <si>
    <t>Система гидроизоляции типа "Imperalum" с покраской Imperkote L, система гидроизоляции с двумя перекрещенными мембранами POLYPLAS 30 + POLYXIS R40 (мембраны поднимаются на парапеты, делая перекрытие и крепятся к ним соответствующими уголками или другими), разделительная мембрана из каландрированной полиэфирной ткани типа "IMPERSEP 200", включая резку, отделку, крепления, все готово для получения финишного покрытия.</t>
  </si>
  <si>
    <t>2.3.2</t>
  </si>
  <si>
    <t>НА БАЛКОНЕ</t>
  </si>
  <si>
    <t>2.3.2.1</t>
  </si>
  <si>
    <t>Поставка и выполнение гидроизоляции балкона 1-го этажа (доступные), включая все подготовительные работы и аксессуары, необходимые для идеального завершения, согласно следующим работам:</t>
  </si>
  <si>
    <t>2.3.2.1.1</t>
  </si>
  <si>
    <t>2.3.2.1.2</t>
  </si>
  <si>
    <t>Стяжка с затертой поверхностью для укладки мембран и создания уклонов.</t>
  </si>
  <si>
    <t>2.3.2.1.3</t>
  </si>
  <si>
    <t>Система гидроизоляции типа "Imperalum" с покраской Imperkote L, система гидроизоляции с двумя перекрещенными мембранами POLYPLAS 30 + POLYXIS R40, (мембраны поднимаются на парапеты, делая перекрытие и крепятся к ним соответствующими уголками или другими), разделительная мембрана из каландрированной полиэфирной ткани типа "IMPERSEP 200", включая резку, отделку, крепления, все готово для получения финишного покрытия.</t>
  </si>
  <si>
    <t>2.3.3</t>
  </si>
  <si>
    <t>НА КРОВЛЕ ТЕХНИЧЕСКОЙ ЗОНЫ БАССЕЙНА #1 И ТЕХНИЧЕСКОЙ ЗОНЫ #2</t>
  </si>
  <si>
    <t>2.3.3.1</t>
  </si>
  <si>
    <t>Поставка и выполнение гидроизоляции плоской кровли технической зоны #1 и компенсационного бака, технической зоны #2, включая все подготовительные работы и аксессуары, необходимые для идеального завершения, согласно следующим работам:</t>
  </si>
  <si>
    <t>2.3.3.1.1</t>
  </si>
  <si>
    <t>2.3.3.1.2</t>
  </si>
  <si>
    <t>2.3.4</t>
  </si>
  <si>
    <t>НА ЗАГЛУБЛЕННЫХ ПОВЕРХНОСТЯХ</t>
  </si>
  <si>
    <t>2.3.4.1</t>
  </si>
  <si>
    <t>Поставка и выполнение системы дренажа заглубленных стен путем применения дренажной мембраны с выступами типа "Aguadrain" или эквивалентной, закрепленной к железобетонным поверхностям, включая геодренажную трубу в дне траншеи, обернутую щебнем, подключение к дренажной сети, колодцы, систему крепления, резку, отделку и все подготовительные работы и аксессуары.</t>
  </si>
  <si>
    <t>2.3.5</t>
  </si>
  <si>
    <t>НА ВНУТРЕННИХ ПЛИТАХ</t>
  </si>
  <si>
    <t>2.3.5.1</t>
  </si>
  <si>
    <t>Поставка и выполнение теплоизоляции внутренних плит (#2 и #3) плитами экструдированного полистирола "XPS" толщиной 8 см, уложенными на акустический мат Impactodam толщиной 10 мм, согласно детальному чертежу, включая резку, отделку и все подготовительные работы и аксессуары.</t>
  </si>
  <si>
    <t>2.3.6</t>
  </si>
  <si>
    <t>НА ДУШЕВЫХ ПОДДОНАХ</t>
  </si>
  <si>
    <t>2.3.6.1</t>
  </si>
  <si>
    <t>Поставка и выполнение гидроизоляции душевых поддонов в полу двухкомпонентным эластичным цементным раствором типа "Mapelastic Smart" или эквивалентным, армированным сеткой из стекловолокна с антищелочной обработкой, с подъемом до 30 см на стены, включая все подготовительные работы и аксессуары, необходимые для идеального завершения.</t>
  </si>
  <si>
    <t>2.3.7</t>
  </si>
  <si>
    <t>СИСТЕМА ГИДРОИЗОЛЯЦИИ БАССЕЙНА И ВОДНЫХ ЗЕРКАЛ</t>
  </si>
  <si>
    <t>2.3.7.1</t>
  </si>
  <si>
    <t>Поставка и выполнение системы "IMPERALUM" для гидроизоляции бассейна и водных зеркал, состоящей из нанесения покраски Imperkote F, системы двух перекрещенных мембран POLYPLAS 30 + POLYXIS R40T + POLYBANCA 33, разделителя из каландрированной полиэфирной ткани, IMPERSEP 150 (на дне и в углах), системы 1 мембраны POLYXIS R50 на вертикальных поверхностях, готовой для получения финишной отделки, все согласно детальным чертежам, включая резку и отделку и все подготовительные работы и аксессуары для идеального завершения.</t>
  </si>
  <si>
    <t>КРОВЛЯ</t>
  </si>
  <si>
    <t>2.4.1</t>
  </si>
  <si>
    <t>Поставка и монтаж покрытия кровли #1 цинковыми листами, лакированными в белый цвет RAL 9003, с фальцевым соединением типа "Double Lock", уложенными на вентиляционный слой типа "AGUADRAIN GEO" и гидроизоляционную мембрану типа "RHENOFOL CV", теплоизоляция XPS толщиной 8см изнутри и слой минеральной ваты толщиной 17см между OSB, согласно детальному чертежу, включая выполнение желоба и перекрытий из цинка, резку, отделку, элементы крепления и все подготовительные работы и аксессуары, необходимые для идеального завершения. (PV15)</t>
  </si>
  <si>
    <t>2.4.2</t>
  </si>
  <si>
    <t>Поставка и нанесение покрытия мелкой серой галькой толщиной 10см на плоскую кровлю #2 и #3 (недоступную), включая погрузку, транспортировку, распределение и все подготовительные работы и аксессуары, необходимые для идеального завершения. (PV12)</t>
  </si>
  <si>
    <t>2.4.3</t>
  </si>
  <si>
    <t>Поставка и выполнение перекрытий парапетов кровли #2 и #3 (недоступной) оцинкованным металлическим листом, включая резку, отделку, элементы крепления, создание уклонов, согласно проектным элементам, и все подготовительные работы и аксессуары, необходимые для идеального завершения.</t>
  </si>
  <si>
    <t>2.4.4</t>
  </si>
  <si>
    <t>Поставка и выполнение металлической трубы камина согласно детальному чертежу, включая металлическую вытяжную трубу, герметизирующую изоляцию, резку, отделку, соединения и все подготовительные работы и аксессуары, необходимые для идеального завершения.</t>
  </si>
  <si>
    <t>ОТДЕЛКА ПОТОЛКОВ</t>
  </si>
  <si>
    <t>2.5.1</t>
  </si>
  <si>
    <t>НАРУЖНЫЕ ПОТОЛКИ</t>
  </si>
  <si>
    <t>2.5.1.1</t>
  </si>
  <si>
    <t>Поставка и выполнение отделки потолков из открытого бетона с гидрофобным покрытием "SIKAGARD 680-S PT", бесцветный матовый, включая подготовку основания с обрезкой заусенцев бетона, заполнение пустот соответствующими материалами, общую подготовку поверхностей, нанесение грунтовки и все подготовительные работы и аксессуары, необходимые для идеального завершения. (TE04)</t>
  </si>
  <si>
    <t>2.5.2</t>
  </si>
  <si>
    <t>ВНУТРЕННИЕ ПОТОЛКИ</t>
  </si>
  <si>
    <t>2.5.2.1</t>
  </si>
  <si>
    <t>Поставка и выполнение отделки потолков из открытого бетона с гидрофобным покрытием "SIKAGARD 680-S PT", бесцветный матовый, включая подготовку основания с обрезкой заусенцев бетона, заполнение пустот соответствующими материалами, общую подготовку поверхностей, нанесение грунтовки и все подготовительные работы и аксессуары, необходимые для идеального завершения. (TE01)</t>
  </si>
  <si>
    <t>2.5.2.2</t>
  </si>
  <si>
    <t>Поставка и монтаж сплошных подвесных потолков с гипсокартонными плитами толщиной 12мм "KNAUF KS STANDARD", включая кромку 10ммx10мм с профилем системы, несущую конструкцию, систему крепления, выполнение отверстий для размещения различного оборудования, ниши, обработку швов, шпатлевку и финишную подготовку под покраску и все подготовительные работы и аксессуары, необходимые для идеального завершения. (TE02)</t>
  </si>
  <si>
    <t>2.5.2.3</t>
  </si>
  <si>
    <t>Поставка и монтаж сплошных подвесных потолков с влагостойкими гипсокартонными плитами толщиной 12мм "KNAUF HIDROFUGA H1", включая кромку 10ммx10мм с профилем системы, несущую конструкцию, систему крепления, выполнение отверстий для размещения различного оборудования, ниши, обработку швов, шпатлевку и финишную подготовку под покраску и все подготовительные работы и аксессуары, необходимые для идеального завершения. (TE03)</t>
  </si>
  <si>
    <t>2.5.2.4</t>
  </si>
  <si>
    <t>Поставка и выполнение карниза в подвесных потолках из гипсокартона, согласно детальному чертежу, со шпатлевкой и финишной подготовкой под покраску, включая все подготовительные работы и аксессуары, необходимые для идеального завершения.</t>
  </si>
  <si>
    <t>ml</t>
  </si>
  <si>
    <t>2.5.2.5</t>
  </si>
  <si>
    <t>Поставка и выполнение покраски водной краской "CIN - VINYLMATE - Ref.ª 10-250", экстра матовая отделка, белого цвета RAL 9003, в 2-3 слоя, включая предварительную очистку поверхностей, нанесение 1 слоя грунтовки "EP/GC 300 - Ref.ª 10-600" и все подготовительные работы и аксессуары, необходимые для идеального завершения. (PR02)</t>
  </si>
  <si>
    <t>2.6</t>
  </si>
  <si>
    <t>ОТДЕЛКА СТЕН</t>
  </si>
  <si>
    <t>2.6.1</t>
  </si>
  <si>
    <t>НАРУЖНЫЕ СТЕНЫ</t>
  </si>
  <si>
    <t>2.6.1.1</t>
  </si>
  <si>
    <t>Поставка и выполнение покрытия бетонных стен с водоотталкивающей отделкой "SIKAGARD 680-S PT", матовый бесцветный, включая подготовку основания с удалением бетонных заусенцев, заполнение пустот соответствующими материалами, общую подготовку поверхностей, нанесение грунтовки и все подготовительные и вспомогательные работы, необходимые для идеальной отделки. (PR08)</t>
  </si>
  <si>
    <t>2.6.1.2</t>
  </si>
  <si>
    <t>Поставка и нанесение штукатурки "WEBER REV PASTA СЕРАЯ RAL 7035 марки SAINT-GOBAIN", включая все подготовительные и вспомогательные работы, необходимые для идеальной отделки. (PR09)</t>
  </si>
  <si>
    <t>2.6.1.3</t>
  </si>
  <si>
    <t>Поставка и монтаж фасадной системы "ETICS - WEBER REV PASTA СЕРАЯ RAL 7035 марки SAINT-GOBAIN", состоящей из клеевого раствора, теплоизоляции из формованного пенополистирола толщиной 7см, двух слоев штукатурного раствора с армирующей сеткой между ними, обычной сетки, выравнивающей грунтовки, регулятора и финишной отделки, включая дюбели и крепежные элементы, профили и уголки для отделки и все подготовительные и вспомогательные работы, необходимые для идеальной отделки. (PR10)</t>
  </si>
  <si>
    <t>2.6.1.4</t>
  </si>
  <si>
    <t>Поставка и монтаж фасадной системы с отделкой алюминиевым листом 5мм, окрашенным в белый цвет RAL 9003, с клеевой системой марки "CORTIZO" и подконструкцией Т-профиля и теплоизоляцией XPS 7см, включая резку, отделку и все подготовительные и вспомогательные работы, необходимые для идеальной отделки. (PR11)</t>
  </si>
  <si>
    <t>2.6.1.5</t>
  </si>
  <si>
    <t>Поставка и выполнение тонкой песчаной штукатурки в пропорции 1:4 на фасадах и перголе, готовой к покраске или финишной отделке, включая набрызг, черновую штукатурку и все подготовительные и вспомогательные работы, необходимые для идеальной отделки. (PR09) (PR14)</t>
  </si>
  <si>
    <t>2.6.1.6</t>
  </si>
  <si>
    <t>Поставка и выполнение покраски 100% акриловой краской "CIN - NOVATEX - Ref.ª 12-230" серого цвета RAL 7035 в 2-3 слоя по штукатурке, включая предварительную очистку поверхностей, нанесение 1 слоя грунтовки "EP/GC 300 - Ref.ª 10-600" и все подготовительные и вспомогательные работы, необходимые для идеальной отделки. (PR14)</t>
  </si>
  <si>
    <t>2.6.2</t>
  </si>
  <si>
    <t>ВНУТРЕННИЕ СТЕНЫ</t>
  </si>
  <si>
    <t>2.6.2.1</t>
  </si>
  <si>
    <t>Поставка и выполнение покрытия бетонных стен с водоотталкивающей отделкой "SIKAGARD 680-S PT", матовый бесцветный, включая подготовку основания с удалением бетонных заусенцев, заполнение пустот соответствующими материалами, общую подготовку поверхностей, нанесение грунтовки и все подготовительные и вспомогательные работы, необходимые для идеальной отделки. (PR01)</t>
  </si>
  <si>
    <t>2.6.2.2</t>
  </si>
  <si>
    <t>Поставка и выполнение машинной штукатурки, включая отделку тонким слоем, армирование стеклосеткой 5x5см (75г/м2) на стыке бетона/кладки и ПВХ-уголки, армированные стекловолокном, готовые к покраске, и все подготовительные и вспомогательные работы, необходимые для идеальной отделки. (PR02) (PR03)</t>
  </si>
  <si>
    <t>2.6.2.3</t>
  </si>
  <si>
    <t>Поставка и укладка мозаичной плитки "CLASSIC БЕЛАЯ 30x30см" марки "RUBICER" со светло-серыми швами RAL 7035, включая базовую штукатурку на кладке, клеевой раствор, резку, отделку, затирку швов и все подготовительные и вспомогательные работы, необходимые для идеальной отделки. (PR5.1)</t>
  </si>
  <si>
    <t>2.6.2.4</t>
  </si>
  <si>
    <t>Поставка и укладка мозаичной плитки "GREY 30x30см" марки "RUBICER" с белыми швами RAL 9003, включая базовую штукатурку на кладке, клеевой раствор, резку, отделку, затирку швов и все подготовительные и вспомогательные работы, необходимые для идеальной отделки. (PR5.2)</t>
  </si>
  <si>
    <t>2.6.2.5</t>
  </si>
  <si>
    <t>Поставка и выполнение гладкой штукатурки, включая набрызг, черновую штукатурку и все подготовительные и вспомогательные работы, необходимые для идеальной отделки. (PR07)</t>
  </si>
  <si>
    <t>2.6.2.6</t>
  </si>
  <si>
    <t>Поставка и выполнение покраски водной краской "CIN - VINYLCLEAN MATE - Ref.ª 10-245" белого цвета RAL 9003 в 2-3 слоя на оштукатуренных стенах и/или гипсокартоне, включая предварительную очистку поверхностей, нанесение 1 слоя грунтовки "EP/GC 300 - Ref.ª 10-600" и все подготовительные и вспомогательные работы, необходимые для идеальной отделки. (PR02) (PR04)</t>
  </si>
  <si>
    <t>2.6.2.7</t>
  </si>
  <si>
    <t>Поставка и выполнение покраски акриловой водной эмалью "CIN - CINACRYL MATE - Ref.ª 10-230" белого цвета RAL 9003 в 2-3 слоя на оштукатуренных стенах и/или гипсокартоне, включая предварительную очистку поверхностей, нанесение 1 слоя грунтовки "EP/GC 300 - Ref.ª 10-600" и все подготовительные и вспомогательные работы, необходимые для идеальной отделки. (PR03) (PR04)</t>
  </si>
  <si>
    <t>2.7</t>
  </si>
  <si>
    <t>ОТДЕЛКА ПОЛОВ И ПЛИНТУСОВ</t>
  </si>
  <si>
    <t>2.7.1</t>
  </si>
  <si>
    <t>НАРУЖНЫЕ ПОЛЫ</t>
  </si>
  <si>
    <t>2.7.1.1</t>
  </si>
  <si>
    <t>Поставка и выполнение грунтового пола для укладки наружного покрытия, включая выемку котлована глубиной 15 см с транспортировкой излишков материала на свалку, выравнивание и уплотнение котлована, слой каменной наброски и щебня (3-5 см) толщиной 0,15 см уплотненный, пароизоляция, железобетонная масса с сеткой CQ50 толщиной 15 см, согласно детальному чертежу, включая создание уклонов, и все подготовительные работы и аксессуары, необходимые для идеального завершения.</t>
  </si>
  <si>
    <t>2.7.1.2</t>
  </si>
  <si>
    <t>Поставка и выполнение сплошного покрытия затертой стяжкой с самовыравнивающимся составом с гидрофобизатором, включая основание для выравнивания/заполнения из легкого бетона, отделку, выравнивание и все подготовительные работы и аксессуары, необходимые для идеального завершения. (PV07)</t>
  </si>
  <si>
    <t>2.7.1.3</t>
  </si>
  <si>
    <t>Поставка и укладка покрытия из сборных бетонных плит 50x50x6 см марки "VERDASCA GROUP", включая регулируемые опоры для поддержки плит, выравнивание, резку, отделку и все подготовительные работы и аксессуары, необходимые для идеального завершения. (PV08) (LAJ 01.1)</t>
  </si>
  <si>
    <t>2.7.1.4</t>
  </si>
  <si>
    <t>Поставка и укладка покрытия из бетонных плит различных размеров, включая стяжку заполнения/выравнивания с затертой поверхностью, кладочный раствор или клей, выравнивание, резку, отделку, затирку швов и все подготовительные работы и аксессуары, необходимые для идеального завершения. (PV09)</t>
  </si>
  <si>
    <t>2.7.1.4.1</t>
  </si>
  <si>
    <t>LAJ -01.1 - Дорожка над водой из сборных бетонных плит. Описание: Комплект из 3 сборных бетонных плит с железобетонными опорами. Плиты имеют размеры 650x650x70мм. Размеры: Общие размеры - 2050x650x70мм (ДxШxВ) 3 плиты - 650x650x70мм (ДxШxВ)</t>
  </si>
  <si>
    <t>2.7.1.4.2</t>
  </si>
  <si>
    <t>LAJ 00.1 - Дорожка над водой из сборных бетонных плит. Описание: Комплект из 13 сборных бетонных плит с железобетонными опорами. Плиты на концах имеют размеры 1250x500x70мм, а остальные имеют размеры 1250x300x70мм. Концы плит скошены для создания эффекта плавания над уровнем воды, высота плиты составляет 5 см на краю. Размеры: Общие размеры - 5000x1250x260мм (ДxШxВ) 2 плиты типа 1 - 1250x500x50мм (ДxШxВ) 11 плит типа 2 - 1250x300x50мм (ДxШxВ)</t>
  </si>
  <si>
    <t>2.7.1.4.3</t>
  </si>
  <si>
    <t>LAJ 00.3 - Дорожка из сборных бетонных плит. Описание: Комплект из 9 сборных бетонных плит. Плиты имеют размеры 2050x300x100мм. Они должны быть уложены на основание из среднего гравия. Размеры: 9 плит - 2050x300x100мм (ДxШxВ)</t>
  </si>
  <si>
    <t>2.7.1.5</t>
  </si>
  <si>
    <t>Поставка и укладка покрытия из бетонных блоков типа "PAVIMENTO ECOQUADRADO" марки "VERDASCA GROUP", швы заполнены мелкой серой галькой, уложенного на основание толщиной 5 см из цемента и песка в пропорции 1:4, подоснование из щебня толщиной 15 см, включая выемку котлована глубиной 20 см, уплотнение, удаление и транспортировку излишков материала на свалку (свалка за счет подрядчика) и все подготовительные работы и аксессуары, необходимые для идеального завершения. (PV10)</t>
  </si>
  <si>
    <t>2.7.1.6</t>
  </si>
  <si>
    <t>Поставка и укладка настила, состоящего из сосновых досок 20x220x2200мм, автоклавная обработка, матовое лаковое покрытие натурального цвета, симметричное крепление винтами, включая основание из стяжки заполнения/выравнивания с затертой поверхностью, выравнивание, резку, отделку и все подготовительные работы и аксессуары, необходимые для идеального завершения. (PV11)</t>
  </si>
  <si>
    <t>2.7.1.7</t>
  </si>
  <si>
    <t>Поставка и нанесение покрытия мелкой серой галькой толщиной 10 см, включая погрузку, транспортировку, распределение и все подготовительные работы и аксессуары, необходимые для идеального завершения. (PV12)</t>
  </si>
  <si>
    <t>2.7.1.8</t>
  </si>
  <si>
    <t>Поставка и нанесение сосновой коры, включая погрузку, транспортировку, распределение и все подготовительные работы и аксессуары, необходимые для идеального завершения. (PV13)</t>
  </si>
  <si>
    <t>2.7.1.9</t>
  </si>
  <si>
    <t>Поставка и укладка стеклянной мозаики модель "Classic Cinza 30x30см марки "RUBICER" с швами из серого светлого мастика RAL 7035, включая клеевой раствор и затирку Adhere для бассейнов, основание из штукатурки "MAXDUR от SECIL", резку, отделку, затирку швов, выполнение ниш для LED-желобов, борт бассейна из уголка "L" из нержавеющей стали 316 шлифованной 15x15см и переливной желоб из гнутого алюминиевого листа с отверстием 5см в бассейне, все согласно детальному чертежу и все подготовительные работы и аксессуары, необходимые для идеального завершения. (PR05.1)</t>
  </si>
  <si>
    <t>This is the pool, front and back right?</t>
  </si>
  <si>
    <t>2.7.1.10</t>
  </si>
  <si>
    <t>Поставка и полное выполнение лестницы соединения между пандусом парковки и настилом 0-го этажа (ESC 02): Бетонная лестница с отделкой сборными бетонными плитами толщиной 3см на проступях и цементной шпатлевкой (PR09) на подступенках ступеней, включая стяжку заполнения/выравнивания, отделку и все подготовительные работы и аксессуары, необходимые для идеального завершения. Размеры: Общие размеры - 4350x1200x2850мм (ДxШxВ) Ступени - 290x1200x178мм (ДxШxВ)</t>
  </si>
  <si>
    <t>cj</t>
  </si>
  <si>
    <t>2.7.1.11</t>
  </si>
  <si>
    <t>Поставка и полное выполнение наружной лестницы доступа к технической зоне #1 (ESC 03): Лестница с отделкой затертой стяжкой, доступная через две решетки пола из шлифованной нержавеющей стали, откидные, которые превращаются в ограждение при открытии, включая стяжку заполнения/выравнивания, отделку, сварку и все подготовительные работы и аксессуары, необходимые для идеального завершения. Размеры: Общие размеры - 4340x900x2750мм (ДxШxВ) Ступени - 280x900x197мм (ДxШxВ) Размер каждой решетки x 2 - 2170x980x40мм 2 решетки (нержавеющая сталь) пола размером 2,17x0,98м</t>
  </si>
  <si>
    <t>2.7.2</t>
  </si>
  <si>
    <t>ВНУТРЕННИЕ ПОЛЫ</t>
  </si>
  <si>
    <t>2.7.2.1</t>
  </si>
  <si>
    <t>Поставка и выполнение пола из затертой вертолетом стяжки, включая гидрофобизатор SIKAGARD 680-S бесцветный матовый, включая стяжку заполнения/выравнивания, понижение в зоне душей с созданием уклонов, отделку и все подготовительные работы и аксессуары, необходимые для идеального завершения. (PV01)</t>
  </si>
  <si>
    <t>2.7.2.2</t>
  </si>
  <si>
    <t>Поставка и укладка покрытия из паркета - дубовые рейки 20x220x2200 (вxшxд) - модель ALVA RIBADÃO, обработка "NORDIC NATURAL" марки BONA, включая стяжку заполнения/выравнивания с затертой поверхностью, резку, отделку, крепления и все подготовительные работы и аксессуары, необходимые для идеального завершения. (PV03)</t>
  </si>
  <si>
    <t>2.7.2.3</t>
  </si>
  <si>
    <t>Поставка и выполнение эпоксидной покраски бежевый глянцевый RAL по образцу, SIKAFLOOR-264, марки SIKA, включая все необходимые компоненты и противоскользящую отделку, стяжку заполнения/выравнивания с затертой поверхностью, отделку и все подготовительные работы и аксессуары, необходимые для идеального завершения. (PV04)</t>
  </si>
  <si>
    <t>2.7.2.4</t>
  </si>
  <si>
    <t>Поставка и выполнение эпоксидной покраски белый матовый RAL 9003 SIKAFLOOR-264, марки SIKA, включая все необходимые компоненты и противоскользящую отделку, стяжку заполнения/выравнивания с затертой поверхностью, понижение в зоне душей с созданием уклонов, отделку и все подготовительные работы и аксессуары, необходимые для идеального завершения. (PV04)</t>
  </si>
  <si>
    <t>2.7.3</t>
  </si>
  <si>
    <t>ПЛИНТУСЫ</t>
  </si>
  <si>
    <t>2.7.3.1</t>
  </si>
  <si>
    <t>Поставка и укладка плинтуса из уголка шлифованной нержавеющей стали 20x10x5мм (вxшxт), включая систему крепления, резку, отделку и все подготовительные работы и аксессуары, необходимые для идеального завершения. (RD01)</t>
  </si>
  <si>
    <t>2.8</t>
  </si>
  <si>
    <t>СТОЛЯРНЫЕ РАБОТЫ</t>
  </si>
  <si>
    <t>2.8.1</t>
  </si>
  <si>
    <t>ВНУТРЕННИЕ ПРОЕМЫ</t>
  </si>
  <si>
    <t>2.8.1.1</t>
  </si>
  <si>
    <t>Поставка и монтаж внутренних дверных проемов из каркаса МДФ влагостойкого лакированного в белый матовый RAL 9003 с обеих сторон. Общая толщина = 45мм; Боковая обшивка из МДФ влагостойкого лакированного в белый матовый RAL 9003; Ручка: JNF IN.00.070.RB08M; Розетка: JNF R01S; Петли: JNF IN.05.019.75.ECO D; Магнитный замок: JNF IN.20.835; Напольный упор: PADIMAT FB.S2C.16; Предусмотреть уплотнитель того же цвета что и дверь; Все согласно чертежам деталей и все подготовительные работы и аксессуары необходимые для идеального функционирования.</t>
  </si>
  <si>
    <t>Will Need some more info on these doors….</t>
  </si>
  <si>
    <t>2.8.1.1.1</t>
  </si>
  <si>
    <t>VI -01.2 - Внутренняя дверь 1 створка распашная, размерами 1.10x2.30м.</t>
  </si>
  <si>
    <t>2.8.1.1.2</t>
  </si>
  <si>
    <t>VI -01.3 - Внутренняя дверь 1 створка распашная, размерами 1.10x2.30м.</t>
  </si>
  <si>
    <t>2.8.1.1.3</t>
  </si>
  <si>
    <t>VI -01.4 - Внутренняя дверь 1 створка распашная, размерами 1.10x2.30м.</t>
  </si>
  <si>
    <t>2.8.1.1.4</t>
  </si>
  <si>
    <t>VI -01.5 - Внутренняя дверь 1 створка распашная, размерами 1.10x2.30м.</t>
  </si>
  <si>
    <t>2.8.1.2</t>
  </si>
  <si>
    <t>Поставка и монтаж внутренних дверных проемов из каркаса МДФ влагостойкого лакированного в белый матовый RAL 9003 с обеих сторон. Общая толщина = 45мм; Боковая обшивка из МДФ влагостойкого лакированного в белый матовый RAL 9003; Ручки: JNF IN.00.070.RB08M; Розетки: JNF R01S; Скрытые петли: JNF IN.05.202.B; Магнитные замки: JNF IN.20.835; Напольный упор: PADIMAT FB.S2C.16; Предусмотреть структурное усиление над потолком из гипсокартона и дверные уплотнители того же цвета; Все согласно чертежам деталей и все подготовительные работы и аксессуары необходимые для идеального функционирования.</t>
  </si>
  <si>
    <t>2.8.1.2.1</t>
  </si>
  <si>
    <t>VI 01.1 - Внутренняя дверь 1 створка поворотная, размерами 1.14x2.50м.</t>
  </si>
  <si>
    <t>2.8.1.2.2</t>
  </si>
  <si>
    <t>VI 01.4 - Внутренняя дверь 1 створка поворотная, размерами 1.14x2.50м.</t>
  </si>
  <si>
    <t>2.8.1.2.3</t>
  </si>
  <si>
    <t>VI 01.2 - Внутренняя дверь 1 створка поворотная, размерами 1.19x2.50м.</t>
  </si>
  <si>
    <t>2.8.1.2.4</t>
  </si>
  <si>
    <t>VI 01.3 - Внутренняя дверь 1 створка поворотная, размерами 1.19x2.50м.</t>
  </si>
  <si>
    <t>2.8.1.2.5</t>
  </si>
  <si>
    <t>VI 01.5 - Внутренняя дверь 1 створка поворотная, размерами 1.22x2.50м.</t>
  </si>
  <si>
    <t>2.8.1.3</t>
  </si>
  <si>
    <t>Поставка и монтаж внутреннего дверного проема из каркаса МДФ влагостойкого лакированного в белый матовый RAL 9003 с обеих сторон. Общая толщина = 80мм; Боковая обшивка из МДФ влагостойкого лакированного в белый матовый RAL 9003; Ручка: JNF IN.07.207.D Ø25 (A=1250мм; B=12575мм); Петли: JNF IN.05.019.75.ECO D; Служебные замки: JNF IN.20.974; Напольный упор: PADIMAT FB.S2C.16; Предусмотреть дверные уплотнители того же цвета; Все согласно чертежам деталей и все подготовительные работы и аксессуары необходимые для идеального функционирования.</t>
  </si>
  <si>
    <t>2.8.1.3.1</t>
  </si>
  <si>
    <t>VI 00.3 - Внутренняя дверь 1 створка распашная, размерами 1.00x2.49м.</t>
  </si>
  <si>
    <t>2.8.2</t>
  </si>
  <si>
    <t>ВНУТРЕННИЕ ПРОЕМЫ САНУЗЛОВ</t>
  </si>
  <si>
    <t>2.8.2.1</t>
  </si>
  <si>
    <t>Поставка и монтаж дверных проемов из каркаса МДФ влагостойкого 45мм толщ. лакированного в белый матовый RAL 9003 с обеих сторон; Боковая обшивка из МДФ влагостойкого лакированного в белый матовый RAL 9003; Ручка: JNF IN.00.070.RB08M; Розетка: JNF R01S; Петли: JNF IN.05.019.75.ECO D; Магнитный замок: JNF IN.20.835; Напольный упор: PADIMAT FB.S2C.16; Все согласно чертежам деталей и все подготовительные работы и аксессуары необходимые для идеального функционирования.</t>
  </si>
  <si>
    <t>2.8.2.1.1</t>
  </si>
  <si>
    <t>VI -01.1 - Внутренняя дверь распашная, размерами 1.08x2.30м.</t>
  </si>
  <si>
    <t>2.8.2.2</t>
  </si>
  <si>
    <t>Поставка и монтаж дверных проемов из каркаса МДФ влагостойкого лакированного в белый матовый RAL 9003 толщ. 45мм с одной стороны и облицованного зеркалом 6мм толщ. сверхпрозрачным с другой стороны. Общая толщина = 51мм (учтено отдельно); Боковая обшивка из МДФ влагостойкого лакированного в белый матовый RAL 9003 и зеркалом 6мм толщ. сверхпрозрачным (учтено отдельно); Ручки: JNF IN.00.070.RB08M; Розетки: JNF R01S; Скрытые петли: JNF IN.05.202.B; Магнитные замки: JNF IN.20.835; Напольный упор: PADIMAT FB.S2C.16 (VI 0.1); Настенный упор: Резиновая прокладка (VI 0.2); Предусмотреть структурное усиление над потолком из гипсокартона; Все согласно чертежам деталей и все подготовительные работы и аксессуары необходимые для идеального функционирования.</t>
  </si>
  <si>
    <t>2.8.2.2.1</t>
  </si>
  <si>
    <t>VI 0.1 - Внутренняя дверь поворотная, размерами 1.22x2.49м.</t>
  </si>
  <si>
    <t>2.8.2.3</t>
  </si>
  <si>
    <t>Поставка и монтаж дверных проемов из каркаса МДФ влагостойкого лакированного в белый матовый RAL 9003 толщ. 45мм с обеих сторон; Боковая обшивка из МДФ влагостойкого лакированного в белый матовый RAL 9003 и зеркалом 6мм толщ. сверхпрозрачным; Ручки: JNF IN.00.070.RB08M; Розетки: JNF R01S; Скрытые петли: JNF IN.05.202.B; Магнитные замки: JNF IN.20.835; Напольный упор: PADIMAT FB.S2C.16 (VI 0.1); Настенный упор: Резиновая прокладка (VI 0.2); Предусмотреть структурное усиление над потолком из гипсокартона; Все согласно чертежам деталей и все подготовительные работы и аксессуары необходимые для идеального функционирования.</t>
  </si>
  <si>
    <t>2.8.2.3.1</t>
  </si>
  <si>
    <t>VI 0.2 - Внутренняя дверь поворотная, размерами 1.22x2.49м.</t>
  </si>
  <si>
    <t>2.8.2.4</t>
  </si>
  <si>
    <t>Поставка и монтаж раздвижных дверей с кассетой без обшивки, состоящая из: -Раздвижная дверь из МДФ 4см толщ., лакированная в белый матовый RAL 9003. -Система кассеты раздвижной марки "GOSIMAT" модель "UNICO PLUS", включая верхние и нижние направляющие. -Врезная ручка, JNF IN.16.302.M1.40; Все согласно чертежам деталей и все подготовительные работы и аксессуары необходимые для идеального функционирования.</t>
  </si>
  <si>
    <t>2.8.2.4.1</t>
  </si>
  <si>
    <t>VI 01.6 - Раздвижная дверь, размерами 0.87x2.50м.</t>
  </si>
  <si>
    <t>2.8.2.4.2</t>
  </si>
  <si>
    <t>VI 01.7 - Раздвижная дверь, размерами 0.89x2.50м.</t>
  </si>
  <si>
    <t>2.8.3</t>
  </si>
  <si>
    <t>ШКАФЫ</t>
  </si>
  <si>
    <t>2.8.3.1</t>
  </si>
  <si>
    <t>Поставка и монтаж шкафа состоящего из 4 фасадов и 8 полок, для хранения и размещения электрощита этажа -1 и каркаса домотики, состоящий из: НАРУЖНАЯ ЧАСТЬ: Двери, торцевые панели завершения верха шкафа, из МДФ Влагостойкого толщ. 19 мм, Лакированного в цвет RAL 9003. ВНУТРЕННЯЯ ЧАСТЬ: Корпус и Полки из МДФ Влагостойкого толщ. 19мм, Меламин дуб. ЦОКОЛЬ: МДФ Влагостойкий толщ. 19мм, лакированный в RAL такой же как двери РУЧКА: Тик-Так ОПОРЫ ПОЛОК: тип 'hafele' арт. 282.04.711 от polifer ПЕТЛИ: "BLUM / CLIP" с амортизатором</t>
  </si>
  <si>
    <t>Need further explanation</t>
  </si>
  <si>
    <t>2.8.3.1.1</t>
  </si>
  <si>
    <t>ARM -01.1 - Шкаф, размерами 2.07x2.30x0.58м.</t>
  </si>
  <si>
    <t>2.8.3.2</t>
  </si>
  <si>
    <t>Поставка и монтаж шкафа состоящего из 4 фасадов, 1 полки и 2 ящиков с 1 столешницей и 1 штангой, включает также скамью и основание для обуви из мдф и светодиодное освещение верхнее и нижнее. (прихожая), состоящий из: НАРУЖНАЯ ЧАСТЬ: Двери, торцевые панели завершения верха шкафа и фасады ящиков из МДФ толщ. 19 мм, Лакированного в цвет RAL 9003. ВНУТРЕННЯЯ ЧАСТЬ: Корпуса, Полки и ящики из МДФ толщ. 19мм, Меламин дуб СКАМЬЯ: из МДФ толщ. 19мм, лакированная в RAL 9003 ОСНОВАНИЕ ДЛЯ ОБУВИ: из МДФ толщ. 19мм, лакированное в RAL 9003 СТОЛЕШНИЦА: из МДФ толщ. 19мм, лакированная в RAL 9003 ШТАНГА: из Нержавеющей стали 316 матовой РУЧКА: Тик-Так ОПОРЫ ПОЛОК: тип 'hafele' арт. 282.04.711 от polifer ПЕТЛИ: "BLUM / CLIP" с амортизатором НАПРАВЛЯЮЩИЕ: С амортизацией, "BLUM / MOVENTO - BLUMOTION" ОСВЕЩЕНИЕ: Алюминиевый профиль низкой высоты, со светодиодной лентой "Flex Strip Cob" арт. L62C026, от PROLED с выключателем открытия двери</t>
  </si>
  <si>
    <t>2.8.3.2.1</t>
  </si>
  <si>
    <t>ARM 00.1 - Шкаф, размерами 1.66x2.04x0.40м.</t>
  </si>
  <si>
    <t>2.8.3.2.2</t>
  </si>
  <si>
    <t>ARM 00.1 - Скамья/Основание для Обуви, размерами 2.25x0.08x0.32м.</t>
  </si>
  <si>
    <t>2.8.3.3</t>
  </si>
  <si>
    <t>Поставка и монтаж подвесной скамьи из мдф и конструкции из профилей типа "facar". (гостиная), состоящая из: НАРУЖНАЯ ЧАСТЬ: из МДФ Влагостойкого толщ. 19 мм, Меламин Дуб. КОНСТРУКЦИЯ: из профилей типа "facar" сечением 40x40мм ОСВЕЩЕНИЕ: Алюминиевый профиль низкой высоты, со светодиодной лентой "Flex Strip Cob" арт. L62C026, от PROLED.</t>
  </si>
  <si>
    <t>2.8.3.3.1</t>
  </si>
  <si>
    <t>ARM 00.2 - Скамья, размерами 6.34x0.08x0.44м.</t>
  </si>
  <si>
    <t>2.8.3.4</t>
  </si>
  <si>
    <t>Поставка и монтаж шкафа для посуды состоящего из полок и ящиков и двух створок, включает также винный шкаф, камин и нишу для хранения дров, состоящий из: НАРУЖНАЯ ЧАСТЬ: Двери, торцевые панели завершения верха шкафа, из МДФ толщ. 19 мм, Лакированного в цвет RAL 9003; ВНУТРЕННЯЯ ЧАСТЬ: Корпуса и Полки из ДСП толщ. 19мм, Меламин в цвет RAL 9003; ЦОКОЛЬ: из МДФ толщ. 19мм, лакированный в RAL такой же как двери; СТОЛЕШНИЦА: из Кориана, RAL 9003, толщ. 2см; РУЧКА: Тик-Так; ОПОРЫ ПОЛОК: тип 'hafele' арт. 282.04.711 от polifer; ПЕТЛИ: "BLUM / CLIP" с амортизатором; НАПРАВЛЯЮЩИЕ: С амортизацией, "BLUM / MOVENTO - BLUMOTION"; ОСВЕЩЕНИЕ: Алюминиевый профиль низкой высоты, со светодиодной лентой "Flex Strip Cob" арт. L62C026, от PROLED с выключателем открытия двери; КАМИН: Топка марки unichama модель m-desing luna diamon 1000 RD (Учтено отдельно) + Лист из нержавеющей стали толщ. 6мм для отделки и ребро толщ. 10мм для предотвращения нагрева панели МДФ; ВИННЫЙ ШКАФ: Винный погреб SIEMENS размерами 60x61x186мм (ДxГxВ) Арт: KW36KATGA (Учтено отдельно); НИША ДЛЯ ДРОВ: Короб из нержавеющей стали матовой толщ. 6мм глубиной 55мм для хранения дровяных поленьев;</t>
  </si>
  <si>
    <t>2.8.3.4.1</t>
  </si>
  <si>
    <t>ARM 0.03 - Шкаф, размерами 3.25x2.49x0.71м.</t>
  </si>
  <si>
    <t>2.8.3.5</t>
  </si>
  <si>
    <t>Поставка и монтаж модуля для сокрытия воздуховодов кондиционирования со стойками 46мм и 2x листами гипсокартона, включает конструкцию из профилей типа "facar" и подвесной буфет из мдф влагостойкого толщ. 19мм лакированного в белый матовый ral 9003 (столовая), состоящий из: НАРУЖНАЯ ЧАСТЬ: 2x Листа гипсокартона окрашенного в белый матовый RAL 9003 КОНСТРУКЦИЯ: Стойки 46мм и конструкция типа "facar" сечением 40x40мм БУФЕТ: из МДФ Влагостойкого толщ. 19мм, лакированного в RAL 9003</t>
  </si>
  <si>
    <t>2.8.3.5.1</t>
  </si>
  <si>
    <t>ARM 0.04 - Шкаф, размерами 2.80x2.49x0.45м.</t>
  </si>
  <si>
    <t>2.8.3.6</t>
  </si>
  <si>
    <t>Поставка и монтаж шкафа для стиральной и сушильной машин с 1 ящиком, 1 столешницей, 1 полкой и 1 штангой и 1 боковой панелью (прачечная), состоящий из: НАРУЖНАЯ ЧАСТЬ: Боковая панель и полка из кориана толщ. 10мм в цвет RAL 9003. Фасад ящика из МДФ влагостойкого толщ. 19мм лакированного в цвет RAL 9003. КОНСТРУКЦИЯ: Конструкция столешницы из профилей типа "facar" сечением 40x40мм ЦОКОЛЬ: из МДФ Влагостойкого толщ. 19мм, лакированного в RAL такой же как двери СТОЛЕШНИЦА: из МДФ влагостойкого толщ. 19мм лакированного в цвет RAL 9003.</t>
  </si>
  <si>
    <t>2.8.3.6.1</t>
  </si>
  <si>
    <t>ARM 0.08 + BANC 0.03 - Шкаф, размерами 1.23x2.49x0.70м.</t>
  </si>
  <si>
    <t>2.8.3.7</t>
  </si>
  <si>
    <t>Поставка и монтаж кладовочного шкафа состоящего из 4 фасадов, 1 торцевой боковой панели и 17 полок. (прачечная) фасады выдвинуты для обеспечения вентиляции шкафа в закрытом состоянии, согласно деталировке, состоящий из: НАРУЖНАЯ ЧАСТЬ: Двери, торцевые панели завершения верха шкафа, из МДФ Влагостойкого толщ. 19 мм, Лакированного в цвет RAL 9003. ВНУТРЕННЯЯ ЧАСТЬ: Корпуса и Полки из МДФ Влагостойкого толщ. 19мм, Меламин дуб ЦОКОЛЬ: из МДФ Влагостойкого толщ. 19мм, лакированного в RAL такой же как двери РУЧКА: Тик-Так ОПОРЫ ПОЛОК: тип 'hafele' арт. 282.04.711 от polifer ПЕТЛИ: "BLUM / CLIP" с амортизатором</t>
  </si>
  <si>
    <t>2.8.3.7.1</t>
  </si>
  <si>
    <t>ARM 0.09 - Шкаф, размерами 2.42x2.49x0.65м.</t>
  </si>
  <si>
    <t>2.8.3.8</t>
  </si>
  <si>
    <t>Поставка и монтаж шкафов из МДФ Влагостойкого лакированного в белый матовый RAL 9003, состоящих из: НАРУЖНАЯ ЧАСТЬ: Фасады, торцевые панели завершения верха шкафа, из МДФ Влагостойкого толщ. 19 мм, лакированного в белый матовый RAL 9003; ВНУТРЕННЯЯ ЧАСТЬ: Ящики и Полки из МДФ Влагостойкого толщ. 19мм, лакированного в белый матовый RAL 9003; ЦОКОЛЬ: из МДФ толщ. 19мм, лакированного в белый матовый RAL 9003; СТОЛЕШНИЦА: из МДФ толщ. 19мм, лакированная в белый матовый RAL 9003; РУЧКА: Негативная круглая Ø3см; ОПОРЫ ПОЛОК: Скрытые; НАПРАВЛЯЮЩИЕ: С амортизацией, "BLUM / MOVENTO - BLUMOTION"; ШТАНГА: Нержавеющая сталь 316 матовая Ø3см. Скрытое крепление.</t>
  </si>
  <si>
    <t>2.8.3.8.1</t>
  </si>
  <si>
    <t>ARM 0.11 - Открытый шкаф с 2 ящиками, 1 полкой и 1 штангой из нержавейки 3смø, размерами 1.20x2.40x0.60м.</t>
  </si>
  <si>
    <t>2.8.3.8.2</t>
  </si>
  <si>
    <t>ARM 0.12 - Шкаф с 2 фасадами, 2 ящиками, 1 полкой, размерами 1.19x2.40x0.60м.</t>
  </si>
  <si>
    <t>2.8.3.9</t>
  </si>
  <si>
    <t>Поставка и монтаж конструкции кровати и спинки с 2 изголовьями из мдф и 2 ящиками, включает освещение изголовья (спальня 1 + спальня 2), состоящая из: НАРУЖНАЯ ЧАСТЬ: Фасады, Боковые панели и крышки из МДФ Влагостойкого, меламин дуб. ВНУТРЕННЯЯ ЧАСТЬ: Ящик из МДФ толщ. 19мм, Меламин дуб. ЦОКОЛЬ: Из МДФ Влагостойкого толщ. 19мм, меламин дуб. КОНСТРУКЦИЯ КРОВАТИ: бруски сосны 5x5см с регулируемыми резиновыми ножками. РУЧКА: Тик-Так. НАПРАВЛЯЮЩИЕ: С амортизацией, "BLUM / MOVENTO - BLUMOTION". ОСВЕЩЕНИЕ: Светильник изголовья IP20 3000K 3Вт, отделка белая, модель "ICELAND" марки HOFFLIGHTS.</t>
  </si>
  <si>
    <t>2.8.3.9.1</t>
  </si>
  <si>
    <t>ARM 01.6.1 + ARM 01.6.2 - Конструкция Кровати, размерами 2.76x1.10x2.24м.</t>
  </si>
  <si>
    <t>2.8.3.10</t>
  </si>
  <si>
    <t>Поставка и монтаж шкафа состоящего из 4 фасадов и включающего 8 ящиков, 2 крышки и 6 полок внутри, состоящий из: НАРУЖНАЯ ЧАСТЬ: Двери, торцевые панели завершения верха шкафа, из МДФ толщ. 19 мм, Лакированного в цвет RAL 9003. ВНУТРЕННЯЯ ЧАСТЬ: Ящики из МДФ толщ. 19мм, Меламин дуб. Корпуса, Фасады ящиков и Полки из МДФ толщ. 19мм, Меламин дуб. СТОЛЕШНИЦА: из МДФ толщ. 19мм, Меламин дуб ЦОКОЛЬ: из МДФ толщ. 19мм, лакированный в RAL такой же как двери. = Родатекто РУЧКА: Тик-Так ОПОРЫ ПОЛОК: тип 'hafele' арт. 282.04.711 от polifer ПЕТЛИ: "BLUM / CLIP" с амортизатором НАПРАВЛЯЮЩИЕ: С амортизацией, "BLUM / MOVENTO - BLUMOTION" ОСВЕЩЕНИЕ: Светильник изголовья IP20 3000K 3Вт, отделка белая, модель "ICELAND" марки HOFFLIGHTS.</t>
  </si>
  <si>
    <t>2.8.3.10.1</t>
  </si>
  <si>
    <t>ARM 01.7 - Шкаф, размерами 2.42x2.50x0.70м.</t>
  </si>
  <si>
    <t>2.8.3.11</t>
  </si>
  <si>
    <t>Поставка и монтаж шкафа состоящего из 4 фасадов и трех наружных вертикальных рядов из 18 полок. включает 2 больших ящика, 2 штанги и 2 полки внутри, состоящий из: НАРУЖНАЯ ЧАСТЬ: Двери, торцевые панели завершения верха шкафа и наружные полки из МДФ толщ. 19 мм, Лакированного в цвет RAL 9003. ВНУТРЕННЯЯ ЧАСТЬ: Ящики из МДФ толщ. 19мм, Меламин дуб. Корпуса и Фасады ящиков, Полки и Крышки из МДФ толщ. 19мм, Меламин дуб ЦОКОЛЬ: из МДФ Влагостойкого толщ. 19мм, лакированного в RAL такой же как двери. = Родатекто РУЧКА: Тик-Так ОПОРЫ ПОЛОК: тип 'hafele' арт. 282.04.711 от polifer ПЕТЛИ: "BLUM / CLIP" с амортизатором НАПРАВЛЯЮЩИЕ: С амортизацией, "BLUM / MOVENTO - BLUMOTION" ОСВЕЩЕНИЕ: Светильник изголовья IP20 3000K 3Вт, отделка белая, модель "ICELAND" марки HOFFLIGHTS.</t>
  </si>
  <si>
    <t>2.8.3.11.1</t>
  </si>
  <si>
    <t>ARM 01.8 - Шкаф, размерами 2.87x2.50x0.79м.</t>
  </si>
  <si>
    <t>2.8.3.12</t>
  </si>
  <si>
    <t>Поставка и монтаж: ARM 01.09 - Шкаф состоящий из 4 фасадов и двух наружных вертикальных рядов из 12 полок. включает 2 больших ящика, 2 штанги и 2 полки внутри ARM 01.10 - Шкаф состоящий из 4 фасадов и двух наружных вертикальных рядов из 12 полок. включает 2 больших ящика, 2 штанги и 2 полки внутри НАРУЖНАЯ ЧАСТЬ: Двери, торцевые панели завершения верха шкафа и наружные полки из МДФ толщ. 19 мм, Лакированного в цвет RAL 9003. ВНУТРЕННЯЯ ЧАСТЬ: Ящики из МДФ толщ. 19мм, меламин дуб. Корпуса, Фасады Ящиков, Полки и Крышки из МДФ толщ. 19 мм, меламин дуб. ЦОКОЛЬ: из МДФ Влагостойкого толщ. 19мм, лакированного в RAL такой же как двери. =Родатекто РУЧКА: Тик-Так ОПОРЫ ПОЛОК: тип 'hafele' арт. 282.04.711 от polifer ПЕТЛИ: "BLUM / CLIP" с амортизатором НАПРАВЛЯЮЩИЕ: С амортизацией, "BLUM / MOVENTO - BLUMOTION" ОСВЕЩЕНИЕ: Светильник изголовья IP20 3000K 3Вт, отделка белая, модель "ICELAND" марки HOFFLIGHTS.</t>
  </si>
  <si>
    <t>2.8.3.12.1</t>
  </si>
  <si>
    <t>ARM 01.09 - Шкаф, размерами 2.87x2.50x0.75м.</t>
  </si>
  <si>
    <t>2.8.3.12.2</t>
  </si>
  <si>
    <t>ARM 01.10 - Шкаф, размерами 2.05x2.50x0.75м.</t>
  </si>
  <si>
    <t>2.8.3.12.3</t>
  </si>
  <si>
    <t>ESP 01.7 - Зеркало из хрустального стекла толщ. 6мм, размерами 1.04x2.50м.</t>
  </si>
  <si>
    <t>2.8.3.13</t>
  </si>
  <si>
    <t>Поставка и монтаж шкафа состоящего из 3 фасадов и одного наружного вертикального ряда с 6 полками. включает 4 ящика, 1 крышку и 9 полок (главная спальня гардеробная): НАРУЖНАЯ ЧАСТЬ: Двери, торцевые панели завершения верха шкафа и наружные полки из МДФ Влагостойкого толщ. 19 мм, Лакированного в цвет RAL 9003. ВНУТРЕННЯЯ ЧАСТЬ: Ящики из МДФ толщ. 19мм, Меламин дуб. Корпуса, Фасады Ящиков, Полки и Крышки из МДФ толщ. 19 мм, меламин дуб. ЦОКОЛЬ: из МДФ Влагостойкого толщ. 19мм, лакированного в RAL такой же как двери. =Родатекто РУЧКА: Тик-Так ОПОРЫ ПОЛОК: тип 'hafele' арт. 282.04.711 от polifer ПЕТЛИ: "BLUM / CLIP" с амортизатором НАПРАВЛЯЮЩИЕ: С амортизацией, "BLUM / MOVENTO - BLUMOTION" ОСВЕЩЕНИЕ: Светильник изголовья IP20 3000K 3Вт, отделка белая, модель "ICELAND" марки HOFFLIGHTS.</t>
  </si>
  <si>
    <t>2.8.3.13.1</t>
  </si>
  <si>
    <t>ARM 01.11 - Шкаф, размерами 3.25x2.49x0.71м.</t>
  </si>
  <si>
    <t>2.8.3.14</t>
  </si>
  <si>
    <t>Поставка и монтаж конструкции кровати и спинки с 2 изголовьями из мдф и 12 полками и 2 ящиками, включает освещение изголовья (главная спальня), состоящая из: НАРУЖНАЯ ЧАСТЬ: Фасады, Боковые панели, Крышки и Полки из МДФ Влагостойкого Меламин дуб ВНУТРЕННЯЯ ЧАСТЬ: Ящик из МДФ толщ. 19мм, Меламин дуб ЦОКОЛЬ: из МДФ Влагостойкого толщ. 19мм, Меламин дуб КОНСТРУКЦИЯ КРОВАТИ: бруски сосны 5x5см и регулируемые резиновые ножки РУЧКА: Тик-Так НАПРАВЛЯЮЩИЕ: С амортизацией, "BLUM / MOVENTO - BLUMOTION" ОПОРЫ ПОЛОК: тип 'hafele' арт. 282.04.711 от polifer ОСВЕЩЕНИЕ: Светильник изголовья IP20 3000K 3Вт, отделка белая, модель "ICELAND" марки HOFFLIGHTS.</t>
  </si>
  <si>
    <t>2.8.3.14.1</t>
  </si>
  <si>
    <t>ARM 01.12 - Конструкция Кровати, размерами 2.76x1.10x2.24м.</t>
  </si>
  <si>
    <t>2.8.3.15</t>
  </si>
  <si>
    <t>Поставка и монтаж шкафа из МДФ Влагостойкого толщ. 2см, облицованного алюминиевым листом толщ. 2мм, лакированным в белый матовый RAL 9003, и зеркалом из хрустального стекла толщ. 6мм приклеенным к двум боковинам шкафа (учтено отдельно), состоящий из: НАРУЖНАЯ ЧАСТЬ: Фасады, торцевые панели завершения верха шкафа, из МДФ Влагостойкого толщ. 19 мм, облицованного алюминиевым листом лакированным в цвет RAL 9003; ВНУТРЕННЯЯ ЧАСТЬ: Ящики и Полки из МДФ Влагостойкого толщ. 19мм, облицованного алюминиевым листом лакированным в цвет RAL 9003; ЦОКОЛЬ: МДФ толщ. 19мм, облицованный алюминиевым листом лакированным в цвет RAL 9003; СТОЛЕШНИЦА: МДФ толщ. 19мм, облицованная алюминиевым листом лакированным в цвет RAL 9003; РУЧКА: Негативная круглая Ø3см; ОПОРЫ ПОЛОК: Скрытые; НАПРАВЛЯЮЩИЕ: С амортизацией, "BLUM / MOVENTO - BLUMOTION"; ШТАНГА: Нержавеющая сталь 316 матовая Ø3см. Скрытое крепление.</t>
  </si>
  <si>
    <t>2.8.3.15.1</t>
  </si>
  <si>
    <t>ARM 0.13 - Шкаф с 3 ящиками, 1 полкой и 1 штангой, размерами 0.83x2.50x0.52м.</t>
  </si>
  <si>
    <t>2.8.3.16</t>
  </si>
  <si>
    <t>Поставка и монтаж комплекта шкафов гардеробных Спальня 1 и Спальня 2, состоящего из 10 ящиков, 4 крышек, 8 полок, 1 штанги и 2 торцевых боковых панелей: НАРУЖНАЯ ЧАСТЬ: Торцевые панели завершения верха шкафа, из МДФ толщ. 19 мм, Меламин дуб. ВНУТРЕННЯЯ ЧАСТЬ: Корпуса, Ящики и Полки из МДФ толщ. 19мм, из МДФ толщ. 19мм, Меламин дуб ЦОКОЛЬ: из МДФ толщ. 19мм, Меламин дуб СТОЛЕШНИЦА: из МДФ толщ. 19мм, Меламин дуб РУЧКА: Тик-Так ОПОРЫ ПОЛОК: тип 'hafele' арт. 282.04.711 от polifer НАПРАВЛЯЮЩИЕ: С амортизацией, "BLUM / MOVENTO - BLUMOTION" ОСВЕЩЕНИЕ: Светильник изголовья IP20 3000K 3Вт, отделка белая, модель "ICELAND" марки HOFFLIGHTS.</t>
  </si>
  <si>
    <t>2.8.3.16.1</t>
  </si>
  <si>
    <t>ARM 01.04.1 - Шкаф, размерами 2.42x2.50x0.55м.</t>
  </si>
  <si>
    <t>2.8.3.16.2</t>
  </si>
  <si>
    <t>ARM 01.04.2 - Шкаф, размерами 2.42x2.50x0.55м.</t>
  </si>
  <si>
    <t>2.8.3.16.3</t>
  </si>
  <si>
    <t>ESP 01.4 - Зеркало из хрустального стекла толщ. 6мм, размерами 1.10x2.42м.</t>
  </si>
  <si>
    <t>2.8.3.16.4</t>
  </si>
  <si>
    <t>ARM 01.05.1 - Шкаф, размерами 2.42x2.50x0.55м.</t>
  </si>
  <si>
    <t>2.8.3.16.5</t>
  </si>
  <si>
    <t>ARM 01.05.2 - Шкаф, размерами 2.42x2.50x0.55м.</t>
  </si>
  <si>
    <t>2.8.3.16.6</t>
  </si>
  <si>
    <t>ESP 01.5 - Зеркало из хрустального стекла толщ. 6мм, размерами 1.10x2.42м.</t>
  </si>
  <si>
    <t>МЕТАЛЛОКОНСТРУКЦИИ И ОКОННЫЕ РАМЫ</t>
  </si>
  <si>
    <t>2.9.1</t>
  </si>
  <si>
    <t>АЛЮМИНИЕВЫЕ ОКОННЫЕ РАМЫ</t>
  </si>
  <si>
    <t>WINDOWS</t>
  </si>
  <si>
    <t>2.9.1.1</t>
  </si>
  <si>
    <t>Поставка и монтаж наружных проемов в алюминиевых оконных рамах CORTIZO, включая отделку, двойные стекла, уплотнения, металлические пороги, систему открывания и фурнитуру согласно карте проемов и проектным элементам и все подготовительные работы и аксессуары, необходимые для идеального функционирования.</t>
  </si>
  <si>
    <t>2.9.1.1.1</t>
  </si>
  <si>
    <t>VE 01.1 - Размер 1,10x2,88м, балконный проем 1 створка поворотно-откидная + 1 фрамуга, серия "COR 70", скрытая створка C16 ST, лакированная согласно фасадам (RAL9003, уточнить), включая порог из анодированного алюминиевого листа (натуральная отделка) гнутый толщиной 3мм.</t>
  </si>
  <si>
    <t>2.9.1.1.2</t>
  </si>
  <si>
    <t>VE 01.2 - Размер 4,68x2,92м, балконный проем 1 раздвижная створка + 1 неподвижная створка, серия "COR VISION PLUS", лакированная согласно фасадам (RAL9003, уточнить), включая порог из анодированного алюминиевого листа (натуральная отделка) гнутый толщиной 3мм, структурированный трубами facar по усмотрению исполнителя, приподнятый на 1см с резиновыми опорами по усмотрению исполнителя.</t>
  </si>
  <si>
    <t>2.9.1.1.3</t>
  </si>
  <si>
    <t>VE 01.3 - Размер 4,61x2,92м, балконный проем 1 раздвижная створка + 1 неподвижная створка, серия "COR VISION PLUS", лакированная согласно фасадам (RAL9003, уточнить), включая порог из анодированного алюминиевого листа (натуральная отделка) гнутый толщиной 3мм, структурированный трубами facar по усмотрению исполнителя, приподнятый на 1см с резиновыми опорами по усмотрению исполнителя.</t>
  </si>
  <si>
    <t>2.9.1.1.4</t>
  </si>
  <si>
    <t>VE 01.4 - Размер 3,04x2,92м, балконный проем 2 раздвижные створки, серия "COR VISION PLUS", лакированная согласно фасадам (RAL9003, уточнить), включая порог из анодированного алюминиевого листа (натуральная отделка) гнутый толщиной 3мм, структурированный трубами facar по усмотрению исполнителя.</t>
  </si>
  <si>
    <t>2.9.1.1.5</t>
  </si>
  <si>
    <t>VE 01.5 - Размер 5,93x2,92м, балконный проем 1 раздвижная створка и 2 неподвижные створки, серия "COR VISION PLUS", лакированная согласно фасадам (RAL9003, уточнить), включая структурные профили соединения между VE05 и VE06, облицованные анодированным алюминиевым листом, как оконные рамы, на видимых поверхностях. См. PORM04 на листе EXE33.</t>
  </si>
  <si>
    <t>2.9.1.1.6</t>
  </si>
  <si>
    <t>VE 01.6 - Размер 6,19x2,92м, балконный проем 1 раздвижная створка и 2 неподвижные створки, серия "COR VISION PLUS", лакированная согласно фасадам (RAL9003, уточнить), включая структурные профили соединения между VE05 и VE06 + VE06 и VE07, облицованные анодированным алюминиевым листом, как оконные рамы, на видимых поверхностях. См. PORM04 на листе EXE33.</t>
  </si>
  <si>
    <t>2.9.1.1.7</t>
  </si>
  <si>
    <t>VE 01.7 - Размер 4,94x2,92м, балконный проем 1 раздвижная створка и 1 неподвижная створка, серия "COR VISION PLUS", лакированная согласно фасадам (RAL9003, уточнить), включая структурные профили соединения между VE06 и VE07 + VE07 и VE08, облицованные анодированным алюминиевым листом, как оконные рамы, на видимых поверхностях. См. PORM04 на листе EXE33.</t>
  </si>
  <si>
    <t>2.9.1.1.8</t>
  </si>
  <si>
    <t>VE 01.8 - Размер 7,18x2,92м, балконный проем 1 раздвижная створка и 2 неподвижные створки, серия "COR VISION PLUS", лакированная согласно фасадам (RAL9003, уточнить), включая структурные профили соединения между VE07 и VE08, облицованные анодированным алюминиевым листом, как оконные рамы, на видимых поверхностях. См. PORM04 на листе EXE33.</t>
  </si>
  <si>
    <t>2.9.1.1.9</t>
  </si>
  <si>
    <t>VE 00.1 - Размер 7,24x2,94м, балконный проем 1 раздвижная створка и 2 неподвижные створки, серия "COR VISION PLUS", лакированная согласно фасадам (RAL9003, уточнить), включая порог из алюминиевого уголка L 210x60мм, шлифованная отделка.</t>
  </si>
  <si>
    <t>2.9.1.1.10</t>
  </si>
  <si>
    <t>VE 00.2 - Размер 2,23x2,94м, балконный проем 1 поворотная створка, входная дверь CORTIZO, серия "MILLENNIUM PLUS PIVOT", анодированная отделка, включая порог из гнутого листа нержавеющей стали толщиной 3мм, приподнятый на 1см с резиновыми опорами по усмотрению исполнителя, включая структурные профили соединения между VE02 и VE03, облицованные анодированным алюминиевым листом, как оконные рамы, на видимых поверхностях. См. PORM07 на листе EXE34.</t>
  </si>
  <si>
    <t>2.9.1.1.11</t>
  </si>
  <si>
    <t>VE 00.3 - Размер 2,15x2,89м, балконный проем 1 неподвижная створка, серия "COR 70", анодированная отделка, включая порог из анодированного алюминиевого листа (натуральная отделка) гнутый толщиной 3мм, структурированный трубами facar по усмотрению исполнителя - см. PORM12, включая структурные профили соединения между VE02 и VE03, облицованные анодированным алюминиевым листом, как оконные рамы, на видимых поверхностях. См. PORM07 на листе EXE34.</t>
  </si>
  <si>
    <t>2.9.1.1.12</t>
  </si>
  <si>
    <t>VE 00.4 - Размер 2,58x2,92м, балконный проем 1 неподвижная створка, серия "COR 70", анодированная отделка, включая порог из анодированного алюминиевого листа, гнутый в Z, толщиной 3мм. РАЗ полок, последовательно: 20мм, 260мм, 45мм, опирающийся на конструкцию по усмотрению исполнителя, согласно деталям.</t>
  </si>
  <si>
    <t>2.9.1.1.13</t>
  </si>
  <si>
    <t>VE 00.6 - Размер 17,33x2,94м, балконный проем 4 раздвижные створки и 3 неподвижные створки, серия "COR VISION PLUS", анодированная отделка.</t>
  </si>
  <si>
    <t>2.9.1.1.14</t>
  </si>
  <si>
    <t>VE 00.7 - Размер 4,74x2,94м, балконный проем 1 раздвижная створка и 1 неподвижная створка, серия "COR VISION PLUS", анодированная отделка.</t>
  </si>
  <si>
    <t>2.9.1.1.15</t>
  </si>
  <si>
    <t>VE 00.8 - Размер 1,98x2,94м, балконный проем 1 раздвижная створка, серия "COR VISION PLUS", установленная с galandage, анодированная отделка.</t>
  </si>
  <si>
    <t>2.9.1.1.16</t>
  </si>
  <si>
    <t>VE 00.9 - Размер 2,54x2,94м, балконный проем 1 раздвижная створка и 1 неподвижная створка, серия "COR VISION PLUS", анодированная отделка, включая порог из анодированного алюминиевого листа (натуральная отделка) гнутый толщиной 3мм. РАЗ 01.10x 0.06 (ШxГ), структурированный трубами facar по усмотрению исполнителя, приподнятый на 1см с резиновыми опорами по усмотрению исполнителя, включая структурные профили соединения между VE09 и VE10, облицованные анодированным алюминиевым листом, как оконные рамы, на видимых поверхностях. См. PORM05 на листе EXE35.</t>
  </si>
  <si>
    <t>2.9.1.1.17</t>
  </si>
  <si>
    <t>VE 00.10 - Размер 3,28x2,94м, балконный проем 1 раздвижная створка и 1 неподвижная створка, серия "COR VISION PLUS", анодированная отделка, включая порог из анодированного алюминиевого листа (натуральная отделка) гнутый толщиной 3мм. РАЗ 01.10x 0.06 (ШxГ), структурированный трубами facar по усмотрению исполнителя, приподнятый на 1см с резиновыми опорами по усмотрению исполнителя, включая структурные профили соединения между VE09 и VE10, облицованные анодированным алюминиевым листом, как оконные рамы, на видимых поверхностях. См. PORM05 на листе EXE35.</t>
  </si>
  <si>
    <t>2.9.1.1.18</t>
  </si>
  <si>
    <t>VE -01.1 - Размер 4,18x2,36м, балконный проем 1 раздвижная створка и 1 неподвижная створка, серия "COR VISION PLUS", анодированная отделка, включая порог из алюминиевого уголка L 210x60мм, шлифованная отделка.</t>
  </si>
  <si>
    <t>2.9.1.1.19</t>
  </si>
  <si>
    <t>VE -01.2 - Размер 2,21x2,36м, балконный проем 1 неподвижная створка, серия "COR 70", анодированная отделка, включая порог из алюминиевого уголка L 210x60мм, шлифованная отделка.</t>
  </si>
  <si>
    <t>2.9.1.1.20</t>
  </si>
  <si>
    <t>VE-01.3 - Размер 2,15x2,89м, балконный проем 1 неподвижная створка, серия "COR 70", анодированная отделка.</t>
  </si>
  <si>
    <t>2.9.1.1.21</t>
  </si>
  <si>
    <t>VE-01.4 - Размер 0,97x2,30м, балконный проем 1 поворотно-откидная створка, серия "COR 70", анодированная отделка, включая порог из анодированного алюминиевого листа, гнутый в Z, толщиной 3мм. РАЗ полок, последовательно: 20мм, 260мм, 45мм, опирающийся на конструкцию по усмотрению исполнителя, согласно деталям.</t>
  </si>
  <si>
    <t>2.9.1.2</t>
  </si>
  <si>
    <t>Поставка и монтаж лючка доступа к компенсационному баку бассейна из анодированного алюминия RAL 9003 с уплотнением, общая толщина = 50мм, включая петли по усмотрению исполнителя, замок шкафчика JNF IN.20.07715 и все подготовительные работы и аксессуары, необходимые для идеального завершения.</t>
  </si>
  <si>
    <t>2.9.1.2.1</t>
  </si>
  <si>
    <t>VI -01.6 - Лючок 1 распашная створка, размером 1,00x0,60м.</t>
  </si>
  <si>
    <t>2.9.2</t>
  </si>
  <si>
    <t>МЕТАЛЛИЧЕСКИЕ ДВЕРИ</t>
  </si>
  <si>
    <t>2.9.2.1</t>
  </si>
  <si>
    <t>Поставка и монтаж двери с конструкцией из профиля facar сечением 40x40мм, служащего опорой для плиты OSB толщиной 2см и отделкой белой мозаикой, как прилегающая стена (количество отдельно); рама и обналичка двери из профиля шлифованной нержавеющей стали 316; петля и ее крепление к стене по усмотрению исполнителя, должны учитывать собственный вес двери; цель этой двери - быть незаметной как дверь в плоскости прилегающей стены; все согласно чертежам деталей и все подготовительные работы и аксессуары, необходимые для идеального функционирования.</t>
  </si>
  <si>
    <t>2.9.2.1.1</t>
  </si>
  <si>
    <t>VE 00.5A - Дверь 1 распашная створка (скрытая), размером 0,70x2,44м.</t>
  </si>
  <si>
    <t>2.9.2.2</t>
  </si>
  <si>
    <t>Поставка и монтаж двери с конструкцией из профиля facar сечением 30x30мм, служащего опорой для плиты EPS толщиной 3см (количество отдельно) и отделкой цементной шпатлевкой, как прилегающая наружная стена (количество отдельно); рама и обналичка двери из профиля шлифованной нержавеющей стали 316; петля и ее крепление к стене по усмотрению исполнителя, должны учитывать собственный вес двери; цель этой двери - быть незаметной как дверь в плоскости прилегающей стены; замок с европейским цилиндром; все согласно чертежам деталей и все подготовительные работы и аксессуары, необходимые для идеального функционирования.</t>
  </si>
  <si>
    <t>2.9.2.2.1</t>
  </si>
  <si>
    <t>VE 00.5B - Дверь 1 распашная створка (скрытая), размером 0,70x2,44м.</t>
  </si>
  <si>
    <t>2.9.2.3</t>
  </si>
  <si>
    <t>Поставка и монтаж двери, состоящей из конструкции из профилей facar 3x3см и облицованной клепаным алюминиевым листом толщиной 2мм, лакированным в белый матовый цвет RAL 9003. Общая толщина =40мм. Наружная поверхность двери получит конструкцию обрешетки, составляющую фасад (количество отдельно). Обналичка двери должна быть выполнена из уголков нержавеющей стали 316, лакированных в белый матовый цвет RAL 9003; ручки: JNF IN.07.207.D Ø25 (A=1250мм;B=12575мм); петли: подходящие для собственного веса двери и лакированные в тот же цвет, что и дверь; замок: европейский цилиндр; напольный упор: PADIMAT FB.S2C.16 (VI 0.1); все согласно чертежам деталей и все подготовительные работы и аксессуары, необходимые для идеального функционирования.</t>
  </si>
  <si>
    <t>2.9.2.3.1</t>
  </si>
  <si>
    <t>VE 0.11 - Наружная распашная дверь с обрешеткой на наружной стороне - RIP 0.2, размером 0,85x2,11м.</t>
  </si>
  <si>
    <t>2.9.2.3.2</t>
  </si>
  <si>
    <t>VE 0.12 - Наружная распашная дверь с обрешеткой на наружной стороне - RIP 0.2, размером 0,85x2,11м.</t>
  </si>
  <si>
    <t>2.9.2.4</t>
  </si>
  <si>
    <t>Поставка и монтаж двери из уголка 40x40мм, облицованного алюминиевым листом толщиной 3мм, анодированная отделка. Шарнирно соединенная с предварительно изготовленными рамами из алюминиевых труб квадратного сечения 50x50x3мм, анодированная отделка, составляющими ограждающую стену, общая толщина = 45мм; боковая обналичка из уголка 40x40мм и структурной трубы типа "facar" 40x40мм, анодированная отделка; соединение структурной трубы с плитой через металлический патрубок; ручка: JNF IN.07.207.D Ø25 (A=1250мм;B=12575мм); петли: подходящие для собственного веса двери и лакированные в тот же цвет, что и дверь; замок: европейский цилиндр; все согласно чертежам деталей и все подготовительные работы и аксессуары, необходимые для идеального функционирования.</t>
  </si>
  <si>
    <t>2.9.2.4.1</t>
  </si>
  <si>
    <t>VE 00.13 - Наружная распашная дверь, размер 0,80x2,13м.</t>
  </si>
  <si>
    <t>2.9.2.5</t>
  </si>
  <si>
    <t>Поставка и монтаж двери без рамы с конструкцией из профиля facar сечением 40x40мм, служащего опорой для плиты OSB толщиной 2см и отделкой белой мозаикой, как прилегающая стена. Общая толщина = 70мм; петля и ее крепление к стене по усмотрению исполнителя, должны учитывать собственный вес двери; цель этой двери - быть незаметной как дверь в плоскости прилегающей стены; все согласно чертежам деталей и все подготовительные работы и аксессуары, необходимые для идеального функционирования.</t>
  </si>
  <si>
    <t>2.9.2.5.1</t>
  </si>
  <si>
    <t>VI 01.8 - Внутренняя дверь 1 распашная створка (скрытая), размером 0,69x2,20м.</t>
  </si>
  <si>
    <t>2.9.2.6</t>
  </si>
  <si>
    <t>Поставка и монтаж двери с: рамой из уголков L 30x30мм и/или 40x40мм, толщина = 5мм, из шлифованной нержавеющей стали 316; перекрещенной металлической сеткой из нержавеющей стали; профилями крепления сетки из уголков L 25x25мм, толщина по усмотрению исполнителя, из нержавеющей стали 316, закрепленными к раме сваркой или шестигранными винтами, скрытыми с наружной стороны; магнитной защелкой; все согласно чертежам деталей и все подготовительные работы и аксессуары, необходимые для идеального функционирования.</t>
  </si>
  <si>
    <t>2.9.2.6.1</t>
  </si>
  <si>
    <t>VE -01.6 - Размер 0,74x2,30м, балконный проем 1 распашная створка.</t>
  </si>
  <si>
    <t>2.9.2.6.2</t>
  </si>
  <si>
    <t>VE -01.7 - Размер 1,74x2,30м, балконный проем 1 распашная створка.</t>
  </si>
  <si>
    <t>2.9.2.6.3</t>
  </si>
  <si>
    <t>VE -01.8 - Размер 0,75x2,20м, балконный проем 1 распашная створка.</t>
  </si>
  <si>
    <t>2.9.3</t>
  </si>
  <si>
    <t>ЗЕНИТНЫЙ ФОНАРЬ</t>
  </si>
  <si>
    <t>2.9.3.1</t>
  </si>
  <si>
    <t>Поставка и монтаж зенитного фонаря с выполнением скрытой рамы изнутри, по усмотрению исполнителя; рассмотреть анодированный алюминий натурального цвета или другой материал и отделку, похожую на цинк; СТЕКЛО - см. проект специальностей - тепловой; все согласно чертежам деталей и все подготовительные работы и аксессуары, необходимые для идеального функционирования.</t>
  </si>
  <si>
    <t>2.9.3.1.1</t>
  </si>
  <si>
    <t>CLA 01 - Неподвижный зенитный фонарь, размер 1,03x1,45м.</t>
  </si>
  <si>
    <t>2.9.4</t>
  </si>
  <si>
    <t>ВОРОТА</t>
  </si>
  <si>
    <t>2.9.4.1</t>
  </si>
  <si>
    <t>Поставка и монтаж секционных гаражных ворот "Ворота LM INOX марки LMPerfis PS.040CA94", согласно спецификациям проекта, включая систему автоматического открывания, пульты, датчики и все подготовительные работы и аксессуары, необходимые для идеального функционирования.</t>
  </si>
  <si>
    <t>2.9.4.1.1</t>
  </si>
  <si>
    <t>Ve -01.5 - Секционные гаражные ворота, размер 3,60x2,30м.</t>
  </si>
  <si>
    <t>2.9.5</t>
  </si>
  <si>
    <t>МЕТАЛЛИЧЕСКИЕ ЛЕСТНИЦЫ</t>
  </si>
  <si>
    <t>2.9.5.1</t>
  </si>
  <si>
    <t>Поставка и монтаж главной лестницы доступа к различным этажам дома (ESC01): Примечание: Конструкция лестницы уже предусмотрена в проекте устойчивости, рассмотреть только лакировку конструкции RAL 9003 матовая. - Подвесная металлическая лестница с отделкой деревянными рейками, эквивалентными полу дома; крепление лестниц к боковым поверхностям, согласно детали, и центральное ограждение из натянутых стальных тросов с креплением к потолку и ступеням, также согласно детали. - Боковые ограждения из труб нержавеющей стали Ø 4,24см и опоры поручня - M8 - JNF - IN.18.133. - Состав ступеней из металлических профилей, как описано в детали, и должны быть предусмотрены структурные усиления в опорах ступеней к бетонным стенам и для верхней опоры стальных тросов, как показано в соответствующей детали. - Верх плит, облицованных стальным листом толщиной 8мм (2шт) - Размеры: Общая высота - 8780мм (В) Общие размеры - 3365x2075x6280мм (ДxШxВ) Ступени - 280x1020x60мм (ДxШxВ) Промежуточные площадки - 2070x1220x100мм (ДxШxВ)</t>
  </si>
  <si>
    <t>2.9.6</t>
  </si>
  <si>
    <t>НАРУЖНЫЕ ЖАЛЮЗИ</t>
  </si>
  <si>
    <t>2.9.6.1</t>
  </si>
  <si>
    <t>Поставка и монтаж наружных рулонных жалюзи с круглым коробом из нержавейки 110 или 130мм - моторизованные WAREMA-CRUZFER ткань Screen цвет артикул: 3511 от WAREMA + опора крепления троса рулона + 2 уголка из шлифованной нержавеющей стали 316 150x75x5мм, включая аксессуары и все подготовительные работы и аксессуары, необходимые для идеального функционирования.</t>
  </si>
  <si>
    <t>2.9.6.1.1</t>
  </si>
  <si>
    <t>Жалюзи VE 01.5 - Размер 5,93x2,92м.</t>
  </si>
  <si>
    <t>2.9.6.1.2</t>
  </si>
  <si>
    <t>Жалюзи VE 01.6 - Размер 6,19x2,92м.</t>
  </si>
  <si>
    <t>2.9.6.1.3</t>
  </si>
  <si>
    <t>Жалюзи VE 01.7 - Размер 4,94x2,92м.</t>
  </si>
  <si>
    <t>2.9.6.1.4</t>
  </si>
  <si>
    <t>Жалюзи VE 01.8 - Размер 7,18x2,92м.</t>
  </si>
  <si>
    <t>2.9.6.1.5</t>
  </si>
  <si>
    <t>Жалюзи VE 00.9 - Размер 2,54x2,94м.</t>
  </si>
  <si>
    <t>2.9.6.1.6</t>
  </si>
  <si>
    <t>Жалюзи VE 00.10 - Размер 3,28x2,94м.</t>
  </si>
  <si>
    <t>ОГРАЖДЕНИЯ</t>
  </si>
  <si>
    <t>Поставка и монтаж ограждения, состоящего из темно-зеленой нейлоновой сетки и стальных стержней, забитых в пол, включая фундаментные массивы из тощего бетона, резку, отделку и все подготовительные работы и аксессуары, необходимые для идеального завершения.</t>
  </si>
  <si>
    <t>GUA 00.1 - Ограждение высотой 0,97м, состоящее из: Общие размеры: 4530x970мм (пог.м x В) 6x стальных стержней длиной = 1200мм 6x башмаков на гравии РАЗ=150x150x100мм.</t>
  </si>
  <si>
    <t>2.9.4.1.2</t>
  </si>
  <si>
    <t>GUA 00.3 - Ограждение высотой 0,97м, состоящее из: Общие размеры: 8700x970мм (пог.м x В) 9x стальных стержней длиной = 1200мм 9x башмаков на гравии РАЗ=150x150x100мм</t>
  </si>
  <si>
    <t>2.9.4.1.3</t>
  </si>
  <si>
    <t>GUA 00.4 - Ограждение высотой 0,97м, состоящее из: Общие размеры: 14000x970мм (пог.м x В) 15x стальных стержней длиной = 1200мм 15x башмаков на гравии РАЗ=150x150x100мм</t>
  </si>
  <si>
    <t>2.9.4.1.4</t>
  </si>
  <si>
    <t>GUA 00.5 - Ограждение высотой 0,97м, состоящее из: Общие размеры: 14000x970мм (пог.м x В) 15x стальных стержней длиной = 1200мм 15x башмаков на гравии РАЗ=150x150x100мм</t>
  </si>
  <si>
    <t>2.9.4.2</t>
  </si>
  <si>
    <t>Поставка и монтаж ограждения из шлифованной нержавеющей стали 316, состоящего из вертикальных прутков Ø8мм длиной 1050мм, с наклоном 93° относительно пола, поручень ограждения состоит из прямоугольного стержня сечением 50x20мм, крепление ограждения к полу осуществляется с помощью стального уголка "L" 150x150мм, который должен быть заанкерен к нижней плите и заделан в стяжку пола, включая резку, отделку и все подготовительные работы и аксессуары, необходимые для идеального завершения.</t>
  </si>
  <si>
    <t>2.9.4.2.1</t>
  </si>
  <si>
    <t>GUA 00.2 - Ограждение высотой 0,90м, состоящее из: Общие размеры: 2650x900мм (пог.м x В) 26x вертикальных стальных прутков Ø8мм, длиной = 1050мм 1x поручень из стального стержня сечением 50x20мм, 2650мм 1x стальной уголок "L" 150x150мм</t>
  </si>
  <si>
    <t>2.9.4.2.2</t>
  </si>
  <si>
    <t>GUA 00.2 - Ограждение высотой 0,90м, состоящее из: Общие размеры: 25150x900мм (пог.м x В) 249x вертикальных стальных прутков Ø8мм, длиной = 1300мм 1x поручень из стального стержня сечением 50x20мм, 25150мм 1x стальной уголок "L" 150x150мм</t>
  </si>
  <si>
    <t>ОБРЕШЕТКА</t>
  </si>
  <si>
    <t>Поставка и монтаж системы затенения на заднем фасаде 1-го этажа, состоящей из сборных рам из алюминиевых труб квадратного сечения 50x50x3мм, лакированных в цвет RAL 9003; крепление сборных рам к конструкции здания с задней стороны рамы; включая резку, отделку и все подготовительные работы и аксессуары, необходимые для идеального завершения. (RP12)</t>
  </si>
  <si>
    <t>2.9.5.1.1</t>
  </si>
  <si>
    <t>RIP 01.1 - Обрешетка высотой 2,80м, состоящая из: Общие размеры - 25000x2800x50мм (ДxШxВ) Рама #1 - 5080x2800x50мм (ДxШxВ) Рама #2/3/4 - 5000x2800x50мм (ДxШxВ) Рама #5 - 5080x2800x50мм (ДxШxВ)</t>
  </si>
  <si>
    <t>2.9.5.2</t>
  </si>
  <si>
    <t>Поставка и монтаж облицовки фасада садового пристроя, состоящей из сборных рам из алюминиевых труб квадратного сечения 50x50x3мм, анодированная отделка; крепление сборных рам к конструкции здания с задней стороны рамы; проемы VE 00.11 и VE 00.12 охватываются этими элементами, и разделение между трубами, расположенными в дверях, и фасадными осуществляется швом 1см между ними; включая резку, отделку и все подготовительные работы и аксессуары, необходимые для идеального завершения. (RP12)</t>
  </si>
  <si>
    <t>2.9.5.2.1</t>
  </si>
  <si>
    <t>RIP 00.2 - Обрешетка высотой 2,86м, состоящая из: Размеры: Северный фасад - 2550x2860x50мм (ДxШxВ) Южный фасад - 2550x2860x50мм (ДxШxВ) Восточный фасад - 4350x2860x50мм (ДxШxВ) Западный фасад - 4350x2860x50мм (ДxШxВ)</t>
  </si>
  <si>
    <t>2.9.5.3</t>
  </si>
  <si>
    <t>Поставка и монтаж пристроя для сушки белья, состоящего из сборных рам из алюминиевых труб квадратного сечения 50x50x3мм, анодированная отделка, образующих 4 стены и покрытие в той же системе; крепление сборных рам к конструкции здания через пол, с использованием структурных труб типа "facar" и соединительных патрубков к плите; проем VE 00.13 охватывается этими элементами, и разделение между трубами, расположенными в дверях, и фасадными осуществляется швом 1см между ними; включая резку, отделку и все подготовительные работы и аксессуары, необходимые для идеального завершения. (RP12)</t>
  </si>
  <si>
    <t>2.9.5.3.1</t>
  </si>
  <si>
    <t>RIP 00.3 - Обрешетка высотой 2,86м, состоящая из: Размеры: Северный фасад - 2550x2860x50мм (ДxШxВ) Южный фасад - 2550x2860x50мм (ДxШxВ) Восточный фасад - 2550x2860x50мм (ДxШxВ) Западный фасад - 4350x2860x50мм (ДxШxВ)</t>
  </si>
  <si>
    <t>2.9.5.4</t>
  </si>
  <si>
    <t>Поставка и монтаж системы затенения зоны BBQ, состоящей из сборной рамы из алюминиевых труб квадратного сечения 50x50x3мм, анодированная отделка; крепление сборных рам к конструкции здания с задней стороны рамы; включая резку, отделку и все подготовительные работы и аксессуары, необходимые для идеального завершения. (RP12)</t>
  </si>
  <si>
    <t>2.9.5.4.1</t>
  </si>
  <si>
    <t>RIP 00.3 - Обрешетка высотой 2,86м, состоящая из: Размеры: Рама - 4000x1960x50мм (ДxШxВ)</t>
  </si>
  <si>
    <t>НАПОЛЬНЫЕ ЖЕЛОБА</t>
  </si>
  <si>
    <t>Поставка и монтаж напольного желоба с решеткой из оцинкованной стали, включая выполнение бетонного желоба с уклоном, металлическую раму и все подготовительные работы и аксессуары, необходимые для идеального завершения.</t>
  </si>
  <si>
    <t>CAL 0.01 - Желоб шириной 0,35м.</t>
  </si>
  <si>
    <t>CAL 0.02 - Желоб шириной 0,35м, тип ACO "BrickSlot".</t>
  </si>
  <si>
    <t>CAL 0.03 - Желоб шириной 0,10м.</t>
  </si>
  <si>
    <t>2.9.7</t>
  </si>
  <si>
    <t>ПЕРЕГОРОДКА 1</t>
  </si>
  <si>
    <t>2.9.7.1</t>
  </si>
  <si>
    <t>Поставка и монтаж перегородки между главной спальней и санузлом главной спальни 2, из профиля типа "facar", размеры: 0,10x3,05x0,03м, состоящая из: Перегородка между гардеробной и санузлом главной спальни - Труба типа "Facar" 3050x190x30мм - Лакировка в белый матовый цвет RAL 9003 - Анкеровка к плитам. - Заполнение песком. - Черная щетка - на всю высоту - Все согласно карте шкафов и все подготовительные работы и аксессуары, необходимые.</t>
  </si>
  <si>
    <t>САНТЕХНИЧЕСКОЕ ОБОРУДОВАНИЕ</t>
  </si>
  <si>
    <t>2.10.1</t>
  </si>
  <si>
    <t>СТОЛЕШНИЦЫ + ШКАФЫ</t>
  </si>
  <si>
    <t>2.10.1.1</t>
  </si>
  <si>
    <t>Поставка и монтаж подвесной столешницы со встроенной раковиной из Corian белый матовый RAL 9003 и подвесного шкафа с 2 ящиками из МДФ влагостойкого лакированного в белый матовый RAL 9003, включая крепления, аксессуары, подключения и все подготовительные работы и аксессуары, необходимые для идеального функционирования.</t>
  </si>
  <si>
    <t>2.10.1.1.1</t>
  </si>
  <si>
    <t>СТОЛЕШ 01.1: 2,04м x 0,35м x 0,44м + ШКАФ 01.1: 2,04м x 0,20м x 0,44м; ВНЕШНИЕ: Дверцы, торцевые стенки шкафа, из МДФ влагостойкого толщ. 19 мм, лакированного в цвет RAL 9003; ВНУТРЕННИЕ: Ящики и полки из ДСП толщ. 19мм, меламин цвет RAL 7035; СТОЛЕШНИЦА: из Corian, RAL 9003, толщ. 2см; ПЕРФ. ЛИСТ: Перфорированный металлический лист, нержавеющая сталь 316 матовая; РУЧКА: ---; НАПРАВЛЯЮЩИЕ: С амортизацией, "BLUM / MOVENTO - BLUMOTION";</t>
  </si>
  <si>
    <t>2.10.1.1.2</t>
  </si>
  <si>
    <t>СТОЛЕШ 01.2: 2,04м x 0,35м x 0,44м + ШКАФ 01.2: 2,04м x 0,20м x 0,44м; ВНЕШНИЕ: Дверцы, торцевые стенки шкафа, из МДФ влагостойкого толщ. 19 мм, лакированного в цвет RAL 9003; ВНУТРЕННИЕ: Ящики и полки из ДСП толщ. 19мм, меламин цвет RAL 7035; СТОЛЕШНИЦА: из Corian, RAL 9003, толщ. 2см; ПЕРФ. ЛИСТ: Перфорированный металлический лист, нержавеющая сталь 316 матовая; РУЧКА: ---; НАПРАВЛЯЮЩИЕ: С амортизацией, "BLUM / MOVENTO - BLUMOTION";</t>
  </si>
  <si>
    <t>2.10.1.1.3</t>
  </si>
  <si>
    <t>СТОЛЕШ 01.3: 1,40м x 0,35м x 0,44м + ШКАФ 01.3: 1,40м x 0,20м x 0,44м; ВНЕШНИЕ: Дверцы, торцевые стенки шкафа, из МДФ влагостойкого толщ. 19 мм, лакированного в цвет RAL 9003; ВНУТРЕННИЕ: Ящики и полки из ДСП толщ. 19мм, меламин цвет RAL 7035; СТОЛЕШНИЦА: из Corian, RAL 9003, толщ. 2см; ПЕРФ. ЛИСТ: Перфорированный металлический лист, нержавеющая сталь 316 матовая; РУЧКА: ---; НАПРАВЛЯЮЩИЕ: С амортизацией, "BLUM / MOVENTO - BLUMOTION";</t>
  </si>
  <si>
    <t>2.10.2</t>
  </si>
  <si>
    <t>НАПОЛЬНАЯ РАКОВИНА</t>
  </si>
  <si>
    <t>2.10.2.1</t>
  </si>
  <si>
    <t>Поставка и монтаж напольной цилиндрической раковины с корпусом из открытого бетона и чашей раковины из Corian белый матовый RAL 9003, включая крепления, аксессуары, подключения и все подготовительные работы и аксессуары, необходимые для идеального функционирования.</t>
  </si>
  <si>
    <t>2.10.2.1.1</t>
  </si>
  <si>
    <t>СТОЛЕШ -01.1: 0,40м x 0,90м -Цилиндрический корпус из железобетона толщ. 7см, опалубка из пенополистирольного блока; -Чаша из Corian 5мм формованная согласно детальному чертежу; -Трубопровод из ПВХ с вертикальным сифоном; -Доступ для обслуживания через резьбовое соединение между клапаном раковины и вертикальным сифоном; -Предусмотреть усиление и выравнивание канализационного трубопровода к бетонному корпусу.</t>
  </si>
  <si>
    <t>2.10.2.1.2</t>
  </si>
  <si>
    <t>СТОЛЕШ 00.4: 0,40м x 0,90м -Цилиндрический корпус из железобетона толщ. 7см, опалубка из пенополистирольного блока; -Чаша из Corian 5мм формованная согласно детальному чертежу; -Трубопровод из ПВХ с вертикальным сифоном; -Доступ для обслуживания через резьбовое соединение между клапаном раковины и вертикальным сифоном; -Предусмотреть усиление и выравнивание канализационного трубопровода к бетонному корпусу.</t>
  </si>
  <si>
    <t>2.10.2.1.3</t>
  </si>
  <si>
    <t>СТОЛЕШ 00.5: 0,40м x 0,90м -Цилиндрический корпус из железобетона толщ. 7см, опалубка из пенополистирольного блока; -Чаша из Corian 5мм формованная согласно детальному чертежу; -Трубопровод из ПВХ с вертикальным сифоном; -Доступ для обслуживания через резьбовое соединение между клапаном раковины и вертикальным сифоном; -Предусмотреть усиление и выравнивание канализационного трубопровода к бетонному корпусу.</t>
  </si>
  <si>
    <t>САНТЕХНИЧЕСКИЕ ПРИБОРЫ</t>
  </si>
  <si>
    <t>Поставка и монтаж душевого лотка, 90см, отделка "НЕРЖАВЕЙКА", модель "ДУШЕВОЙ ЛОТОК GEBERIT CLEANLINE20", марка "GEBERITE", арт. 154.450.KS.1, включая крепления, подключения и все подготовительные работы и аксессуары, необходимые для идеального функционирования. (EQ08)</t>
  </si>
  <si>
    <t>Link</t>
  </si>
  <si>
    <t>2.10.2.2</t>
  </si>
  <si>
    <t>Поставка и монтаж напольной ванны, размер 160x75см, отделка "БЕЛАЯ", модель "ONE BB1.20", марка "PADIMAT", арт. BB1.20.16075, включая крепления, подключения и все подготовительные работы и аксессуары, необходимые для идеального функционирования. (EQ09)</t>
  </si>
  <si>
    <t>2.10.2.3</t>
  </si>
  <si>
    <t>Поставка и монтаж подвесного унитаза, отделка "БЕЛАЯ", модель "BORMIO, ПОДВЕСНОЙ УНИТАЗ BR18", марка "PADIMAT", арт. 5603313495638, с крышкой с плавным опусканием, включая KOMBIFIX, 8см, модель "ИНСТАЛЛЯЦИЯ GEBERIT KOMBIFIX ДЛЯ ПОДВЕСНОГО УНИТАЗА, 109 см, СО ВСТРОЕННЫМ БАЧКОМ SIGMA 8 см, ОТВОДНОЙ КОЛЕНОМ ИЗ ПВХ", марка "GEBERITE", арт. 110.793.00.1, аксессуары, подключения и все подготовительные работы и аксессуары, необходимые для идеального функционирования. (EQ10) (EQ11)</t>
  </si>
  <si>
    <t>2.10.2.4</t>
  </si>
  <si>
    <t>Поставка и монтаж кнопки слива, 24,6x16,4см, модель "КНОПКА УПРАВЛЕНИЯ СЛИВОМ GEBERIT DELTA10 ДЛЯ ПРЕРЫВИСТОГО СЛИВА, ВИНТОВАЯ", марка "GEBERITE", арт. 115.101.00.5, включая крепления и все подготовительные работы и аксессуары, необходимые для идеального функционирования. (EQ12)</t>
  </si>
  <si>
    <t>2.10.2.5</t>
  </si>
  <si>
    <t>Поставка и монтаж кнопки слива, отделка "НЕРЖАВЕЙКА", модель "ДИСТАНЦИОННАЯ КНОПКА GEBERIT СЕРИЯ 10 ПНЕВМАТИЧЕСКАЯ, ДЛЯ ДВОЙНОГО СЛИВА, ДЛЯ ВСТРОЕННОГО БАЧКА SIGMA 8 СМ, ВСТРАИВАЕМАЯ КНОПКА", марка "GEBERITE", арт. 116.056.JQ.1, включая крепления и все подготовительные работы и аксессуары, необходимые для идеального функционирования. (EQ13)</t>
  </si>
  <si>
    <t>Here</t>
  </si>
  <si>
    <t>2.10.3</t>
  </si>
  <si>
    <t>СМЕСИТЕЛИ</t>
  </si>
  <si>
    <t>2.10.3.1</t>
  </si>
  <si>
    <t>Поставка и монтаж проходного крана, отделка "ХРОМИРОВАННАЯ", модель "ПРОХОДНОЙ КРАН 3/4" - QUADRA", марка "BRUMA", Ref. 82775232, включая соединения и все подготовительные работы и аксессуары, необходимые для идеального функционирования. (EQ01)</t>
  </si>
  <si>
    <t>Link here</t>
  </si>
  <si>
    <t>2.10.3.2</t>
  </si>
  <si>
    <t>Поставка и монтаж клапана, отделка "НЕРЖАВЕЙКА", модель "КЛАПАН CLIC-CLAC 1 ¼" - ELO</t>
  </si>
  <si>
    <t>2.10.3.3</t>
  </si>
  <si>
    <t>Поставка и монтаж однорычажного смесителя для умывальника, отделка "НЕРЖАВЕЙКА", модель "ОДНОРЫЧАЖНЫЙ СМЕСИТЕЛЬ ДЛЯ УМЫВАЛЬНИКА 2 ОТВЕРСТИЯ, МОНТАЖ НА СТОЛЕШНИЦУ</t>
  </si>
  <si>
    <t>2.10.3.4</t>
  </si>
  <si>
    <t>Поставка и монтаж настенного однорычажного смесителя для умывальника, отделка "НЕРЖАВЕЙКА", модель "НАСТЕННЫЙ ОДНОРЫЧАЖНЫЙ СМЕСИТЕЛЬ ДЛЯ УМЫВАЛЬНИКА, С 2 ОТВЕРСТИЯМИ. ИЗЛИВ 150 ММ</t>
  </si>
  <si>
    <t>2.10.3.5</t>
  </si>
  <si>
    <t>Поставка и монтаж напольного однорычажного смесителя для ванны, отделка "НЕРЖАВЕЙКА", модель "ОДНОРЫЧАЖНЫЙ СМЕСИТЕЛЬ ДЛЯ ВАННЫ И ДУША, НАПОЛЬНЫЙ МОНТАЖ", марка "BRUMA", Ref. 186 980 2IS. ОПЦИЯ: РУКОЯТКА 2, Ref. 186 980 2IS, включая соединения и все подготовительные работы и аксессуары, необходимые для идеального функционирования. (EQ05)</t>
  </si>
  <si>
    <t>Is this a bath tub? Or just the faucets?</t>
  </si>
  <si>
    <t>link</t>
  </si>
  <si>
    <t>2.10.3.6</t>
  </si>
  <si>
    <t>Поставка и монтаж смесителя для биде, отделка "НЕРЖАВЕЙКА С ЧЕРНЫМ РУКАВОМ", модель "СМЕСИТЕЛЬ ДЛЯ БИДЕ WC, ОТКРЫТИЕ 90°, ИЗ НЕРЖАВЕЮЩЕЙ СТАЛИ</t>
  </si>
  <si>
    <t>6 bidets right? £15 - £250</t>
  </si>
  <si>
    <t>2.10.3.7</t>
  </si>
  <si>
    <t>Поставка и монтаж душевого комплекта, отделка "НЕРЖАВЕЙКА С ЧЕРНЫМ РУКАВОМ", модель "ВСТРОЕННАЯ ДУШЕВАЯ СИСТЕМА С НАСТЕННОЙ ЛЕЙКОЙ Ø250 ММ И КОМПЛЕКТОМ РУЧНОГО ДУША", марка "BRUMA", Ref. 186 782 1IS, ЧЕРНЫЙ ШЛАНГ И ОПЦИЯ РУКОЯТКА 2, Ref. 186 782 2IS + 186 562 2IS, включая соединения и все подготовительные работы и аксессуары, необходимые для идеального функционирования. (EQ07)</t>
  </si>
  <si>
    <t>2.10.3.8</t>
  </si>
  <si>
    <t>Поставка и монтаж настенного однорычажного смесителя для умывальника, отделка "НЕРЖАВЕЙКА", модель "НАСТЕННЫЙ ОДНОРЫЧАЖНЫЙ СМЕСИТЕЛЬ ДЛЯ УМЫВАЛЬНИКА, С 2 ОТВЕРСТИЯМИ, ИЗЛИВ 230 ММ</t>
  </si>
  <si>
    <t>2.10.4</t>
  </si>
  <si>
    <t>ОБОРУДОВАНИЕ</t>
  </si>
  <si>
    <t>2.10.4.1</t>
  </si>
  <si>
    <t>Поставка и монтаж держателя туалетной бумаги, отделка "НЕРЖАВЕЙКА", модель "НЕРЖАВЕЙКА, ДЕРЖАТЕЛЬ ТУАЛЕТНОЙ БУМАГИ", марка "LOJA AREA", Ref. 84633, включая аксессуары, крепления и все подготовительные работы и аксессуары, необходимые для идеального функционирования. (EQ14)</t>
  </si>
  <si>
    <t>2.10.4.2</t>
  </si>
  <si>
    <t>Поставка и монтаж полотенцедержателя, 65см, отделка "НЕРЖАВЕЙКА", модель "НЕРЖАВЕЙКА, ПОЛОТЕНЦЕДЕРЖАТЕЛЬ 65СМ", марка "LOJA AREA", Ref. 84635, включая крепления и все подготовительные работы и аксессуары, необходимые для идеального функционирования. (EQ15)</t>
  </si>
  <si>
    <t>2.10.4.3</t>
  </si>
  <si>
    <t>Поставка и монтаж сифона для умывальника, хромированная отделка, модель "ELO", марка "BRUMA", Ref. 1370001CR, включая крепления и все подготовительные работы и аксессуары, необходимые для идеального функционирования. (EQ16)</t>
  </si>
  <si>
    <t>2.10.4.4</t>
  </si>
  <si>
    <t>Поставка и монтаж вертикального сифона для круглого умывальника типа "JIMTEN 1.1/4X32", доступ для обслуживания путем отвинчивания чаши умывальника из кориана, включая крепления и все подготовительные работы и аксессуары, необходимые для идеального функционирования. (EQ17)</t>
  </si>
  <si>
    <t>2.10.4.5</t>
  </si>
  <si>
    <t>Поставка и монтаж подвесной скамьи размером 0,60x0,51x2,10 (ШxВxД), монолитной из железобетона, облицованной мозаикой, как прилегающая стена, включая структурное усиление для крепления скамьи к стене и все подготовительные работы и аксессуары, необходимые для идеального завершения.</t>
  </si>
  <si>
    <t>2.10.4.6</t>
  </si>
  <si>
    <t>Поставка и монтаж ограждений из закаленного стекла толщиной 12мм, экстра светлая отделка, для душевых поддонов, размеры и характеристики согласно чертежам деталей, включая фурнитуру, ручки, аксессуары, крепления и все подготовительные работы и аксессуары, необходимые для идеального функционирования.</t>
  </si>
  <si>
    <t>2.10.4.7</t>
  </si>
  <si>
    <t>Поставка и монтаж круглых зеркал из хрусталя толщиной 6мм, диаметром 40см, с рамой из шлифованной нержавеющей стали 316 толщиной 6мм, включая систему крепления согласно указанным чертежам деталей и все подготовительные работы и аксессуары, необходимые для идеального завершения.</t>
  </si>
  <si>
    <t>2.10.4.8</t>
  </si>
  <si>
    <t>Поставка и монтаж зеркал из хрусталя толщиной 6мм, включая систему крепления согласно указанным чертежам деталей (приклеенное к поверхности стены, компланарно с остальной стеной), и все подготовительные работы и аксессуары, необходимые для идеального завершения.</t>
  </si>
  <si>
    <t>ОБОРУДОВАНИЕ КУХНИ И ПРАЧЕЧНОЙ</t>
  </si>
  <si>
    <t>2.11.1</t>
  </si>
  <si>
    <t>КУХНЯ</t>
  </si>
  <si>
    <t>2.11.1.1</t>
  </si>
  <si>
    <t>Поставка и полный монтаж нижних, верхних и высоких кухонных шкафов из влагостойкого МДФ толщиной 19мм, лакированного в цвет RAL 9003, включая корпуса, двери, ящики, полки, цоколи, фурнитуру, освещение, крепления, резку, отделку, все согласно карте шкафов и все подготовительные работы и аксессуары, необходимые для идеального завершения.</t>
  </si>
  <si>
    <t>Whats this?</t>
  </si>
  <si>
    <t>2.11.1.1.1</t>
  </si>
  <si>
    <t>BANC00.1 + ARM00.5, размером 2,60x0,90x1,00м</t>
  </si>
  <si>
    <t>2.11.1.1.2</t>
  </si>
  <si>
    <t>BANC00.2 + ARM00.6, размером 4,20x2,49x0,62м</t>
  </si>
  <si>
    <t>Included</t>
  </si>
  <si>
    <t>2.11.1.2</t>
  </si>
  <si>
    <t>Поставка и монтаж кухонной столешницы из влагостойкого МДФ толщиной 19мм, облицованной листом шлифованной нержавеющей стали 316 толщиной 3мм, включая облицовку ниши столешницы, отверстия, крепления, резку, кромки и все подготовительные работы и аксессуары, необходимые для идеального завершения.</t>
  </si>
  <si>
    <t>2.11.1.2.1</t>
  </si>
  <si>
    <t>BANC00.1, размером 2,60x1,00м</t>
  </si>
  <si>
    <t>2.11.1.2.2</t>
  </si>
  <si>
    <t>BANC00.2, размером 1,76x0,62м</t>
  </si>
  <si>
    <t>2.11.1.3</t>
  </si>
  <si>
    <t>Поставка и монтаж мойки 100см, отделка "SOFT WHITE", модель "AXIA III 6 S", марка "BLANCO", Ref. 525849, включая аксессуары, сифон и клапан, соединения и все подготовительные работы и аксессуары, необходимые для идеального функционирования. (EQ01)</t>
  </si>
  <si>
    <t>2.11.1.4</t>
  </si>
  <si>
    <t>Поставка и монтаж смесителя, отделка "НЕРЖАВЕЙКА С ЧЕРНЫМ РУКАВОМ", модель "ОДНОРЫЧАЖНЫЙ СМЕСИТЕЛЬ ДЛЯ МОЙКИ, ПОВОРОТНЫЙ ИЗЛИВ, ВЫДВИЖНОЙ ДУШ 2 РЕЖИМА", марка "BRUMA", Ref. 197 011 1IS, включая соединения и все подготовительные работы и аксессуары, необходимые для идеального функционирования. (EQ02)</t>
  </si>
  <si>
    <t>2.11.1.5</t>
  </si>
  <si>
    <t>Поставка и монтаж сортировщика отходов, 56,8 x 45x 45,8см, модель "SELECT II 60/3 Orga", марка "BLANCO", Ref. 526209, включая все подготовительные работы и аксессуары, необходимые для идеального функционирования. (EQ03)</t>
  </si>
  <si>
    <t>2.11.1.6</t>
  </si>
  <si>
    <t>Поставка и монтаж встраиваемой духовки, размер 90x60см, отделка "НЕРЖАВЕЙКА", модель "SERIE 6", марка "BOSCH", Ref. VBD5780S0, включая крепления, соединения и все подготовительные работы и аксессуары, необходимые для идеального функционирования. (EQ04)</t>
  </si>
  <si>
    <t>Built in oven, need to research</t>
  </si>
  <si>
    <t>2.11.1.7</t>
  </si>
  <si>
    <t>Поставка и монтаж встраиваемого холодильника, размер 177,5x56см, модель "SERIE 4, ХОЛОДИЛЬНИК С МОРОЗИЛЬНЫМ ОТДЕЛЕНИЕМ ВСТРАИВАЕМЫЙ", марка "BOSCH", Ref. KIL82VFE0, включая крепления, соединения и все подготовительные работы и аксессуары, необходимые для идеального функционирования. (EQ05)</t>
  </si>
  <si>
    <t>Built in fridge</t>
  </si>
  <si>
    <t>2.11.1.8</t>
  </si>
  <si>
    <t>Поставка и монтаж встраиваемой морозильной камеры, размер 177,2x55,8см, модель "SERIE 4", марка "BOSCH", Ref. GIN81VEE0, включая крепления, соединения и все подготовительные работы и аксессуары, необходимые для идеального функционирования. (EQ06)</t>
  </si>
  <si>
    <t>Built in freezer</t>
  </si>
  <si>
    <t>2.11.1.9</t>
  </si>
  <si>
    <t>Поставка и монтаж встраиваемой микроволновой печи, размер 59,4x29,7x38,2см, отделка "ЧЕРНАЯ", модель "SERIE 6, марка "BOSCH", Ref. BFL524MB0, включая крепления, соединения и все подготовительные работы и аксессуары, необходимые для идеального функционирования. (EQ07)</t>
  </si>
  <si>
    <t>microwave???</t>
  </si>
  <si>
    <t>2.11.1.10</t>
  </si>
  <si>
    <t>Поставка и монтаж индукционной плиты, размер 81,6x52,7см, модель "SERIE 8, 80 СМ, ЧЕРНАЯ, УСТАНОВКА НА ПОВЕРХНОСТЬ С РАМКОЙ", марка "BOSCH", Ref. PXV875DV1E, включая крепления, соединения и все подготовительные работы и аксессуары, необходимые для идеального функционирования. (EQ08)</t>
  </si>
  <si>
    <t>Hob</t>
  </si>
  <si>
    <t>2.11.1.11</t>
  </si>
  <si>
    <t>Поставка и монтаж островной вытяжки, размер 133x38см, отделка "БЕЛАЯ", модель "ВЫТЯЖКА BOLEA", марка "KARLSTEIN", Ref. 10041225, включая дымоход, крепления, соединения и все подготовительные работы и аксессуары, необходимые для идеального функционирования. (EQ09)</t>
  </si>
  <si>
    <t>2.11.1.12</t>
  </si>
  <si>
    <t>Поставка и монтаж встраиваемой кладовой, модель "UTRUSTA, ВЫДВИЖНАЯ КЛАДОВАЯ", марка "IKEA", Ref. 505.153.46, включая крепления и все подготовительные работы и аксессуары, необходимые для идеального функционирования. (EQ10)</t>
  </si>
  <si>
    <t>2.11.1.13</t>
  </si>
  <si>
    <t>Поставка и монтаж рейлинга для хранения, 56см, отделка "НЕРЖАВЕЮЩАЯ СТАЛЬ", модель "KUNGSFORS, РЕЙЛИНГ, НЕРЖАВЕЮЩАЯ СТАЛЬ, 56 см", марка "IKEA", Ref. 403.349.16, включая крепления и все подготовительные работы и аксессуары, необходимые для идеального функционирования. (EQ11)</t>
  </si>
  <si>
    <t>2.11.1.14</t>
  </si>
  <si>
    <t>Поставка и монтаж магнитного держателя для ножей, отделка "НЕРЖАВЕЮЩАЯ СТАЛЬ", модель "KUNGSFORS, МАГНИТНЫЙ ДЕРЖАТЕЛЬ ДЛЯ НОЖЕЙ", МАРКА "IKEA", Ref. 403.349.21, включая крепления и все подготовительные работы и аксессуары, необходимые для идеального функционирования. (EQ12)</t>
  </si>
  <si>
    <t>2.11.1.15</t>
  </si>
  <si>
    <t>Поставка и монтаж встраиваемой посудомоечной машины, размер 59,8x55x81,5см, модель "SERIE 4, марка "BOSCH", Ref. SMV4ECX21E, включая соединения, крепления и все подготовительные работы и аксессуары, необходимые для идеального функционирования. (EQ13)</t>
  </si>
  <si>
    <t>2.11.2</t>
  </si>
  <si>
    <t>ПРАЧЕЧНАЯ</t>
  </si>
  <si>
    <t>2.11.2.1</t>
  </si>
  <si>
    <t>Поставка и монтаж стиральной машины, размер 59,8x59x84,8см, модель "SERIE 6, ФРОНТАЛЬНАЯ ЗАГРУЗКА, 10 КГ, 1400 ОБ/МИН", марка "BOSCH", Ref. WAL28PH1ES, включая соединения и все подготовительные работы и аксессуары, необходимые для идеального функционирования. (EQ14)</t>
  </si>
  <si>
    <t>Washing Machine</t>
  </si>
  <si>
    <t>2.11.2.2</t>
  </si>
  <si>
    <t>Поставка и монтаж сушильной машины, размер 59,8x59x84,2см, модель "SERIE 4, ТЕПЛОВОЙ НАСОС, 8 КГ", марка "BOSCH", Ref. WTR85V92ES, включая соединения и все подготовительные работы и аксессуары, необходимые для идеального функционирования. (EQ15)</t>
  </si>
  <si>
    <t>Dryer</t>
  </si>
  <si>
    <t>ПРОЧЕЕ</t>
  </si>
  <si>
    <t>2.12.1</t>
  </si>
  <si>
    <t>2.12.1.1</t>
  </si>
  <si>
    <t>Поставка и монтаж винного шкафа "SIEMENS", Ref: KW36KATGA, размер 60x61x186мм, включая соединения и все подготовительные работы и аксессуары, необходимые для идеального функционирования. (EQ15)</t>
  </si>
  <si>
    <t>Wine cellar</t>
  </si>
  <si>
    <t>2.12.1.2</t>
  </si>
  <si>
    <t>Поставка и монтаж топки (LAR 00.1), марки "UNICHAMA", модель "M-DESING LUNA DIAMON 1000 RD", включая вытяжную трубу, крепления, соединения и все подготовительные работы и аксессуары, необходимые для идеального функционирования. (EQ16)</t>
  </si>
  <si>
    <t>Need to research Panoramic gas fireplaces</t>
  </si>
  <si>
    <t>2.12.2</t>
  </si>
  <si>
    <t>ВНУТРЕННИЕ СОЛНЦЕЗАЩИТНЫЕ ЭКРАНЫ</t>
  </si>
  <si>
    <t>2.12.2.1</t>
  </si>
  <si>
    <t>Поставка и монтаж моторизованных внутренних штор "Направляющая для штор "REPRESTOR" Cortin ER 50 + Ткань Voile Visillo 300 см - кремовая = РАЗ 01.10x02.88 (ШxВ)", включая аксессуары системы, крепления и все подготовительные работы и аксессуары, необходимые для идеального функционирования. (ИСКЛЮЧЕНА ТКАНЕВАЯ ШТОРА)</t>
  </si>
  <si>
    <t>2.12.2.1.1</t>
  </si>
  <si>
    <t>VE 01.1 - Размер 1,10x2,88м.</t>
  </si>
  <si>
    <t>2.12.2.1.2</t>
  </si>
  <si>
    <t>VE 01.2 - Размер 4,68x2,92м.</t>
  </si>
  <si>
    <t>2.12.2.1.3</t>
  </si>
  <si>
    <t>VE 01.3 - Размер 4,61x2,92м.</t>
  </si>
  <si>
    <t>2.12.2.1.4</t>
  </si>
  <si>
    <t>VE 01.4 - Размер 3,04x2,92м.</t>
  </si>
  <si>
    <t>2.12.2.1.5</t>
  </si>
  <si>
    <t>VE 01.5 - Размер 5,93x2,92м.</t>
  </si>
  <si>
    <t>2.12.2.1.6</t>
  </si>
  <si>
    <t>VE 01.6 - Размер 6,19x2,92м.</t>
  </si>
  <si>
    <t>2.12.2.1.7</t>
  </si>
  <si>
    <t>VE 01.7 - Размер 4,94x2,92м.</t>
  </si>
  <si>
    <t>2.12.2.1.8</t>
  </si>
  <si>
    <t>VE 01.8 - Размер 7,18x2,92м.</t>
  </si>
  <si>
    <t>2.12.2.1.9</t>
  </si>
  <si>
    <t>VE 00.1 - Размер 7,24x2,94м.</t>
  </si>
  <si>
    <t>2.12.2.1.10</t>
  </si>
  <si>
    <t>VE 00.4 - Размер 2,58x2,92м.</t>
  </si>
  <si>
    <t>2.12.2.1.11</t>
  </si>
  <si>
    <t>VE 00.6 - Размер 17,33x2,94м.</t>
  </si>
  <si>
    <t>2.12.2.1.12</t>
  </si>
  <si>
    <t>VE 00.7 - Размер 4,74x2,94м.</t>
  </si>
  <si>
    <t>2.12.2.1.13</t>
  </si>
  <si>
    <t>VE 00.8 - Размер 1,98x2,94м.</t>
  </si>
  <si>
    <t>2.12.2.1.14</t>
  </si>
  <si>
    <t>VE 00.9 - Размер 2,54x2,94м.</t>
  </si>
  <si>
    <t>2.12.2.1.15</t>
  </si>
  <si>
    <t>VE 00.10 - Размер 3,28x2,94м.</t>
  </si>
  <si>
    <t>2.12.2.1.16</t>
  </si>
  <si>
    <t>VE -01.1 - Размер 4,18x2,36м.</t>
  </si>
  <si>
    <t>2.12.2.1.17</t>
  </si>
  <si>
    <t>VE -01.2 - Размер 2,21x2,36м.</t>
  </si>
  <si>
    <t>2.12.4</t>
  </si>
  <si>
    <t>БАРБЕКЮ (BBQ)</t>
  </si>
  <si>
    <t>2.12.4.1</t>
  </si>
  <si>
    <t>Поставка и полное выполнение наружной столешницы и шкафа BBQ, состоящих из 1 мойки и 1 решетки BBQ, встроенной в столешницу, 1 смесителя, включая шкафы, ящики, цоколь, столешницу из влагостойкого МДФ толщиной 19мм с соответствующей отделкой, фурнитуру, LED-освещение, соединения, все согласно детальному чертежу и спецификациям проекта и все подготовительные работы и аксессуары, необходимые для идеального завершения.</t>
  </si>
  <si>
    <t>2.12.4.1.1</t>
  </si>
  <si>
    <t>BANC 00.6 + ARM 00.10 - Размер 3,60x0,90x0,60м.</t>
  </si>
  <si>
    <t>2.12.5</t>
  </si>
  <si>
    <t>СПЛОШНАЯ ДЕРЕВЯННАЯ СКАМЬЯ (НАСТИЛ)</t>
  </si>
  <si>
    <t>2.12.5.1</t>
  </si>
  <si>
    <t>Поставка и выполнение сплошной скамьи настила размером 10,00x0,60x0,45м, состоящей из сосновых досок 20x220x2200мм, автоклавная обработка, матовое лаковое покрытие натурального цвета, симметричное крепление винтами, включая внутреннюю металлическую несущую конструкцию, резку, отделку, крепления к полу и все подготовительные работы и аксессуары, необходимые для идеального завершения. (PV11)</t>
  </si>
  <si>
    <t>2.12.6</t>
  </si>
  <si>
    <t>ОЧАГ</t>
  </si>
  <si>
    <t>2.12.6.1</t>
  </si>
  <si>
    <t>Поставка и полное выполнение ОЧАГА размером 5,00x5,00м, состоящего из периферийных парапетов из оштукатуренной и окрашенной кладки, перекрытия из цементных (армированных) плит толщиной 40мм, внутренней зоны из затертой стяжки с созданием уклонов, включая напольный трап и все подготовительные работы и аксессуары, необходимые для идеального завершения.</t>
  </si>
  <si>
    <t>БЛАГОУСТРОЙСТВО УЧАСТКА</t>
  </si>
  <si>
    <t>2.13.1</t>
  </si>
  <si>
    <t>СТЕНЫ И НАРУЖНЫЕ ОГРАЖДЕНИЯ</t>
  </si>
  <si>
    <t>2.13.1.1</t>
  </si>
  <si>
    <t>Поставка и выполнение наружных стен высотой 1,40м, состоящих из 1 слоя кладки из бетонных блоков 50x20x25см, включая цементно-песчаный раствор в пропорции 1:3, железобетонные столбики жесткости размером 20x20см через каждые 3 метра, железобетонный фундамент, подбетонку, верхний железобетонный пояс и все подготовительные работы и аксессуары, необходимые для идеального завершения.</t>
  </si>
  <si>
    <t>2.13.1.2</t>
  </si>
  <si>
    <t>Поставка и выполнение мелкозернистой штукатурки в пропорции 1:4 на наружных стенах, включая набрызг и обрызг и все подготовительные работы и аксессуары, необходимые для идеального завершения.</t>
  </si>
  <si>
    <t>2.13.1.3</t>
  </si>
  <si>
    <t>Поставка и выполнение покраски 100% акриловой краской "CIN - NOVATEX - Ref.ª 12-230", серого цвета RAL 7035, в 2-3 слоя, по штукатурке, включая предварительную очистку поверхностей, нанесение 1 слоя грунтовки "EP/GC 300 - Ref.ª 10-600" и все подготовительные работы и аксессуары, необходимые для идеального завершения.</t>
  </si>
  <si>
    <t>2.13.1.4</t>
  </si>
  <si>
    <t>Поставка и монтаж ограждения высотой 1,40м, состоящего из столбов из трубчатого профиля или квадратного сечения 50x50мм, окрашенных в цвет RAL 6005, для поддержки оцинкованной пластифицированной стальной сетки-рабицы, согласно детальному чертежу, включая выполнение фундаментного массива, крепления, резку, отделку и все подготовительные работы и аксессуары, необходимые для идеального завершения.</t>
  </si>
  <si>
    <t>2.13.2</t>
  </si>
  <si>
    <t>ОТДЕЛКА НАРУЖНЫХ ПОЛОВ</t>
  </si>
  <si>
    <t>2.13.2.1</t>
  </si>
  <si>
    <t>Поставка и монтаж уголков в отделке наружных полов, заанкеренных к краю скошенного железобетонного пояса, согласно детальному чертежу, включая выполнение фундаментного массива, крепления, резку, отделку и все подготовительные работы и аксессуары, необходимые для идеального завершения.</t>
  </si>
  <si>
    <t>2.13.2.1.1</t>
  </si>
  <si>
    <t>Уголок L 150x150мм.</t>
  </si>
  <si>
    <t>ML</t>
  </si>
  <si>
    <t>2.13.2.1.2</t>
  </si>
  <si>
    <t>Уголок L 100x100мм.</t>
  </si>
  <si>
    <t>2.13.3</t>
  </si>
  <si>
    <t>ВХОДНАЯ НИША</t>
  </si>
  <si>
    <t>2.13.3.1</t>
  </si>
  <si>
    <t>Поставка и выполнение наружной стены с 1 слоем кладки из керамического кирпича 30x20x15см, включая кладочный раствор в пропорции 1:4, железобетонные перемычки над проемами и все подготовительные работы и аксессуары, необходимые для идеального завершения. (PE-M) (PE-N)</t>
  </si>
  <si>
    <t>2.13.3.2</t>
  </si>
  <si>
    <t>2.13.3.3</t>
  </si>
  <si>
    <t>2.13.3.4</t>
  </si>
  <si>
    <t>Поставка и выполнение пола и лестницы ESC04 из затертой стяжки, отделка гидрофобизатором SIKAGARD 680-S бесцветный матовый, включая стяжку заполнения/выравнивания, отделку и все подготовительные работы и аксессуары, необходимые для идеального завершения.</t>
  </si>
  <si>
    <t>2.13.3.5</t>
  </si>
  <si>
    <t>Поставка и монтаж покрытия с конструкцией типа "facar", облицованной алюминиевым листом, анодированная отделка, согласно детальному чертежу, включая резку, отделку, сварку, крепления и все подготовительные работы и аксессуары, необходимые для идеального завершения.</t>
  </si>
  <si>
    <t>2.13.3.6</t>
  </si>
  <si>
    <t>Поставка и монтаж пешеходных распашных ворот, состоящих из конструкции типа "facar" 40x40мм, облицованной алюминиевым листом толщиной 3мм, анодированная отделка, общая толщина = 180мм, согласно чертежам деталей, включая фурнитуру и все подготовительные работы и аксессуары, необходимые для идеального функционирования.</t>
  </si>
  <si>
    <t>2.13.3.6.1</t>
  </si>
  <si>
    <t>POR 00.1 - Пешеходные ворота, размер 1,41x2,00м.</t>
  </si>
  <si>
    <t>2.13.3.7</t>
  </si>
  <si>
    <t>Поставка и монтаж откатных ворот для доступа к гаражному пандусу, состоящих из конструкции типа "facar" 40x40мм, облицованной алюминиевым листом толщиной 3мм, анодированная отделка, общая толщина = 180мм, согласно чертежам деталей, включая зубчатую рейку и металлическую направляющую ворот, расположенную в стенах, канал в полу, мотор, фурнитуру и все подготовительные работы и аксессуары, необходимые для идеального функционирования.</t>
  </si>
  <si>
    <t>2.13.3.7.1</t>
  </si>
  <si>
    <t>POR 00.2 - Автомобильные ворота, размер 3,63x1,40м.</t>
  </si>
  <si>
    <t>2.13.3.8</t>
  </si>
  <si>
    <t>Поставка и монтаж металлических шкафов, состоящих из: НАРУЖНАЯ ЧАСТЬ: Двери, состоящие из конструкции типа "facar" 40x40мм, облицованной анодированным алюминиевым листом толщиной 3мм. ВНУТРЕННЯЯ ЧАСТЬ: Внутренняя облицовка анодированным алюминиевым листом толщиной 3мм. РУЧКА: Н/Д ПЕТЛИ: "BLUM / CLIP" с амортизатором ЗАМОК: Типа шкафчика ПОЧТА: Дверца из анодированного алюминиевого листа и рояльная петля. ЗВОНОК: Control4® DS2 Mini Door Station, flush mount. REF: C4-DS2MINI-BN + C4-DS2MINIFP-BN</t>
  </si>
  <si>
    <t>2.13.3.8.1</t>
  </si>
  <si>
    <t>ARM 00.13 - Размер 2,07x2,30x0,58м, шкаф, состоящий из 3 фасадов, 2 распашных и 1 неподвижного. включает почтовый ящик и звонок. (ЗВОНОК ИСКЛЮЧЕН)</t>
  </si>
  <si>
    <t>2.13.3.8.2</t>
  </si>
  <si>
    <t>ARM 00.14 - Размер 2,07x2,30x0,58м, шкаф, состоящий из 2 фасадов. включает счетчики.</t>
  </si>
  <si>
    <t>2.13.3.9</t>
  </si>
  <si>
    <t>Поставка и монтаж напольного желоба с оцинкованной стальной решеткой шириной 0,15м, включая выполнение бетонного желоба с уклоном, металлическую раму и все подготовительные работы и аксессуары, необходимые для идеального завершения.</t>
  </si>
  <si>
    <t>ЗЕМЛЯНЫЕ РАБОТЫ</t>
  </si>
  <si>
    <t>1,1</t>
  </si>
  <si>
    <t>Общая очистка участка, включающая все виды работ по очистке, удалению, расчистке и вырубке древесных пород, существующих и необходимых для общего выполнения проектов.</t>
  </si>
  <si>
    <t>1,2</t>
  </si>
  <si>
    <t>Выполнение общих земляных работ для размещения конструкции жилого дома, бассейна и стен на грунте любого типа (включая скальный), чтобы достичь начальных отметок фундамента, а также выполнение работ по креплению, подпоркам, канализации, включая все сопутствующие работы.</t>
  </si>
  <si>
    <t>m³</t>
  </si>
  <si>
    <t>1,3</t>
  </si>
  <si>
    <t>Выполнение насыпей в зоне жилого дома, бассейна и внешних террас с использованием материалов из выемки, включая распределение и надлежащее уплотнение, выполняемое механическими средствами, слоями максимальной толщиной 0,30 м, с использованием воды в количестве, необходимом для правильного уплотнения, для достижения проектных уровней, включая все сопутствующие работы.</t>
  </si>
  <si>
    <t>1,4</t>
  </si>
  <si>
    <t>Транспортировка на свалку</t>
  </si>
  <si>
    <t>1.4.1</t>
  </si>
  <si>
    <t>Транспортировка, погрузка и разгрузка излишков грунта из зоны жилого дома на свалку, включая 20% разрыхление, а также все сопутствующие работы.</t>
  </si>
  <si>
    <t>ФУНДАМЕНТ И НЕСУЩИЕ КОНСТРУКЦИИ</t>
  </si>
  <si>
    <t>2,1</t>
  </si>
  <si>
    <t>Элементы железобетона</t>
  </si>
  <si>
    <t>Поставка и укладка подбетонки из бетона C12/15, с классом воздействия X0, Cl 1.0, Dmax 25мм, S3, толщиной 5 см под элементы фундамента, включая предварительное выравнивание и уплотнение дна котлованов, уложенной в геометрической форме следующих элементов:</t>
  </si>
  <si>
    <t>В фундаментах, фундаментах стен, ограничительных стенах, фундаментных балках и фундаментных плитах</t>
  </si>
  <si>
    <t>Поставка и укладка бетона C30/37, с классом воздействия XC2, Cl 0.4, Dmax 20мм, S3, включая вибрирование и все сопутствующие работы, необходимые для идеального завершения в следующих элементах:</t>
  </si>
  <si>
    <t>В фундаментных балках</t>
  </si>
  <si>
    <t>В фундаментах</t>
  </si>
  <si>
    <t>В фундаментах стен и перегородок</t>
  </si>
  <si>
    <t>2.1.2.4</t>
  </si>
  <si>
    <t>В фундаментной плите</t>
  </si>
  <si>
    <t>Поставка и укладка бетона C30/37, с классом воздействия XC2, Cl 0.4, Dmax 20мм, S4, включая вибрирование и все сопутствующие работы, необходимые для идеального завершения в следующих элементах:</t>
  </si>
  <si>
    <t>Столбы стен подвала</t>
  </si>
  <si>
    <t>Стены подвала/опорные/перегородки</t>
  </si>
  <si>
    <t>Наружная лестница</t>
  </si>
  <si>
    <t>2.1.4</t>
  </si>
  <si>
    <t>Поставка и укладка бетона C40/50, с классом воздействия XS1, Cl 0.2, Dmax 20мм, S4, включая вибрирование и все сопутствующие работы, необходимые для идеального завершения в следующих элементах:</t>
  </si>
  <si>
    <t>2.1.4.1</t>
  </si>
  <si>
    <t>В столбах</t>
  </si>
  <si>
    <t>2.1.4.2</t>
  </si>
  <si>
    <t>В стенах</t>
  </si>
  <si>
    <t>Поставка и укладка бетона C40/50, с классом воздействия XS1, Cl 0.2, Dmax 16мм, S4, включая вибрирование и все сопутствующие работы, необходимые для идеального завершения в следующих элементах:</t>
  </si>
  <si>
    <t>2.1.4.3</t>
  </si>
  <si>
    <t>В балках</t>
  </si>
  <si>
    <t>2.1.4.4</t>
  </si>
  <si>
    <t>В монолитных плитах</t>
  </si>
  <si>
    <t>2.1.4.5</t>
  </si>
  <si>
    <t>В облегченных монолитных плитах (Cobiax)</t>
  </si>
  <si>
    <t>2.1.4.6</t>
  </si>
  <si>
    <t>В лестницах Лестница E1</t>
  </si>
  <si>
    <t>2.1.5</t>
  </si>
  <si>
    <t>Поставка и укладка бетона C40/50, с классом воздействия XD2, Cl 0.2, Dmax 20мм, S4, в элементах бассейна, компенсационного бака и водного зеркала, включая вибрирование и все сопутствующие работы, необходимые для идеального завершения в следующих элементах:</t>
  </si>
  <si>
    <t>2.1.5.1</t>
  </si>
  <si>
    <t>2.1.5.2</t>
  </si>
  <si>
    <t>В плитах</t>
  </si>
  <si>
    <t>2.1.5.3</t>
  </si>
  <si>
    <t>В балках/усилениях</t>
  </si>
  <si>
    <t>2.1.5.4</t>
  </si>
  <si>
    <t>В лестницах (Лестница E3)</t>
  </si>
  <si>
    <t>2,2</t>
  </si>
  <si>
    <t>Стальная арматура</t>
  </si>
  <si>
    <t>Поставка, изготовление и установка стали A500NR SD в арматуре конструктивных элементов, включая отходы, стыки, отожженную проволоку, средства и оборудование и все сопутствующие работы, необходимые для идеального завершения в следующих элементах:</t>
  </si>
  <si>
    <t>Фундаменты</t>
  </si>
  <si>
    <t>Ø10</t>
  </si>
  <si>
    <t>kg</t>
  </si>
  <si>
    <t>Фундаменты стен/перегородок</t>
  </si>
  <si>
    <t>Ø8</t>
  </si>
  <si>
    <t>2.2.1.3</t>
  </si>
  <si>
    <t>Фундаментная плита</t>
  </si>
  <si>
    <t>Ø12</t>
  </si>
  <si>
    <t>2.2.1.4</t>
  </si>
  <si>
    <t>Фундаментные балки</t>
  </si>
  <si>
    <t>Ø16</t>
  </si>
  <si>
    <t>2.2.1.5</t>
  </si>
  <si>
    <t>Стены подвала/опорные и перегородки</t>
  </si>
  <si>
    <t>2.2.1.6</t>
  </si>
  <si>
    <t>Столбы</t>
  </si>
  <si>
    <t>2.2.1.7</t>
  </si>
  <si>
    <t>Балки и усиления</t>
  </si>
  <si>
    <t>2.2.1.8</t>
  </si>
  <si>
    <t>Плиты</t>
  </si>
  <si>
    <t>2.2.1.9</t>
  </si>
  <si>
    <t>Лестницы</t>
  </si>
  <si>
    <t>2.2.1.10</t>
  </si>
  <si>
    <t>Бассейн (плиты, стены и компенсационный бак)</t>
  </si>
  <si>
    <t>2.2.1.11</t>
  </si>
  <si>
    <t>Монтажная арматура Анкерные головки</t>
  </si>
  <si>
    <t>2,3</t>
  </si>
  <si>
    <t>Опалубка</t>
  </si>
  <si>
    <t>Поставка и монтаж опалубки в железобетонных элементах, состоящей из подготовки плана опалубки и определения ее в соответствии с элементом для опалубливания и применения разъемного масла признанного качества, включая поддерживающие конструкции, распалубку, рабочую силу и все вспомогательные работы и материалы, необходимые для правильного выполнения, учитывая также подготовку отверстий, оставляемых в бетонных элементах, требуемых установками водопроводных, канализационных, электрических, вентиляционных, кондиционирования и других не описанных сетей, и все сопутствующие работы, необходимые для идеального завершения в следующих элементах:</t>
  </si>
  <si>
    <t>2.3.1.2</t>
  </si>
  <si>
    <t>2.3.1.3</t>
  </si>
  <si>
    <t>Фундаменты стен подвала и перегородок</t>
  </si>
  <si>
    <t>2.3.1.4</t>
  </si>
  <si>
    <t>Стены подвала/перегородки</t>
  </si>
  <si>
    <t>2.3.1.5</t>
  </si>
  <si>
    <t>2.3.1.6</t>
  </si>
  <si>
    <t>В балках и усилениях</t>
  </si>
  <si>
    <t>2.3.1.7</t>
  </si>
  <si>
    <t>2.3.1.8</t>
  </si>
  <si>
    <t>В стенах бассейна и компенсационного бака</t>
  </si>
  <si>
    <t>2.3.1.9</t>
  </si>
  <si>
    <t>В плитах бассейна</t>
  </si>
  <si>
    <t>2.3.1.10</t>
  </si>
  <si>
    <t>В лестницах</t>
  </si>
  <si>
    <t>Поставка и монтаж опалубки в железобетонных элементах с открытым бетоном, с панелями из морской фанеры, профилями для снятия фасок из ПВХ (1x1см) и отделкой тремя слоями бесцветного матового лака от Diera или эквивалентного, изготовленного на основе чистого акрилового полимера и добавок, обладающего высокой стойкостью к щелочности и омылению, имеющего высокую адгезию и предотвращающего рост грибков, или эквивалентного, а также применение разъемного масла признанного качества, включая поддерживающие конструкции, распалубку, рабочую силу и все вспомогательные работы и материалы, необходимые для правильного выполнения, учитывая также подготовку плана опалубки, включая обратные прогибы, чертежи монтажа, этапность и подпорки выполняемых панелей, а также подготовку отверстий, оставляемых в бетонных элементах, требуемых установками водопроводных, канализационных, электрических, осветительных, вентиляционных, кондиционирования и других не описанных сетей, и все сопутствующие работы, необходимые для идеального завершения в следующих элементах:</t>
  </si>
  <si>
    <t>2.4.1.1</t>
  </si>
  <si>
    <t>В стенах/перегородках</t>
  </si>
  <si>
    <t>2.4.1.2</t>
  </si>
  <si>
    <t>2.4.1.3</t>
  </si>
  <si>
    <t>2,5</t>
  </si>
  <si>
    <t>Элементы предварительного напряжения</t>
  </si>
  <si>
    <t>Поставка и применение предварительного напряжения путем последующего натяжения в конструктивных элементах, (низкая релаксация - EN1992-1-1-Класс 2): Y1860 S7 15,3, система TTM от "FERCA", состоящая из: специальных кабелей, называемых одиночными прядями Ø 0.6" типа A=140 мм², характеристическое напряжение разрыва при растяжении стали 1860Н/мм², TBR КЛАСС II, активные анкеры и пассивные анкеры, размещенные в положении, указанном на чертежах, с горизонтальным допуском +/- 2см и вертикальным +/- 0,5см, включая все поставки, остальные детали и/или крепежные элементы, необходимые, но не описанные, все подготовительные работы, герметизацию и резку, а также все остальные аксессуары и работы, необходимые для хорошего завершения. В соответствии с указаниями производителя/поставщика, проектными элементами и следующего типа:</t>
  </si>
  <si>
    <t>Кабели предварительного напряжения</t>
  </si>
  <si>
    <t>m</t>
  </si>
  <si>
    <t>2.5.1.2</t>
  </si>
  <si>
    <t>Активные анкеры</t>
  </si>
  <si>
    <t>INCLUIDO</t>
  </si>
  <si>
    <t>2.5.1.3</t>
  </si>
  <si>
    <t>Пассивные анкеры</t>
  </si>
  <si>
    <t>2,6</t>
  </si>
  <si>
    <t>Элементы облегчения плит</t>
  </si>
  <si>
    <t>Поставка и монтаж облегчения системой Cobiax Ref. COBIAX CBCM-S-180 от "FERCA", для плит толщиной 30см, состоящей из элемента облегчения, состоящего из металлической опоры и эллипсоидов из переработанного полипропилена (PP), включая все подготовительные работы, детали и/или крепежные элементы, не описанные, резку и отделку, а также все остальные аксессуары и все сопутствующие работы, необходимые для идеальной укладки.</t>
  </si>
  <si>
    <t>Потолок Этаж 0 LMA0.1</t>
  </si>
  <si>
    <t>2,7</t>
  </si>
  <si>
    <t>Элементы горячекатаной стали</t>
  </si>
  <si>
    <t>Поставка и монтаж столбов из горячекатаной стали S275 J0, защищенных от воздействия огня путем применения вспучивающейся краски, гарантирующей индекс защиты R 30, включая пескоструйную обработку, металлизацию и все сопутствующие работы, необходимые для идеального завершения в следующих элементах (Примечание: В основании металлических столбов зона столба в контакте со стяжками и заполнениями, даже после металлизации, может подвергаться окислению, поэтому эта зона должна быть защищена эпоксидной краской типа C-THANE S250 от CIN или эквивалентной.):</t>
  </si>
  <si>
    <t>Столбы HEB200</t>
  </si>
  <si>
    <t>Столб HEB140</t>
  </si>
  <si>
    <t>Поставка и монтаж анкерных плит основания и верха столбов из горячекатаной стали S275 J0, включая анкерные болты, ребра жесткости, герметизацию раствором, выравнивающие гайки, пескоструйную обработку, металлизацию и все сопутствующие работы, необходимые для идеального завершения.</t>
  </si>
  <si>
    <t>Поставка и монтаж балок из горячекатаной стали S275 J0, включая уголки и соединительные болты, пескоструйную обработку, металлизацию и все сопутствующие работы, необходимые для идеального завершения в следующих элементах:</t>
  </si>
  <si>
    <t>Балки IPE270</t>
  </si>
  <si>
    <t>2.7.4</t>
  </si>
  <si>
    <t>Поставка и монтаж лестницы E2 из горячекатаной стали S275 J0, включая анкерные плиты, анкерные болты, ребра жесткости, герметизацию раствором, пескоструйную обработку, металлизацию и все сопутствующие работы, необходимые для идеального завершения.</t>
  </si>
  <si>
    <t>2,8</t>
  </si>
  <si>
    <t>Элементы холоднокатаной стали</t>
  </si>
  <si>
    <t>Поставка и монтаж металлической конструкции для выполнения плитных панелей из холоднокатаной стали S280GD+Z275 (тип perfisa), включая уголки и соответствующие крепежные болты, анкерные болты и все сопутствующие работы, необходимые для идеального завершения в следующих элементах:</t>
  </si>
  <si>
    <t>C90x1.5</t>
  </si>
  <si>
    <t>C200x2.0</t>
  </si>
  <si>
    <t>U93x1.5</t>
  </si>
  <si>
    <t>U204x2.0</t>
  </si>
  <si>
    <t>Профиль Omega 120x52</t>
  </si>
  <si>
    <t>2,9</t>
  </si>
  <si>
    <t>Полы</t>
  </si>
  <si>
    <t>Различные полы</t>
  </si>
  <si>
    <t>Поставка и укладка грунтового пола, состоящего из: слоя песка толщиной 0,05м и слоя массива из бетона C30/37 с классом воздействия XC2(P) CI0.4 Dmax=20, S4 толщиной 0,15м; арматуры из стали A500NR SD, включая усиления, отходы, стыки, отожженную проволоку, средства и оборудование и все сопутствующие работы, необходимые для идеального завершения в следующих элементах:</t>
  </si>
  <si>
    <t>Mass.1</t>
  </si>
  <si>
    <t>Mass.2</t>
  </si>
  <si>
    <t>Поставка и укладка грунтового пола, состоящего из: слоя щебня толщиной 0,10м и слоя массива из бетона C30/37 с классом воздействия XC2(P) CI0.4 Dmax=20, S4 толщиной 0,15м; арматуры из стали A500NR SD, включая усиления, отходы, стыки, отожженную проволоку, средства и оборудование и все сопутствующие работы, необходимые для идеального завершения в следующих элементах:</t>
  </si>
  <si>
    <t>Mass.3</t>
  </si>
  <si>
    <t>Mass.4</t>
  </si>
  <si>
    <t>Mass.5</t>
  </si>
  <si>
    <t>Mass.6</t>
  </si>
  <si>
    <t>2,10</t>
  </si>
  <si>
    <t>Стены</t>
  </si>
  <si>
    <t>Ограничительная стена</t>
  </si>
  <si>
    <t>Поставка и выполнение стен из сборных бетонных блоков с легкими заполнителями из вспученной глины размером 50x20x20см, включая кладочный раствор, фундаменты, столбы жесткости, венчающие балки, опалубку, арматуру из стали A500NR SD, включая отходы, стыки, отожженную проволоку, подбетонку, а также все остальные аксессуары и работы, необходимые для хорошего выполнения. В соответствии с указаниями производителя/поставщика и проектными элементами следующего типа:</t>
  </si>
  <si>
    <t>ML1</t>
  </si>
  <si>
    <t>ML2</t>
  </si>
  <si>
    <t>ML3.1</t>
  </si>
  <si>
    <t>ML4</t>
  </si>
  <si>
    <t>2.10.1.2</t>
  </si>
  <si>
    <t>Поставка и выполнение стен из сборных бетонных блоков с легкими заполнителями из вспученной глины размером 50x15x20см, включая кладочный раствор, фундаменты, столбы жесткости, венчающие балки, опалубку, арматуру из стали A500NR SD, включая отходы, стыки, отожженную проволоку, подбетонку, а также все остальные аксессуары и работы, необходимые для хорошего выполнения. В соответствии с указаниями производителя/поставщика и проектными элементами следующего типа:</t>
  </si>
  <si>
    <t>ML3.2</t>
  </si>
  <si>
    <t>2,11</t>
  </si>
  <si>
    <t>Разное</t>
  </si>
  <si>
    <t>Общее разное</t>
  </si>
  <si>
    <t>Поставка и применение бентонитовых расширительных швов Waterstop в местах соединения между стенами и плитой бассейна/компенсационного бака, включая все подготовительные работы, детали и/или необходимые элементы, но не описанные, а также все остальные аксессуары и работы, необходимые для хорошего применения. В соответствии с указаниями производителя/поставщика и проектными элементами.</t>
  </si>
  <si>
    <t>Поставка и применение деформационных швов, включая все подготовительные работы, детали и/или необходимые элементы, но не описанные, герметизацию, резку и отделку, а также все остальные аксессуары и работы, необходимые для хорошего применения. В соответствии с указаниями производителя/поставщика и проектными элементами.</t>
  </si>
  <si>
    <t>Поставка и применение циклопического бетона, состоящего из 60% бетона C20/25 с классом воздействия XC2, CI0.4, Dmax. 20 мм, S3 и 40% бутового камня максимальным размером 0,20м под элементы фундамента, включая вибрирование и все сопутствующие работы, необходимые для идеального завершения. В соответствии с указаниями производителя/поставщика и проектными элементами.</t>
  </si>
  <si>
    <t>m3</t>
  </si>
  <si>
    <t>Поставка и выполнение макета из железобетона с открытым бетоном, с бетоном класса прочности C40/50, с классом воздействия XS1, Cl 0.2, Dmax 16мм, S4, арматурой из стали A500, опалубкой и распалубкой, в криволинейном и прямом элементе, включая все работы, сопутствующие хорошему завершению деталей:</t>
  </si>
  <si>
    <t>2.11.1.4.1</t>
  </si>
  <si>
    <t>Прямой элемент с фундаментом 2x1,25x0,30м, стеной толщиной 0,25м и высотой 2,4м</t>
  </si>
  <si>
    <t>ВНУТРЕННЯЯ СЕТЬ ВОДОСНАБЖЕНИЯ, БАССЕЙН И ВОДНЫЕ ЗЕРКАЛА</t>
  </si>
  <si>
    <t>ВНУТРЕННЯЯ СЕТЬ ВОДОСНАБЖЕНИЯ, БАССЕЙН И ПОЛИВ</t>
  </si>
  <si>
    <t>Поставка и монтаж внутренней сети холодного водоснабжения согласно специализированному проекту, состоящей из трубопровода ПЭВП PN10 (тип SDR 13,6 от Politejo) во внешних подземных сетях, многослойного трубопровода (тип Mepla от Geberit) в распределительных сетях внутри и снаружи здания и в питании устройств потребления, включая все материалы, аксессуары и дополнительные работы.</t>
  </si>
  <si>
    <t>3.1.1</t>
  </si>
  <si>
    <t>Поставка и монтаж трубопровода ПЭВП PN10 (тип SDR 13,6 от Politejo), а также все вспомогательные материалы и дополнительные работы.</t>
  </si>
  <si>
    <t>3.1.1.1</t>
  </si>
  <si>
    <t>ПЭВП Ø20</t>
  </si>
  <si>
    <t>3.1.1.2</t>
  </si>
  <si>
    <t>ПЭВП Ø25</t>
  </si>
  <si>
    <t>3.1.1.3</t>
  </si>
  <si>
    <t>ПЭВП Ø40</t>
  </si>
  <si>
    <t>3.1.2</t>
  </si>
  <si>
    <t>Поставка и монтаж многослойного трубопровода (тип Mepla от Geberit), включая гибкую изоляцию из эластомерной пены от Armacell, SH Armaflex или эквивалентную, и крепления к потолку Armafix Ecolight, когда применимо, а также все вспомогательные материалы и дополнительные работы.</t>
  </si>
  <si>
    <t>3.1.2.1</t>
  </si>
  <si>
    <t>МС Ø16</t>
  </si>
  <si>
    <t>3.1.2.2</t>
  </si>
  <si>
    <t>МС Ø20</t>
  </si>
  <si>
    <t>3.1.2.3</t>
  </si>
  <si>
    <t>МС Ø26</t>
  </si>
  <si>
    <t>3.1.2.4</t>
  </si>
  <si>
    <t>МС Ø32</t>
  </si>
  <si>
    <t>3.1.2.5</t>
  </si>
  <si>
    <t>МС Ø40</t>
  </si>
  <si>
    <t>Поставка и монтаж внутренней сети горячего водоснабжения согласно специализированному проекту, состоящей из многослойного трубопровода (тип Mepla от Geberit) в распределительных сетях внутри здания и в питании устройств потребления, включая все материалы, аксессуары и дополнительные работы.</t>
  </si>
  <si>
    <t>3.2.1</t>
  </si>
  <si>
    <t>Поставка и монтаж многослойного трубопровода (тип Mepla от Geberit), включая теплоизоляцию AF/Armaflex или эквивалентную толщиной согласно требованиям теплотехнического законодательства, и крепления к потолку Armafix Ecolight, а также все вспомогательные материалы и дополнительные работы.</t>
  </si>
  <si>
    <t>3.2.1.1</t>
  </si>
  <si>
    <t>3.2.1.2</t>
  </si>
  <si>
    <t>3.2.1.3</t>
  </si>
  <si>
    <t>3.2.1.4</t>
  </si>
  <si>
    <t>Поставка и монтаж внутренней сети возврата горячей воды согласно специализированному проекту, состоящей из многослойного трубопровода (тип Mepla от Geberit), включая все материалы, аксессуары и дополнительные работы.</t>
  </si>
  <si>
    <t>3.3.1</t>
  </si>
  <si>
    <t>Поставка и монтаж многослойного трубопровода (тип Mepla от Geberit или эквивалентный), включая теплоизоляцию AF/Armaflex или эквивалентную согласно требованиям теплотехнического законодательства, и крепления к потолку ArmaFix AF или эквивалентные, когда применимо, а также все вспомогательные материалы и дополнительные работы.</t>
  </si>
  <si>
    <t>3.3.1.1</t>
  </si>
  <si>
    <t>3.3.1.2</t>
  </si>
  <si>
    <t>Поставка и монтаж установки обратного осмоса, состоящей из 3 белых картриджных корпусов 10", предфильтра из прессованного полипропилена 5 мкм 10", картриджа с активированным углем GAC 10", блочного угольного картриджа 10", корпуса мембран, мембраны filmtec 50 GPD, пост-угольного фильтра в линии 2" x 10", стального резервуара с пластиковым покрытием 14 литров, крана с керамическим клапаном, ограничителя 350-400 куб.см, 4-ходового клапана, насоса Booster, трансформатора 24 В и электроклапана ¼", максимального и минимального реле давления, а также все дополнительные работы.</t>
  </si>
  <si>
    <t>Поставка и монтаж системы фильтрации, обработки, резервирования и повышения давления воды из сети, состоящей из резервуара 1.000л из полиэтилена высокой плотности, фильтров осадка 20"-1", системы временной рециркуляции, Aqua Innovation - антинакипин, УФ-лампы, гидронапорной группы, состоящей из насоса Grundfos SCALA2 3-45A, 1 щита защиты и управления, 1 комплекта манометра и реле давления, 1 обратного клапана, а также все вспомогательные материалы и дополнительные работы типа Golden Fibra согласно специализированному проекту.</t>
  </si>
  <si>
    <t>Поставка и монтаж служебных кранов с патрубком для шланга (тип TRES сад/бассейн CRO 03450102 или эквивалентный), а также все дополнительные работы.</t>
  </si>
  <si>
    <t>Поставка и монтаж служебных кранов в коробке клапанов (тип RAINBIRD Standard Rectangular Series VB-STD или эквивалентный), а также все дополнительные работы.</t>
  </si>
  <si>
    <t>Поставка и монтаж запорных клапанов (тип Klimapress от Heliroma или эквивалентный), а также все дополнительные работы.</t>
  </si>
  <si>
    <t>Поставка и монтаж регулирующих клапанов расхода модель 116 от Calefi или эквивалентный, настроенный на 45°C, со всеми работами и аксессуарами для правильного функционирования.</t>
  </si>
  <si>
    <t>Поставка и монтаж пожарного гидранта в ограничительной стене участка согласно проектной детали и включая все аксессуары и дополнительные работы.</t>
  </si>
  <si>
    <t>Работы по поддержке гражданского строительства при вскрытии и засыпке траншей и штроб, все материалы, аксессуары и дополнительные работы.</t>
  </si>
  <si>
    <t>Выполнение испытаний и сертификация при необходимости, в соответствии со специализированным проектом, предоставление руководств по эксплуатации и обслуживанию при необходимости, копии и цифровая версия, включая все процедуры, оборудование, материалы, аксессуары и дополнительные работы.</t>
  </si>
  <si>
    <t>Оборудование и обработка воды бассейна</t>
  </si>
  <si>
    <t>3.13.1</t>
  </si>
  <si>
    <t>Поставка и монтаж оборудования для обработки и рециркуляции воды бассейна и компенсационного бака, включая все необходимые трубопроводы ПВХ PN10 для установки и все оборудование и аксессуары, а именно:</t>
  </si>
  <si>
    <t>3.13.1.1</t>
  </si>
  <si>
    <t>ПВХ PN10 ø63</t>
  </si>
  <si>
    <t>3.13.2</t>
  </si>
  <si>
    <t>Поставка и монтаж трубопроводов переливного желоба ПВХ серии U SN4, включая все вспомогательные материалы и дополнительные работы:</t>
  </si>
  <si>
    <t>3.13.2.1</t>
  </si>
  <si>
    <t>ПВХ PN10 ø110</t>
  </si>
  <si>
    <t>3.13.3</t>
  </si>
  <si>
    <t>Поставка и монтаж системы фильтрации и обработки бассейна, включая оборудование и аксессуары, необходимые для правильного функционирования, при этом отделка видимых аксессуаров должна быть совместима с покрытием/отделкой, указанной в архитектурном проекте и представлена на утверждение клиенту/надзору для применения, а именно:</t>
  </si>
  <si>
    <t>3.13.3.1</t>
  </si>
  <si>
    <t>Картриджный фильтр Clean&amp;Clear Plus 39M2 (ref. PAC-050-0068) + Насос Intelliflo 3 VSD 1,5CV (ref. PAC-100-0043)</t>
  </si>
  <si>
    <t>3.13.3.2</t>
  </si>
  <si>
    <t>Опционально - Моно картриджный фильтр Clean&amp;Clear 18 M3/H (ref. PAC-050-0352) + Насос Superflo VSD (ref. PAC-100-0050)</t>
  </si>
  <si>
    <t>3.13.3.3</t>
  </si>
  <si>
    <t>Электролизер Promatic Lifeguard 25 г (ref. MNC-450-0534)</t>
  </si>
  <si>
    <t>3.13.3.4</t>
  </si>
  <si>
    <t>Донный слив Hayward для бетона (x2) (ref. HAY-250-1797) (для бассейна)</t>
  </si>
  <si>
    <t>3.13.3.5</t>
  </si>
  <si>
    <t>Донный патрубок ABS белый для трубы 63-50 мм (ref. ZAN-250-0001)</t>
  </si>
  <si>
    <t>3.13.3.6</t>
  </si>
  <si>
    <t>Вакуумный патрубок Superpool ABS белый бетон 2'' (ref. EMX-250-0010)</t>
  </si>
  <si>
    <t>3.13.3.7</t>
  </si>
  <si>
    <t>Проходка Superpool для бетона 300 мм (ref. EMX-250-0012)</t>
  </si>
  <si>
    <t>3.13.3.8</t>
  </si>
  <si>
    <t>Проходка Hayward Liner 250мм 2'' 50 (ref. HAY-250-0142)</t>
  </si>
  <si>
    <t>3.13.3.9</t>
  </si>
  <si>
    <t>Донный слив Superpool для лайнера (ref. EMX-250-0016) (для компенсационного бака)</t>
  </si>
  <si>
    <t>3.13.3.10</t>
  </si>
  <si>
    <t>Щит регулирования уровня воды с 5 датчиками (ref. CCE-570-0147)</t>
  </si>
  <si>
    <t>3.13.3.11</t>
  </si>
  <si>
    <t>Соль для электролиза гранулированная специальная для бассейна (ref. UNS-500-0002)</t>
  </si>
  <si>
    <t>3.13.3.12</t>
  </si>
  <si>
    <t>Acti Expert Ph Minus 15 20L - Класс опасности 8, Обозначение UN 2796; Группа упаковки II (ref. ACT58P-7169)</t>
  </si>
  <si>
    <t>Оборудование и обработка воды водных зеркал</t>
  </si>
  <si>
    <t>3.14.1</t>
  </si>
  <si>
    <t>Поставка и монтаж оборудования для обработки и рециркуляции воды водных зеркал, включая все необходимые трубопроводы ПВХ PN10 для установки и все оборудование и аксессуары, а именно:</t>
  </si>
  <si>
    <t>3.14.1.1</t>
  </si>
  <si>
    <t>3.14.2</t>
  </si>
  <si>
    <t>Поставка и монтаж системы фильтрации и обработки водных зеркал, включая оборудование и аксессуары, необходимые для правильного функционирования, при этом отделка видимых аксессуаров должна быть совместима с покрытием/отделкой, указанной в архитектурном проекте и представлена на утверждение клиенту/надзору для применения, а именно:</t>
  </si>
  <si>
    <t>3.14.2.1</t>
  </si>
  <si>
    <t>Моно картриджный фильтр Galaxy ICF100 (ref. EMX-050-0070) + Насос Superpool 0,5cv Mono IE2 (ref. HAY-100-0404)</t>
  </si>
  <si>
    <t>3.14.2.2</t>
  </si>
  <si>
    <t>Скиммер A500 бетон/лайнер белый (ref. WEL-250-0268)</t>
  </si>
  <si>
    <t>3.14.2.3</t>
  </si>
  <si>
    <t>Направляемый напорный патрубок Hayward бетон 2-1,5'' 22мм 100 (ref. HAY-250-0130)</t>
  </si>
  <si>
    <t>3.14.2.4</t>
  </si>
  <si>
    <t>Донный слив Hayward для бетона (x2) (ref. HAY-250-1797)</t>
  </si>
  <si>
    <t>3.14.2.5</t>
  </si>
  <si>
    <t>Дозирующий насос Prim pH с полным комплектом (ref. AVA-450-0230)</t>
  </si>
  <si>
    <t>3.14.2.6</t>
  </si>
  <si>
    <t>Регулятор уровня Hayward (ref. HAY-250-0005)</t>
  </si>
  <si>
    <t>3.14.3</t>
  </si>
  <si>
    <t>ВНУТРЕННЯЯ СЕТЬ БЫТОВЫХ И ДОЖДЕВЫХ СТОЧНЫХ ВОД</t>
  </si>
  <si>
    <t>Поставка и монтаж внутренней сети бытовых сточных вод согласно специализированному проекту, наружные трубопроводы ПВХ серии U SN4; трубопроводы ПВХ серии B для внутренних, наружных (заделанных в пол) и вентиляционных трубопроводов; внутренние трубопроводы PP-Silent от Geberit; и трубопроводы ПЭВП PN10 под давлением, включая все материалы, аксессуары и дополнительные работы, а также изоляцию, указанную в проекте.</t>
  </si>
  <si>
    <t>4.1.1</t>
  </si>
  <si>
    <t>Поставка и монтаж наружных трубопроводов ПВХ серии U SN4, включая при необходимости вскрытие и засыпку траншей, а также все материалы, аксессуары и дополнительные работы.</t>
  </si>
  <si>
    <t>4.1.1.1</t>
  </si>
  <si>
    <t>ПВХ Ø110</t>
  </si>
  <si>
    <t>4.1.2</t>
  </si>
  <si>
    <t>Поставка и монтаж трубопроводов ПВХ серии B для внутренних, наружных и вентиляционных трубопроводов, включая акустическую изоляцию Armacell Tubolit AR Fonoblok и при необходимости аксессуары для подвески трубопроводов, вскрытие и заделку штроб и отверстий, а также все материалы, аксессуары и дополнительные работы.</t>
  </si>
  <si>
    <t>4.1.2.1</t>
  </si>
  <si>
    <t>ПВХ Ø40</t>
  </si>
  <si>
    <t>4.1.2.2</t>
  </si>
  <si>
    <t>ПВХ Ø50</t>
  </si>
  <si>
    <t>4.1.2.3</t>
  </si>
  <si>
    <t>ПВХ Ø75</t>
  </si>
  <si>
    <t>4.1.2.4</t>
  </si>
  <si>
    <t>ПВХ Ø90</t>
  </si>
  <si>
    <t>4.1.3</t>
  </si>
  <si>
    <t>Поставка и монтаж внутренних трубопроводов PP-Silent от Geberit, включая изоляцию типа Isol Flex, Geberit, толщиной 17 мм и при необходимости аксессуары для подвески трубопроводов, вскрытие и заделку штроб и отверстий, а также все материалы, аксессуары и дополнительные работы.</t>
  </si>
  <si>
    <t>4.1.3.1</t>
  </si>
  <si>
    <t>4.1.3.2</t>
  </si>
  <si>
    <t>4.1.4</t>
  </si>
  <si>
    <t>Поставка и монтаж трубопроводов под давлением ПЭВП PN10, включая вскрытие и заделку штроб, вскрытие и засыпку траншей, а также все материалы, аксессуары и дополнительные работы - Ø75</t>
  </si>
  <si>
    <t>Поставка и выполнение ответвления внутренней сети бытовых сточных вод между домовой ответвительной коробкой и существующей смотровой коробкой на проезжей части согласно специализированному проекту, включая домовую ответвительную коробку согласно регламенту, удаление и повторное использование покрытия, резку существующего асфальта, вскрытие, выемку грунта любого характера, монтаж коллектора ПВХ серии U SN4 DN 125мм, включая песчаную подушку и засыпку трубопровода песком, сигнальную ленту, засыпку материалом грунта из той же траншеи и восстановление соответствующего покрытия.</t>
  </si>
  <si>
    <t>Поставка и монтаж смотровых коробок согласно проекту:</t>
  </si>
  <si>
    <t>4.3.1</t>
  </si>
  <si>
    <t>Квадратные коробки, построенные сборными из бетона, оштукатуренные изнутри imperkote с бетонным основанием и квадратной крышкой из:</t>
  </si>
  <si>
    <t>4.3.1.1</t>
  </si>
  <si>
    <t>Оцинкованной стали типа утопленная герметичная крышка GR65 400x400 от CAPADrain или эквивалентная.</t>
  </si>
  <si>
    <t>4.3.1.2</t>
  </si>
  <si>
    <t>Оцинкованной стали типа утопленная герметичная крышка GR65 500x500 от CAPADrain или эквивалентная.</t>
  </si>
  <si>
    <t>4.3.1.3</t>
  </si>
  <si>
    <t>Оцинкованной стали типа утопленная герметичная крышка GR65 600x600 от CAPADrain или эквивалентная.</t>
  </si>
  <si>
    <t>4.3.2</t>
  </si>
  <si>
    <t>Круглые коробки, построенные из бетонных колец ø1,00м, эксцентричная коническая головка, с бетонным основанием и круглой крышкой из чугуна типа круглая крышка с заполнением от CAPADrain или эквивалентная.</t>
  </si>
  <si>
    <t>4.3.3</t>
  </si>
  <si>
    <t>Круглые коробки, построенные из бетонных колец ø1,25м, эксцентричная коническая головка, с бетонным основанием и квадратной крышкой из чугуна типа DOURO B125 900x900 от CAPADrain (коробка EEAR) или эквивалентная.</t>
  </si>
  <si>
    <t>Поставка и монтаж воздухозаборного клапана D30-D63 расход 6,1 л/с от Valsir или эквивалентного, включая все материалы, аксессуары и дополнительные работы.</t>
  </si>
  <si>
    <t>Поставка и монтаж насосной станции сточных вод (EEAR), состоящей из: комплекта двух центробежных погружных электронасосов Unilift AP50.50.11.1V от Grundfos, (2x) шаровых обратных клапанов резьбовых 2", (2x) запорных клапанов резьбовых 2", (4x) экологического поплавкового выключателя модель MS1 с 10м электрического кабеля, (1x) главного выключателя, (1x) электрического щита управления и защиты электронасосов модель LC 231 2 x 1-9 DOL-CLI-S, трубопроводов согласно выходному диаметру насосов, а также всех материалов, аксессуаров и дополнительных работ.</t>
  </si>
  <si>
    <t>Работы по поддержке гражданского строительства при вскрытии и засыпке траншей и штроб, установке коробок, все материалы, аксессуары и дополнительные работы.</t>
  </si>
  <si>
    <t>Поставка и монтаж внутренней сети дождевых вод согласно специализированному проекту; наружные трубопроводы ПВХ серии U SN4; трубопроводы ПВХ серии B для внутренних и наружных (заделанных в пол) трубопроводов; внутренние трубопроводы PP-Silent от Geberit; и трубопроводы ПЭВП PN10 под давлением, включая все материалы, аксессуары и дополнительные работы, а также изоляцию, указанную в проекте.</t>
  </si>
  <si>
    <t>4.8.1</t>
  </si>
  <si>
    <t>4.8.1.1</t>
  </si>
  <si>
    <t>4.8.1.2</t>
  </si>
  <si>
    <t>ПВХ Ø125</t>
  </si>
  <si>
    <t>4.8.2</t>
  </si>
  <si>
    <t>Поставка и монтаж трубопроводов ПВХ серии B для внутренних и наружных трубопроводов, включая акустическую изоляцию Armacell Tubolit AR Fonoblok при необходимости, аксессуары для подвески трубопроводов, вскрытие и заделку штроб и отверстий, а также все материалы, аксессуары и дополнительные работы.</t>
  </si>
  <si>
    <t>4.8.2.1</t>
  </si>
  <si>
    <t>4.8.2.2</t>
  </si>
  <si>
    <t>4.8.2.3</t>
  </si>
  <si>
    <t>4.8.2.4</t>
  </si>
  <si>
    <t>4.8.3</t>
  </si>
  <si>
    <t>4.8.3.1</t>
  </si>
  <si>
    <t>4.8.3.2</t>
  </si>
  <si>
    <t>4.8.4</t>
  </si>
  <si>
    <t>Поставка и монтаж трубопроводов под давлением ПЭВП PN10 (CEAP1), включая вскрытие и заделку штроб, вскрытие и засыпку траншей, а также все материалы, аксессуары и дополнительные работы - Ø125</t>
  </si>
  <si>
    <t>4.8.5</t>
  </si>
  <si>
    <t>Поставка и монтаж трубопроводов под давлением ПЭВП PN10 (CEAP2), включая вскрытие и заделку штроб, вскрытие и засыпку траншей, а также все материалы, аксессуары и дополнительные работы - Ø50</t>
  </si>
  <si>
    <t>4.8.6</t>
  </si>
  <si>
    <t>Поставка и монтаж трубопроводов под давлением ПЭВП PN10 (CEAP3), включая вскрытие и заделку штроб, вскрытие и засыпку траншей, а также все материалы, аксессуары и дополнительные работы - Ø50</t>
  </si>
  <si>
    <t>4.8.7</t>
  </si>
  <si>
    <t>Поставка и монтаж трубопроводов ПВХ серии B для аварийного слива компенсационного бака бассейна, а также все аксессуары и дополнительные работы - Ø110</t>
  </si>
  <si>
    <t>4.8.8</t>
  </si>
  <si>
    <t>Поставка и монтаж трубопроводов ПВХ серии B для слива конденсата, включая поставку, монтаж и установку всех необходимых аксессуаров поддержки и крепления и дополнительные работы - Ø32.</t>
  </si>
  <si>
    <t>Поставка и укладка геодрена с геотекстилем TECpipe GEO DN100, включая все материалы и аксессуары, необходимые для монтажа, включая слой щебня и подключение к ближайшей дождевой дренажной коробке согласно проектной детали соответствующей специальности.</t>
  </si>
  <si>
    <t>Поставка и выполнение ответвления внутренней сети дождевых вод между домовой ответвительной коробкой и существующей смотровой коробкой на проезжей части согласно специализированному проекту, включая домовую ответвительную коробку согласно регламенту, удаление и повторное использование покрытия, резку существующего асфальта, вскрытие, выемку грунта любого характера, монтаж коллектора ПВХ серии U SN4 DN 125мм, включая песчаную подушку и засыпку трубопровода песком, сигнальную ленту, засыпку материалом грунта из той же траншеи и восстановление соответствующего покрытия.</t>
  </si>
  <si>
    <t>4.11.1</t>
  </si>
  <si>
    <t>4.11.1.1</t>
  </si>
  <si>
    <t>4.11.1.2</t>
  </si>
  <si>
    <t>4.11.1.3</t>
  </si>
  <si>
    <t>4.11.1.4</t>
  </si>
  <si>
    <t>Чугуна типа квадратный водосток C250 600x600 от CAPADrain или эквивалентный. (Коробки EEAP_2 и EEAP_3)</t>
  </si>
  <si>
    <t>4.11.2</t>
  </si>
  <si>
    <t>4.11.3</t>
  </si>
  <si>
    <t>Круглые коробки, построенные из бетонных колец ø1,25м, эксцентричная коническая головка, с бетонным основанием и квадратной крышкой из чугуна типа DOURO B125 900x900 от CAPADrain или эквивалентная. (коробка EEAP_1)</t>
  </si>
  <si>
    <t>Поставка и монтаж водостока типа ACO RUG с горизонтальным выходом DN50 с решеткой из нержавеющей стали от ACO или эквивалентного, включая все материалы, аксессуары и дополнительные работы.</t>
  </si>
  <si>
    <t>Поставка и монтаж выпускного патрубка EPDM для воды и гравия от Soprema или эквивалентного, включая все материалы, аксессуары и дополнительные работы.</t>
  </si>
  <si>
    <t>Поставка и монтаж водосточной воронки от Soprema или эквивалентной, включая все материалы, аксессуары и дополнительные работы.</t>
  </si>
  <si>
    <t>Поставка и выполнение дренажного желоба с решеткой из чугуна класса B125 от CapaDrain или эквивалентного в местах, указанных в проекте, включая все сопутствующие работы и аксессуары, а также подключения к дренажным коробкам.</t>
  </si>
  <si>
    <t>Поставка и выполнение дренажного желоба типа Brickslot класса B125 (GR SELF 100 L1000 B125 AISI304 BRICKSLOT L H40) от ACO или эквивалентного в местах, указанных в проекте, включая все сопутствующие работы и аксессуары, а также подключения к дренажным коробкам.</t>
  </si>
  <si>
    <t>Поставка и применение приливных клапанов из ПВХ, включая все материалы, аксессуары и дополнительные работы.</t>
  </si>
  <si>
    <t>Ø90</t>
  </si>
  <si>
    <t>Ø110</t>
  </si>
  <si>
    <t>Поставка и применение инспекционной коробки в озелененных зонах (ZinCo или эквивалентная), включая все материалы, аксессуары и дополнительные работы.</t>
  </si>
  <si>
    <t>4.18.1</t>
  </si>
  <si>
    <t>Контрольная коробка KS 10/30</t>
  </si>
  <si>
    <t>Поставка и монтаж насосной станции дождевых вод (EEAP1), состоящей из комплекта двух центробежных погружных электронасосов SL1.80.80.15.4.50D от Grundfos, (2x) системы автоматического сцепления с верхней опорой направляющих, уплотнением, захватом и основанием, (2x) цепи из нержавеющей стали длиной 3м, (2x) шаровых обратных клапанов фланцевых DN80, (2x) запорных клапанов фланцевых DN80, (5x) экологического поплавкового выключателя модель MS1 с 10м электрического кабеля, (1x) главного выключателя, (1x) электрического щита управления и защиты электронасосов модель LC 231 2 x 1-9 DOL PI, трубопроводов согласно выходному диаметру насосов, а также всех материалов, аксессуаров и дополнительных работ. (РАССМАТРИВАЕТСЯ МАРКА EBARA)</t>
  </si>
  <si>
    <t>Поставка и монтаж насосной станции дождевых вод (EEAP2 и EEAP3), состоящей из подъемного насоса Unilift KP150.AV.1, (1x) запорного клапана, (1x) обратного клапана от Grundfos или эквивалентного, а также всех дополнительных работ. (РАССМАТРИВАЕТСЯ МАРКА EBARA)</t>
  </si>
  <si>
    <t>ГАЗОВАЯ СЕТЬ</t>
  </si>
  <si>
    <t>Трубопроводы</t>
  </si>
  <si>
    <t>5.1.1</t>
  </si>
  <si>
    <t>Поставка и монтаж газовой сети согласно проекту, включая наружные трубопроводы и все материалы и аксессуары, необходимые для установки, из ПЭ диаметром ?20, согласно применимому законодательству.</t>
  </si>
  <si>
    <t>5.1.2</t>
  </si>
  <si>
    <t>Поставка и монтаж газовой сети согласно проекту и все материалы и аксессуары, необходимые для установки, из Cu диаметром ?15, согласно применимому законодательству.</t>
  </si>
  <si>
    <t>Коробки</t>
  </si>
  <si>
    <t>5.2.1</t>
  </si>
  <si>
    <t>Поставка и монтаж счетчика (типа G4), включая клапаны, редуктор среднего давления, а также все связанные дополнительные работы.</t>
  </si>
  <si>
    <t>5.2.2</t>
  </si>
  <si>
    <t>Поставка и монтаж коробки отключения и перехода, включая переход ПЭ-Cu, клапаны, заземление и все работы, сопутствующие хорошему выполнению, согласно применимому законодательству.</t>
  </si>
  <si>
    <t>5.3.1</t>
  </si>
  <si>
    <t>5.3.2</t>
  </si>
  <si>
    <t>Выполнение всех испытаний и сертификация при необходимости, включая все процедуры, материалы, дополнительные работы и аксессуары.</t>
  </si>
  <si>
    <t>ПОСТАВКА И МОНТАЖ ОБОРУДОВАНИЯ И СИСТЕМ КОНДИЦИОНИРОВАНИЯ И ПРОИЗВОДСТВА ГОРЯЧЕЙ САНИТАРНОЙ ВОДЫ</t>
  </si>
  <si>
    <t>6,1</t>
  </si>
  <si>
    <t>Наружный блок кондиционирования типа VRF, включая монтаж и все необходимые аксессуары согласно спецификациям чертежей деталей и спецификациям производителя. UE.01.12</t>
  </si>
  <si>
    <t>6,2</t>
  </si>
  <si>
    <t>Внутренние блоки системы (VRF) канального типа (средней) статической нагрузки, включая управление по кабелю и все необходимые аксессуары согласно спецификациям чертежей деталей и спецификациям производителя.</t>
  </si>
  <si>
    <t>UI.01.##.25C</t>
  </si>
  <si>
    <t>UI.01##.50C</t>
  </si>
  <si>
    <t>UI.01.##.140C</t>
  </si>
  <si>
    <t>6,3</t>
  </si>
  <si>
    <t>Люки доступа для обслуживания канальных внутренних блоков, включая установку и все необходимые аксессуары</t>
  </si>
  <si>
    <t>Люк 60x60</t>
  </si>
  <si>
    <t>6,4</t>
  </si>
  <si>
    <t>Разветвители для системы VRF, включая монтаж и все необходимые аксессуары согласно спецификациям чертежей деталей и спецификациям производителя.</t>
  </si>
  <si>
    <t>BS.</t>
  </si>
  <si>
    <t>6,5</t>
  </si>
  <si>
    <t>Кондиционирующий блок типа тепловой насос с гидравлическим модулем для теплого пола, кондиционирования и ГВС, включая монтаж и все необходимые аксессуары согласно спецификациям чертежей деталей и спецификациям производителя.</t>
  </si>
  <si>
    <t>BC.01.16+MH01</t>
  </si>
  <si>
    <t>6,6</t>
  </si>
  <si>
    <t>Централизованное управление сенсорным экраном по кабелю, включая все необходимые аксессуары согласно техническим условиям и спецификациям производителя.</t>
  </si>
  <si>
    <t>6,7</t>
  </si>
  <si>
    <t>Индивидуальное управление по кабелю, включая все необходимые аксессуары согласно техническим условиям и спецификациям производителя.</t>
  </si>
  <si>
    <t>6,8</t>
  </si>
  <si>
    <t>Медные трубопроводы холодильной установки, должным образом изолированные эластомерной муфтой типа Armaflex, включая все необходимые аксессуары согласно спецификациям чертежей деталей и спецификациям производителя.</t>
  </si>
  <si>
    <t>Ø 6,4</t>
  </si>
  <si>
    <t>Ø 9,5</t>
  </si>
  <si>
    <t>Ø 12,7</t>
  </si>
  <si>
    <t>Ø 15,9</t>
  </si>
  <si>
    <t>Ø 19,1</t>
  </si>
  <si>
    <t>Ø 22,2</t>
  </si>
  <si>
    <t>Ø 28,6</t>
  </si>
  <si>
    <t>Трубопроводы ПВХ для слива конденсата, включая поставку, монтаж и установку всех аксессуаров, необходимых для идеального функционирования, а также аксессуары поддержки и крепления согласно спецификациям письменных деталей и спецификациям производителя.</t>
  </si>
  <si>
    <t>DN 32</t>
  </si>
  <si>
    <t>Трубопроводы распределения нагретой воды между коллекторными коробками теплого пола и тепловым центром из многослойного материала, должным образом изолированные, включая все необходимые аксессуары согласно спецификациям чертежей деталей и спецификациям производителя.</t>
  </si>
  <si>
    <t>DN 20</t>
  </si>
  <si>
    <t>DN 26</t>
  </si>
  <si>
    <t>DN 40</t>
  </si>
  <si>
    <t>6,11</t>
  </si>
  <si>
    <t>Система теплого пола, включая все необходимые аксессуары согласно спецификациям чертежей деталей и спецификациям производителя. Трубопроводы для теплого пола из сшитого полиэтилена с антиоксидантным барьером следующих диаметров:</t>
  </si>
  <si>
    <t>Ø 17x2</t>
  </si>
  <si>
    <t>Плиты теплого пола толщ. 4см</t>
  </si>
  <si>
    <t>Лента для периметральной изоляции</t>
  </si>
  <si>
    <t>Добавка для бетона (10л)</t>
  </si>
  <si>
    <t>Клипсы крепления трубы</t>
  </si>
  <si>
    <t>Антинакипин</t>
  </si>
  <si>
    <t>Lt</t>
  </si>
  <si>
    <t>Коллектор 5 выходов предварительно смонтированный с измерением расхода</t>
  </si>
  <si>
    <t>Коллектор 6 выходов предварительно смонтированный с измерением расхода</t>
  </si>
  <si>
    <t>Коллектор 7 выходов предварительно смонтированный с измерением расхода</t>
  </si>
  <si>
    <t>Коробка для коллектора 800x450x110мм</t>
  </si>
  <si>
    <t>Коробка для коллектора 1000x450x110мм</t>
  </si>
  <si>
    <t>Шаровой кран НР/ВР 1"x1"</t>
  </si>
  <si>
    <t>Адаптер для PEX/AL 18x(17x2)</t>
  </si>
  <si>
    <t>Центральный блок регулирования</t>
  </si>
  <si>
    <t>Датчик подачи пассивного типа</t>
  </si>
  <si>
    <t>Наружный датчик с сенсором</t>
  </si>
  <si>
    <t>Комнатный термостат (учтен в интегрированных системах)</t>
  </si>
  <si>
    <t>Электрическая головка для коллектора кабель 1м 230В</t>
  </si>
  <si>
    <t>Распределительная группа с 3-ходовым клапаном</t>
  </si>
  <si>
    <t>Опора для распределительной группы</t>
  </si>
  <si>
    <t>Мотор для 3-ходового клапана (24В)</t>
  </si>
  <si>
    <t>Соединительная планка</t>
  </si>
  <si>
    <t>Трансформатор 220В/24В</t>
  </si>
  <si>
    <t>Различные гидравлические аксессуары</t>
  </si>
  <si>
    <t>6,12</t>
  </si>
  <si>
    <t>Система солнечной энергии и тепловой центр функционирования и безопасности</t>
  </si>
  <si>
    <t>Солнечные тепловые коллекторы</t>
  </si>
  <si>
    <t>un.</t>
  </si>
  <si>
    <t>Алюминиевая конструкция</t>
  </si>
  <si>
    <t>Накопительный бак 800 литров со стратификатором, включая изоляцию, дифференциальное управление и солнечную станцию, соединительные модули, сферический теплообменник, манометры, термометры и все необходимые аксессуары</t>
  </si>
  <si>
    <t>Инерционный бак 200 литров, включая изоляцию, манометры, термометры и все необходимые аксессуары</t>
  </si>
  <si>
    <t>Центральный блок регулирования, включая модуль управления и все необходимые аксессуары</t>
  </si>
  <si>
    <t>Солнечная жидкость (литр) смесь 20% до -8°</t>
  </si>
  <si>
    <t>Расширительный бак (солнечный) - VE1-50л</t>
  </si>
  <si>
    <t>Расширительный бак (поддержка) - VE2-25л</t>
  </si>
  <si>
    <t>Расширительный бак (вода бассейна) - VE3-25л Медные трубопроводы с аксессуарами, тепловая изоляция для всей установки и тепловая и механическая для зон, установленных на виду</t>
  </si>
  <si>
    <t>CU Ø 18</t>
  </si>
  <si>
    <t>Группа заполнения</t>
  </si>
  <si>
    <t>Насос солнечной циркуляции - BCS</t>
  </si>
  <si>
    <t>Насос циркуляции ГВС для возврата - BCR</t>
  </si>
  <si>
    <t>Насос циркуляции теплого пола -BCP 1</t>
  </si>
  <si>
    <t>Насос циркуляции теплого пола -BCP 2</t>
  </si>
  <si>
    <t>Насос циркуляции бассейна -BCPisc</t>
  </si>
  <si>
    <t>Пластинчатый теплообменник титан 40кВт</t>
  </si>
  <si>
    <t>Термостатический смесительный клапан</t>
  </si>
  <si>
    <t>3-ходовой клапан</t>
  </si>
  <si>
    <t>Тепловой насос для нагрева наружного бассейна, включая монтаж и все необходимые аксессуары, а также гидравлический модуль, контроллеры, гидравлические аксессуары, антивибрационные опоры согласно спецификациям чертежей деталей и спецификациям производителя.</t>
  </si>
  <si>
    <t>BC. PIS 1</t>
  </si>
  <si>
    <t>6,14</t>
  </si>
  <si>
    <t>Круглые воздуховоды для контура подачи и возврата из листового металла с тепловой изоляцией, включая заслонки, гибкие соединения, смотровые двери, поддержку и все необходимые аксессуары</t>
  </si>
  <si>
    <t>Ø 125</t>
  </si>
  <si>
    <t>Ø 200</t>
  </si>
  <si>
    <t>6,15</t>
  </si>
  <si>
    <t>Воздуховоды ПВХ для вентиляции, для контура свежего воздуха и вытяжки, из полужесткого ПВХ, включая заслонки, гибкие соединения, смотровые двери, поддержку и все необходимые аксессуары</t>
  </si>
  <si>
    <t>Ø 80</t>
  </si>
  <si>
    <t>6,16</t>
  </si>
  <si>
    <t>Круглые воздуховоды для контура вытяжки из листового металла без тепловой изоляции, включая заслонки, гибкие соединения, смотровые двери, поддержку и все необходимые аксессуары</t>
  </si>
  <si>
    <t>Ø 100</t>
  </si>
  <si>
    <t>Ø 150</t>
  </si>
  <si>
    <t>6,17</t>
  </si>
  <si>
    <t>Прямоугольные воздуховоды из предварительно изолированного алюминия "PIR-ALU", включая поддержку и все необходимые аксессуары для идеального функционирования, а также аксессуары для осмотра, поддержки и крепления согласно спецификациям письменных деталей и спецификациям производителя.</t>
  </si>
  <si>
    <t>m²</t>
  </si>
  <si>
    <t>6,18</t>
  </si>
  <si>
    <t>Вентиляционные установки с рекуперацией тепла, включая поставку, монтаж и установку всех аксессуаров, необходимых для идеального функционирования, а также аксессуары поддержки и крепления согласно спецификациям письменных деталей и спецификациям производителя.</t>
  </si>
  <si>
    <t>URC.01</t>
  </si>
  <si>
    <t>6,19</t>
  </si>
  <si>
    <t>Канальные вентиляторы, включая поставку, монтаж и установку всех аксессуаров, необходимых для идеального функционирования, а также аксессуары поддержки и крепления и все аксессуары, необходимые для наружной установки, согласно спецификациям письменных деталей и спецификациям производителя. (РАССМАТРИВАЕТСЯ FRANCE AIR)</t>
  </si>
  <si>
    <t>VE.01</t>
  </si>
  <si>
    <t>Заслонки постоянного расхода во всех необходимых ответвлениях для балансировки расхода, к которым невозможно получить доступ через люк, включая все аксессуары, необходимые для идеального функционирования, согласно спецификациям письменных деталей и спецификациям производителя.</t>
  </si>
  <si>
    <t>6,21</t>
  </si>
  <si>
    <t>Вытяжной клапан, включая поставку, монтаж и установку всех аксессуаров, необходимых для идеального функционирования.</t>
  </si>
  <si>
    <t>BE</t>
  </si>
  <si>
    <t>6,22</t>
  </si>
  <si>
    <t>Линейные диффузоры и решетки подачи и возврата из алюминия, включая поставку, монтаж и установку пленума и заслонки, а также всех аксессуаров, необходимых для идеального функционирования, а также аксессуары крепления согласно спецификациям письменных деталей и спецификациям производителя. (РАССМАТРИВАЕТСЯ FRANCE AIR)</t>
  </si>
  <si>
    <t>DLI. 3000X33</t>
  </si>
  <si>
    <t>DLI. 6000X33</t>
  </si>
  <si>
    <t>DLR. 6000X40</t>
  </si>
  <si>
    <t>DLI.5500x20</t>
  </si>
  <si>
    <t>DLR.2000x33</t>
  </si>
  <si>
    <t>GLI 600x150</t>
  </si>
  <si>
    <t>GLR.600x150</t>
  </si>
  <si>
    <t>GLI 1000x150</t>
  </si>
  <si>
    <t>GLR.1000x150</t>
  </si>
  <si>
    <t>GAE 300x300</t>
  </si>
  <si>
    <t>GAR 45м3/ч</t>
  </si>
  <si>
    <t>6,23</t>
  </si>
  <si>
    <t>Электрические установки, включая соответствующую управляющую проводку согласно техническим условиям.</t>
  </si>
  <si>
    <t>6,24</t>
  </si>
  <si>
    <t>Различные дополнительные работы гражданского строительства, включая вскрытие и засыпку траншей и штроб, строительство массивов, отверстия и покраску</t>
  </si>
  <si>
    <t>Руководства по эксплуатации и обслуживанию</t>
  </si>
  <si>
    <t>Исполнительные чертежи: копии и цифровая версия</t>
  </si>
  <si>
    <t>Пуск и испытания всего оборудования и сетей в технических аспектах, связанных с их работой; Электрические - Механические - Тепловые - Акустические - Давление</t>
  </si>
  <si>
    <t>ЭЛЕКТРИЧЕСКАЯ СЕТЬ</t>
  </si>
  <si>
    <t>7,1</t>
  </si>
  <si>
    <t>Поставка и монтаж ввода энергии и питания наружных установок согласно электротехническому проекту:</t>
  </si>
  <si>
    <t>Вводной щит, выполненный согласно приложенным чертежам деталей, включая P100 с предохранителями согласно DMA EDP, класса изоляции II.</t>
  </si>
  <si>
    <t>Коробка прямого телеучета, класс II и изоляция, согласно письменным и графическим деталям и электротехническому проекту, согласно DMA EDP</t>
  </si>
  <si>
    <t>7,2</t>
  </si>
  <si>
    <t>Электрические щиты, включая всю аппаратуру и оборудование, указанные в схемах, шкафы, конструкцию, электрификацию и т.д.</t>
  </si>
  <si>
    <t>Q.G.E. - Главный вводной щит</t>
  </si>
  <si>
    <t>QP1- Частичный щит этаж 1</t>
  </si>
  <si>
    <t>QP-1- Частичный щит этаж -1</t>
  </si>
  <si>
    <t>QPZT - Частичный щит технической зоны</t>
  </si>
  <si>
    <t>QPAT 1 - Частичный щит технической зоны 1</t>
  </si>
  <si>
    <t>QPAT 2 - Частичный щит технической зоны 2</t>
  </si>
  <si>
    <t>QP Бассейн (исключен)</t>
  </si>
  <si>
    <t>QP ОВКВ (исключен)</t>
  </si>
  <si>
    <t>QP Насосы (исключен)</t>
  </si>
  <si>
    <t>QP Сад (исключен)</t>
  </si>
  <si>
    <t>7,3</t>
  </si>
  <si>
    <t>ПИТАНИЕ ЭЛЕКТРИЧЕСКИХ ЩИТОВ</t>
  </si>
  <si>
    <t>Проводники</t>
  </si>
  <si>
    <t>Поставка и монтаж: P100 - Переходная коробка</t>
  </si>
  <si>
    <t>QGE - QP1</t>
  </si>
  <si>
    <t>QGE - Плита 1</t>
  </si>
  <si>
    <t>QGE - QP-1</t>
  </si>
  <si>
    <t>QP-1 - QPAT1</t>
  </si>
  <si>
    <t>QP-1 - QPAT2</t>
  </si>
  <si>
    <t>QP-1 - QPZT</t>
  </si>
  <si>
    <t>QP-1 - Сауна</t>
  </si>
  <si>
    <t>QP-1-Электромобиль 1</t>
  </si>
  <si>
    <t>QP-1-Электромобиль 2</t>
  </si>
  <si>
    <t>QPZT- Q.ОВКВ(исключен)</t>
  </si>
  <si>
    <t>QPZT - Q.ГВС(исключен)</t>
  </si>
  <si>
    <t>QPZT - Q.Полив(исключен)</t>
  </si>
  <si>
    <t>QPAT1 - Q.Бассейн(исключен)</t>
  </si>
  <si>
    <t>Q.Бассейн(исключен) - ТН Бассейн</t>
  </si>
  <si>
    <t>QPZT - Q.Насосы(исключен)</t>
  </si>
  <si>
    <t>Q.ОВКВ - BC02.16(исключен)</t>
  </si>
  <si>
    <t>Q.ОВКВ -UE.01.12(исключен)</t>
  </si>
  <si>
    <t>Q.ОВКВ -Гидравлический модуль (исключен)</t>
  </si>
  <si>
    <t>Q.ОВКВ -Резерв поддержки ГВС (исключен)</t>
  </si>
  <si>
    <t>Поставка и монтаж: Гофрированная Ø125 заделанная/заглубленная</t>
  </si>
  <si>
    <t>Гофрированная Ø63 заделанная/заглубленная</t>
  </si>
  <si>
    <t>Гофрированная Ø50 заделанная/заглубленная</t>
  </si>
  <si>
    <t>Гофрированная Ø40 заделанная/заглубленная</t>
  </si>
  <si>
    <t>Гофрированная Ø32 заделанная/заглубленная</t>
  </si>
  <si>
    <t>Гофрированная Ø20 заделанная/заглубленная</t>
  </si>
  <si>
    <t>Труба VD Ø32</t>
  </si>
  <si>
    <t>Поставка и монтаж: Смотровые коробки 0,6x0,6x0,6</t>
  </si>
  <si>
    <t>7,4</t>
  </si>
  <si>
    <t>Сеть заземления</t>
  </si>
  <si>
    <t>Поставка и монтаж:</t>
  </si>
  <si>
    <t>Съемный соединитель</t>
  </si>
  <si>
    <t>Медь голая 25мм²</t>
  </si>
  <si>
    <t>Заземляющий электрод из стали с медным покрытием 250 микрон 2м x14.6мм</t>
  </si>
  <si>
    <t>Труба ERFE Ø25</t>
  </si>
  <si>
    <t>HO7V-R 1G25мм²</t>
  </si>
  <si>
    <t>H07V - U1G2,5мм² в трубе</t>
  </si>
  <si>
    <t>ERFE Ø20</t>
  </si>
  <si>
    <t>7,5</t>
  </si>
  <si>
    <t>СПЕЦИАЛЬНЫЕ ПИТАНИЯ</t>
  </si>
  <si>
    <t>H05VV-F 3G1.5мм² в трубе</t>
  </si>
  <si>
    <t>Olflex 8G1 мм² в трубе</t>
  </si>
  <si>
    <t>ERFE Ø20 заделанная</t>
  </si>
  <si>
    <t>ERFE Ø32 заделанная</t>
  </si>
  <si>
    <t>Накладная коробка</t>
  </si>
  <si>
    <t>7,6</t>
  </si>
  <si>
    <t>РОЗЕТКИ И ОБОРУДОВАНИЕ</t>
  </si>
  <si>
    <t>H05VV-F 3G2.5мм² в трубе</t>
  </si>
  <si>
    <t>H07V-U - U3G2.5мм² в трубе</t>
  </si>
  <si>
    <t>XV-R3G2.5мм²</t>
  </si>
  <si>
    <t>XV-R3G4мм²</t>
  </si>
  <si>
    <t>Глубокая коробка для аппаратуры</t>
  </si>
  <si>
    <t>Полная аппаратура и оборудование и все аксессуары</t>
  </si>
  <si>
    <t>Простая розетка, Efapel logus 90 BB или эквивалентная (цвет и отделка совместимы с архитектурным проектом)</t>
  </si>
  <si>
    <t>Двойная розетка, Efapel logus 90 BB или эквивалентная (цвет и отделка совместимы с архитектурным проектом)</t>
  </si>
  <si>
    <t>Розетка 2P + T заделанная с защитными заглушками, с выходом 1 x USB тип A и 1 x USB тип, Efapel logus 90 BB или эквивалентная (цвет и отделка совместимы с архитектурным проектом)</t>
  </si>
  <si>
    <t>Розетка 2P + T простая герметичная с крышкой и защитными заглушками IP44, Efapel logus 90 BB или эквивалентная (цвет и отделка совместимы с архитектурным проектом)</t>
  </si>
  <si>
    <t>Розетка 2P + T двойная герметичная с крышкой и защитными заглушками IP44, Efapel logus 90 BB или эквивалентная (цвет и отделка совместимы с архитектурным проектом)</t>
  </si>
  <si>
    <t>Розетки для электромобилей типа WallBox - Black с системой DLM (Dynamic Load Management) от V2C или эквивалентные</t>
  </si>
  <si>
    <t>Напольная коробка с 2 розетками Schuko с защищенными гнездами, UDHOME 2 от OBO BETTERMAN или эквивалентная (цвет и отделка совместимы с архитектурным проектом)</t>
  </si>
  <si>
    <t>Напольная коробка с 1 розеткой Schuko с защищенными гнездами для наружного применения, IP66, марка Simon или эквивалентная (цвет и отделка совместимы с архитектурным проектом)</t>
  </si>
  <si>
    <t>Двойная розетка 2P + T заделанная с защитными заглушками, герметичная, IP55, LEGRAND PLEXO или эквивалентная (цвет и отделка совместимы с архитектурным проектом)</t>
  </si>
  <si>
    <t>7,7</t>
  </si>
  <si>
    <t>Жалюзи и блэкауты</t>
  </si>
  <si>
    <t>- H05VV-F 4x1,5мм² в трубе</t>
  </si>
  <si>
    <t>- ERFE Ø20 заделанная</t>
  </si>
  <si>
    <t>Заделанная распределительная коробка</t>
  </si>
  <si>
    <t>7,8</t>
  </si>
  <si>
    <t>НОРМАЛЬНОЕ ОСВЕЩЕНИЕ</t>
  </si>
  <si>
    <t>- H05VV-F 2x1,5мм² в трубе</t>
  </si>
  <si>
    <t>- H05VV-F 3G1,5мм² в трубе</t>
  </si>
  <si>
    <t>- XAV 3G1.5 в трубе для наружного освещения</t>
  </si>
  <si>
    <t>- Серая труба Ø20 заделанная</t>
  </si>
  <si>
    <t>- Накладная распределительная коробка</t>
  </si>
  <si>
    <t>- Распределительная коробка с гелем</t>
  </si>
  <si>
    <t>- Накладная коробка</t>
  </si>
  <si>
    <t>- Распределительная коробка Gewiss (или эквивалентная) или C1</t>
  </si>
  <si>
    <t>Аппаратура</t>
  </si>
  <si>
    <t>Поставка и монтаж освещения</t>
  </si>
  <si>
    <t>Примечание: Номенклатура светильников согласно предоставленному исследованию освещения</t>
  </si>
  <si>
    <t>Подвал</t>
  </si>
  <si>
    <t>-Герметичный светильник</t>
  </si>
  <si>
    <t>-Тип LIS 30</t>
  </si>
  <si>
    <t>-Тип ALA 12</t>
  </si>
  <si>
    <t>-Тип CAN10</t>
  </si>
  <si>
    <t>-Тип VIE 2</t>
  </si>
  <si>
    <t>-Тип FRA 10</t>
  </si>
  <si>
    <t>Vg</t>
  </si>
  <si>
    <t>-Тип BUL</t>
  </si>
  <si>
    <t>-Тип точка света</t>
  </si>
  <si>
    <t>-Тип ICE 80 с выключателем</t>
  </si>
  <si>
    <t>-LED лента тип 04 - 22м</t>
  </si>
  <si>
    <t>-LED лента тип 04 - 16.5м</t>
  </si>
  <si>
    <t>Тип LED 05 - 5м</t>
  </si>
  <si>
    <t>Датчик движения</t>
  </si>
  <si>
    <t>Обычные выключатели, IP55</t>
  </si>
  <si>
    <t>Точка питания гардеробов</t>
  </si>
  <si>
    <t>Этаж 0</t>
  </si>
  <si>
    <t>-Тип PIS</t>
  </si>
  <si>
    <t>-Тип BEL</t>
  </si>
  <si>
    <t>-Тип ALA 6</t>
  </si>
  <si>
    <t>-Тип CAN 10</t>
  </si>
  <si>
    <t>-Тип MOR 2</t>
  </si>
  <si>
    <t>Тип LED 01 - 2.3 м</t>
  </si>
  <si>
    <t>Тип LED 01 - 11.7 м</t>
  </si>
  <si>
    <t>Тип LED 01 - 1.4 м</t>
  </si>
  <si>
    <t>Тип LED 01 - 3.3 м</t>
  </si>
  <si>
    <t>Тип LED 01 - 2.4 м</t>
  </si>
  <si>
    <t>Тип LED 01 - 6.9 м</t>
  </si>
  <si>
    <t>Тип LED 03</t>
  </si>
  <si>
    <t>Тип LED 04 - 15.6 м</t>
  </si>
  <si>
    <t>Тип LED 05 - 4.6м</t>
  </si>
  <si>
    <t>Тип LED 06 - 6.7м</t>
  </si>
  <si>
    <t>Тип LED 06 - 5.4м</t>
  </si>
  <si>
    <t>Тип LED 06 - 5.3м</t>
  </si>
  <si>
    <t>Тип LED 06 - 4.4м</t>
  </si>
  <si>
    <t>Тип LED 06 - 4.1м</t>
  </si>
  <si>
    <t>Тип LED 06 - 3.5м</t>
  </si>
  <si>
    <t>Тип LED 06 - 2.8м</t>
  </si>
  <si>
    <t>Тип LED 06 - 2.4м</t>
  </si>
  <si>
    <t>Тип LED 06 - 1.7м</t>
  </si>
  <si>
    <t>Тип LED 06 - 3.4м</t>
  </si>
  <si>
    <t>Тип LED 06 - 2.6м</t>
  </si>
  <si>
    <t>Тип LED 06 - 2.0м</t>
  </si>
  <si>
    <t>Управляемая розетка</t>
  </si>
  <si>
    <t>Этаж 1</t>
  </si>
  <si>
    <t>-Тип света VIE 2</t>
  </si>
  <si>
    <t>-Тип ART10</t>
  </si>
  <si>
    <t>Тип LED 01 -5.8м</t>
  </si>
  <si>
    <t>Тип LED 01 -6.1м</t>
  </si>
  <si>
    <t>Тип LED 01 -4.8м</t>
  </si>
  <si>
    <t>Тип LED 01 -7.1м</t>
  </si>
  <si>
    <t>Тип LED 01 -4.5м</t>
  </si>
  <si>
    <t>Тип LED 01 -17.3м</t>
  </si>
  <si>
    <t>Тип LED 01 -2.1м</t>
  </si>
  <si>
    <t>Тип LED 01 -4.1м</t>
  </si>
  <si>
    <t>Тип LED 02</t>
  </si>
  <si>
    <t>Тип LED 04 -1.8м</t>
  </si>
  <si>
    <t>-Тип управляемая розетка</t>
  </si>
  <si>
    <t>- Монтаж, включая все аксессуары, драйверы и работы, необходимые для правильной установки и функционирования.</t>
  </si>
  <si>
    <t>- Монтаж, включая все аксессуары и работы, необходимые для правильной установки и функционирования садового освещения</t>
  </si>
  <si>
    <t>excluido</t>
  </si>
  <si>
    <t>7,9</t>
  </si>
  <si>
    <t>РАЗНОЕ</t>
  </si>
  <si>
    <t>Предоставление руководств по эксплуатации и обслуживанию.</t>
  </si>
  <si>
    <t>7,10</t>
  </si>
  <si>
    <t>ИНТЕГРИРОВАННЫЕ СИСТЕМЫ</t>
  </si>
  <si>
    <t>KNX, WIFI, АУДИОВИЗУАЛЬНЫЕ, ДОМАШНИЙ КИНОТЕАТР, УПРАВЛЕНИЕ, ОХРАННАЯ СИГНАЛИЗАЦИЯ И ВИДЕОНАБЛЮДЕНИЕ</t>
  </si>
  <si>
    <t>VG</t>
  </si>
  <si>
    <t>7.10.1</t>
  </si>
  <si>
    <t>Система управления освещением и жалюзи</t>
  </si>
  <si>
    <t>Примечание: Поставка и монтаж домотики на основе протокола KNX согласно проекту с полным управлением системами освещения и жалюзи</t>
  </si>
  <si>
    <t>Аппаратура и датчики</t>
  </si>
  <si>
    <t>Клавиатуры ABB White или LS990 F50 - марка Jung или эквивалентная (цвет и отделка совместимы с архитектурным проектом)</t>
  </si>
  <si>
    <t>Датчики присутствия Zennio -Detector Mini или эквивалентные (цвет и отделка совместимы с архитектурным проектом)</t>
  </si>
  <si>
    <t>Кнопка марки Legrand или эквивалентная (цвет и отделка совместимы с архитектурным проектом)</t>
  </si>
  <si>
    <t>Контроллеры ОВКВ</t>
  </si>
  <si>
    <t>Сенсорный дисплей с комнатным термостатом, марка iHome/INZennio Z35i</t>
  </si>
  <si>
    <t>Термостат без дисплея - KNX Room Temperature Controller iHome/Zennio</t>
  </si>
  <si>
    <t>Инфраструктура</t>
  </si>
  <si>
    <t>Кабель BUS KNX 2x2x0.8</t>
  </si>
  <si>
    <t>ERFE Ø25 заделанная</t>
  </si>
  <si>
    <t>- Глубокая коробка для аппаратуры</t>
  </si>
  <si>
    <t>- C0</t>
  </si>
  <si>
    <t>7.10.2</t>
  </si>
  <si>
    <t>Сеть Wi-Fi - Сетевые технологии</t>
  </si>
  <si>
    <t>Примечание: Поставка и монтаж оборудования сетей Wi-Fi (networking) для обеспечения распределения стабильной системы с высокой пропускной способностью во внутренней сети через Wireless в частотных диапазонах 2.4 и 5 ГГц, с централизованным управлением и удаленным доступом, мониторингом состояния сети (клиенты, пропускная способность, тип трафика,...). Физическая структура сети из высококачественного кабеля</t>
  </si>
  <si>
    <t>Точки доступа</t>
  </si>
  <si>
    <t>Внутренняя точка доступа для крепления на стену/потолок, с питанием POE Data Gigabit, технология dualband 2.4 и 5ГГц, Multi BSSID стандарты 802.11a/b/g/n/ac, режим энергосбережения, QOS - марка GrandStream модель 7660 (или эквивалентная (цвет и отделка совместимы с архитектурным проектом)</t>
  </si>
  <si>
    <t>Наружная точка доступа для крепления на стену, с питанием POE Data Gigabit, технология dualband 2.4 и 5ГГц, Multi BSSID стандарты 802.11a/b/g/n/ac, режим энергосбережения, QOS - марка GrandStream модель 7660 LR (или эквивалентная (цвет и отделка совместимы с архитектурным проектом)</t>
  </si>
  <si>
    <t>Розетка подключения точки доступа</t>
  </si>
  <si>
    <t>СТОЙКА - Техническая зона и физическая поддержка</t>
  </si>
  <si>
    <t>Интеллектуальный PDU на 8 выходов 16А, соединения c13 и c19, 100-240VAC, PAKEDGE (или эквивалентный</t>
  </si>
  <si>
    <t>Гигабитный сетевой коммутатор, POE, с платформой управления, 24 порта POE и SFP для оптоволоконных соединений, упрощенная интеграция в сетевую систему, протоколы маршрутизации, задние порты и с подключением к платформе удаленного управления OVRC, монтаж в стойку - ARA-310-SW-R-24-POE от ARAKNIS или эквивалентный</t>
  </si>
  <si>
    <t>ИБП ONLINE 3КВА интеллектуальный для серверов/сетевого оборудования, с измерением энергии, экономичным режимом, компенсацией нагрузки, устранением шума и высокой эффективностью, системой интеллектуального управления и мониторинга. ИБП СТОЕЧНЫЙ 2U ONLINE ДВОЙНОЕ ПРЕОБРАЗОВАНИЕ или эквивалентный</t>
  </si>
  <si>
    <t>Сетевой маршрутизатор с поддержкой VLAN, VPN-сервер, QOS, VoIP, система отчетности и аналитического контроля, создание групп LAN-устройств и 2 WLAN, управление трафиком и подключение к платформе удаленного управления OVRC, сетевые порты 10/100/1000 RJ45 - ARA-310-RT-4L2W от ARAKNIS или эквивалентный</t>
  </si>
  <si>
    <t>Система управления и обслуживания сети через облако OVRC</t>
  </si>
  <si>
    <t>Сетевой кабель Cat6 технология HDBaseT подготовлен для больших расстояний, конвергенция сигналов. Взаимная емкость &lt; 5.6нФ/100м, сопротивление проводника 7.32Ом/100м при 20°C, медные проводники 23(1)AWG, характеристическое сопротивление 100/+-15 Ом /1-500МГц)</t>
  </si>
  <si>
    <t>Патч-панель разъемов RJ45 24 порта - Cat6</t>
  </si>
  <si>
    <t>Трубопровод ERFE Ø25</t>
  </si>
  <si>
    <t>Трубопровод ERFE Ø40</t>
  </si>
  <si>
    <t>Коробка типа C1</t>
  </si>
  <si>
    <t>7.10.3</t>
  </si>
  <si>
    <t>Аудиовизуальная система</t>
  </si>
  <si>
    <t>7.10.4</t>
  </si>
  <si>
    <t>Система интеграции</t>
  </si>
  <si>
    <t>Наружный сетевой кабель Cat6 подготовлен для больших расстояний, конвергенция сигналов. Взаимная емкость &lt; 5.6нФ/100м, сопротивление проводника 9.38Ом/100м при 20°C, медные проводники 23(1)AWG, характеристическое сопротивление 100/+-15 Ом /1-500МГц)</t>
  </si>
  <si>
    <t>Встраиваемая коробка для домофона</t>
  </si>
  <si>
    <t>Встраиваемая коробка для настенного сенсорного экрана</t>
  </si>
  <si>
    <t>Коробка типа C0</t>
  </si>
  <si>
    <t>7.10.5</t>
  </si>
  <si>
    <t>Оборудование системы интеграции</t>
  </si>
  <si>
    <t>Контроллер развлечений и автоматизации/интеграции, 5 выходных зон, высокая производительность обработки, с сервером технологии Zigbee и Zwave, настраиваемый, выход HDMI 1080p, Ethernet 10/100/1000 BaseT, 8 ИК-выходов, 1 ИК-захват, 4 последовательных интерфейса (2 общих), потоковая передача shairbridge, музыкальные сервисы, 4 контакта, 4 реле, интерфейс eSata, беспроводной двухдиапазонный, 4 гигабитных порта, двойная обработка звука, 5 одновременных потоков, интеграция с множественными системами. Марка iHome / Control4 или эквивалентная (цвет и отделка совместимы с архитектурным проектом)</t>
  </si>
  <si>
    <t>Домофон встраиваемого монтажа, из матового никеля, с HD-камерой и высококачественным звуком, клавиатурой, датчиком движения, возможностью отправки вызова в приложение и удаленной связи через VoIP-вызов, контактное реле НО/НЗ, активный выход 8-12Вdc, IP54, инфракрасный, C7 буквенно-цифровая клавиатура, модель DS2 марка iHome / Control4 или эквивалентная (цвет и отделка совместимы с архитектурным проектом)</t>
  </si>
  <si>
    <t>Настенный пользовательский интерфейс, 10" белый для полного использования и управления системами., марка iHome / Control4</t>
  </si>
  <si>
    <t>Интерфейс с системой кондиционирования CoolMasterNet с портом KNX, для установки в технической стойке, марка iHome / Control4</t>
  </si>
  <si>
    <t>7.10.6</t>
  </si>
  <si>
    <t>Контроль доступа</t>
  </si>
  <si>
    <t>-</t>
  </si>
  <si>
    <t>7.10.7</t>
  </si>
  <si>
    <t>Система охранной сигнализации</t>
  </si>
  <si>
    <t>Примечание: Поставка и монтаж оборудования безопасности, датчики движения PIR с системой PET до 25кг, технология QLIT, инфракрасные, микроволновые для большей эффективности системы по дому. Эта система включает центральный блок с системой вторичного питания для работы в случае отказа основного питания. Интеграция сигнализации с основной системой управления через IP, позволяющая удаленное управление сигнализацией, а также с локальных сенсорных экранов, смартфонов.</t>
  </si>
  <si>
    <t>Оборудование системы охранной сигнализации</t>
  </si>
  <si>
    <t>Программное обеспечение интеграции сигнализации</t>
  </si>
  <si>
    <t>Центральный блок сигнализации, 8 зон, расширяемый до 64 проводных зон, 4 выхода PGM, расширяемые до 14, программирование GUI, до 8 клавиатур, 8 разделов, регистр памяти до 500 событий, 95 пользовательских кодов, поддержка радиоклавиатур, марка iHome, DSC NEO</t>
  </si>
  <si>
    <t>Кабель для системы сигнализации из 6 проводников типа ACN6 или эквивалентный</t>
  </si>
  <si>
    <t>Многоязычная клавиатура до 64 зон с ЖК-дисплеем, полные текстовые сообщения, состояние разделов, аварийные клавиши, регулируемая подсветка, диагностика по шине. Марка iHome / DSC NEO</t>
  </si>
  <si>
    <t>Модуль интеграции системы сигнализации</t>
  </si>
  <si>
    <t>Наружная сирена</t>
  </si>
  <si>
    <t>Внутренняя сирена</t>
  </si>
  <si>
    <t>Датчик движения PIR с иммунитетом к животным PET, двойная технология, QLIT, цифровая обработка сигнала, контакт сигнализации и вскрытия, компактный, на основе системы ASIC, с регулируемой чувствительностью. Марка iHome / DSC</t>
  </si>
  <si>
    <t>Магнитные контакты</t>
  </si>
  <si>
    <t>Датчик дыма</t>
  </si>
  <si>
    <t>Датчик затопления</t>
  </si>
  <si>
    <t>Источник питания для центрального блока сигнализации с 4 программируемыми выходами 1А@12ВDC</t>
  </si>
  <si>
    <t>Расширитель 8 зон центрального блока сигнализации, защита PTC</t>
  </si>
  <si>
    <t>Аккумулятор 7.2 Ампер; 12В 151x65x95</t>
  </si>
  <si>
    <t>Серая трубка Ø20</t>
  </si>
  <si>
    <t>Трубка ERFE Ø32</t>
  </si>
  <si>
    <t>Коробка типа C2</t>
  </si>
  <si>
    <t>7.10.8</t>
  </si>
  <si>
    <t>Система видеонаблюдения</t>
  </si>
  <si>
    <t>Примечание: Поставка и монтаж оборудования видеонаблюдения наружного, использующего в качестве физического слоя сетевой кабель и протокол IP на сетевом уровне, подключение всех камер видеонаблюдения к основному сетевому регистратору. Установка системы в специфических и стратегических местах согласно необходимому покрытию и спецификациям оборудования. Кроме того, система позволяет интеграцию для локального просмотра и удаленного просмотра из любой точки.</t>
  </si>
  <si>
    <t>Оборудование системы видеонаблюдения</t>
  </si>
  <si>
    <t>Программное обеспечение интеграции системы видеонаблюдения</t>
  </si>
  <si>
    <t>IP-регистратор видеонаблюдения 8 каналов записи камер Ultra HD (4K), видео Ultra High Definition, 4K или 8 мегапикселей в четыре раза четче традиционного 1080p. Вместе с низким энергопотреблением, марка: iHome/Hikvision; модель DS-7608NI-K2/8P</t>
  </si>
  <si>
    <t>Жесткий диск HDD 3.5" 6TB AV</t>
  </si>
  <si>
    <t>Гигабитный сетевой коммутатор, POE, с платформой управления, 16 портов POE и SFP для оптоволоконных соединений, упрощенная интеграция в сетевую систему, протоколы маршрутизации, задние порты и с подключением к платформе удаленного управления OVRC, монтаж в стойку ARAKNIS 210 или эквивалентный</t>
  </si>
  <si>
    <t>Сетевой кабель Cat6 технология HDBaseT, подготовленный для больших расстояний, конвергенция сигналов. Взаимная емкость &lt; 5.6нФ/100м, сопротивление проводника 7.32Ом/100м при 20°C, медные проводники 23(1)AWG, характеристическое сопротивление 100/+-15 Ом /1-500МГц)</t>
  </si>
  <si>
    <t>4MP с питанием от POE моторизованная варифокальная цилиндрическая сетевая камера, DS-2CD2043G0-I</t>
  </si>
  <si>
    <t>Металлический столб для крепления камеры, h=2,5м</t>
  </si>
  <si>
    <t>Патч-панель коннекторов RJ45 24 порта - Cat6</t>
  </si>
  <si>
    <t>Трубопровод eRFE Ø25</t>
  </si>
  <si>
    <t>Трубопровод ERFE Ø32</t>
  </si>
  <si>
    <t>7.10.9</t>
  </si>
  <si>
    <t>8</t>
  </si>
  <si>
    <t>ТЕЛЕКОММУНИКАЦИОННЫЕ УСТАНОВКИ</t>
  </si>
  <si>
    <t>Примечание: Поставка и выполнение всех работ, необходимых для выполнения сети ITED согласно указаниям и спецификациям, предусмотренным в письменных и графических частях проекта. Считается включенным в единичные цены вскрытие и засыпка траншей и штроб и все поставки материалов и рабочей силы, необходимой для выполнения электрической сети, чтобы гарантировать ее правильное функционирование.</t>
  </si>
  <si>
    <t>8,1</t>
  </si>
  <si>
    <t>Поставка и монтаж трубопроводов</t>
  </si>
  <si>
    <t>ERM DN25</t>
  </si>
  <si>
    <t>ERM DN40</t>
  </si>
  <si>
    <t>ERM DN50</t>
  </si>
  <si>
    <t>8,2</t>
  </si>
  <si>
    <t>Поставка и монтаж смотровой камеры</t>
  </si>
  <si>
    <t>CAM</t>
  </si>
  <si>
    <t>Смотровые коробки 0,6x0,6x0,6</t>
  </si>
  <si>
    <t>8,3</t>
  </si>
  <si>
    <t>Поставка и монтаж ATI</t>
  </si>
  <si>
    <t>Стойка 42U' 600x800 - ATI, оборудованная RC-PC RC-CC и RC-FO ITED, комплекты, оборудованные RC PC cat. 6, 1 распределитель RC CC 2400 МГц и RC FO SC/APC. Комплекты ATI поставляются с платой, заземляющей шиной, розеточной планкой на 6 розеток 230В, разделителем, боковыми опорами, дверью, рамой и RC</t>
  </si>
  <si>
    <t>8,4</t>
  </si>
  <si>
    <t>Поставка и монтаж коробок</t>
  </si>
  <si>
    <t>Коробка аппаратуры типа I1</t>
  </si>
  <si>
    <t>Проходная коробка типа C1</t>
  </si>
  <si>
    <t>8,5</t>
  </si>
  <si>
    <t>Поставка и монтаж розеток</t>
  </si>
  <si>
    <t>Терминальная розетка 2,4МГц от Televes, белая отделка марки Jung или эквивалентная (цвет и отделка должны быть совместимы с архитектурным проектом)</t>
  </si>
  <si>
    <t>Простая розетка RJ45, белая отделка марки Jung или эквивалентная (цвет и отделка должны быть совместимы с архитектурным проектом)</t>
  </si>
  <si>
    <t>Двойная розетка оптоволокна SC/APC белая отделка марки Jung или эквивалентная (цвет и отделка должны быть совместимы с архитектурным проектом)</t>
  </si>
  <si>
    <t>8,6</t>
  </si>
  <si>
    <t>Сеть коаксиальных кабелей</t>
  </si>
  <si>
    <t>Антенна Televes DAT 1495 от Televes или эквивалентная</t>
  </si>
  <si>
    <t>DST – Разрядник перенапряжений</t>
  </si>
  <si>
    <t>8,7</t>
  </si>
  <si>
    <t>Поставка и монтаж кабелей</t>
  </si>
  <si>
    <t>Коаксиальный кабель Televes 2141 или эквивалентный – Сеть CATV</t>
  </si>
  <si>
    <t>Кабель UTP Cat6</t>
  </si>
  <si>
    <t>Оптоволокно типа SC/APC DUPLEX</t>
  </si>
  <si>
    <t>8,8</t>
  </si>
  <si>
    <t>H07V-U 1G6</t>
  </si>
  <si>
    <t>H07V-R 1G16</t>
  </si>
  <si>
    <t>8,9</t>
  </si>
  <si>
    <t>НАРУЖНОЕ БЛАГОУСТРОЙСТВО</t>
  </si>
  <si>
    <t>Примечание 1: Все статьи включают поставку и укладку материалов, все аксессуары и дополнительные работы согласно письменным и графическим частям проекта, в частности техническому заданию и общим и специальным техническим условиям. Представленная номенклатура должна быть подтверждена путем внимательного чтения письменных и графических частей, которые являются неотъемлемой частью процесса и должным образом адаптированы всякий раз, когда условия работы этого требуют.</t>
  </si>
  <si>
    <t>Примечание 2: Все выраженные количества относятся к планированным площадям, которые являются результатом горизонтальной проекции плоскостей и откосов, не давая права на ошибки и упущения разности относительно реальной площади.</t>
  </si>
  <si>
    <t>Примечание 3: Настоящий проект основан на плане топографической съемки. Могут происходить, во время вмешательства, корректировки между топографической съемкой и реальностью местности.</t>
  </si>
  <si>
    <t>Примечание 4: Все работы и материалы для использования должны получить предварительное одобрение заказчика</t>
  </si>
  <si>
    <t>Примечание 5: В ситуациях, когда описательные элементы выполнения не проверяются как наиболее подходящие для выполнения работы, подрядчик должен предупредить заказчика для получения лучшего решения выполнения.</t>
  </si>
  <si>
    <t>I</t>
  </si>
  <si>
    <t>ГРАЖДАНСКОЕ СТРОИТЕЛЬСТВО</t>
  </si>
  <si>
    <t>ПОДГОТОВИТЕЛЬНЫЕ РАБОТЫ</t>
  </si>
  <si>
    <t>Разбивка и топографическая разметка</t>
  </si>
  <si>
    <t>1.1.1.1</t>
  </si>
  <si>
    <t>Разметка трассы и разбивка с использованием выровненных и отвесных реперов, с использованием кольев и протяжки проволоки. Включает все средства, работы, материалы, необходимые и дополнительные, даже если они не выражены в настоящей статье.</t>
  </si>
  <si>
    <t>incluido</t>
  </si>
  <si>
    <t>1.1.2</t>
  </si>
  <si>
    <t>Очистка, вырубка и снятие растительного слоя</t>
  </si>
  <si>
    <t>1.1.2.1</t>
  </si>
  <si>
    <t>Общая очистка местности, удаление всего мусора, пней, завалов, находящихся в зоне вмешательства, вырубка и выравнивание зеленых зон для посадки. Включает удаление сорной растительности, включая снятие растительного слоя толщиной 0,10м, удаление мусора и завалов, существующих в зоне, погрузку, транспортировку и разгрузку излишних продуктов на авторизованную свалку для депонирования соответствующих отходов и все необходимые работы.</t>
  </si>
  <si>
    <t>1.2</t>
  </si>
  <si>
    <t>1.2.1</t>
  </si>
  <si>
    <t>Выемка</t>
  </si>
  <si>
    <t>1.2.1.1</t>
  </si>
  <si>
    <t>Выемка грунта любого характера до проектных отметок, включая транспортировку в зоны насыпи, остальные должны транспортироваться на авторизованный склад, включая транспортировку, компенсации, а также все средства, работы, материалы, необходимые.</t>
  </si>
  <si>
    <t>1.2.2</t>
  </si>
  <si>
    <t>Насыпь</t>
  </si>
  <si>
    <t>1.2.2.1</t>
  </si>
  <si>
    <t>Насыпь слоями до проектных отметок отборным грунтом из выемок или из зон заимствования вне зоны вмешательства, включая транспортировку, все средства, работы, материалы, необходимые.</t>
  </si>
  <si>
    <t>1.2.3</t>
  </si>
  <si>
    <t>Заимствование грунта</t>
  </si>
  <si>
    <t>1.2.3.1</t>
  </si>
  <si>
    <t>Поставка, погрузка, транспортировка, разгрузка, распределение заимствованного грунта, а также все средства, работы, материалы, необходимые.</t>
  </si>
  <si>
    <t>ПОЛЫ, ПОКРЫТИЯ И СТРОИТЕЛЬНЫЕ ЭЛЕМЕНТЫ</t>
  </si>
  <si>
    <t>Все гражданское строительство должно быть согласовано со специализированными инженерными работами, а именно: устойчивость, водоснабжение и дождевая канализация, и электрические установки.</t>
  </si>
  <si>
    <t>1.3.1</t>
  </si>
  <si>
    <t>Покрытие из решеток для озеленения</t>
  </si>
  <si>
    <t>1.3.1.1</t>
  </si>
  <si>
    <t>Выполнение покрытия из решеток для озеленения из полипропилена типа 'Jardins &amp; Afins - Nidagravel 130-140' или эквивалентного, черного цвета (размеры: 2,40x1,20x0,03м), после вскрытия котлована и уплотнения будет уложен слой щебня 2/3 толщиной 20см, на который насыпается слой песка толщиной 5см, после чего укладываются ячеистые решетки с перекрестными соединениями, после чего производится заполнение решеток на общую высоту 3см для обеспечения равномерного распределения растительного материала. Работы включают транспортировку излишков продукции и соответствующую компенсацию, опалубку, растворы, резку и все средства, работы, необходимые и дополнительные материалы, даже если они не описаны в данной статье.</t>
  </si>
  <si>
    <t>1.3.1.1.1</t>
  </si>
  <si>
    <t>Поставка и распределение растительной земли с выполнением гидропосева газона толщиной 5см при распределении на решетки.</t>
  </si>
  <si>
    <t>1.3.2</t>
  </si>
  <si>
    <t>Гравий</t>
  </si>
  <si>
    <t>1.3.2.1</t>
  </si>
  <si>
    <t>Поставка и распределение белого гравия 4/6мм (определяется на стройке по образцам) толщиной 10см в качестве свободного покрытия (двор).</t>
  </si>
  <si>
    <t>1.3.3</t>
  </si>
  <si>
    <t>Ступенчатая дорожка из деревянных шпал</t>
  </si>
  <si>
    <t>1.3.3.1</t>
  </si>
  <si>
    <t>Выполнение ступенчатого покрытия на грунте из шпал морской сосны, пиленых и обработанных в автоклаве класса C4, размером 1,00x0,24x0,10м, с противоскользящей отделкой типа 'Carmo ref eco-travessas' или эквивалентной, закрепленных к грунту с помощью 2 металлических штырей/шпала, утопленных для крепления и стабилизации, после вскрытия котлована, уплотнения и поставки и выполнения 100мм среднего щебня для укладки. Работы включают транспортировку излишков продукции и соответствующую компенсацию, резку, арматуру и все средства, работы, необходимые и дополнительные материалы, даже если они не описаны в данной статье.</t>
  </si>
  <si>
    <t>1.3.4</t>
  </si>
  <si>
    <t>Деревянный настил</t>
  </si>
  <si>
    <t>1.3.4.1</t>
  </si>
  <si>
    <t>Поставка и укладка покрытия из термообработанного настила TOSCCA с рейками 140x28мм или эквивалентного, уложенного на основание из выравнивающей стяжки с уклоном и высотой 0,10, предварительно выполненной, включая подготовку основания, опорные массивы, конструкцию укладки из брусков, отделку и все необходимые работы согласно чертежам деталей и условиям и указаниям поставщика.</t>
  </si>
  <si>
    <t>1.3.5</t>
  </si>
  <si>
    <t>Покрытие из обнаженного бетона</t>
  </si>
  <si>
    <t>1.3.5.1</t>
  </si>
  <si>
    <t>Поставка и выполнение покрытия из обнаженного бетона типа 'SECIL Argamassas ref. Unidecor natural' или эквивалентного толщиной 0,12м, после вскрытия и уплотнения котлована, распределения слоя щебня на геотекстильную ткань 200г/м2, включая: смешивание в автобетоносмесителе, механическую отделку, промывку и герметизацию, выполнение пропиленных швов, отделку и финальную очистку, и все средства, работы, материалы, необходимые и дополнительные, даже если они не описаны в данной статье.</t>
  </si>
  <si>
    <t>1.3.6</t>
  </si>
  <si>
    <t>Клумбы из листа кортеновской стали</t>
  </si>
  <si>
    <t>1.3.6.1</t>
  </si>
  <si>
    <t>Поставка и выполнение садовых клумб из листа кортеновской стали (8мм) высотой 0,50м. Работы включают слесарные работы, сварку, арматуру, аксессуары, лакирование, гидроизоляцию и дренаж (геодрен диаметром 50мм) и прочие необходимые материалы и работы</t>
  </si>
  <si>
    <t>ОСВЕЩЕНИЕ - СВЕТОВЫЕ ТОЧКИ</t>
  </si>
  <si>
    <t>см. проект электроустановок</t>
  </si>
  <si>
    <t>Напольные прожекторы</t>
  </si>
  <si>
    <t>1.4.1.1</t>
  </si>
  <si>
    <t>Поставка и установка напольных прожекторов типа 'MINI AIR DOUBLE EMIS BLACK 2700K RECESSING BOX DRIVER 350MA IP20 15W 220.240VAC Voutmax 40V' с артикулом MXR2N0 / CSXT01 / AL1034 от 'Flexalighting / OHM' или эквивалентного согласно спецификациям производителя, включая все соединения, средства, работы, необходимые и дополнительные материалы, даже если они не описаны в данной статье.</t>
  </si>
  <si>
    <t>1.4.1.2</t>
  </si>
  <si>
    <t>Поставка и установка напольного прожектора типа 'BUNGA SINGLE BLACK 2700K RECESSING BOX DRIVER 350MA IP20 15W 220.240VAC Voutmax 40V' с артикулом BG1N0 / CSXT01 / AL1034 от 'Flexalighting / OHM' или эквивалентного, согласно спецификациям производителя, включая все соединения, средства, работы, необходимые и дополнительные материалы, даже если они не описаны в данной статье.</t>
  </si>
  <si>
    <t>1.4.2</t>
  </si>
  <si>
    <t>Ориентирующий прожектор</t>
  </si>
  <si>
    <t>1.4.2.1</t>
  </si>
  <si>
    <t>Поставка и установка направленного осветительного прожектора типа 'STAGE ROUND LED 3000K с колышком для крепления к грунту, ref. S.1325W24 / S.355409' от Simes или эквивалентного, согласно спецификациям производителя, включая все соединения, средства, работы, необходимые и дополнительные материалы, даже если они не описаны в данной статье.</t>
  </si>
  <si>
    <t>1.4.3</t>
  </si>
  <si>
    <t>Прожектор игрового поля</t>
  </si>
  <si>
    <t>1.4.3.1</t>
  </si>
  <si>
    <t>Поставка и установка прожектора для освещения игрового поля типа 'MAHALO POLE 120° 3000K CRI93 IP65, Black + Driver' с артикулом MHP1539X + PLC5 от 'Flexalighting' или эквивалентного, согласно спецификациям производителя, включая все соединения, средства, работы, необходимые и дополнительные материалы, даже если они не описаны в данной статье.</t>
  </si>
  <si>
    <t>1.4.3.1.1</t>
  </si>
  <si>
    <t>Прожекторы 'MAHALO POLE 120° 3000K CRI93 IP65, Black + Driver' с артикулом MHP1539X</t>
  </si>
  <si>
    <t>1.4.3.1.2</t>
  </si>
  <si>
    <t>Опора 'POLE' Black' с артикулом PLC5</t>
  </si>
  <si>
    <t>1.5.1</t>
  </si>
  <si>
    <t>Игровое поле</t>
  </si>
  <si>
    <t>1.5.1.1</t>
  </si>
  <si>
    <t>Поставка и установка комплекта мини-баскетбола, состоящего из: стойки, щита, кольца и сетки. Стойка из трубы 100x100x3мм оцинкованной с отделкой 100 Noir Sablé, заглубленной в бетонный массив C20/25 XC2(P); D12; S3;Cl 0,4, уложенный на 0,05м подбетонки после вскрытия и выравнивания дна котлована. Щит официального размера (1,80м x 1,05м) из прозрачного акрила толщиной 10мм, с железным кольцом с отделкой 100 Noir Sablé, с внутренним диаметром 450мм из оцинкованного круглого прута 16мм&lt;Ø&lt;20мм, со светодиодным освещением, встроенным в кольцо. Сетка из белой нейлоновой сетки 6,5мм, прикрепленная к кольцу в 12 точках, длиной 40см, все согласно спецификациям производителя, включая все крепления, соединения, средства, работы, необходимые и дополнительные материалы, даже если они не описаны в данной статье.</t>
  </si>
  <si>
    <t>1.5.1.2</t>
  </si>
  <si>
    <t>Поставка и установка душевого поддона типа 'URBAN Dusche' от 'Viteo' или эквивалентного, из пластикового материала и нержавеющей стали (0,78м), все согласно спецификациям производителя, включая все крепления, соединения, средства, работы, необходимые и дополнительные материалы, даже если они не описаны в данной статье.</t>
  </si>
  <si>
    <t>1.5.1.3</t>
  </si>
  <si>
    <t>Поставка и установка футбольных ворот для футбола 5 от Bricantel или эквивалентных ref BR 023 - 1AL, включая вскрытие котлована в грунте любой природы для выполнения фундаментных и анкерных массивов, удаление излишков материалов на свалку, расположенную вне зоны работ, выполнение фундаментных и анкерных массивов из простого бетона, все анкеры и крепления, а также все подготовительные работы и финишную отделку. Все должным образом смонтировано согласно указаниям производителя и установлено специализированным персоналом.</t>
  </si>
  <si>
    <t>1.5.1.4</t>
  </si>
  <si>
    <t>Поставка и установка деревянной скамьи согласно чертежам деталей, состоящей из деревянных реек 12x12x240, включая все подготовительные работы и финишную отделку. Все должным образом смонтировано согласно указаниям.</t>
  </si>
  <si>
    <t>II</t>
  </si>
  <si>
    <t>ПОСАДКИ И ПОСЕВЫ</t>
  </si>
  <si>
    <t>II.1</t>
  </si>
  <si>
    <t>ПОДГОТОВКА ПОЧВЫ ДЛЯ РАСТИТЕЛЬНОГО ПОКРЫТИЯ</t>
  </si>
  <si>
    <t>II.1.1</t>
  </si>
  <si>
    <t>Обработка</t>
  </si>
  <si>
    <t>II.1.1.1</t>
  </si>
  <si>
    <t>Поверхностная обработка, очистка почвы от камней и стабилизация по горизонталям на глубину около 0,30м, установление минимальных уклонов, определенных для зеленых зон, и подготовка естественного грунта для приема посадочного компоста, включая все средства, работы, необходимые материалы.</t>
  </si>
  <si>
    <t>II.1.2</t>
  </si>
  <si>
    <t>Рытье ям</t>
  </si>
  <si>
    <t>II.1.2.1</t>
  </si>
  <si>
    <t>Выемка при рытье ям размером 1,00м для посадки деревьев, включая подъем, переноску и транспортировку земли к месту окончательного назначения или укладку в кучи для засыпки, все средства, работы, необходимые материалы.</t>
  </si>
  <si>
    <t>II.1.2.2</t>
  </si>
  <si>
    <t>Выемка при рытье ям размером 0,40м для посадки кустарниковых массивов, включая подъем, переноску и транспортировку земли к месту окончательного назначения или укладку в кучи для засыпки, все средства, работы, необходимые материалы.</t>
  </si>
  <si>
    <t>II.1.2.3</t>
  </si>
  <si>
    <t>Выемка при рытье ям размером 0,20м для посадки травянистых и полукустарниковых массивов, включая подъем, переноску и транспортировку земли к месту окончательного назначения или укладку в кучи для засыпки, все средства, работы, необходимые материалы.</t>
  </si>
  <si>
    <t>II.1.3</t>
  </si>
  <si>
    <t>Растительная земля, компост и удобрения</t>
  </si>
  <si>
    <t>II.1.3.1</t>
  </si>
  <si>
    <t>Распределение растительной земли, свободной от камней, комков и корней, включая погрузку, транспортировку, разгрузку, распределение и выравнивание согласно проектным отметкам и уклонам и/или поставку, включая внесение органического вещества, удобрение, все средства, работы, необходимые материалы.</t>
  </si>
  <si>
    <t>II.1.3.1.1</t>
  </si>
  <si>
    <t>для газона толщиной 0,10м</t>
  </si>
  <si>
    <t>II.1.3.1.2</t>
  </si>
  <si>
    <t>для травянистых и полукустарниковых массивов толщиной 0,20м</t>
  </si>
  <si>
    <t>II.1.3.1.3</t>
  </si>
  <si>
    <t>для кустарниковых массивов толщиной 0,40м</t>
  </si>
  <si>
    <t>II.1.3.1.4</t>
  </si>
  <si>
    <t>для деревьев толщиной 1,00м</t>
  </si>
  <si>
    <t>II.2</t>
  </si>
  <si>
    <t>РАСТИТЕЛЬНЫЙ МАТЕРИАЛ, ОПОРЫ И МУЛЬЧА</t>
  </si>
  <si>
    <t>II.2.1</t>
  </si>
  <si>
    <t>Посадка деревьев</t>
  </si>
  <si>
    <t>II.2.1.1</t>
  </si>
  <si>
    <t>Поставка и посадка деревьев, включая все средства, работы, необходимые материалы.</t>
  </si>
  <si>
    <t>II.2.1.1.1</t>
  </si>
  <si>
    <t>Cr - Мандарин PAP8/10, V20/40л (СТАТЬЯ РАССЧИТАНА ДЛЯ V35Л)</t>
  </si>
  <si>
    <t>II.2.1.1.2</t>
  </si>
  <si>
    <t>Cs - Апельсин сладкий PAP8/10, V20/40л (СТАТЬЯ РАССЧИТАНА ДЛЯ V35Л)</t>
  </si>
  <si>
    <t>II.2.1.1.3</t>
  </si>
  <si>
    <t>Ac - Клен полевой PAP16/18, V60л</t>
  </si>
  <si>
    <t>II.2.1.1.4</t>
  </si>
  <si>
    <t>Me - Метросидерос высокий PAP16/18, V40л</t>
  </si>
  <si>
    <t>II.2.1.1.5</t>
  </si>
  <si>
    <t>Oe - Маслина европейская PAP16/18, V60л</t>
  </si>
  <si>
    <t>II.2.1.1.6</t>
  </si>
  <si>
    <t>Pd - Слива домашняя (сливовое дерево) PAP8/10, V20/40л</t>
  </si>
  <si>
    <t>II.2.1.1.7</t>
  </si>
  <si>
    <t>Csq - Рожковое дерево PAP18/20, V80л</t>
  </si>
  <si>
    <t>II.2.1.1.8</t>
  </si>
  <si>
    <t>Ppn - Сосна итальянская PAP18/20, V80л</t>
  </si>
  <si>
    <t>II.2.1.1.9</t>
  </si>
  <si>
    <t>Pp - Сосна приморская PAP18/20, V80л</t>
  </si>
  <si>
    <t>II.2.1.1.10</t>
  </si>
  <si>
    <t>Cl - Кипарис Лейланда PAP18/20, V80л</t>
  </si>
  <si>
    <t>II.2.2</t>
  </si>
  <si>
    <t>Посадки кустарников крупного и среднего размера</t>
  </si>
  <si>
    <t>II.2.2.1</t>
  </si>
  <si>
    <t>Поставка и посадка кустарников, включая все средства, работы, необходимые материалы.</t>
  </si>
  <si>
    <t>II.2.2.1.1</t>
  </si>
  <si>
    <t>Au - Земляничное дерево выс 80/100, V10л</t>
  </si>
  <si>
    <t>II.2.2.1.2</t>
  </si>
  <si>
    <t>Ln - Лавр благородный выс 100, V10л</t>
  </si>
  <si>
    <t>II.2.2.1.3</t>
  </si>
  <si>
    <t>Em - Эвгения миртолистная выс 40/60, V5л</t>
  </si>
  <si>
    <t>II.2.2.1.4</t>
  </si>
  <si>
    <t>Jh - Можжевельник горизонтальный выс 40/60, V5л</t>
  </si>
  <si>
    <t>II.2.2.1.5</t>
  </si>
  <si>
    <t>Ej - Бересклет японский выс 80/100, V5л (СТАТЬЯ РАССЧИТАНА ДЛЯ ВЫС 40/60 И V10Л)</t>
  </si>
  <si>
    <t>II.2.2.1.6</t>
  </si>
  <si>
    <t>Tf - Теукриум кустарниковый выс 80/100, V5л (СТАТЬЯ РАССЧИТАНА ДЛЯ ВЫС 40/60 И V10Л)</t>
  </si>
  <si>
    <t>II.2.2.1.7</t>
  </si>
  <si>
    <t>Ro - Розмарин лекарственный (розмарин) выс 40/60, V5л (СТАТЬЯ РАССЧИТАНА ДЛЯ V2,5Л)</t>
  </si>
  <si>
    <t>II.2.2.1.8</t>
  </si>
  <si>
    <t>Wf - Вестрингия кустарниковая выс 40/60, V5л</t>
  </si>
  <si>
    <t>II.2.2.1.9</t>
  </si>
  <si>
    <t>Lv - Бирючина обыкновенная выс 40/60, V5л (СТАТЬЯ РАССЧИТАНА ДЛЯ V2,5Л)</t>
  </si>
  <si>
    <t>II.2.2.1.10</t>
  </si>
  <si>
    <t>Pt - Питтоспорум Тобира выс 40/60, V5л (СТАТЬЯ РАССЧИТАНА ДЛЯ V3Л)</t>
  </si>
  <si>
    <t>II.2.3</t>
  </si>
  <si>
    <t>Посадки пальм</t>
  </si>
  <si>
    <t>II.2.3.1</t>
  </si>
  <si>
    <t>Поставка и посадка суккулентных растений, цикад и пальм, включая все средства, работы, необходимые материалы.</t>
  </si>
  <si>
    <t>II.2.3.1.1</t>
  </si>
  <si>
    <t>Ch - Хамеропс приземистый выс 80/100, V7,5л</t>
  </si>
  <si>
    <t>II.2.3.1.2</t>
  </si>
  <si>
    <t>Cr - Цикас поникающий выс ствола 20/30см, V7,5л</t>
  </si>
  <si>
    <t>II.2.4</t>
  </si>
  <si>
    <t>Посадки мелких кустарников и травянистых растений</t>
  </si>
  <si>
    <t>II.2.4.1</t>
  </si>
  <si>
    <t>Поставка и посадка мелких кустарников и травянистых растений, включая все средства, работы, необходимые материалы.</t>
  </si>
  <si>
    <t>II.2.4.1.1</t>
  </si>
  <si>
    <t>Fg - Овсяница сизая - 5шт/м² выс 10/20, V9см</t>
  </si>
  <si>
    <t>II.2.4.1.2</t>
  </si>
  <si>
    <t>Gl - Гаура Линдхеймера - 5шт/м² выс 30/40, V3л (СТАТЬЯ РАССЧИТАНА ДЛЯ V1Л)</t>
  </si>
  <si>
    <t>II.2.4.1.3</t>
  </si>
  <si>
    <t>Lm - Лаванда французская - 5шт/м² выс 30/40, V3л (СТАТЬЯ РАССЧИТАНА ВЫС20/30 ДЛЯ V2,5Л)</t>
  </si>
  <si>
    <t>II.2.4.1.4</t>
  </si>
  <si>
    <t>St - Ковыль тончайший - 5шт/м² выс 20/30, V2,5л</t>
  </si>
  <si>
    <t>II.2.4.1.5</t>
  </si>
  <si>
    <t>Pa - Перистощетинник щетинистый - 5шт/м² выс 30/40, V3л (СТАТЬЯ РАССЧИТАНА ВЫС20/30 ДЛЯ V1Л)</t>
  </si>
  <si>
    <t>II.2.4.1.6</t>
  </si>
  <si>
    <t>Sc - Сантолина кипарисовидная - 5шт/м² выс 30/40, V3л (СТАТЬЯ РАССЧИТАНА ВЫС20/30 ДЛЯ V2,5Л)</t>
  </si>
  <si>
    <t>II.2.4.1.7</t>
  </si>
  <si>
    <t>Tv - Тимьян обыкновенный - 5шт/м² выс 10/20, V1л</t>
  </si>
  <si>
    <t>II.2.5</t>
  </si>
  <si>
    <t>Посев газона</t>
  </si>
  <si>
    <t>II.2.5.1</t>
  </si>
  <si>
    <t>Поставка и посев газона типа 'Alipio Dias' или эквивалентного, включая удобрение, все дополнительные работы согласно Т.У., плотностью 60г/м2.</t>
  </si>
  <si>
    <t>Овсяница тростниковая 50% Овсяница красная подвид 30% Мятлик однолетний 20%</t>
  </si>
  <si>
    <t>II.2.6</t>
  </si>
  <si>
    <t>Посев луга</t>
  </si>
  <si>
    <t>II.2.6.1</t>
  </si>
  <si>
    <t>Поставка и посев луга Цветущий луг APJordão или эквивалентного, включая удобрение, все дополнительные работы согласно Т.У., плотностью 100г/м2.</t>
  </si>
  <si>
    <t>47% Овсяница красная красная 50% Овсяница овечья жесткая 3% Смесь полевых цветов</t>
  </si>
  <si>
    <t>II.2.7</t>
  </si>
  <si>
    <t>Опоры и подвязки</t>
  </si>
  <si>
    <t>II.2.7.1</t>
  </si>
  <si>
    <t>Поставка и установка опор в виде монолита (посадки в грунт) из сосны или эвкалипта, должным образом обработанных, высотой 3,50м и диаметром 0,10м, включая резиновую защиту и двойную подвязку на эластичной основе типа "Toltex –Elastos 45" или эквивалентную. Включает все материалы и дополнительные работы.</t>
  </si>
  <si>
    <t>II.2.8</t>
  </si>
  <si>
    <t>Сосновая кора</t>
  </si>
  <si>
    <t>II.2.8.1</t>
  </si>
  <si>
    <t>Поставка и распределение сосновой коры (мульча) типа 'Siro Decor' или эквивалентной, гранулометрия 25-45мм (т=15см), включая транспортировку, все необходимые и дополнительные материалы и работы, даже если они не описаны в данной статье.</t>
  </si>
  <si>
    <t>III</t>
  </si>
  <si>
    <t>ПОЛИВ</t>
  </si>
  <si>
    <t>III.1</t>
  </si>
  <si>
    <t>ИНФРАСТРУКТУРЫ</t>
  </si>
  <si>
    <t>Консультироваться и согласовывать со специальностью водоснабжения и электроустановок</t>
  </si>
  <si>
    <t>III.1.1</t>
  </si>
  <si>
    <t>ТРАНШЕИ</t>
  </si>
  <si>
    <t>III.1.1.1</t>
  </si>
  <si>
    <t>Рытье и засыпка траншей размером 0,40 x 0,50м, включая все работы и дополнительные материалы, все согласно нормам хорошего выполнения, как предусмотрено в проекте, на грунте</t>
  </si>
  <si>
    <t>III.1.1.2</t>
  </si>
  <si>
    <t>Поставка и укладка речного песка слоем 0,40 x 0,20м, свободного от камней, комков, корней и соли, образующего подушку и обертку трубопроводов, включая уплотнение и выравнивание дна для укладки трубопроводов.</t>
  </si>
  <si>
    <t>III.1.1.3</t>
  </si>
  <si>
    <t>Удаление излишков материалов в подходящее место согласно ПУГСО и под ответственность подрядчика, включая погрузку, транспортировку, разгрузку и распределение (измерение с 20% разрыхления).</t>
  </si>
  <si>
    <t>III.1.2</t>
  </si>
  <si>
    <t>Трубопроводы и отверстия</t>
  </si>
  <si>
    <t>III.1.2.1</t>
  </si>
  <si>
    <t>Поставка и монтаж в траншее или при пересечении покрытия трубы из полиэтилена высокой плотности (ПЭВП MRS 100, PN 10 SDR 17), включая все типы соединений и с соединительными аксессуарами, указанными в Техническом задании как на плане, так и в профиле, а также все материалы и дополнительные работы.</t>
  </si>
  <si>
    <t>III.1.2.1.1</t>
  </si>
  <si>
    <t>Диаметр 25мм</t>
  </si>
  <si>
    <t>III.1.2.1.2</t>
  </si>
  <si>
    <t>Диаметр 32мм</t>
  </si>
  <si>
    <t>III.1.2.1.3</t>
  </si>
  <si>
    <t>Диаметр 40мм</t>
  </si>
  <si>
    <t>III.1.2.2</t>
  </si>
  <si>
    <t>Поставка и установка механической защиты из полиэтилена высокой плотности (ПЭВП) MRS 100 PN 12,5 SRD 13,6 для пересечений покрытий, а также все материалы и дополнительные работы.</t>
  </si>
  <si>
    <t>III.1.2.2.1</t>
  </si>
  <si>
    <t>Диаметр 180мм</t>
  </si>
  <si>
    <t>III.1.3</t>
  </si>
  <si>
    <t>Излучатели</t>
  </si>
  <si>
    <t>III.1.3.2</t>
  </si>
  <si>
    <t>Поставка и подземная установка капельниц Netafim Turbonet 2,3 л/ч или эквивалентных, встроенных через каждые 30 см в трубу Netafim UniRAM 16/120 или эквивалентную, на глубине 10 см, включая соединения и фиксирующие колышки, рекомендованные Netafim или эквивалентными, а также все работы и дополнительные материалы.</t>
  </si>
  <si>
    <t>III.1.3.3</t>
  </si>
  <si>
    <t>Поставка и установка разбрызгивателей Rain Bird MProtater или эквивалентных, установленных в корпусах Rain Bird 3500 или эквивалентных, включая гибкое соединение, а также все материалы и дополнительные работы.</t>
  </si>
  <si>
    <t>III.1.3.3.1</t>
  </si>
  <si>
    <t>разбрызгиватели и форсунки</t>
  </si>
  <si>
    <t>Поставка и монтаж водозаборных клапанов диам. 3/4" из металла Sure Quick 3 WW, включая стержень из гидронила 3/4" и шаровой клапан 3/4" из латуни выше по течению, а также все материалы и работы, необходимые для подключения к трубопроводу и защитной коробке Rain Bird VB10RND согласно Техническому заданию.</t>
  </si>
  <si>
    <t>III.1.4</t>
  </si>
  <si>
    <t>Электроклапаны</t>
  </si>
  <si>
    <t>III.1.4.1</t>
  </si>
  <si>
    <t>Поставка и монтаж электроклапана Hunter PGV или эквивалентного, включая защитную коробку Rain Bird VBSTD согласно Техническому заданию, а также все материалы и работы, необходимые для соединений с трубопроводом выше и ниже по течению.</t>
  </si>
  <si>
    <t>III.1.4.1.1</t>
  </si>
  <si>
    <t>1" PGV 151 B</t>
  </si>
  <si>
    <t>III.1.4.2</t>
  </si>
  <si>
    <t>Поставка и монтаж электроклапана 1" Rain Bird 100 DV 9V или эквивалентного, включая защитную коробку Rain Bird VBSTD согласно Техническому заданию, а также все материалы и работы, необходимые для соединений с трубопроводом выше и ниже по течению.</t>
  </si>
  <si>
    <t>III.1.5</t>
  </si>
  <si>
    <t>Контроллеры и электрические кабели</t>
  </si>
  <si>
    <t>III.1.5.1</t>
  </si>
  <si>
    <t>Поставка и установка электронного программатора типа "Программатор ESP-ME3 на 4 станции, модульный и расширяемый – совместимый с WIFI" или эквивалентного + Модуль расширения на 6 станций для ESP-Me</t>
  </si>
  <si>
    <t>III.1.5.2</t>
  </si>
  <si>
    <t>Поставка и монтаж в траншее электрических кабелей VAV сечением 1,5 мм², включая предупреждающую полиэтиленовую сетку с надписью "Электричество", соединения между участками электрических кабелей и проводящих жил к соленоидам электроклапанов.</t>
  </si>
  <si>
    <t>III.1.5.2.1</t>
  </si>
  <si>
    <t>7 жил</t>
  </si>
  <si>
    <t>III.1.6</t>
  </si>
  <si>
    <t>Фильтры</t>
  </si>
  <si>
    <t>III.1.6.1</t>
  </si>
  <si>
    <t>Поставка и установка дискового фильтра 1 1/2" 120 mesh Arkal или эквивалентного согласно Техническому заданию, а также все материалы и дополнительные работы. (СТАТЬЯ РАССЧИТАНА ФИЛЬТР ARAG 100MESH)</t>
  </si>
  <si>
    <t>III.1.7</t>
  </si>
  <si>
    <t>Клапаны</t>
  </si>
  <si>
    <t>III.1.7.1</t>
  </si>
  <si>
    <t>Поставка и установка концевого клапана 1/2" Netafim или эквивалентного согласно Техническому заданию, включая защитную коробку Rain Bird VB10RND или эквивалентную, а также все материалы и дополнительные работы.</t>
  </si>
  <si>
    <t>III.1.7.2</t>
  </si>
  <si>
    <t>Поставка и установка воздушного клапана 1" ARI MiniBarak D-40 или эквивалентного, включая защитную коробку Rain Bird VB10RND или эквивалентную согласно Техническому заданию, а также все материалы и дополнительные работы.</t>
  </si>
  <si>
    <t>III.1.7.3</t>
  </si>
  <si>
    <t>Поставка и установка обратного клапана типа York согласно Техническому заданию, а также все материалы и дополнительные работы.</t>
  </si>
  <si>
    <t>III.1.7.3.1</t>
  </si>
  <si>
    <t>1"</t>
  </si>
  <si>
    <t>III.1.8</t>
  </si>
  <si>
    <t>Гидронасосная группа</t>
  </si>
  <si>
    <t>III.1.8.1</t>
  </si>
  <si>
    <t>Поставка и установка гидронасосной группы Grundfos Hydro Multi S 2 CR 5-8 или эквивалентной, включая пневматический бак, щит управления, всасывание и все оборудование, рекомендованное производителем, согласно правилам хорошего выполнения и Техническому заданию, а также все материалы и дополнительные работы.</t>
  </si>
  <si>
    <t>III.1.9</t>
  </si>
  <si>
    <t>Соединения</t>
  </si>
  <si>
    <t>III.1.9.1</t>
  </si>
  <si>
    <t>Выполнение подключения к точке питания согласно Техническому заданию и правилам хорошего выполнения.</t>
  </si>
  <si>
    <t>IV</t>
  </si>
  <si>
    <t>ОБСЛУЖИВАНИЕ ЗЕЛЕНЫХ ЗОН</t>
  </si>
  <si>
    <t>IV.1</t>
  </si>
  <si>
    <t>Поставка и выполнение всех работ по обслуживанию сада после предварительной приемки.</t>
  </si>
  <si>
    <t>mes</t>
  </si>
  <si>
    <t>ИТОГО</t>
  </si>
  <si>
    <t>№ M</t>
  </si>
  <si>
    <t>№ V</t>
  </si>
  <si>
    <t>DESCRIÇÃO DOS TRABALHOS</t>
  </si>
  <si>
    <t>UN. MED.</t>
  </si>
  <si>
    <t>QUANT.</t>
  </si>
  <si>
    <t>PREÇO UNITÁRIO</t>
  </si>
  <si>
    <t>VALOR TOTAL</t>
  </si>
  <si>
    <t>Comentário</t>
  </si>
  <si>
    <t>CANTEIRO DE OBRAS E TRABALHOS COMPLEMENTARES</t>
  </si>
  <si>
    <t>CANTEIRO DE OBRAS</t>
  </si>
  <si>
    <r>
      <rPr>
        <rFont val="Arial"/>
        <color theme="1"/>
        <sz val="10.0"/>
      </rPr>
      <t>1.1.1 (</t>
    </r>
    <r>
      <rPr>
        <rFont val="Arial"/>
        <b/>
        <color theme="1"/>
        <sz val="11.0"/>
      </rPr>
      <t>1</t>
    </r>
    <r>
      <rPr>
        <rFont val="Arial"/>
        <color theme="1"/>
        <sz val="10.0"/>
      </rPr>
      <t>)</t>
    </r>
  </si>
  <si>
    <t>Montagem, construção, manutenção, desmontagem e demolição do canteiro de obras, incluindo as respectivas instalações, redes provisórias de água, esgoto, eletricidade e meios de telecomunicações, vias internas de circulação e tudo mais necessário de acordo com o Decreto-Lei nº 18/08 de 29 de janeiro, atendendo às prescrições de segurança, higiene e saúde no trabalho, de acordo com o Decreto-Lei nº 273/2003 de 29 de outubro e demais legislação em vigor, elaboração e implementação do plano de prevenção e gestão de resíduos de construção e demolição (nos termos do D.L. nº 46/2008 de 12 de março).</t>
  </si>
  <si>
    <r>
      <rPr>
        <rFont val="Arial"/>
        <color theme="1"/>
        <sz val="10.0"/>
      </rPr>
      <t>1.1.1 (</t>
    </r>
    <r>
      <rPr>
        <rFont val="Arial"/>
        <b/>
        <color theme="1"/>
        <sz val="11.0"/>
      </rPr>
      <t>1</t>
    </r>
    <r>
      <rPr>
        <rFont val="Arial"/>
        <color theme="1"/>
        <sz val="10.0"/>
      </rPr>
      <t>)</t>
    </r>
  </si>
  <si>
    <t>Fornecimento e instalação, manutenção e desmontagem de vedação em torno do terreno com painéis opacos de chapa de aço galvanizado perfilada com espessura de 0,6 mm, com nervuras de altura entre 40 e 50 mm, colocadas a uma distância entre 250 e 270 mm, e perfis em S de chapa de aço galvanizado dobrada de dimensão 102x33x1,5 mm, com acabamento sendzimir, comprimento 2,8 m, fixados no solo por meio de cubos de concreto C20/25 XC0 Cl0.40 Dmax 25mm S2 de dimensão 102x33x1,5 cm, a cada 2,0 m, incluindo todos os trabalhos e materiais relacionados.</t>
  </si>
  <si>
    <t>Pode construir a cerca de imediato, economizando 268000</t>
  </si>
  <si>
    <r>
      <rPr>
        <rFont val="Arial"/>
        <color theme="1"/>
        <sz val="10.0"/>
      </rPr>
      <t>1.1.1 (</t>
    </r>
    <r>
      <rPr>
        <rFont val="Arial"/>
        <b/>
        <color theme="1"/>
        <sz val="11.0"/>
      </rPr>
      <t>1</t>
    </r>
    <r>
      <rPr>
        <rFont val="Arial"/>
        <color theme="1"/>
        <sz val="10.0"/>
      </rPr>
      <t>)</t>
    </r>
  </si>
  <si>
    <t>Fornecimento e montagem, manutenção e desmontagem de portão deslizante para acesso de veículos em aço galvanizado de duas folhas com dimensões aproximadas de 4,0x2,0m com trava para cadeado e ferragens para fixação ao piso, instalado na vedação temporária do terreno, fixado por meio de postes do mesmo material, ancorados no solo por meio de cubos de concreto C20/25 XC0 Cl0.40 Dmáx 25mm S2, incluindo todos os trabalhos e materiais relacionados.</t>
  </si>
  <si>
    <r>
      <rPr>
        <rFont val="Arial"/>
        <color theme="1"/>
        <sz val="10.0"/>
      </rPr>
      <t>1.1.1 (</t>
    </r>
    <r>
      <rPr>
        <rFont val="Arial"/>
        <b/>
        <color theme="1"/>
        <sz val="11.0"/>
      </rPr>
      <t>1</t>
    </r>
    <r>
      <rPr>
        <rFont val="Arial"/>
        <color theme="1"/>
        <sz val="10.0"/>
      </rPr>
      <t>)</t>
    </r>
  </si>
  <si>
    <t>1.1.3</t>
  </si>
  <si>
    <t>Fornecimento e instalação de placa informativa, divulgando a construção, incluindo todos os trabalhos e materiais relacionados.</t>
  </si>
  <si>
    <r>
      <rPr>
        <rFont val="Arial"/>
        <color theme="1"/>
        <sz val="10.0"/>
      </rPr>
      <t>1.1.1 (</t>
    </r>
    <r>
      <rPr>
        <rFont val="Arial"/>
        <b/>
        <color theme="1"/>
        <sz val="11.0"/>
      </rPr>
      <t>1</t>
    </r>
    <r>
      <rPr>
        <rFont val="Arial"/>
        <color theme="1"/>
        <sz val="10.0"/>
      </rPr>
      <t>)</t>
    </r>
  </si>
  <si>
    <t>1.1.4</t>
  </si>
  <si>
    <t>Fornecimento e execução de redes primárias de eletricidade, água e esgoto, incluindo o consumo mensal durante todo o período de execução da obra até a recepção provisória, incluindo trabalhos e materiais relacionados.</t>
  </si>
  <si>
    <t>meses</t>
  </si>
  <si>
    <t>Este ponto será resolvido de acordo com a situação</t>
  </si>
  <si>
    <r>
      <rPr>
        <rFont val="Arial"/>
        <color theme="1"/>
        <sz val="10.0"/>
      </rPr>
      <t>1.1.1 (</t>
    </r>
    <r>
      <rPr>
        <rFont val="Arial"/>
        <b/>
        <color theme="1"/>
        <sz val="11.0"/>
      </rPr>
      <t>1</t>
    </r>
    <r>
      <rPr>
        <rFont val="Arial"/>
        <color theme="1"/>
        <sz val="10.0"/>
      </rPr>
      <t>)</t>
    </r>
  </si>
  <si>
    <t>1.1.5</t>
  </si>
  <si>
    <t>Fornecimento e montagem de módulo de escritório de dimensão 6,0x3,0 m para reuniões de obra, instalado sobre base nivelada de brita, com banheiro e ar condicionado, incluindo aterramento e todos os trabalhos e materiais relacionados.</t>
  </si>
  <si>
    <t>A pedido do cliente, para sua conveniência. Preço 12,000 euros</t>
  </si>
  <si>
    <r>
      <rPr>
        <rFont val="Arial"/>
        <color theme="1"/>
        <sz val="10.0"/>
      </rPr>
      <t>1.1.1 (</t>
    </r>
    <r>
      <rPr>
        <rFont val="Arial"/>
        <b/>
        <color theme="1"/>
        <sz val="11.0"/>
      </rPr>
      <t>1</t>
    </r>
    <r>
      <rPr>
        <rFont val="Arial"/>
        <color theme="1"/>
        <sz val="10.0"/>
      </rPr>
      <t>)</t>
    </r>
  </si>
  <si>
    <t>1.1.6</t>
  </si>
  <si>
    <t>Fornecimento e montagem de módulo de ferramentaria geral de dimensão 3,0x2,40 m tipo contêiner marítimo, instalado sobre base nivelada de brita, incluindo todos os trabalhos e materiais relacionados.</t>
  </si>
  <si>
    <r>
      <rPr>
        <rFont val="Arial"/>
        <color theme="1"/>
        <sz val="10.0"/>
      </rPr>
      <t>1.1.1 (</t>
    </r>
    <r>
      <rPr>
        <rFont val="Arial"/>
        <b/>
        <color theme="1"/>
        <sz val="11.0"/>
      </rPr>
      <t>1</t>
    </r>
    <r>
      <rPr>
        <rFont val="Arial"/>
        <color theme="1"/>
        <sz val="10.0"/>
      </rPr>
      <t>)</t>
    </r>
  </si>
  <si>
    <t>1.1.7</t>
  </si>
  <si>
    <t>Fornecimento e instalação de bloco sanitário portátil em polietileno de dimensão 1,20x1,20x2,35m de cor cinza ou outra, sem ligações, com sanitário químico anaeróbico com sistema de descarga por pedal, espelho, porta com fechadura e teto translúcido para passagem de luz externa, incluindo limpeza semanal e todos os trabalhos e materiais relacionados.</t>
  </si>
  <si>
    <r>
      <rPr>
        <rFont val="Arial"/>
        <color theme="1"/>
        <sz val="10.0"/>
      </rPr>
      <t>1.1.1 (</t>
    </r>
    <r>
      <rPr>
        <rFont val="Arial"/>
        <b/>
        <color theme="1"/>
        <sz val="11.0"/>
      </rPr>
      <t>1</t>
    </r>
    <r>
      <rPr>
        <rFont val="Arial"/>
        <color theme="1"/>
        <sz val="10.0"/>
      </rPr>
      <t>)</t>
    </r>
  </si>
  <si>
    <t>1.8</t>
  </si>
  <si>
    <t>Fornecimento e execução de implantação topográfica através de técnico especializado dos níveis de implantação da construção, incluindo piscina e limites, bem como todos os trabalhos e materiais relacionados.</t>
  </si>
  <si>
    <r>
      <rPr>
        <rFont val="Arial"/>
        <color theme="1"/>
        <sz val="10.0"/>
      </rPr>
      <t>1.1.1 (</t>
    </r>
    <r>
      <rPr>
        <rFont val="Arial"/>
        <b/>
        <color theme="1"/>
        <sz val="11.0"/>
      </rPr>
      <t>1</t>
    </r>
    <r>
      <rPr>
        <rFont val="Arial"/>
        <color theme="1"/>
        <sz val="10.0"/>
      </rPr>
      <t>)</t>
    </r>
  </si>
  <si>
    <t>1.9</t>
  </si>
  <si>
    <t>Fornecimento e montagem de andaimes de tubos padrão, tipo multidirecional, até 9 m de altura, constituídos por estrutura tubular de aço laminado a quente galvanizado de diâmetro 48,3 mm e espessura 3,2 mm, sem duplicação de elementos verticais, compostos por plataformas de trabalho de 60 cm de largura, colocadas a cada 2 m de altura, escada interior com alçapão, guarda-costas com dois corrimãos e rodapé, e guarda-frente com um corrimão, para execução de fachada(s) com elementos estruturais (terraços cobertos e descobertos, cornijas e outros, etc.) dispostos em mais de 50% do seu perímetro e que se projetam mais de 30 cm do plano da fachada. Nota (1): os andaimes devem estar em total conformidade com a legislação em vigor, nomeadamente EN 12811 e EN 12810.</t>
  </si>
  <si>
    <t>Aluguel de andaimes</t>
  </si>
  <si>
    <r>
      <rPr>
        <rFont val="Arial"/>
        <color theme="1"/>
        <sz val="10.0"/>
      </rPr>
      <t>1.1.1 (</t>
    </r>
    <r>
      <rPr>
        <rFont val="Arial"/>
        <b/>
        <color theme="1"/>
        <sz val="11.0"/>
      </rPr>
      <t>1</t>
    </r>
    <r>
      <rPr>
        <rFont val="Arial"/>
        <color theme="1"/>
        <sz val="10.0"/>
      </rPr>
      <t>)</t>
    </r>
  </si>
  <si>
    <t>1.10</t>
  </si>
  <si>
    <t>Fornecimento, execução e implementação/adaptação do plano de segurança e saúde (PSS) na fase de construção, incluindo todos os trabalhos e materiais relacionados.</t>
  </si>
  <si>
    <t>O seguro do objeto pode variar entre 300-500 euros. Foi fornecida a informação mais recente</t>
  </si>
  <si>
    <r>
      <rPr>
        <rFont val="Arial"/>
        <color theme="1"/>
        <sz val="10.0"/>
      </rPr>
      <t>1.1.1 (</t>
    </r>
    <r>
      <rPr>
        <rFont val="Arial"/>
        <b/>
        <color theme="1"/>
        <sz val="11.0"/>
      </rPr>
      <t>1</t>
    </r>
    <r>
      <rPr>
        <rFont val="Arial"/>
        <color theme="1"/>
        <sz val="10.0"/>
      </rPr>
      <t>)</t>
    </r>
  </si>
  <si>
    <t>1.11</t>
  </si>
  <si>
    <t>Fornecimento, execução e implementação/adaptação do plano de gestão de resíduos (PGR), sua classificação (LER), triagem e separação nas suas componentes recicláveis e respectiva eliminação ou transporte para zonas de reciclagem e para operadores autorizados e licenciados, de acordo com a legislação em vigor.</t>
  </si>
  <si>
    <r>
      <rPr>
        <rFont val="Arial"/>
        <color theme="1"/>
        <sz val="10.0"/>
      </rPr>
      <t>1.1.1 (</t>
    </r>
    <r>
      <rPr>
        <rFont val="Arial"/>
        <b/>
        <color theme="1"/>
        <sz val="11.0"/>
      </rPr>
      <t>1</t>
    </r>
    <r>
      <rPr>
        <rFont val="Arial"/>
        <color theme="1"/>
        <sz val="10.0"/>
      </rPr>
      <t>)</t>
    </r>
  </si>
  <si>
    <t>1.12</t>
  </si>
  <si>
    <t>Elaboração e entrega ao dono da obra da compilação técnica da obra, que inclui elementos úteis a ter em conta na sua utilização futura, bem como na realização de trabalhos posteriores à sua conclusão para preservar a segurança e saúde dos que os executam, de acordo com o disposto no artigo 16º do Decreto-Lei nº 273/2003 de 29 de outubro, considerando os desenhos finais de todas as especialidades em papel e suporte digital, todos os estudos, projetos, documentação anexa e relacionada.</t>
  </si>
  <si>
    <t>Incluído no custo do próprio projeto</t>
  </si>
  <si>
    <r>
      <rPr>
        <rFont val="Arial"/>
        <color theme="1"/>
        <sz val="10.0"/>
      </rPr>
      <t>1.1.1 (</t>
    </r>
    <r>
      <rPr>
        <rFont val="Arial"/>
        <b/>
        <color theme="1"/>
        <sz val="11.0"/>
      </rPr>
      <t>1</t>
    </r>
    <r>
      <rPr>
        <rFont val="Arial"/>
        <color theme="1"/>
        <sz val="10.0"/>
      </rPr>
      <t>)</t>
    </r>
  </si>
  <si>
    <t>1.13</t>
  </si>
  <si>
    <t>Fornecimento e coordenação de recursos humanos e materiais necessários para a limpeza e manutenção do canteiro de obras, incluindo a instalação de todos os equipamentos de segurança, como guarda-corpos e linhas de vida, etc., tudo de acordo com a legislação em vigor.</t>
  </si>
  <si>
    <r>
      <rPr>
        <rFont val="Arial"/>
        <color theme="1"/>
        <sz val="10.0"/>
      </rPr>
      <t>1.1.1 (</t>
    </r>
    <r>
      <rPr>
        <rFont val="Arial"/>
        <b/>
        <color theme="1"/>
        <sz val="11.0"/>
      </rPr>
      <t>1</t>
    </r>
    <r>
      <rPr>
        <rFont val="Arial"/>
        <color theme="1"/>
        <sz val="10.0"/>
      </rPr>
      <t>)</t>
    </r>
  </si>
  <si>
    <t>1.14</t>
  </si>
  <si>
    <t>Fornecimento de pessoal especializado, nomeadamente diretor de projeto (engenheiro civil), encarregado geral, preparador de obra.</t>
  </si>
  <si>
    <r>
      <rPr>
        <rFont val="Arial"/>
        <color theme="1"/>
        <sz val="10.0"/>
      </rPr>
      <t>1.1.1 (</t>
    </r>
    <r>
      <rPr>
        <rFont val="Arial"/>
        <b/>
        <color theme="1"/>
        <sz val="11.0"/>
      </rPr>
      <t>1</t>
    </r>
    <r>
      <rPr>
        <rFont val="Arial"/>
        <color theme="1"/>
        <sz val="10.0"/>
      </rPr>
      <t>)</t>
    </r>
  </si>
  <si>
    <t>1.15</t>
  </si>
  <si>
    <t>Fornecimento e instalação de equipamentos e materiais de segurança, colocados em locais visíveis, incluindo todos os trabalhos e materiais relacionados.</t>
  </si>
  <si>
    <t>GUINDASTE</t>
  </si>
  <si>
    <t>1.16</t>
  </si>
  <si>
    <t>Fornecimento e execução de escavação em qualquer tipo de solo para a base do guindaste, incluindo depósito de terra em armazenamento para aterros, compactação e nivelamento da base da plataforma de trabalho, bem como todos os trabalhos e materiais relacionados.</t>
  </si>
  <si>
    <t>Incluído no custo dos trabalhos de terraplenagem</t>
  </si>
  <si>
    <t>1.17</t>
  </si>
  <si>
    <t>Fornecimento e execução de elementos estruturais de concreto tipo C25/30 XC2(P) Dmáx 20mm S3, fabricados, transportados e colocados em obra de acordo com NP EN 206-1 e NP ENV 13670-1 para a base de instalação do guindaste, incluindo execução de fôrmas e armaduras em aço tipo A500NR SD e todos os trabalhos necessários para um acabamento de qualidade, tudo de acordo com o projeto de estabilidade, incluindo todos os trabalhos e materiais relacionados. Nota (1): deve-se considerar a desmontagem da fundação do guindaste.</t>
  </si>
  <si>
    <t>1.18</t>
  </si>
  <si>
    <t>Fornecimento e operação de guindaste de torre com lança extensível de 50 m com características adequadas à obra, incluindo controle por rádio e por cabo, balde-trenó de 300 litros e palete para 2000 kg.</t>
  </si>
  <si>
    <t>1.18.1</t>
  </si>
  <si>
    <t>Montagem do guindaste.</t>
  </si>
  <si>
    <t>1.18.2</t>
  </si>
  <si>
    <t>Operação do guindaste.</t>
  </si>
  <si>
    <t>1.18.3</t>
  </si>
  <si>
    <t>Desmontagem do guindaste.</t>
  </si>
  <si>
    <t>1.18.4</t>
  </si>
  <si>
    <t>Entrega do guindaste.</t>
  </si>
  <si>
    <t>peças</t>
  </si>
  <si>
    <t>1.18.5</t>
  </si>
  <si>
    <t>Retirada do guindaste.</t>
  </si>
  <si>
    <t>MOVIMENTO DE TERRAS</t>
  </si>
  <si>
    <r>
      <rPr>
        <rFont val="Arial"/>
        <color rgb="FF000000"/>
        <sz val="10.0"/>
      </rPr>
      <t xml:space="preserve">1,1 </t>
    </r>
    <r>
      <rPr>
        <rFont val="Arial"/>
        <b/>
        <color rgb="FF000000"/>
        <sz val="11.0"/>
      </rPr>
      <t>(2)</t>
    </r>
  </si>
  <si>
    <t>Limpeza geral do terreno, incluindo todos os tipos de trabalhos de limpeza, remoção, desmatamento e corte de espécies arbóreas, existentes e necessárias para a execução geral dos projetos.</t>
  </si>
  <si>
    <t>1,2 (2)</t>
  </si>
  <si>
    <t>Execução de escavação geral para implantação da estrutura da habitação, piscina e muros em solo de qualquer tipo (incluindo rocha), para atingir as cotas iniciais de fundação, bem como execução de trabalhos de escoramento, escoras, drenagem, incluindo todos os trabalhos relacionados.</t>
  </si>
  <si>
    <t>1,3 (2)</t>
  </si>
  <si>
    <t>Execução de aterros na zona da habitação, piscina e terraços exteriores com materiais provenientes da escavação, incluindo espalhamento e compactação adequada, executada por meios mecânicos, em camadas de espessura máxima de 0,30 m, com utilização de água na quantidade necessária para a correta compactação, para atingir os níveis de projeto, incluindo todos os trabalhos relacionados.</t>
  </si>
  <si>
    <t>1.4.1 (2)</t>
  </si>
  <si>
    <t>Transporte, carga e descarga de excedentes de solo da zona da habitação para vazadouro, incluindo 20% de empolamento, bem como todos os trabalhos relacionados.</t>
  </si>
  <si>
    <t>1.2.1.1 (3)</t>
  </si>
  <si>
    <t>Escavação de solo de qualquer natureza até as cotas de projeto, incluindo transporte para zonas de aterro, os restantes devem ser transportados para depósito autorizado, incluindo transporte, compensações, bem como todos os meios, trabalhos, materiais necessários.</t>
  </si>
  <si>
    <t>1.2.2.1 (3)</t>
  </si>
  <si>
    <t>Aterro em camadas até as cotas de projeto com solo selecionado proveniente das escavações ou de zonas de empréstimo fora da área de intervenção, incluindo transporte, todos os meios, trabalhos, materiais necessários.</t>
  </si>
  <si>
    <t>1.2.3.1 (3)</t>
  </si>
  <si>
    <t>Fornecimento, carga, transporte, descarga, espalhamento de solo de empréstimo, bem como todos os meios, trabalhos, materiais necessários.</t>
  </si>
  <si>
    <t>ESTRUTURA DE CONCRETO ARMADO</t>
  </si>
  <si>
    <t xml:space="preserve"> </t>
  </si>
  <si>
    <t>Concreto</t>
  </si>
  <si>
    <t>2.1.1 (2)</t>
  </si>
  <si>
    <t>Fornecimento e colocação de concreto magro C12/15, com classe de exposição X0, Cl 1.0, Dmax 25mm, S3, com espessura de 5 cm sob elementos de fundação, incluindo nivelamento prévio e compactação do fundo das escavações, colocado na forma geométrica dos seguintes elementos:</t>
  </si>
  <si>
    <t>2.1.1.1 (2)</t>
  </si>
  <si>
    <t>Em fundações, fundações de paredes, muros de contenção, vigas de fundação e lajes de fundação</t>
  </si>
  <si>
    <t>2.1.2 (2)</t>
  </si>
  <si>
    <t>Fornecimento e colocação de concreto C30/37, com classe de exposição XC2, Cl 0.4, Dmax 20mm, S3, incluindo vibração e todos os trabalhos relacionados, necessários para perfeito acabamento nos seguintes elementos:</t>
  </si>
  <si>
    <t>2.1.2.1 (2)</t>
  </si>
  <si>
    <t>Em vigas de fundação</t>
  </si>
  <si>
    <t>2.1.2.2 (2)</t>
  </si>
  <si>
    <t>3.2.2</t>
  </si>
  <si>
    <t>Em fundações</t>
  </si>
  <si>
    <t>2.1.2.3(2)</t>
  </si>
  <si>
    <t>3.2.3</t>
  </si>
  <si>
    <t>Em fundações de paredes e divisórias</t>
  </si>
  <si>
    <t>2.1.2.4 (2)</t>
  </si>
  <si>
    <t>3.2.4</t>
  </si>
  <si>
    <t>Em laje de fundação</t>
  </si>
  <si>
    <t>2.1.3(2)</t>
  </si>
  <si>
    <t>Fornecimento e colocação de concreto C30/37, com classe de exposição XC2, Cl 0.4, Dmax 20mm, S4, incluindo vibração e todos os trabalhos relacionados, necessários para perfeito acabamento nos seguintes elementos:</t>
  </si>
  <si>
    <t>2.1.3.1 (2)</t>
  </si>
  <si>
    <t>Pilares de paredes do subsolo</t>
  </si>
  <si>
    <t>2.1.3.2 (2)</t>
  </si>
  <si>
    <t>3.3.2</t>
  </si>
  <si>
    <t>Paredes do subsolo/contenção/divisórias</t>
  </si>
  <si>
    <t>2.1.3.2(2)</t>
  </si>
  <si>
    <t>3.3.3</t>
  </si>
  <si>
    <t>Escada exterior</t>
  </si>
  <si>
    <t>2.1.4 (2)</t>
  </si>
  <si>
    <t>Fornecimento e colocação de concreto C40/50, com classe de exposição XS1, Cl 0.2, Dmax 20mm, S4, incluindo vibração e todos os trabalhos relacionados, necessários para perfeito acabamento nos seguintes elementos:</t>
  </si>
  <si>
    <t>2.1.4.1 (2)</t>
  </si>
  <si>
    <t>3.4.1</t>
  </si>
  <si>
    <t>Em pilares</t>
  </si>
  <si>
    <t>2.1.4.2 (2)</t>
  </si>
  <si>
    <t>3.4.2</t>
  </si>
  <si>
    <t>Em paredes</t>
  </si>
  <si>
    <t>Fornecimento e colocação de concreto C40/50, com classe de exposição XS1, Cl 0.2, Dmax 16mm, S4, incluindo vibração e todos os trabalhos relacionados, necessários para perfeito acabamento nos seguintes elementos:</t>
  </si>
  <si>
    <t>2.1.4.3 (2)</t>
  </si>
  <si>
    <t>3.5.1</t>
  </si>
  <si>
    <t>Em vigas</t>
  </si>
  <si>
    <t>2.1.4.4 (2)</t>
  </si>
  <si>
    <t>3.5.2</t>
  </si>
  <si>
    <t>Em lajes maciças</t>
  </si>
  <si>
    <t>2.1.4.5 (2)</t>
  </si>
  <si>
    <t>3.5.3</t>
  </si>
  <si>
    <t>Em lajes maciças aligeiradas (Cobiax)</t>
  </si>
  <si>
    <t>2.1.4.6 (2)</t>
  </si>
  <si>
    <t>3.5.4</t>
  </si>
  <si>
    <t>Em escadas Escada E1</t>
  </si>
  <si>
    <t>2.1.5 (2)</t>
  </si>
  <si>
    <t>Fornecimento e colocação de concreto C40/50, com classe de exposição XD2, Cl 0.2, Dmax 20mm, S4, em elementos da piscina, tanque de compensação e espelho d'água, incluindo vibração e todos os trabalhos relacionados, necessários para perfeito acabamento nos seguintes elementos:</t>
  </si>
  <si>
    <t>2.1.5.1 (2)</t>
  </si>
  <si>
    <t>3.6.1</t>
  </si>
  <si>
    <t>2.1.5.2 (2)</t>
  </si>
  <si>
    <t>3.6.2</t>
  </si>
  <si>
    <t>Em lajes</t>
  </si>
  <si>
    <t>2.1.5.3 (2)</t>
  </si>
  <si>
    <t>3.6.3</t>
  </si>
  <si>
    <t>Em vigas/reforços</t>
  </si>
  <si>
    <t>2.1.5.4 (2)</t>
  </si>
  <si>
    <t>3.6.4</t>
  </si>
  <si>
    <t>Em escadas (Escada E3)</t>
  </si>
  <si>
    <t>Aço/Armadura</t>
  </si>
  <si>
    <t>2.2.1 (2)</t>
  </si>
  <si>
    <t>Fornecimento, fabricação e instalação de aço A500NR SD em armaduras de elementos estruturais, incluindo desperdícios, emendas, arame recozido, meios e equipamentos e todos os trabalhos relacionados, necessários para perfeito acabamento nos seguintes elementos:</t>
  </si>
  <si>
    <t>3.7.1</t>
  </si>
  <si>
    <t>Fundações</t>
  </si>
  <si>
    <t>3.7.1.1</t>
  </si>
  <si>
    <t>3.7.2</t>
  </si>
  <si>
    <t>Fundações de paredes/divisórias</t>
  </si>
  <si>
    <t>3.7.2.1</t>
  </si>
  <si>
    <t>3.7.2.2</t>
  </si>
  <si>
    <t>3.7.3</t>
  </si>
  <si>
    <t>Laje de fundação</t>
  </si>
  <si>
    <t>3.7.3.1</t>
  </si>
  <si>
    <t>3.7.3.2</t>
  </si>
  <si>
    <t>3.7.4</t>
  </si>
  <si>
    <t>Vigas de fundação</t>
  </si>
  <si>
    <t>3.7.4.1</t>
  </si>
  <si>
    <t>3.7.4.2</t>
  </si>
  <si>
    <t>3.7.4.3</t>
  </si>
  <si>
    <t>3.7.4.4</t>
  </si>
  <si>
    <t>3.7.5</t>
  </si>
  <si>
    <t>Paredes do subsolo/contenção e divisórias</t>
  </si>
  <si>
    <t>3.7.5.1</t>
  </si>
  <si>
    <t>3.7.5.2</t>
  </si>
  <si>
    <t>3.7.5.3</t>
  </si>
  <si>
    <t>3.7.6</t>
  </si>
  <si>
    <t>Pilares</t>
  </si>
  <si>
    <t>3.7.6.1</t>
  </si>
  <si>
    <t>3.7.6.2</t>
  </si>
  <si>
    <t>3.7.6.3</t>
  </si>
  <si>
    <t>3.7.7</t>
  </si>
  <si>
    <t>Vigas e reforços</t>
  </si>
  <si>
    <t>3.7.7.1</t>
  </si>
  <si>
    <t>3.7.7.2</t>
  </si>
  <si>
    <t>3.7.7.3</t>
  </si>
  <si>
    <t>3.7.7.4</t>
  </si>
  <si>
    <t>3.7.8</t>
  </si>
  <si>
    <t>Lajes</t>
  </si>
  <si>
    <t>3.7.8.1</t>
  </si>
  <si>
    <t>3.7.8.2</t>
  </si>
  <si>
    <t>3.7.9</t>
  </si>
  <si>
    <t>Escadas</t>
  </si>
  <si>
    <t>3.7.9.1</t>
  </si>
  <si>
    <t>3.7.10</t>
  </si>
  <si>
    <t>Piscina (lajes, paredes e tanque de compensação)</t>
  </si>
  <si>
    <t>3.7.10.1</t>
  </si>
  <si>
    <t>3.7.10.2</t>
  </si>
  <si>
    <t>3.7.10.3</t>
  </si>
  <si>
    <t>3.7.11</t>
  </si>
  <si>
    <t>Armadura de montagem Cabeças de ancoragem</t>
  </si>
  <si>
    <t>3.7.11.1</t>
  </si>
  <si>
    <t>3.7.11.2</t>
  </si>
  <si>
    <t>Fôrmas</t>
  </si>
  <si>
    <t>Fornecimento e montagem de fôrmas em elementos de concreto armado, consistindo na preparação do plano de fôrmas e sua definição de acordo com o elemento a ser moldado e aplicação de óleo desmoldante de qualidade reconhecida, incluindo estruturas de suporte, desmoldagem, mão de obra e todos os trabalhos auxiliares e materiais necessários para correta execução, considerando também a preparação de aberturas a serem deixadas nos elementos de concreto, requeridas pelas instalações de redes hidráulicas, sanitárias, elétricas, ventilação, ar condicionado e outras não descritas, e todos os trabalhos relacionados, necessários para perfeito acabamento nos seguintes elementos:</t>
  </si>
  <si>
    <t>3.8.1</t>
  </si>
  <si>
    <t>3.8.2</t>
  </si>
  <si>
    <t>3.8.3</t>
  </si>
  <si>
    <t>Fundações de paredes do subsolo e divisórias</t>
  </si>
  <si>
    <t>3.8.4</t>
  </si>
  <si>
    <t>Paredes do subsolo/divisórias</t>
  </si>
  <si>
    <t>3.8.5</t>
  </si>
  <si>
    <t>3.8.6</t>
  </si>
  <si>
    <t>Em vigas e reforços</t>
  </si>
  <si>
    <t>3.8.7</t>
  </si>
  <si>
    <t>3.8.8</t>
  </si>
  <si>
    <t>Em paredes da piscina e tanque de compensação</t>
  </si>
  <si>
    <t>3.8.9</t>
  </si>
  <si>
    <t>Em lajes da piscina</t>
  </si>
  <si>
    <t>3.8.10</t>
  </si>
  <si>
    <t>Em escadas</t>
  </si>
  <si>
    <t>Fornecimento e montagem de fôrmas em elementos de concreto armado com concreto aparente, com painéis de compensado naval, perfis para chanfros em PVC (1x1cm) e acabamento com três demãos de verniz fosco incolor da Diera ou equivalente, fabricado à base de polímero acrílico puro e aditivos, com alta resistência à alcalinidade e saponificação, com alta aderência e que previne o crescimento de fungos, ou equivalente, bem como aplicação de óleo desmoldante de qualidade reconhecida, incluindo estruturas de suporte, desmoldagem, mão de obra e todos os trabalhos auxiliares e materiais necessários para correta execução, considerando também a preparação do plano de fôrmas, incluindo contra-flechas, desenhos de montagem, faseamento e escoramentos dos painéis a executar, bem como a preparação de aberturas a serem deixadas nos elementos de concreto, requeridas pelas instalações de redes hidráulicas, sanitárias, elétricas, iluminação, ventilação, ar condicionado e outras não descritas, e todos os trabalhos relacionados, necessários para perfeito acabamento nos seguintes elementos:</t>
  </si>
  <si>
    <t>3.9.1</t>
  </si>
  <si>
    <t>Em paredes/divisórias</t>
  </si>
  <si>
    <t>3.9.2</t>
  </si>
  <si>
    <t>3.9.3</t>
  </si>
  <si>
    <t>Elementos de protensão</t>
  </si>
  <si>
    <t>Fornecimento e aplicação de protensão por pós-tensionamento em elementos estruturais, (baixa relaxação - EN1992-1-1-Classe 2): Y1860 S7 15,3, sistema TTM da "FERCA", constituída por: cabos especiais, denominados monocordoalhas Ø 0.6" tipo A=140 mm², tensão característica de ruptura à tração do aço 1860N/mm², TBR CLASSE II, ancoragens ativas e ancoragens passivas, colocadas na posição indicada nos desenhos, com tolerância horizontal de +/- 2cm e vertical de +/- 0,5cm, incluindo todos os fornecimentos, demais detalhes e/ou elementos de fixação necessários, mas não descritos, todos os trabalhos preparatórios, selagem e corte, bem como todos os demais acessórios e trabalhos necessários para boa conclusão. De acordo com as indicações do fabricante/fornecedor, elementos de projeto e do seguinte tipo:</t>
  </si>
  <si>
    <t>3.10.1</t>
  </si>
  <si>
    <t>Cabos de protensão</t>
  </si>
  <si>
    <t>3.10.2</t>
  </si>
  <si>
    <t>Ancoragens ativas</t>
  </si>
  <si>
    <t>3.10.3</t>
  </si>
  <si>
    <t>Ancoragens passivas</t>
  </si>
  <si>
    <t>Elementos de aligeiramento de lajes</t>
  </si>
  <si>
    <t>Fornecimento e montagem de aligeiramento pelo sistema Cobiax Ref. COBIAX CBCM-S-180 da "FERCA", para lajes com 30cm de espessura, constituído por elemento de aligeiramento composto por suporte metálico e elipsoides em polipropileno (PP) reciclado, incluindo todos os trabalhos preparatórios, detalhes e/ou elementos de fixação não descritos, corte e acabamento, bem como todos os demais acessórios e todos os trabalhos relacionados, necessários para perfeita colocação.</t>
  </si>
  <si>
    <t>3.11.1</t>
  </si>
  <si>
    <t>Teto Piso 0 LMA0.1</t>
  </si>
  <si>
    <t>Elementos de aço laminado a quente</t>
  </si>
  <si>
    <t>Fornecimento e montagem de pilares em aço laminado a quente S275 J0, protegidos contra a ação do fogo através da aplicação de tinta intumescente, garantindo índice de proteção R 30, incluindo decapagem, metalização e todos os trabalhos relacionados, necessários para perfeito acabamento nos seguintes elementos (Nota: Na base dos pilares metálicos a zona do pilar em contato com betonilhas e enchimentos, mesmo após metalização, pode sofrer oxidação, pelo que esta zona deve ser protegida com tinta epóxi tipo C-THANE S250 da CIN ou equivalente.):</t>
  </si>
  <si>
    <t>3.12.1</t>
  </si>
  <si>
    <t>Pilares HEB200</t>
  </si>
  <si>
    <t>3.12.2</t>
  </si>
  <si>
    <t>Pilar HEB140</t>
  </si>
  <si>
    <t>Fornecimento e montagem de chapas de base e topo de pilares em aço laminado a quente S275 J0, incluindo chumbadouros, nervuras de reforço, selagem com argamassa, porcas de nivelamento, decapagem, metalização e todos os trabalhos relacionados, necessários para perfeito acabamento.</t>
  </si>
  <si>
    <t>Fornecimento e montagem de vigas em aço laminado a quente S275 J0, incluindo cantoneiras e parafusos de ligação, decapagem, metalização e todos os trabalhos relacionados, necessários para perfeito acabamento nos seguintes elementos:</t>
  </si>
  <si>
    <t>Vigas IPE270</t>
  </si>
  <si>
    <t>Fornecimento e montagem de escada E2 em aço laminado a quente S275 J0, incluindo chapas de base, chumbadouros, nervuras de reforço, selagem com argamassa, decapagem, metalização e todos os trabalhos relacionados, necessários para perfeito acabamento.</t>
  </si>
  <si>
    <t>Elementos de aço enformado a frio</t>
  </si>
  <si>
    <t>Fornecimento e montagem de estrutura metálica para execução de painéis de laje em aço enformado a frio S280GD+Z275 (tipo perfisa), incluindo cantoneiras e respectivos parafusos de fixação, chumbadouros e todos os trabalhos relacionados, necessários para perfeito acabamento nos seguintes elementos:</t>
  </si>
  <si>
    <t>3.16.1</t>
  </si>
  <si>
    <t>3.16.2</t>
  </si>
  <si>
    <t>3.16.3</t>
  </si>
  <si>
    <t>3.16.4</t>
  </si>
  <si>
    <t>3.16.5</t>
  </si>
  <si>
    <t>Perfil Omega 120x52</t>
  </si>
  <si>
    <t>Pavimentos</t>
  </si>
  <si>
    <t>Fornecimento e execução de pavimento térreo, constituído por: camada de areia com 0,05m de espessura e camada de massame em concreto C30/37 com classe de exposição XC2(P) CI0.4 Dmax=20, S4 com 0,15m de espessura; armadura em aço A500NR SD, incluindo reforços, desperdícios, emendas, arame recozido, meios e equipamentos e todos os trabalhos relacionados, necessários para perfeito acabamento nos seguintes elementos:</t>
  </si>
  <si>
    <t>3.17.1</t>
  </si>
  <si>
    <t>3.17.2</t>
  </si>
  <si>
    <t>Fornecimento e execução de pavimento térreo, constituído por: camada de brita com 0,10m de espessura e camada de massame em concreto C30/37 com classe de exposição XC2(P) CI0.4 Dmax=20, S4 com 0,15m de espessura; armadura em aço A500NR SD, incluindo reforços, desperdícios, emendas, arame recozido, meios e equipamentos e todos os trabalhos relacionados, necessários para perfeito acabamento nos seguintes elementos:</t>
  </si>
  <si>
    <t>3.18.1</t>
  </si>
  <si>
    <t>3.18.2</t>
  </si>
  <si>
    <t>3.18.3</t>
  </si>
  <si>
    <t>3.18.4</t>
  </si>
  <si>
    <t>Muros</t>
  </si>
  <si>
    <t>Muro de contenção</t>
  </si>
  <si>
    <t>Fornecimento e execução de muros em blocos de concreto pré-fabricados com agregados leves de argila expandida de dimensão 50x20x20cm, incluindo argamassa de assentamento, fundações, pilares de rigidez, vigas de coroamento, fôrmas, armadura em aço A500NR SD, incluindo desperdícios, emendas, arame recozido, concreto magro, bem como todos os demais acessórios e trabalhos necessários para boa execução. De acordo com as indicações do fabricante/fornecedor e elementos de projeto do seguinte tipo:</t>
  </si>
  <si>
    <t>3.19.1</t>
  </si>
  <si>
    <t>3.19.2</t>
  </si>
  <si>
    <t>3.19.3</t>
  </si>
  <si>
    <t>3.19.4</t>
  </si>
  <si>
    <t>Fornecimento e execução de muros em blocos de concreto pré-fabricados com agregados leves de argila expandida de dimensão 50x15x20cm, incluindo argamassa de assentamento, fundações, pilares de rigidez, vigas de coroamento, fôrmas, armadura em aço A500NR SD, incluindo desperdícios, emendas, arame recozido, concreto magro, bem como todos os demais acessórios e trabalhos necessários para boa execução. De acordo com as indicações do fabricante/fornecedor e elementos de projeto do seguinte tipo:</t>
  </si>
  <si>
    <t>3.20.1</t>
  </si>
  <si>
    <t>3.20.2</t>
  </si>
  <si>
    <t>Diversos</t>
  </si>
  <si>
    <t>Diversos gerais</t>
  </si>
  <si>
    <t>Fornecimento e aplicação de juntas de expansão bentoníticas Waterstop nos locais de ligação entre paredes e laje da piscina/tanque de compensação, incluindo todos os trabalhos preparatórios, detalhes e/ou elementos necessários, mas não descritos, bem como todos os demais acessórios e trabalhos necessários para boa aplicação. De acordo com as indicações do fabricante/fornecedor e elementos de projeto.</t>
  </si>
  <si>
    <t>Fornecimento e aplicação de juntas de dilatação, incluindo todos os trabalhos preparatórios, detalhes e/ou elementos necessários, mas não descritos, selagem, corte e acabamento, bem como todos os demais acessórios e trabalhos necessários para boa aplicação. De acordo com as indicações do fabricante/fornecedor e elementos de projeto.</t>
  </si>
  <si>
    <t>Fornecimento e aplicação de concreto ciclópico, constituído por 60% de concreto C20/25 com classe de exposição XC2, CI0.4, Dmax. 20 mm, S3 e 40% de pedra de mão com dimensão máxima de 0,20m sob elementos de fundação, incluindo vibração e todos os trabalhos relacionados, necessários para perfeito acabamento. De acordo com as indicações do fabricante/fornecedor e elementos de projeto.</t>
  </si>
  <si>
    <t>Fornecimento e execução de maquete em concreto armado aparente, com concreto de classe de resistência C40/50, com classe de exposição XS1, Cl 0.2, Dmax 16mm, S4, armadura em aço A500, fôrmas e desmoldagem, em elemento curvo e reto, incluindo todos os trabalhos, inerentes à boa conclusão dos detalhes:</t>
  </si>
  <si>
    <t>3.24.1</t>
  </si>
  <si>
    <t>Elemento reto com fundação 2x1,25x0,30m, parede com 0,25m de espessura e 2,4m de altura</t>
  </si>
  <si>
    <t>IMPERMEABILIZAÇÃO E ISOLAMENTO TÉRMICO</t>
  </si>
  <si>
    <t>NA COBERTURA #2 e #3</t>
  </si>
  <si>
    <t>Fornecimento e execução de impermeabilização de coberturas planas (#2 e #3) do 1º andar (não acessíveis), incluindo todos os trabalhos preparatórios e acessórios necessários para perfeito acabamento, de acordo com os seguintes trabalhos:</t>
  </si>
  <si>
    <t>Isolamento térmico com placas de poliestireno extrudido "IFOAM COBERTURAS" com 8 cm de espessura, incluindo corte, acabamento.</t>
  </si>
  <si>
    <t>Camada de forma em concreto leve para regularização e formação de caleiras e pendentes com espessura necessária, com superfície talochada para receber as membranas.</t>
  </si>
  <si>
    <t>Sistema de impermeabilização tipo "Imperalum" com pintura Imperkote L, sistema de impermeabilização com duas membranas cruzadas POLYPLAS 30 + POLYXIS R40 (as membranas sobem nos parapeitos, fazendo sobreposição e são fixadas a eles com cantoneiras adequadas ou outras), membrana separadora em tecido de poliéster calandrado tipo "IMPERSEP 200", incluindo corte, acabamento, fixações, tudo pronto para receber o revestimento final.</t>
  </si>
  <si>
    <t>NA VARANDA</t>
  </si>
  <si>
    <t>Fornecimento e execução de impermeabilização de varanda do 1º andar (acessíveis), incluindo todos os trabalhos preparatórios e acessórios necessários para perfeito acabamento, de acordo com os seguintes trabalhos:</t>
  </si>
  <si>
    <t>4.2.1</t>
  </si>
  <si>
    <t>4.2.2</t>
  </si>
  <si>
    <t>Betonilha com superfície talochada para receber as membranas e formação de pendentes.</t>
  </si>
  <si>
    <t>4.2.3</t>
  </si>
  <si>
    <t>Sistema de impermeabilização tipo "Imperalum" com pintura Imperkote L, sistema de impermeabilização com duas membranas cruzadas POLYPLAS 30 + POLYXIS R40, (as membranas sobem nos parapeitos, fazendo sobreposição e são fixadas a eles com cantoneiras adequadas ou outras), membrana separadora em tecido de poliéster calandrado tipo "IMPERSEP 200", incluindo corte, acabamento, fixações, tudo pronto para receber o revestimento final.</t>
  </si>
  <si>
    <t>NA COBERTURA DA ZONA TÉCNICA DA PISCINA #1 E ZONA TÉCNICA #2</t>
  </si>
  <si>
    <t>Fornecimento e execução de impermeabilização de cobertura plana da zona técnica #1 e tanque de compensação, zona técnica #2, incluindo todos os trabalhos preparatórios e acessórios necessários para perfeito acabamento, de acordo com os seguintes trabalhos:</t>
  </si>
  <si>
    <t>NAS SUPERFÍCIES ENTERRADAS</t>
  </si>
  <si>
    <t>Fornecimento e execução de sistema de drenagem de paredes enterradas através da aplicação de membrana drenante com relevos tipo "Aguadrain" ou equivalente, fixada às superfícies de concreto armado, incluindo tubo geodrenante no fundo da vala, envolvido em brita, ligação à rede de drenagem, poços, sistema de fixação, corte, acabamento e todos os trabalhos preparatórios e acessórios.</t>
  </si>
  <si>
    <t>NAS LAJES INTERIORES</t>
  </si>
  <si>
    <t>Fornecimento e execução de isolamento térmico de lajes interiores (#2 e #3) com placas de poliestireno extrudido "XPS" com 8 cm de espessura, assentes sobre manta acústica Impactodam com 10 mm de espessura, conforme pormenor, incluindo corte, acabamento e todos os trabalhos preparatórios e acessórios.</t>
  </si>
  <si>
    <t>NAS BASES DE CHUVEIROS</t>
  </si>
  <si>
    <t>Fornecimento e execução de impermeabilização de bases de chuveiros no pavimento com argamassa cimentícia elástica bicomponente tipo "Mapelastic Smart" ou equivalente, armada com rede de fibra de vidro com tratamento anti-alcalino, com subida de 30 cm nas paredes, incluindo todos os trabalhos preparatórios e acessórios necessários para perfeito acabamento.</t>
  </si>
  <si>
    <t>SISTEMA DE IMPERMEABILIZAÇÃO DA PISCINA</t>
  </si>
  <si>
    <t>Fornecimento e execução de sistema "IMPERALUM" para impermeabilização da piscina e espelhos de água, constituído pela aplicação de pintura Imperkote F, sistema de duas membranas cruzadas POLYPLAS 30 + POLYXIS R40T + POLYBANCA 33, separador em tecido de poliéster calandrado, IMPERSEP 150 (no fundo e cantos), sistema de 1 membrana POLYXIS R50 nas superfícies verticais, pronto para receber o acabamento final, tudo conforme pormenores, incluindo corte e acabamento e todos os trabalhos preparatórios e acessórios para perfeito acabamento.</t>
  </si>
  <si>
    <t>ALVENARIA E ESTRUTURAS DE VEDAÇÃO</t>
  </si>
  <si>
    <t>ALVENARIA EXTERIOR</t>
  </si>
  <si>
    <t>Fornecimento e execução de parede exterior com 1 camada de tijolo térmico Preceram com 25 cm de espessura, incluindo argamassa de assentamento ao traço 1:4, vergas de betão armado sobre vãos, grampos de aço inoxidável para ligação entre alvenaria e estrutura de betão e todos os trabalhos preparatórios e acessórios necessários para perfeito acabamento. (PE-A) (PE-B) (PE-C) (PE-D) (PE-E) (PE-P) (PE-F)</t>
  </si>
  <si>
    <t>Fornecimento e execução de parede exterior com 1 camada de alvenaria de tijolo cerâmico de dimensão 30x20x15 cm, incluindo argamassa de assentamento ao traço 1:4, vergas de betão armado sobre vãos e todos os trabalhos preparatórios e acessórios necessários para perfeito acabamento. (PE-M) (PE-N)</t>
  </si>
  <si>
    <t>Fornecimento e execução de parede exterior com 1 camada de alvenaria de tijolo cerâmico de dimensão 30x20x11 cm, incluindo argamassa de assentamento ao traço 1:4, vergas de betão armado sobre vãos, nos espaços das caixas de ar prever caleira na betonilha com pendente para drenagem de água de condensação para escoadouro com saída, e todos os trabalhos preparatórios e acessórios necessários para perfeito acabamento. (PE-H) (PE-K) (PE-L)</t>
  </si>
  <si>
    <t>ALVENARIA INTERIOR</t>
  </si>
  <si>
    <t>Fornecimento e execução de paredes interiores com 1 camada de alvenaria de tijolo cerâmico de dimensão 30x20x15 cm, incluindo argamassa de assentamento ao traço 1:4, vergas de betão armado sobre vãos e todos os trabalhos preparatórios e acessórios necessários para perfeito acabamento. (PI-A) (PI-B)</t>
  </si>
  <si>
    <t>Fornecimento e execução de paredes interiores com 1 camada de alvenaria de tijolo cerâmico de dimensão 30x20x7 cm, incluindo argamassa de assentamento ao traço 1:4, vergas de betão armado sobre vãos e todos os trabalhos preparatórios e acessórios necessários para perfeito acabamento. (PI-C)</t>
  </si>
  <si>
    <t>Fornecimento e execução de paredes interiores com 2 camadas de alvenaria de tijolo cerâmico de dimensão 30x20x11 cm + caixa de ar 3 cm + 30x20x11 cm, incluindo argamassa de assentamento ao traço 1:4, vergas de betão armado sobre vãos e todos os trabalhos preparatórios e acessórios necessários para perfeito acabamento. (PI-D) (PI-E)</t>
  </si>
  <si>
    <t>DIVISÓRIAS DE GESSO CARTONADO</t>
  </si>
  <si>
    <t>Fornecimento e execução de revestimento com placas de gesso cartonado com 12 mm de espessura em superfícies interiores de paredes exteriores, sistema de duplo forro, enchimento interior com lã mineral com 9 cm de espessura, incluindo estrutura perfilada para suporte das placas com montantes de 90 mm, sistema de fixação, tratamento de juntas, barramento e preparação final para pintura ou acabamento final e todos os trabalhos preparatórios e acessórios necessários para perfeito acabamento. (PE-P)</t>
  </si>
  <si>
    <t>Fornecimento e execução de revestimento com placas de gesso cartonado standard com 12 mm de espessura em superfícies interiores de paredes exteriores, sistema de duplo forro, enchimento interior com lã mineral com 5 cm de espessura, incluindo estrutura perfilada para suporte das placas com montantes de 48 mm, sistema de fixação, tratamento de juntas, barramento e preparação final para pintura ou acabamento final e todos os trabalhos preparatórios e acessórios necessários para perfeito acabamento. (PE-C) (PE-D) (PI-G)</t>
  </si>
  <si>
    <t>Fornecimento e execução de revestimento com placas de gesso cartonado hidrófugo com 12 mm de espessura em superfícies interiores de paredes exteriores, sistema de duplo forro, enchimento interior com lã mineral com 5 cm de espessura, incluindo estrutura perfilada para suporte das placas com montantes de 48 mm, sistema de fixação, tratamento de juntas, barramento e preparação final para pintura ou acabamento final e todos os trabalhos preparatórios e acessórios necessários para perfeito acabamento. (PE-I) (PI-H)</t>
  </si>
  <si>
    <t>Fornecimento e execução de revestimento com placas de gesso cartonado hidrófugo com 12 mm de espessura em superfícies interiores de paredes exteriores, sistema de duplo forro, enchimento interior com lã mineral com 3 cm de espessura, incluindo estrutura perfilada para suporte das placas com montantes de 30 mm, sistema de fixação, tratamento de juntas, barramento e preparação final para pintura ou acabamento final e todos os trabalhos preparatórios e acessórios necessários para perfeito acabamento. (PE-J)</t>
  </si>
  <si>
    <t>Fornecimento e montagem de divisórias leves com duplo forro de gesso cartonado hidrófugo com 12 mm de espessura em cada face, revestimento interior com isolamento acústico em lã mineral com 5 cm de espessura, incluindo estrutura perfilada para suporte das placas com montantes de 48 mm, sistema de fixação, tratamento de juntas, barramento e preparação final para pintura e todos os trabalhos preparatórios e acessórios necessários para perfeito acabamento. (PI-F)</t>
  </si>
  <si>
    <t>Fornecimento e montagem de divisórias leves com forro simples de MDF hidrófugo com 19 mm de espessura, lacado em cada face, com acabamento mate de cor RAL 9003, revestimento interior com isolamento acústico em lã mineral com 4 cm de espessura, incluindo estrutura em tubos FACAR com 4 cm de diâmetro para suporte das placas, sistema de fixação e todos os trabalhos preparatórios e acessórios necessários para perfeito acabamento. (PI-I) (PR06)</t>
  </si>
  <si>
    <t>SOLEIRAS DE BETÃO</t>
  </si>
  <si>
    <t>Fornecimento e execução de soleiras de betão com barramento, conforme pormenor PORM10, elevadas 1 cm com apoios de borracha a definir pelo executante, incluindo corte, acabamento e todos os trabalhos preparatórios e acessórios necessários para perfeito acabamento.</t>
  </si>
  <si>
    <t>5.13.1</t>
  </si>
  <si>
    <t>Soleira VE 01.1 - Dimensão 1,10 m.</t>
  </si>
  <si>
    <t>5.13.2</t>
  </si>
  <si>
    <t>Soleira VE 01.2 - Dimensão 4,68 m.</t>
  </si>
  <si>
    <t>5.13.3</t>
  </si>
  <si>
    <t>Soleira VE 01.3 - Dimensão 4,61 m.</t>
  </si>
  <si>
    <t>5.13.4</t>
  </si>
  <si>
    <t>Soleira VE 01.4 - Dimensão 3,04 m.</t>
  </si>
  <si>
    <t>Fornecimento e execução de soleiras estreitas entre vãos do 1º andar em elementos de betão com barramento, conforme pormenor PORM10, elevadas 1 cm com apoios de borracha a definir pelo executante, incluindo corte, acabamento e todos os trabalhos preparatórios e acessórios necessários para perfeito acabamento.</t>
  </si>
  <si>
    <t>5.14.1</t>
  </si>
  <si>
    <t>Soleira A - Dimensão 400x70 mm.</t>
  </si>
  <si>
    <t>5.14.2</t>
  </si>
  <si>
    <t>Soleira B - Dimensão 3960x70 mm.</t>
  </si>
  <si>
    <t>5.14.3</t>
  </si>
  <si>
    <t>Soleira C - Dimensão 5300x70 mm.</t>
  </si>
  <si>
    <t>5.14.4</t>
  </si>
  <si>
    <t>Soleira D - Dimensão 1390x70 mm.</t>
  </si>
  <si>
    <t>5.14.5</t>
  </si>
  <si>
    <t>Soleira E - Dimensão 1040x70 mm.</t>
  </si>
  <si>
    <t>COBERTURA</t>
  </si>
  <si>
    <t>Fornecimento e montagem de revestimento de cobertura #1 em chapa de zinco, lacada na cor branca RAL 9003, com junta agrafada tipo "Double Lock", assente sobre camada de ventilação tipo "AGUADRAIN GEO" e membrana impermeabilizante tipo "RHENOFOL CV", isolamento térmico XPS com 8cm de espessura pelo interior e camada de lã mineral com 17cm de espessura entre OSB, conforme pormenor, incluindo execução de caleira e rufos em zinco, corte, acabamento, elementos de fixação e todos os trabalhos preparatórios e acessórios necessários para perfeito acabamento. (PV15)</t>
  </si>
  <si>
    <t>Fornecimento e aplicação de revestimento com seixo rolado miúdo cinzento com 10cm de espessura na cobertura plana #2 e #3 (não acessível), incluindo carga, transporte, espalhamento e todos os trabalhos preparatórios e acessórios necessários para perfeito acabamento. (PV12)</t>
  </si>
  <si>
    <t>Fornecimento e execução de rufos de platibandas da cobertura #2 e #3 (não acessível) em chapa metálica galvanizada, incluindo corte, acabamento, elementos de fixação, criação de pendentes, conforme elementos de projeto, e todos os trabalhos preparatórios e acessórios necessários para perfeito acabamento.</t>
  </si>
  <si>
    <t>Fornecimento e execução de tubo metálico de chaminé conforme pormenor, incluindo tubo metálico de exaustão, isolamento de vedação, corte, acabamento, ligações e todos os trabalhos preparatórios e acessórios necessários para perfeito acabamento.</t>
  </si>
  <si>
    <t>ACABAMENTO DE TETOS</t>
  </si>
  <si>
    <t>TETOS EXTERIORES</t>
  </si>
  <si>
    <t>Fornecimento e execução de acabamento de tetos em betão aparente com proteção hidrófuga "SIKAGARD 680-S PT", incolor mate, incluindo preparação da base com corte de rebarbas de betão, preenchimento de vazios com materiais adequados, preparação geral das superfícies, aplicação de primário e todos os trabalhos preparatórios e acessórios necessários para perfeito acabamento. (TE04)</t>
  </si>
  <si>
    <t>TETOS INTERIORES</t>
  </si>
  <si>
    <t>Fornecimento e execução de acabamento de tetos em betão aparente com proteção hidrófuga "SIKAGARD 680-S PT", incolor mate, incluindo preparação da base com corte de rebarbas de betão, preenchimento de vazios com materiais adequados, preparação geral das superfícies, aplicação de primário e todos os trabalhos preparatórios e acessórios necessários para perfeito acabamento. (TE01)</t>
  </si>
  <si>
    <t>Fornecimento e montagem de tetos falsos contínuos com placas de gesso cartonado com 12mm de espessura "KNAUF KS STANDARD", incluindo aresta 10mmx10mm com perfil de sistema, estrutura de suporte, sistema de fixação, execução de aberturas para colocação de diversos equipamentos, sancas, tratamento de juntas, barramento e preparação final para pintura e todos os trabalhos preparatórios e acessórios necessários para perfeito acabamento. (TE02)</t>
  </si>
  <si>
    <t>Será verde resistente à umidade.</t>
  </si>
  <si>
    <t>Fornecimento e montagem de tetos falsos contínuos com placas de gesso cartonado hidrófugo com 12mm de espessura "KNAUF HIDROFUGA H1", incluindo aresta 10mmx10mm com perfil de sistema, estrutura de suporte, sistema de fixação, execução de aberturas para colocação de diversos equipamentos, sancas, tratamento de juntas, barramento e preparação final para pintura e todos os trabalhos preparatórios e acessórios necessários para perfeito acabamento. (TE03)</t>
  </si>
  <si>
    <t>Fornecimento e execução de sanca em tetos falsos de gesso cartonado, conforme pormenor, com barramento e preparação final para pintura, incluindo todos os trabalhos preparatórios e acessórios necessários para perfeito acabamento.</t>
  </si>
  <si>
    <t>Fornecimento e execução de pintura com tinta aquosa "CIN - VINYLMATE - Ref.ª 10-250", acabamento extra mate, de cor branca RAL 9003, em 2-3 demãos, incluindo limpeza prévia das superfícies, aplicação de 1 demão de primário "EP/GC 300 - Ref.ª 10-600" e todos os trabalhos preparatórios e acessórios necessários para perfeito acabamento. (PR02)</t>
  </si>
  <si>
    <t>ACABAMENTO DE PAREDES</t>
  </si>
  <si>
    <t>PAREDES EXTERIORES</t>
  </si>
  <si>
    <t>Fornecimento e execução de revestimento de paredes de betão com acabamento hidrófugo "SIKAGARD 680-S PT", incolor mate, incluindo preparação da base com remoção de rebarbas de betão, preenchimento de vazios com materiais adequados, preparação geral das superfícies, aplicação de primário e todos os trabalhos preparatórios e auxiliares necessários para acabamento perfeito. (PR08)</t>
  </si>
  <si>
    <t>Fornecimento e aplicação de reboco "WEBER REV PASTA CINZA RAL 7035 marca SAINT-GOBAIN", incluindo todos os trabalhos preparatórios e auxiliares necessários para acabamento perfeito. (PR09)</t>
  </si>
  <si>
    <t>Fornecimento e montagem de sistema de fachada "ETICS - WEBER REV PASTA CINZA RAL 7035 marca SAINT-GOBAIN", constituído por argamassa de colagem, isolamento térmico em poliestireno expandido moldado com 7cm de espessura, duas camadas de argamassa de revestimento com rede de reforço entre elas, rede normal, primário de regularização, regulador e acabamento final, incluindo buchas e elementos de fixação, perfis e cantoneiras de remate e todos os trabalhos preparatórios e auxiliares necessários para acabamento perfeito. (PR10)</t>
  </si>
  <si>
    <t>Fornecimento e montagem de sistema de fachada com acabamento em chapa de alumínio 5mm, pintada na cor branca RAL 9003, com sistema de colagem marca "CORTIZO" e subestrutura de perfil T e isolamento térmico XPS 7cm, incluindo corte, acabamento e todos os trabalhos preparatórios e auxiliares necessários para acabamento perfeito. (PR11)</t>
  </si>
  <si>
    <t>Propomos fazer o sistema de revestimento de alumínio da mesma forma que o ponto 8.3, utilizando RAL 9003. O preço diminui de 234 euros/m² para 75 euros.</t>
  </si>
  <si>
    <t>Fornecimento e execução de reboco fino areado ao traço 1:4 em fachadas e pérgula, pronto a receber pintura ou acabamento final, incluindo salpico, emboço e todos os trabalhos preparatórios e auxiliares necessários para acabamento perfeito. (PR09) (PR14)</t>
  </si>
  <si>
    <t>Fornecimento e execução de pintura com tinta 100% acrílica "CIN - NOVATEX - Ref.ª 12-230" de cor cinza RAL 7035 em 2-3 demãos sobre reboco, incluindo limpeza prévia das superfícies, aplicação de 1 demão de primário "EP/GC 300 - Ref.ª 10-600" e todos os trabalhos preparatórios e auxiliares necessários para acabamento perfeito. (PR14)</t>
  </si>
  <si>
    <t>PAREDES INTERIORES</t>
  </si>
  <si>
    <t>Fornecimento e execução de revestimento de paredes de betão com acabamento hidrófugo "SIKAGARD 680-S PT", incolor mate, incluindo preparação da base com remoção de rebarbas de betão, preenchimento de vazios com materiais adequados, preparação geral das superfícies, aplicação de primário e todos os trabalhos preparatórios e auxiliares necessários para acabamento perfeito. (PR01)</t>
  </si>
  <si>
    <t>Fornecimento e execução de reboco projetado, incluindo acabamento com camada fina, reforço com rede de fibra de vidro 5x5cm (75g/m²) na transição betão/alvenaria e cantoneiras em PVC reforçadas com fibra de vidro, pronto a receber pintura, e todos os trabalhos preparatórios e auxiliares necessários para acabamento perfeito. (PR02) (PR03)</t>
  </si>
  <si>
    <t>Fornecimento e assentamento de mosaico "CLASSIC BRANCO 30x30cm" marca "RUBICER" com juntas cinza claro RAL 7035, incluindo reboco de base em alvenaria, argamassa de colagem, corte, acabamento, betumação de juntas e todos os trabalhos preparatórios e auxiliares necessários para acabamento perfeito. (PR5.1)</t>
  </si>
  <si>
    <t>Considerando os preços aos quais adquirimos, o preço sai mais baixo (Era 103)</t>
  </si>
  <si>
    <t>Fornecimento e assentamento de mosaico "GREY 30x30cm" marca "RUBICER" com juntas brancas RAL 9003, incluindo reboco de base em alvenaria, argamassa de colagem, corte, acabamento, betumação de juntas e todos os trabalhos preparatórios e auxiliares necessários para acabamento perfeito. (PR5.2)</t>
  </si>
  <si>
    <t>Considerando os preços aos quais adquirimos, o preço sai mais baixo (Era 118)</t>
  </si>
  <si>
    <t>Fornecimento e execução de reboco liso, incluindo salpico, emboço e todos os trabalhos preparatórios e auxiliares necessários para acabamento perfeito. (PR07)</t>
  </si>
  <si>
    <t>Fornecimento e execução de pintura com tinta aquosa "CIN - VINYLCLEAN MATE - Ref.ª 10-245" de cor branca RAL 9003 em 2-3 demãos em paredes rebocadas e/ou gesso cartonado, incluindo limpeza prévia das superfícies, aplicação de 1 demão de primário "EP/GC 300 - Ref.ª 10-600" e todos os trabalhos preparatórios e auxiliares necessários para acabamento perfeito. (PR02) (PR04)</t>
  </si>
  <si>
    <t>Fornecimento e execução de pintura com esmalte aquoso acrílico "CIN - CINACRYL MATE - Ref.ª 10-230" de cor branca RAL 9003 em 2-3 demãos em paredes rebocadas e/ou gesso cartonado, incluindo limpeza prévia das superfícies, aplicação de 1 demão de primário "EP/GC 300 - Ref.ª 10-600" e todos os trabalhos preparatórios e auxiliares necessários para acabamento perfeito. (PR03) (PR04)</t>
  </si>
  <si>
    <t>ACABAMENTO DE PAVIMENTOS E RODAPÉS</t>
  </si>
  <si>
    <t>PAVIMENTOS EXTERIORES</t>
  </si>
  <si>
    <t>Fornecimento e execução de pavimento térreo para assentamento de revestimento exterior, incluindo escavação de caixa com 15 cm de profundidade com transporte de excedentes a vazadouro, regularização e compactação da caixa, camada de enrocamento e brita (3-5 cm) com 0,15 cm de espessura compactada, barreira pára-vapor, massame de betão armado com malhasol CQ50 com 15 cm de espessura, conforme pormenor, incluindo formação de pendentes, e todos os trabalhos preparatórios e acessórios necessários para perfeito acabamento.</t>
  </si>
  <si>
    <t>Fornecimento e execução de revestimento contínuo em betonilha afagada com autonivelante com hidrofugante, incluindo base de regularização/enchimento em betão leve, acabamento, nivelamento e todos os trabalhos preparatórios e acessórios necessários para perfeito acabamento. (PV07)</t>
  </si>
  <si>
    <t>Fornecimento e assentamento de revestimento em lajetas de betão pré-fabricadas 50x50x6 cm marca "VERDASCA GROUP", incluindo apoios reguláveis para suporte das lajetas, nivelamento, corte, acabamento e todos os trabalhos preparatórios e acessórios necessários para perfeito acabamento. (PV08) (LAJ 01.1)</t>
  </si>
  <si>
    <t>Fornecimento e assentamento de revestimento em lajetas de betão de várias dimensões, incluindo betonilha de enchimento/regularização com acabamento afagado, argamassa de assentamento ou cola, nivelamento, corte, acabamento, betumação de juntas e todos os trabalhos preparatórios e acessórios necessários para perfeito acabamento. (PV09)</t>
  </si>
  <si>
    <t>9.4.1</t>
  </si>
  <si>
    <t>LAJ -01.1 - Passadiço sobre água em lajetas de betão pré-fabricadas. Descrição: Conjunto de 3 lajetas de betão pré-fabricadas com apoios em betão armado. As lajetas têm dimensões de 650x650x70mm. Dimensões: Dimensões gerais - 2050x650x70mm (CxLxA) 3 lajetas - 650x650x70mm (CxLxA)</t>
  </si>
  <si>
    <t>9.4.2</t>
  </si>
  <si>
    <t>LAJ 00.1 - Passadiço sobre água em lajetas de betão pré-fabricadas. Descrição: Conjunto de 13 lajetas de betão pré-fabricadas com apoios em betão armado. As lajetas nas extremidades têm dimensões de 1250x500x70mm, e as restantes têm dimensões de 1250x300x70mm. As extremidades das lajetas são chanfradas para criar o efeito de flutuação sobre o nível da água, a altura da lajeta é de 5 cm na extremidade. Dimensões: Dimensões gerais - 5000x1250x260mm (CxLxA) 2 lajetas tipo 1 - 1250x500x50mm (CxLxA) 11 lajetas tipo 2 - 1250x300x50mm (CxLxA)</t>
  </si>
  <si>
    <t>9.4.3</t>
  </si>
  <si>
    <t>LAJ 00.3 - Passadiço em lajetas de betão pré-fabricadas. Descrição: Conjunto de 9 lajetas de betão pré-fabricadas. As lajetas têm dimensões de 2050x300x100mm. Devem ser assentes sobre base de brita média. Dimensões: 9 lajetas - 2050x300x100mm (CxLxA)</t>
  </si>
  <si>
    <t>Fornecimento e assentamento de revestimento em blocos de betão tipo "PAVIMENTO ECOQUADRADO" marca "VERDASCA GROUP", juntas preenchidas com seixo rolado miúdo cinzento, assente sobre base com 5 cm de espessura de cimento e areia ao traço 1:4, sub-base em brita com 15 cm de espessura, incluindo escavação de caixa com 20 cm de profundidade, compactação, remoção e transporte de excedentes a vazadouro (vazadouro a cargo do empreiteiro) e todos os trabalhos preparatórios e acessórios necessários para perfeito acabamento. (PV10)</t>
  </si>
  <si>
    <t>Fornecimento e assentamento de deck, constituído por réguas de pinho 20x220x2200mm, tratamento em autoclave, acabamento em verniz mate na cor natural, fixação simétrica com parafusos, incluindo base em betonilha de enchimento/regularização com acabamento afagado, nivelamento, corte, acabamento e todos os trabalhos preparatórios e acessórios necessários para perfeito acabamento. (PV11)</t>
  </si>
  <si>
    <t>Propomos utilizar tábuas de pinho DECK em vez de painéis. O preço por m² diminui de 151 para 115 euros/m²</t>
  </si>
  <si>
    <t>Fornecimento e aplicação de revestimento com seixo rolado miúdo cinzento com 10 cm de espessura, incluindo carga, transporte, espalhamento e todos os trabalhos preparatórios e acessórios necessários para perfeito acabamento. (PV12)</t>
  </si>
  <si>
    <t>Fornecimento e aplicação de casca de pinho, incluindo carga, transporte, espalhamento e todos os trabalhos preparatórios e acessórios necessários para perfeito acabamento. (PV13)</t>
  </si>
  <si>
    <t>Fornecimento e assentamento de mosaico vítreo modelo "Classic Cinza 30x30cm marca "RUBICER" com juntas em mástique cinza claro RAL 7035, incluindo argamassa de colagem e betumação Adhere para piscinas, base em reboco "MAXDUR da SECIL", corte, acabamento, betumação de juntas, execução de nichos para calhas LED, bordadura da piscina em cantoneira "L" em aço inox 316 escovado 15x15cm e caleira de transbordo em chapa de alumínio dobrada com abertura de 5cm na piscina, tudo conforme pormenor e todos os trabalhos preparatórios e acessórios necessários para perfeito acabamento. (PR05.1)</t>
  </si>
  <si>
    <t>Fornecimento e execução completa de escada de ligação entre rampa de estacionamento e deck do piso 0 (ESC 02): Escada em betão com acabamento em lajetas de betão pré-fabricadas com 3cm de espessura nos cobertores e barramento de cimento (PR09) nos espelhos dos degraus, incluindo betonilha de enchimento/regularização, acabamento e todos os trabalhos preparatórios e acessórios necessários para perfeito acabamento. Dimensões: Dimensões gerais - 4350x1200x2850mm (CxLxA) Degraus - 290x1200x178mm (CxLxA)</t>
  </si>
  <si>
    <t>Fornecimento e execução completa de escada exterior de acesso à zona técnica #1 (ESC 03): Escada com acabamento em betonilha afagada, acessível através de duas grelhas de pavimento em aço inox escovado, basculantes, que se transformam em guarda quando abertas, incluindo betonilha de enchimento/regularização, acabamento, soldaduras e todos os trabalhos preparatórios e acessórios necessários para perfeito acabamento. Dimensões: Dimensões gerais - 4340x900x2750mm (CxLxA) Degraus - 280x900x197mm (CxLxA) Dimensão de cada grelha x 2 - 2170x980x40mm 2 grelhas (aço inox) de pavimento com dimensão 2,17x0,98m</t>
  </si>
  <si>
    <t>PAVIMENTOS INTERIORES</t>
  </si>
  <si>
    <t>Fornecimento e execução de pavimento em betonilha afagada a helicóptero, incluindo hidrofugante SIKAGARD 680-S incolor mate, incluindo betonilha de enchimento/regularização, rebaixamento na zona de chuveiros com formação de pendentes, acabamento e todos os trabalhos preparatórios e acessórios necessários para perfeito acabamento. (PV01)</t>
  </si>
  <si>
    <t>Fornecimento e assentamento de revestimento em soalho - réguas de carvalho 20x220x2200 (axlxc) - modelo ALVA RIBADÃO, tratamento "NORDIC NATURAL" marca BONA, incluindo betonilha de enchimento/regularização com acabamento afagado, corte, acabamento, fixações e todos os trabalhos preparatórios e acessórios necessários para perfeito acabamento. (PV03)</t>
  </si>
  <si>
    <t>Propomos laminado de classe TOP a um custo de 50 euros.</t>
  </si>
  <si>
    <t>Fornecimento e execução de pintura epóxi bege brilhante RAL a definir por amostra, SIKAFLOOR-264, marca SIKA, incluindo todos os componentes necessários e acabamento antiderrapante, betonilha de enchimento/regularização com acabamento afagado, acabamento e todos os trabalhos preparatórios e acessórios necessários para perfeito acabamento. (PV04)</t>
  </si>
  <si>
    <t>Neste caso, não é necessário</t>
  </si>
  <si>
    <t>Fornecimento e execução de pintura epóxi branco mate RAL 9003 SIKAFLOOR-264, marca SIKA, incluindo todos os componentes necessários e acabamento antiderrapante, betonilha de enchimento/regularização com acabamento afagado, rebaixamento na zona de chuveiros com formação de pendentes, acabamento e todos os trabalhos preparatórios e acessórios necessários para perfeito acabamento. (PV04)</t>
  </si>
  <si>
    <t>RODAPÉS</t>
  </si>
  <si>
    <t>Fornecimento e assentamento de rodapé em cantoneira de aço inox escovado 20x10x5mm (axlxe), incluindo sistema de fixação, corte, acabamento e todos os trabalhos preparatórios e acessórios necessários para perfeito acabamento. (RD01)</t>
  </si>
  <si>
    <t>Rodapé para laminado</t>
  </si>
  <si>
    <t>ESTRUTURAS METÁLICAS E CAIXILHARIAS</t>
  </si>
  <si>
    <t>CAIXILHARIAS DE ALUMÍNIO</t>
  </si>
  <si>
    <t>10.10</t>
  </si>
  <si>
    <t>Fornecimento e montagem de vãos exteriores em caixilharia de alumínio CORTIZO, incluindo acabamentos, vidros duplos, vedações, soleiras metálicas, sistema de abertura e ferragens conforme mapa de vãos e elementos de projeto e todos os trabalhos preparatórios e acessórios necessários para perfeito funcionamento.</t>
  </si>
  <si>
    <t>10.1.1</t>
  </si>
  <si>
    <t>VE 01.1 - Dimensão 1,10x2,88m, vão de sacada 1 folha oscilo-batente + 1 bandeira, série "COR 70", folha oculta C16 ST, lacada conforme fachadas (RAL9003, a confirmar), incluindo soleira em chapa de alumínio anodizado (acabamento natural) quinada com 3mm de espessura.</t>
  </si>
  <si>
    <t>10.1.2</t>
  </si>
  <si>
    <t>VE 01.2 - Dimensão 4,68x2,92m, vão de sacada 1 folha de correr + 1 folha fixa, série "COR VISION PLUS", lacada conforme fachadas (RAL9003, a confirmar), incluindo soleira em chapa de alumínio anodizado (acabamento natural) quinada com 3mm de espessura, estruturada com tubos facar a critério do executante, elevada 1cm com apoios de borracha a critério do executante.</t>
  </si>
  <si>
    <t>10.1.3</t>
  </si>
  <si>
    <t>VE 01.3 - Dimensão 4,61x2,92m, vão de sacada 1 folha de correr + 1 folha fixa, série "COR VISION PLUS", lacada conforme fachadas (RAL9003, a confirmar), incluindo soleira em chapa de alumínio anodizado (acabamento natural) quinada com 3mm de espessura, estruturada com tubos facar a critério do executante, elevada 1cm com apoios de borracha a critério do executante.</t>
  </si>
  <si>
    <t>10.1.4</t>
  </si>
  <si>
    <t>VE 01.4 - Dimensão 3,04x2,92m, vão de sacada 2 folhas de correr, série "COR VISION PLUS", lacada conforme fachadas (RAL9003, a confirmar), incluindo soleira em chapa de alumínio anodizado (acabamento natural) quinada com 3mm de espessura, estruturada com tubos facar a critério do executante.</t>
  </si>
  <si>
    <t>10.1.5</t>
  </si>
  <si>
    <t>VE 01.5 - Dimensão 5,93x2,92m, vão de sacada 1 folha de correr e 2 folhas fixas, série "COR VISION PLUS", lacada conforme fachadas (RAL9003, a confirmar), incluindo perfis estruturais de ligação entre VE05 e VE06, revestidos com chapa de alumínio anodizado, igual às caixilharias, nas faces visíveis. Ver PORM04 na folha EXE33.</t>
  </si>
  <si>
    <t>10.1.6</t>
  </si>
  <si>
    <t>VE 01.6 - Dimensão 6,19x2,92m, vão de sacada 1 folha de correr e 2 folhas fixas, série "COR VISION PLUS", lacada conforme fachadas (RAL9003, a confirmar), incluindo perfis estruturais de ligação entre VE05 e VE06 + VE06 e VE07, revestidos com chapa de alumínio anodizado, igual às caixilharias, nas faces visíveis. Ver PORM04 na folha EXE33.</t>
  </si>
  <si>
    <t>10.1.7</t>
  </si>
  <si>
    <t>VE 01.7 - Dimensão 4,94x2,92m, vão de sacada 1 folha de correr e 1 folha fixa, série "COR VISION PLUS", lacada conforme fachadas (RAL9003, a confirmar), incluindo perfis estruturais de ligação entre VE06 e VE07 + VE07 e VE08, revestidos com chapa de alumínio anodizado, igual às caixilharias, nas faces visíveis. Ver PORM04 na folha EXE33.</t>
  </si>
  <si>
    <t>10.1.8</t>
  </si>
  <si>
    <t>VE 01.8 - Dimensão 7,18x2,92m, vão de sacada 1 folha de correr e 2 folhas fixas, série "COR VISION PLUS", lacada conforme fachadas (RAL9003, a confirmar), incluindo perfis estruturais de ligação entre VE07 e VE08, revestidos com chapa de alumínio anodizado, igual às caixilharias, nas faces visíveis. Ver PORM04 na folha EXE33.</t>
  </si>
  <si>
    <t>10.1.9</t>
  </si>
  <si>
    <t>VE 00.1 - Dimensão 7,24x2,94m, vão de sacada 1 folha de correr e 2 folhas fixas, série "COR VISION PLUS", lacada conforme fachadas (RAL9003, a confirmar), incluindo soleira em cantoneira de alumínio L 210x60mm, acabamento escovado.</t>
  </si>
  <si>
    <t>10.1.10</t>
  </si>
  <si>
    <t>VE 00.2 - Dimensão 2,23x2,94m, vão de sacada 1 folha pivotante, porta de entrada CORTIZO, série "MILLENNIUM PLUS PIVOT", acabamento anodizado, incluindo soleira em chapa de aço inox quinada com 3mm de espessura, elevada 1cm com apoios de borracha a critério do executante, incluindo perfis estruturais de ligação entre VE02 e VE03, revestidos com chapa de alumínio anodizado, igual às caixilharias, nas faces visíveis. Ver PORM07 na folha EXE34.</t>
  </si>
  <si>
    <t>10.1.11</t>
  </si>
  <si>
    <t>VE 00.3 - Dimensão 2,15x2,89m, vão de sacada 1 folha fixa, série "COR 70", acabamento anodizado, incluindo soleira em chapa de alumínio anodizado (acabamento natural) quinada com 3mm de espessura, estruturada com tubos facar a critério do executante - ver PORM12, incluindo perfis estruturais de ligação entre VE02 e VE03, revestidos com chapa de alumínio anodizado, igual às caixilharias, nas faces visíveis. Ver PORM07 na folha EXE34.</t>
  </si>
  <si>
    <t>10.1.12</t>
  </si>
  <si>
    <t>VE 00.4 - Dimensão 2,58x2,92m, vão de sacada 1 folha fixa, série "COR 70", acabamento anodizado, incluindo soleira em chapa de alumínio anodizado, quinada em Z, com 3mm de espessura. DIM abas, sequencialmente: 20mm, 260mm, 45mm, apoiada em estrutura a critério do executante, conforme pormenores.</t>
  </si>
  <si>
    <t>10.1.13</t>
  </si>
  <si>
    <t>VE 00.6 - Dimensão 17,33x2,94m, vão de sacada 4 folhas de correr e 3 folhas fixas, série "COR VISION PLUS", acabamento anodizado.</t>
  </si>
  <si>
    <t>10.1.14</t>
  </si>
  <si>
    <t>VE 00.7 - Dimensão 4,74x2,94m, vão de sacada 1 folha de correr e 1 folha fixa, série "COR VISION PLUS", acabamento anodizado.</t>
  </si>
  <si>
    <t>10.1.15</t>
  </si>
  <si>
    <t>VE 00.8 - Dimensão 1,98x2,94m, vão de sacada 1 folha de correr, série "COR VISION PLUS", instalada com galandage, acabamento anodizado.</t>
  </si>
  <si>
    <t>10.1.16</t>
  </si>
  <si>
    <t>VE 00.9 - Dimensão 2,54x2,94m, vão de sacada 1 folha de correr e 1 folha fixa, série "COR VISION PLUS", acabamento anodizado, incluindo soleira em chapa de alumínio anodizado (acabamento natural) quinada com 3mm de espessura. DIM 01.10x 0.06 (LxP), estruturada com tubos facar a critério do executante, elevada 1cm com apoios de borracha a critério do executante, incluindo perfis estruturais de ligação entre VE09 e VE10, revestidos com chapa de alumínio anodizado, igual às caixilharias, nas faces visíveis. Ver PORM05 na folha EXE35.</t>
  </si>
  <si>
    <t>10.1.17</t>
  </si>
  <si>
    <t>VE 00.10 - Dimensão 3,28x2,94m, vão de sacada 1 folha de correr e 1 folha fixa, série "COR VISION PLUS", acabamento anodizado, incluindo soleira em chapa de alumínio anodizado (acabamento natural) quinada com 3mm de espessura. DIM 01.10x 0.06 (LxP), estruturada com tubos facar a critério do executante, elevada 1cm com apoios de borracha a critério do executante, incluindo perfis estruturais de ligação entre VE09 e VE10, revestidos com chapa de alumínio anodizado, igual às caixilharias, nas faces visíveis. Ver PORM05 na folha EXE35.</t>
  </si>
  <si>
    <t>10.1.18</t>
  </si>
  <si>
    <t>VE -01.1 - Dimensão 4,18x2,36m, vão de sacada 1 folha de correr e 1 folha fixa, série "COR VISION PLUS", acabamento anodizado, incluindo soleira em cantoneira de alumínio L 210x60mm, acabamento escovado.</t>
  </si>
  <si>
    <t>10.1.19</t>
  </si>
  <si>
    <t>VE -01.2 - Dimensão 2,21x2,36m, vão de sacada 1 folha fixa, série "COR 70", acabamento anodizado, incluindo soleira em cantoneira de alumínio L 210x60mm, acabamento escovado.</t>
  </si>
  <si>
    <t>10.1.20</t>
  </si>
  <si>
    <t>VE-01.3 - Dimensão 2,15x2,89m, vão de sacada 1 folha fixa, série "COR 70", acabamento anodizado.</t>
  </si>
  <si>
    <t>10.1.21</t>
  </si>
  <si>
    <t>VE-01.4 - Dimensão 0,97x2,30m, vão de sacada 1 folha oscilo-batente, série "COR 70", acabamento anodizado, incluindo soleira em chapa de alumínio anodizado, quinada em Z, com 3mm de espessura. DIM abas, sequencialmente: 20mm, 260mm, 45mm, apoiada em estrutura a critério do executante, conforme pormenores.</t>
  </si>
  <si>
    <t>Fornecimento e montagem de alçapão de acesso ao tanque de compensação da piscina em alumínio anodizado RAL 9003 com vedação, espessura total = 50mm, incluindo dobradiças a critério do executante, fechadura de armário JNF IN.20.07715 e todos os trabalhos preparatórios e acessórios necessários para perfeito acabamento.</t>
  </si>
  <si>
    <t>10.2.1</t>
  </si>
  <si>
    <t>VI -01.6 - Alçapão 1 folha de batente, com dimensão 1,00x0,60m.</t>
  </si>
  <si>
    <t>PORTAS METÁLICAS</t>
  </si>
  <si>
    <t>10.3</t>
  </si>
  <si>
    <t>Fornecimento e montagem de porta com estrutura em perfil facar secção 40x40mm, servindo de suporte para placa OSB com 2cm de espessura e acabamento em mosaico branco, igual à parede adjacente (quantidade em separado); aro e guarnição da porta em perfil de aço inox 316 escovado; dobradiça e sua fixação à parede a critério do executante, devem considerar o peso próprio da porta; o objetivo desta porta é ser impercetível como porta no plano da parede adjacente; tudo conforme desenhos de pormenor e todos os trabalhos preparatórios e acessórios necessários para perfeito funcionamento.</t>
  </si>
  <si>
    <t>10.3.1</t>
  </si>
  <si>
    <t>VE 00.5A - Porta 1 folha de batente (oculta), com dimensão 0,70x2,44m.</t>
  </si>
  <si>
    <t>10.4</t>
  </si>
  <si>
    <t>Fornecimento e montagem de porta com estrutura em perfil facar secção 30x30mm, servindo de suporte para placa EPS com 3cm de espessura (quantidade em separado) e acabamento em reboco cimentício, igual à parede exterior adjacente (quantidade em separado); aro e guarnição da porta em perfil de aço inox 316 escovado; dobradiça e sua fixação à parede a critério do executante, devem considerar o peso próprio da porta; o objetivo desta porta é ser impercetível como porta no plano da parede adjacente; fechadura com cilindro europeu; tudo conforme desenhos de pormenor e todos os trabalhos preparatórios e acessórios necessários para perfeito funcionamento.</t>
  </si>
  <si>
    <t>10.4.1</t>
  </si>
  <si>
    <t>VE 00.5B - Porta 1 folha de batente (oculta), com dimensão 0,70x2,44m.</t>
  </si>
  <si>
    <t>10.5</t>
  </si>
  <si>
    <t>Fornecimento e montagem de porta, composta por estrutura em perfis facar 3x3cm e revestida com chapa de alumínio rebitada com 2mm de espessura, lacada na cor branco mate RAL 9003. Espessura total =40mm. A face exterior da porta receberá estrutura de ripado que compõe a fachada (quantidade em separado). A guarnição da porta deve ser executada em cantoneiras de aço inox 316, lacadas na cor branco mate RAL 9003; puxadores: JNF IN.07.207.D Ø25 (A=1250mm;B=12575mm); dobradiças: adequadas ao peso próprio da porta e lacadas na mesma cor da porta; fechadura: cilindro europeu; batente de pavimento: PADIMAT FB.S2C.16 (VI 0.1); tudo conforme desenhos de pormenor e todos os trabalhos preparatórios e acessórios necessários para perfeito funcionamento.</t>
  </si>
  <si>
    <t>10.5.1</t>
  </si>
  <si>
    <t>VE 0.11 - Porta exterior de batente com ripado na face exterior - RIP 0.2, com dimensão 0,85x2,11m.</t>
  </si>
  <si>
    <t>10.5.2</t>
  </si>
  <si>
    <t>VE 0.12 - Porta exterior de batente com ripado na face exterior - RIP 0.2, com dimensão 0,85x2,11m.</t>
  </si>
  <si>
    <t>10.6</t>
  </si>
  <si>
    <t>Fornecimento e montagem de porta em cantoneira 40x40mm, revestida com chapa de alumínio com 3mm de espessura, acabamento anodizado. Articulada com quadros pré-fabricados em tubos de alumínio de secção quadrada 50x50x3mm, acabamento anodizado, que compõem a parede de vedação, espessura total = 45mm; guarnição lateral em cantoneira 40x40mm e tubo estrutural tipo "facar" 40x40mm, acabamento anodizado; ligação do tubo estrutural à laje através de manga metálica; puxador: JNF IN.07.207.D Ø25 (A=1250mm;B=12575mm); dobradiças: adequadas ao peso próprio da porta e lacadas na mesma cor da porta; fechadura: cilindro europeu; tudo conforme desenhos de pormenor e todos os trabalhos preparatórios e acessórios necessários para perfeito funcionamento.</t>
  </si>
  <si>
    <t>10.6.1</t>
  </si>
  <si>
    <t>VE 00.13 - Porta exterior de batente, dimensão 0,80x2,13m.</t>
  </si>
  <si>
    <t>10.7</t>
  </si>
  <si>
    <t>Fornecimento e montagem de porta sem aro com estrutura em perfil facar secção 40x40mm, servindo de suporte para placa OSB com 2cm de espessura e acabamento em mosaico branco, igual à parede adjacente. Espessura total = 70mm; dobradiça e sua fixação à parede a critério do executante, devem considerar o peso próprio da porta; o objetivo desta porta é ser impercetível como porta no plano da parede adjacente; tudo conforme desenhos de pormenor e todos os trabalhos preparatórios e acessórios necessários para perfeito funcionamento.</t>
  </si>
  <si>
    <t>10.7.1</t>
  </si>
  <si>
    <t>VI 01.8 - Porta interior 1 folha de batente (oculta), com dimensão 0,69x2,20m.</t>
  </si>
  <si>
    <t>10.8</t>
  </si>
  <si>
    <t>Fornecimento e montagem de porta com: aro em cantoneiras L 30x30mm e/ou 40x40mm, espessura = 5mm, em aço inox 316 escovado; malha metálica cruzada em aço inox; perfis de fixação da malha em cantoneiras L 25x25mm, espessura a critério do executante, em aço inox 316, fixados ao aro por soldadura ou parafusos sextavados, ocultos pelo lado exterior; fecho magnético; tudo conforme desenhos de pormenor e todos os trabalhos preparatórios e acessórios necessários para perfeito funcionamento.</t>
  </si>
  <si>
    <t>10.8.1</t>
  </si>
  <si>
    <t>VE -01.6 - Dimensão 0,74x2,30m, vão 1 folha de batente.</t>
  </si>
  <si>
    <t>10.8.2</t>
  </si>
  <si>
    <t>VE -01.7 - Dimensão 1,74x2,30m, vão 1 folha de batente.</t>
  </si>
  <si>
    <t>10.8.3</t>
  </si>
  <si>
    <t>VE -01.8 - Dimensão 0,75x2,20m, vão 1 folha de batente.</t>
  </si>
  <si>
    <t>CLARABOIA</t>
  </si>
  <si>
    <t>10.9</t>
  </si>
  <si>
    <t>Fornecimento e montagem de claraboia com execução de aro oculto pelo interior, a critério do executante; considerar alumínio anodizado na cor natural ou outro material e acabamento semelhante ao zinco; VIDRO - ver projeto de especialidades - térmico; tudo conforme desenhos de pormenor e todos os trabalhos preparatórios e acessórios necessários para perfeito funcionamento.</t>
  </si>
  <si>
    <t>10.9.1</t>
  </si>
  <si>
    <t>CLA 01 - Claraboia fixa, dimensão 1,03x1,45m.</t>
  </si>
  <si>
    <t>PORTÃO</t>
  </si>
  <si>
    <t>Fornecimento e montagem de portão de garagem seccionado "Portão LM INOX marca LMPerfis PS.040CA94", conforme especificações do projeto, incluindo sistema de abertura automática, comandos, sensores e todos os trabalhos preparatórios e acessórios necessários para perfeito funcionamento.</t>
  </si>
  <si>
    <t>10.10.1</t>
  </si>
  <si>
    <t>Ve -01.5 - Portão de garagem seccionado, dimensão 3,60x2,30m.</t>
  </si>
  <si>
    <t>ESCADAS METÁLICAS</t>
  </si>
  <si>
    <t>Fornecimento e montagem de escada principal de acesso aos diversos pisos da habitação (ESC01): Nota: A estrutura da escada já está prevista no projeto de estabilidade, considerar apenas a lacagem da estrutura RAL 9003 mate. - Escada metálica suspensa com acabamento em ripas de madeira, equivalentes ao pavimento da habitação; fixação das escadas às superfícies laterais, conforme pormenor, e guarda central em cabos de aço tensionados com fixação ao teto e aos degraus, também conforme pormenor. - Guardas laterais em tubos de aço inox Ø 4,24cm e suportes de corrimão - M8 - JNF - IN.18.133. - Composição dos degraus em perfis metálicos, conforme descrito no pormenor, e devem ser previstos reforços estruturais nos apoios dos degraus às paredes de betão e para o apoio superior dos cabos de aço, conforme mostrado no respetivo pormenor. - Topo das placas revestidas com chapa de aço com 8mm de espessura (2un) - Dimensões: Altura total - 8780mm (H) Dimensões gerais - 3365x2075x6280mm (CxLxA) Degraus - 280x1020x60mm (CxLxA) Patamares intermédios - 2070x1220x100mm (CxLxA)</t>
  </si>
  <si>
    <t>Esclarecer com o cliente, que ele explique o que deseja.</t>
  </si>
  <si>
    <t>ESTORES EXTERIORES</t>
  </si>
  <si>
    <t>Fornecimento e montagem de estores exteriores de rolo com caixa redonda em inox 110 ou 130mm - motorizados WAREMA-CRUZFER tecido Screen cor ref: 3511 da WAREMA + suporte de fixação do cabo do rolo + 2 cantoneiras em aço inox 316 escovado 150x75x5mm, incluindo acessórios e todos os trabalhos preparatórios e acessórios necessários para perfeito funcionamento.</t>
  </si>
  <si>
    <t>10.12.1</t>
  </si>
  <si>
    <t>Estore VE 01.5 - Dimensão 5,93x2,92m.</t>
  </si>
  <si>
    <t>10.12.2</t>
  </si>
  <si>
    <t>Estore VE 01.6 - Dimensão 6,19x2,92m.</t>
  </si>
  <si>
    <t>10.12.3</t>
  </si>
  <si>
    <t>Estore VE 01.7 - Dimensão 4,94x2,92m.</t>
  </si>
  <si>
    <t>10.12.4</t>
  </si>
  <si>
    <t>Estore VE 01.8 - Dimensão 7,18x2,92m.</t>
  </si>
  <si>
    <t>10.12.5</t>
  </si>
  <si>
    <t>Estore VE 00.9 - Dimensão 2,54x2,94m.</t>
  </si>
  <si>
    <t>10.12.6</t>
  </si>
  <si>
    <t>Estore VE 00.10 - Dimensão 3,28x2,94m.</t>
  </si>
  <si>
    <t>GUARDAS</t>
  </si>
  <si>
    <t>Fornecimento e montagem de guarda, composta por rede de nylon verde escuro e varões de aço cravados no pavimento, incluindo maciços de fundação em betão magro, corte, acabamento e todos os trabalhos preparatórios e acessórios necessários para perfeito acabamento.</t>
  </si>
  <si>
    <t>10.13.1</t>
  </si>
  <si>
    <t>GUA 00.1 - Guarda com 0,97m de altura, composta por: Dimensões gerais: 4530x970mm (ml x A) 6x varões de aço com comprimento = 1200mm 6x sapatas em brita DIM=150x150x100mm.</t>
  </si>
  <si>
    <t>10.13.2</t>
  </si>
  <si>
    <t>GUA 00.3 - Guarda com 0,97m de altura, composta por: Dimensões gerais: 8700x970mm (ml x A) 9x varões de aço com comprimento = 1200mm 9x sapatas em brita DIM=150x150x100mm</t>
  </si>
  <si>
    <t>10.13.3</t>
  </si>
  <si>
    <t>GUA 00.4 - Guarda com 0,97m de altura, composta por: Dimensões gerais: 14000x970mm (ml x A) 15x varões de aço com comprimento = 1200mm 15x sapatas em brita DIM=150x150x100mm</t>
  </si>
  <si>
    <t>10.14.4</t>
  </si>
  <si>
    <t>GUA 00.5 - Guarda com 0,97m de altura, composta por: Dimensões gerais: 14000x970mm (ml x A) 15x varões de aço com comprimento = 1200mm 15x sapatas em brita DIM=150x150x100mm</t>
  </si>
  <si>
    <t>Fornecimento e montagem de guarda em aço inox 316 escovado, composta por varões verticais Ø8mm com 1050mm de comprimento, com inclinação de 93° em relação ao pavimento, o corrimão da guarda é composto por barra retangular de secção 50x20mm, a fixação da guarda ao pavimento é feita através de cantoneira de aço "L" 150x150mm, que deve ser ancorada à laje inferior e embebida na betonilha do pavimento, incluindo corte, acabamento e todos os trabalhos preparatórios e acessórios necessários para perfeito acabamento.</t>
  </si>
  <si>
    <t>10.14.1</t>
  </si>
  <si>
    <t>GUA 00.2 - Guarda com 0,90m de altura, composta por: Dimensões gerais: 2650x900mm (ml x A) 26x varões de aço verticais Ø8mm, comprimento = 1050mm 1x corrimão em barra de aço secção 50x20mm, 2650mm 1x cantoneira de aço "L" 150x150mm</t>
  </si>
  <si>
    <t>10.14.2</t>
  </si>
  <si>
    <t>GUA 00.2 - Guarda com 0,90m de altura, composta por: Dimensões gerais: 25150x900mm (ml x A) 249x varões de aço verticais Ø8mm, comprimento = 1300mm 1x corrimão em barra de aço secção 50x20mm, 25150mm 1x cantoneira de aço "L" 150x150mm</t>
  </si>
  <si>
    <t>RIPADO</t>
  </si>
  <si>
    <t>Fornecimento e montagem de sistema de sombreamento na fachada posterior do 1º andar, composto por quadros pré-fabricados em tubos de alumínio de secção quadrada 50x50x3mm, lacados na cor RAL 9003; fixação dos quadros pré-fabricados à estrutura do edifício pela parte posterior do quadro; incluindo corte, acabamento e todos os trabalhos preparatórios e acessórios necessários para perfeito acabamento. (RP12)</t>
  </si>
  <si>
    <t>10.15.1</t>
  </si>
  <si>
    <t>RIP 01.1 - Ripado com 2,80m de altura, composto por: Dimensões gerais - 25000x2800x50mm (CxLxA) Quadro #1 - 5080x2800x50mm (CxLxA) Quadro #2/3/4 - 5000x2800x50mm (CxLxA) Quadro #5 - 5080x2800x50mm (CxLxA)</t>
  </si>
  <si>
    <t>É necessário perguntar se ele precisa.</t>
  </si>
  <si>
    <t>Fornecimento e montagem de revestimento de fachada do anexo de jardim, composto por quadros pré-fabricados em tubos de alumínio de secção quadrada 50x50x3mm, acabamento anodizado; fixação dos quadros pré-fabricados à estrutura do edifício pela parte posterior do quadro; os vãos VE 00.11 e VE 00.12 são abrangidos por estes elementos, e a separação entre os tubos situados nas portas e os da fachada é feita por uma junta de 1cm entre eles; incluindo corte, acabamento e todos os trabalhos preparatórios e acessórios necessários para perfeito acabamento. (RP12)</t>
  </si>
  <si>
    <t>10.16.1</t>
  </si>
  <si>
    <t>RIP 00.2 - Ripado com 2,86m de altura, composto por: Dimensões: Fachada Norte - 2550x2860x50mm (CxLxA) Fachada Sul - 2550x2860x50mm (CxLxA) Fachada Este - 4350x2860x50mm (CxLxA) Fachada Oeste - 4350x2860x50mm (CxLxA)</t>
  </si>
  <si>
    <t>Fornecimento e montagem de anexo para secagem de roupa, composto por quadros pré-fabricados em tubos de alumínio de secção quadrada 50x50x3mm, acabamento anodizado, formando 4 paredes e cobertura no mesmo sistema; fixação dos quadros pré-fabricados à estrutura do edifício através do pavimento, utilizando tubos estruturais tipo "facar" e mangas de ligação à laje; o vão VE 00.13 é abrangido por estes elementos, e a separação entre os tubos situados nas portas e os da fachada é feita por uma junta de 1cm entre eles; incluindo corte, acabamento e todos os trabalhos preparatórios e acessórios necessários para perfeito acabamento. (RP12)</t>
  </si>
  <si>
    <t>10.17.1</t>
  </si>
  <si>
    <t>RIP 00.3 - Ripado com 2,86m de altura, composto por: Dimensões: Fachada Norte - 2550x2860x50mm (CxLxA) Fachada Sul - 2550x2860x50mm (CxLxA) Fachada Este - 2550x2860x50mm (CxLxA) Fachada Oeste - 4350x2860x50mm (CxLxA)</t>
  </si>
  <si>
    <t>Fornecimento e montagem de sistema de sombreamento da zona de BBQ, composto por quadro pré-fabricado em tubos de alumínio de secção quadrada 50x50x3mm, acabamento anodizado; fixação dos quadros pré-fabricados à estrutura do edifício pela parte posterior do quadro; incluindo corte, acabamento e todos os trabalhos preparatórios e acessórios necessários para perfeito acabamento. (RP12)</t>
  </si>
  <si>
    <t>10.18.1</t>
  </si>
  <si>
    <t>RIP 00.3 - Ripado com 2,86m de altura, composto por: Dimensões: Quadro - 4000x1960x50mm (CxLxA)</t>
  </si>
  <si>
    <t>CALEIRAS DE PAVIMENTO</t>
  </si>
  <si>
    <t>Fornecimento e montagem de caleira de pavimento com grelha em aço galvanizado, incluindo execução de caleira em betão com pendente, aro metálico e todos os trabalhos preparatórios e acessórios necessários para perfeito acabamento.</t>
  </si>
  <si>
    <t>10.19.1</t>
  </si>
  <si>
    <t>CAL 0.01 - Caleira com 0,35m de largura.</t>
  </si>
  <si>
    <t>10.19.2</t>
  </si>
  <si>
    <t>CAL 0.02 - Caleira com 0,35m de largura, tipo ACO "BrickSlot".</t>
  </si>
  <si>
    <t>10.19.3</t>
  </si>
  <si>
    <t>CAL 0.03 - Caleira com 0,10m de largura.</t>
  </si>
  <si>
    <t>DIVISÓRIA 1</t>
  </si>
  <si>
    <t>Fornecimento e montagem de divisória entre quarto principal e instalação sanitária do quarto principal 2, em perfil tipo "facar", dimensões: 0,10x3,05x0,03m, composta por: Divisória entre closet e instalação sanitária do quarto principal - Tubo tipo "Facar" 3050x190x30mm - Lacagem na cor branco mate RAL 9003 - Ancoragem às lajes. - Enchimento com areia. - Escova preta - em toda a altura - Tudo conforme mapa de armários e todos os trabalhos preparatórios e acessórios necessários.</t>
  </si>
  <si>
    <t>CARPINTARIAS</t>
  </si>
  <si>
    <t>VÃOS INTERIORES</t>
  </si>
  <si>
    <t>Fornecimento e montagem de vãos de porta interiores em estrutura de MDF hidrófugo lacado na cor branco mate RAL 9003 em ambas as faces. Espessura total = 45mm; Guarnição lateral em MDF hidrófugo lacado na cor branco mate RAL 9003; Puxador: JNF IN.00.070.RB08M; Roseta: JNF R01S; Dobradiças: JNF IN.05.019.75.ECO D; Fechadura magnética: JNF IN.20.835; Batente de pavimento: PADIMAT FB.S2C.16; Prever vedante da mesma cor da porta; Tudo conforme desenhos de pormenor e todos os trabalhos preparatórios e acessórios necessários para perfeito funcionamento.</t>
  </si>
  <si>
    <t>11.1.1</t>
  </si>
  <si>
    <t>VI -01.2 - Porta interior 1 folha de batente, com dimensões 1.10x2.30m.</t>
  </si>
  <si>
    <t>11.1.2</t>
  </si>
  <si>
    <t>VI -01.3 - Porta interior 1 folha de batente, com dimensões 1.10x2.30m.</t>
  </si>
  <si>
    <t>11.1.3</t>
  </si>
  <si>
    <t>VI -01.4 - Porta interior 1 folha de batente, com dimensões 1.10x2.30m.</t>
  </si>
  <si>
    <t>11.1.4</t>
  </si>
  <si>
    <t>VI -01.5 - Porta interior 1 folha de batente, com dimensões 1.10x2.30m.</t>
  </si>
  <si>
    <t>Fornecimento e montagem de vãos de porta interiores em estrutura de MDF hidrófugo lacado na cor branco mate RAL 9003 em ambas as faces. Espessura total = 45mm; Guarnição lateral em MDF hidrófugo lacado na cor branco mate RAL 9003; Puxadores: JNF IN.00.070.RB08M; Rosetas: JNF R01S; Dobradiças ocultas: JNF IN.05.202.B; Fechaduras magnéticas: JNF IN.20.835; Batente de pavimento: PADIMAT FB.S2C.16; Prever reforço estrutural sobre o teto de gesso cartonado e vedantes de porta da mesma cor; Tudo conforme desenhos de pormenor e todos os trabalhos preparatórios e acessórios necessários para perfeito funcionamento.</t>
  </si>
  <si>
    <t>11.2.1</t>
  </si>
  <si>
    <t>VI 01.1 - Porta interior 1 folha pivotante, com dimensões 1.14x2.50m.</t>
  </si>
  <si>
    <t>11.2.2</t>
  </si>
  <si>
    <t>VI 01.4 - Porta interior 1 folha pivotante, com dimensões 1.14x2.50m.</t>
  </si>
  <si>
    <t>11.2.3</t>
  </si>
  <si>
    <t>VI 01.2 - Porta interior 1 folha pivotante, com dimensões 1.19x2.50m.</t>
  </si>
  <si>
    <t>11.2.4</t>
  </si>
  <si>
    <t>VI 01.3 - Porta interior 1 folha pivotante, com dimensões 1.19x2.50m.</t>
  </si>
  <si>
    <t>11.2.5</t>
  </si>
  <si>
    <t>VI 01.5 - Porta interior 1 folha pivotante, com dimensões 1.22x2.50m.</t>
  </si>
  <si>
    <t>Fornecimento e montagem de vão de porta interior em estrutura de MDF hidrófugo lacado na cor branco mate RAL 9003 em ambas as faces. Espessura total = 80mm; Guarnição lateral em MDF hidrófugo lacado na cor branco mate RAL 9003; Puxador: JNF IN.07.207.D Ø25 (A=1250mm; B=12575mm); Dobradiças: JNF IN.05.019.75.ECO D; Fechaduras de serviço: JNF IN.20.974; Batente de pavimento: PADIMAT FB.S2C.16; Prever vedantes de porta da mesma cor; Tudo conforme desenhos de pormenor e todos os trabalhos preparatórios e acessórios necessários para perfeito funcionamento.</t>
  </si>
  <si>
    <t>11.3.1</t>
  </si>
  <si>
    <t>VI 00.3 - Porta interior 1 folha de batente, com dimensões 1.00x2.49m.</t>
  </si>
  <si>
    <t>VÃOS INTERIORES DE INSTALAÇÕES SANITÁRIAS</t>
  </si>
  <si>
    <t>Fornecimento e montagem de vãos de porta em estrutura de MDF hidrófugo 45mm esp. lacado na cor branco mate RAL 9003 em ambas as faces; Guarnição lateral em MDF hidrófugo lacado na cor branco mate RAL 9003; Puxador: JNF IN.00.070.RB08M; Roseta: JNF R01S; Dobradiças: JNF IN.05.019.75.ECO D; Fechadura magnética: JNF IN.20.835; Batente de pavimento: PADIMAT FB.S2C.16; Tudo conforme desenhos de pormenor e todos os trabalhos preparatórios e acessórios necessários para perfeito funcionamento.</t>
  </si>
  <si>
    <t>11.4.1</t>
  </si>
  <si>
    <t>VI -01.1 - Porta interior de batente, com dimensões 1.08x2.30m.</t>
  </si>
  <si>
    <t>Fornecimento e montagem de vãos de porta em estrutura de MDF hidrófugo lacado na cor branco mate RAL 9003 esp. 45mm numa face e revestido com espelho 6mm esp. extra-claro na outra face. Espessura total = 51mm (contabilizado em separado); Guarnição lateral em MDF hidrófugo lacado na cor branco mate RAL 9003 e espelho 6mm esp. extra-claro (contabilizado em separado); Puxadores: JNF IN.00.070.RB08M; Rosetas: JNF R01S; Dobradiças ocultas: JNF IN.05.202.B; Fechaduras magnéticas: JNF IN.20.835; Batente de pavimento: PADIMAT FB.S2C.16 (VI 0.1); Batente de parede: Calço de borracha (VI 0.2); Prever reforço estrutural sobre o teto de gesso cartonado; Tudo conforme desenhos de pormenor e todos os trabalhos preparatórios e acessórios necessários para perfeito funcionamento.</t>
  </si>
  <si>
    <t>11.5.1</t>
  </si>
  <si>
    <t>VI 0.1 - Porta interior pivotante, com dimensões 1.22x2.49m.</t>
  </si>
  <si>
    <t>Fornecimento e montagem de vãos de porta em estrutura de MDF hidrófugo lacado na cor branco mate RAL 9003 esp. 45mm em ambas as faces; Guarnição lateral em MDF hidrófugo lacado na cor branco mate RAL 9003 e espelho 6mm esp. extra-claro; Puxadores: JNF IN.00.070.RB08M; Rosetas: JNF R01S; Dobradiças ocultas: JNF IN.05.202.B; Fechaduras magnéticas: JNF IN.20.835; Batente de pavimento: PADIMAT FB.S2C.16 (VI 0.1); Batente de parede: Calço de borracha (VI 0.2); Prever reforço estrutural sobre o teto de gesso cartonado; Tudo conforme desenhos de pormenor e todos os trabalhos preparatórios e acessórios necessários para perfeito funcionamento.</t>
  </si>
  <si>
    <t>11.6.1</t>
  </si>
  <si>
    <t>VI 0.2 - Porta interior pivotante, com dimensões 1.22x2.49m.</t>
  </si>
  <si>
    <t>Fornecimento e montagem de portas de correr com cassete sem revestimento, composta por: -Porta de correr em MDF 4cm esp., lacada na cor branco mate RAL 9003. -Sistema de cassete de correr marca "GOSIMAT" modelo "UNICO PLUS", incluindo guias superiores e inferiores. -Puxador de embutir, JNF IN.16.302.M1.40; Tudo conforme desenhos de pormenor e todos os trabalhos preparatórios e acessórios necessários para perfeito funcionamento.</t>
  </si>
  <si>
    <t>11.7.1</t>
  </si>
  <si>
    <t>VI 01.6 - Porta de correr, com dimensões 0.87x2.50m.</t>
  </si>
  <si>
    <t>11.7.2</t>
  </si>
  <si>
    <t>VI 01.7 - Porta de correr, com dimensões 0.89x2.50m.</t>
  </si>
  <si>
    <t>ARMÁRIOS</t>
  </si>
  <si>
    <t>Fornecimento e montagem de armário composto por 4 frentes e 8 prateleiras, para arrumos e alojamento do quadro elétrico do piso -1 e estrutura de domótica, composto por: PARTE EXTERIOR: Portas, painéis de topo de remate superior do armário, em MDF Hidrófugo esp. 19 mm, Lacado na cor RAL 9003. PARTE INTERIOR: Corpo e Prateleiras em MDF Hidrófugo esp. 19mm, Melamina carvalho. RODAPÉ: MDF Hidrófugo esp. 19mm, lacado em RAL igual às portas PUXADOR: Tique-Taque SUPORTES DE PRATELEIRAS: tipo 'hafele' ref. 282.04.711 da polifer DOBRADIÇAS: "BLUM / CLIP" com amortecedor</t>
  </si>
  <si>
    <t>Aguardamos preço dos fornecedores</t>
  </si>
  <si>
    <t>11.8.1</t>
  </si>
  <si>
    <t>ARM -01.1 - Armário, com dimensões 2.07x2.30x0.58m.</t>
  </si>
  <si>
    <t>Fornecimento e montagem de armário composto por 4 frentes, 1 prateleira e 2 gavetas com 1 tampo e 1 varão, inclui também banco e base para calçado em mdf e iluminação led superior e inferior. (hall de entrada), composto por: PARTE EXTERIOR: Portas, painéis de topo de remate superior do armário e frentes de gavetas em MDF esp. 19 mm, Lacado na cor RAL 9003. PARTE INTERIOR: Corpos, Prateleiras e gavetas em MDF esp. 19mm, Melamina carvalho BANCO: em MDF esp. 19mm, lacado na cor RAL 9003 BASE PARA CALÇADO: em MDF esp. 19mm, lacado na cor RAL 9003 TAMPO: em MDF esp. 19mm, lacado na cor RAL 9003 VARÃO: em Aço Inox 316 mate PUXADOR: Tique-Taque SUPORTES DE PRATELEIRAS: tipo 'hafele' ref. 282.04.711 da polifer DOBRADIÇAS: "BLUM / CLIP" com amortecedor CORREDIÇAS: Com amortecimento, "BLUM / MOVENTO - BLUMOTION" ILUMINAÇÃO: Perfil de alumínio de baixa altura, com fita led "Flex Strip Cob" ref. L62C026, da PROLED com interruptor de abertura de porta</t>
  </si>
  <si>
    <t>11.9.1</t>
  </si>
  <si>
    <t>ARM 00.1 - Armário, com dimensões 1.66x2.04x0.40m.</t>
  </si>
  <si>
    <t>11.9.2</t>
  </si>
  <si>
    <t>ARM 00.1 - Banco/Base para Calçado, com dimensões 2.25x0.08x0.32m.</t>
  </si>
  <si>
    <t>Fornecimento e montagem de banco suspenso em mdf e estrutura em perfis tipo "facar". (sala de estar), composto por: PARTE EXTERIOR: em MDF Hidrófugo esp. 19 mm, Melamina Carvalho. ESTRUTURA: em perfis tipo "facar" secção 40x40mm ILUMINAÇÃO: Perfil de alumínio de baixa altura, com fita led "Flex Strip Cob" ref. L62C026, da PROLED.</t>
  </si>
  <si>
    <t>11.10.1</t>
  </si>
  <si>
    <t>ARM 00.2 - Banco, com dimensões 6.34x0.08x0.44m.</t>
  </si>
  <si>
    <t>Fornecimento e montagem de armário de louça composto por prateleiras e gavetas e duas folhas, inclui também garrafeira, lareira e nicho para arrumo de lenha, composto por: PARTE EXTERIOR: Portas, painéis de topo de remate superior do armário, em MDF esp. 19 mm, Lacado na cor RAL 9003; PARTE INTERIOR: Corpos e Prateleiras em MDF esp. 19mm, Melamina na cor RAL 9003; RODAPÉ: em MDF esp. 19mm, lacado em RAL igual às portas; TAMPO: em Corian, RAL 9003, esp. 2cm; PUXADOR: Tique-Taque; SUPORTES DE PRATELEIRAS: tipo 'hafele' ref. 282.04.711 da polifer; DOBRADIÇAS: "BLUM / CLIP" com amortecedor; CORREDIÇAS: Com amortecimento, "BLUM / MOVENTO - BLUMOTION"; ILUMINAÇÃO: Perfil de alumínio de baixa altura, com fita led "Flex Strip Cob" ref. L62C026, da PROLED com interruptor de abertura de porta; LAREIRA: Recuperador marca unichama modelo m-desing luna diamon 1000 RD (Contabilizado em separado) + Chapa de aço inox esp. 6mm para revestimento e nervura esp. 10mm para evitar aquecimento do painel MDF; GARRAFEIRA: Cave de vinhos SIEMENS com dimensões 60x61x186mm (CxPxA) Ref: KW36KATGA (Contabilizado em separado); NICHO PARA LENHA: Caixa em aço inox mate esp. 6mm com 55mm de profundidade para armazenamento de achas de lenha;</t>
  </si>
  <si>
    <t>11.11.1</t>
  </si>
  <si>
    <t>ARM 0.03 - Armário, com dimensões 3.25x2.49x0.71m.</t>
  </si>
  <si>
    <t>Fornecimento e montagem de módulo para ocultação de condutas de ar condicionado com montantes 46mm e 2x placas de gesso cartonado, inclui estrutura em perfis tipo "facar" e aparador suspenso em mdf hidrófugo esp. 19mm lacado na cor branco mate ral 9003 (sala de jantar), composto por: PARTE EXTERIOR: 2x Placas de gesso cartonado pintado na cor branco mate RAL 9003 ESTRUTURA: Montantes 46mm e estrutura tipo "facar" secção 40x40mm APARADOR: em MDF Hidrófugo esp. 19mm, lacado na cor RAL 9003</t>
  </si>
  <si>
    <t>11.12.1</t>
  </si>
  <si>
    <t>ARM 0.04 - Armário, com dimensões 2.80x2.49x0.45m.</t>
  </si>
  <si>
    <t>Fornecimento e montagem de armário para máquina de lavar e secar roupa com 1 gaveta, 1 tampo, 1 prateleira e 1 varão e 1 painel lateral (lavandaria), composto por: PARTE EXTERIOR: Painel lateral e prateleira em corian esp. 10mm na cor RAL 9003. Frente de gaveta em MDF hidrófugo esp. 19mm lacado na cor RAL 9003. ESTRUTURA: Estrutura do tampo em perfis tipo "facar" secção 40x40mm RODAPÉ: em MDF Hidrófugo esp. 19mm, lacado em RAL igual às portas TAMPO: em MDF hidrófugo esp. 19mm lacado na cor RAL 9003.</t>
  </si>
  <si>
    <t>11.13.1</t>
  </si>
  <si>
    <t>ARM 0.08 + BANC 0.03 - Armário, com dimensões 1.23x2.49x0.70m.</t>
  </si>
  <si>
    <t>Fornecimento e montagem de armário de despensa composto por 4 frentes, 1 painel lateral de topo e 17 prateleiras. (lavandaria) frentes recuadas para garantir ventilação do armário em estado fechado, conforme pormenorização, composto por: PARTE EXTERIOR: Portas, painéis de topo de remate superior do armário, em MDF Hidrófugo esp. 19 mm, Lacado na cor RAL 9003. PARTE INTERIOR: Corpos e Prateleiras em MDF Hidrófugo esp. 19mm, Melamina carvalho RODAPÉ: em MDF Hidrófugo esp. 19mm, lacado em RAL igual às portas PUXADOR: Tique-Taque SUPORTES DE PRATELEIRAS: tipo 'hafele' ref. 282.04.711 da polifer DOBRADIÇAS: "BLUM / CLIP" com amortecedor</t>
  </si>
  <si>
    <t>11.14.1</t>
  </si>
  <si>
    <t>ARM 0.09 - Armário, com dimensões 2.42x2.49x0.65m.</t>
  </si>
  <si>
    <t>Fornecimento e montagem de armários em MDF Hidrófugo lacado na cor branco mate RAL 9003, compostos por: PARTE EXTERIOR: Frentes, painéis de topo de remate superior do armário, em MDF Hidrófugo esp. 19 mm, lacado na cor branco mate RAL 9003; PARTE INTERIOR: Gavetas e Prateleiras em MDF Hidrófugo esp. 19mm, lacado na cor branco mate RAL 9003; RODAPÉ: em MDF esp. 19mm, lacado na cor branco mate RAL 9003; TAMPO: em MDF esp. 19mm, lacado na cor branco mate RAL 9003; PUXADOR: Negativo redondo Ø3cm; SUPORTES DE PRATELEIRAS: Ocultos; CORREDIÇAS: Com amortecimento, "BLUM / MOVENTO - BLUMOTION"; VARÃO: Aço Inox 316 mate Ø3cm. Fixação oculta.</t>
  </si>
  <si>
    <t>11.15.1</t>
  </si>
  <si>
    <t>ARM 0.11 - Armário aberto com 2 gavetas, 1 prateleira e 1 varão em inox 3cmø, com dimensões 1.20x2.40x0.60m.</t>
  </si>
  <si>
    <t>11.15.2</t>
  </si>
  <si>
    <t>ARM 0.12 - Armário com 2 frentes, 2 gavetas, 1 prateleira, com dimensões 1.19x2.40x0.60m.</t>
  </si>
  <si>
    <t>Fornecimento e montagem de estrutura de cama e cabeceira com 2 cabeceiras em mdf e 2 gavetas, inclui iluminação de cabeceira (quarto 1 + quarto 2), composta por: PARTE EXTERIOR: Frentes, Painéis Laterais e Tampos em MDF Hidrófugo, melamina carvalho. PARTE INTERIOR: Gaveta em MDF esp. 19mm, Melamina carvalho. RODAPÉ: Em MDF Hidrófugo esp. 19mm, melamina carvalho. ESTRUTURA DA CAMA: barrotes de pinho 5x5cm com pés de borracha ajustáveis. PUXADOR: Tique-Taque. CORREDIÇAS: Com amortecimento, "BLUM / MOVENTO - BLUMOTION". ILUMINAÇÃO: Luminária de cabeceira IP20 3000K 3W, acabamento branco, modelo "ICELAND" marca HOFFLIGHTS.</t>
  </si>
  <si>
    <t>11.16.1</t>
  </si>
  <si>
    <t>ARM 01.6.1 + ARM 01.6.2 - Estrutura de Cama, com dimensões 2.76x1.10x2.24m.</t>
  </si>
  <si>
    <t>Fornecimento e montagem de armário composto por 4 frentes e incluindo 8 gavetas, 2 tampos e 6 prateleiras no interior, composto por: PARTE EXTERIOR: Portas, painéis de topo de remate superior do armário, em MDF esp. 19 mm, Lacado na cor RAL 9003. PARTE INTERIOR: Gavetas em MDF esp. 19mm, Melamina carvalho. Corpos, Frentes de gavetas e Prateleiras em MDF esp. 19mm, Melamina carvalho. TAMPO: em MDF esp. 19mm, Melamina carvalho RODAPÉ: em MDF esp. 19mm, lacado em RAL igual às portas. = Rodatecto PUXADOR: Tique-Taque SUPORTES DE PRATELEIRAS: tipo 'hafele' ref. 282.04.711 da polifer DOBRADIÇAS: "BLUM / CLIP" com amortecedor CORREDIÇAS: Com amortecimento, "BLUM / MOVENTO - BLUMOTION" ILUMINAÇÃO: Luminária de cabeceira IP20 3000K 3W, acabamento branco, modelo "ICELAND" marca HOFFLIGHTS.</t>
  </si>
  <si>
    <t>11.17.1</t>
  </si>
  <si>
    <t>ARM 01.7 - Armário, com dimensões 2.42x2.50x0.70m.</t>
  </si>
  <si>
    <t>Fornecimento e montagem de armário composto por 4 frentes e três fiadas verticais exteriores de 18 prateleiras. inclui 2 gavetas grandes, 2 varões e 2 prateleiras no interior, composto por: PARTE EXTERIOR: Portas, painéis de topo de remate superior do armário e prateleiras exteriores em MDF esp. 19 mm, Lacado na cor RAL 9003. PARTE INTERIOR: Gavetas em MDF esp. 19mm, Melamina carvalho. Corpos e Frentes de gavetas, Prateleiras e Tampos em MDF esp. 19mm, Melamina carvalho RODAPÉ: em MDF Hidrófugo esp. 19mm, lacado em RAL igual às portas. = Rodatecto PUXADOR: Tique-Taque SUPORTES DE PRATELEIRAS: tipo 'hafele' ref. 282.04.711 da polifer DOBRADIÇAS: "BLUM / CLIP" com amortecedor CORREDIÇAS: Com amortecimento, "BLUM / MOVENTO - BLUMOTION" ILUMINAÇÃO: Luminária de cabeceira IP20 3000K 3W, acabamento branco, modelo "ICELAND" marca HOFFLIGHTS.</t>
  </si>
  <si>
    <t>11.18.1</t>
  </si>
  <si>
    <t>ARM 01.8 - Armário, com dimensões 2.87x2.50x0.79m.</t>
  </si>
  <si>
    <t>Fornecimento e montagem de: ARM 01.09 - Armário composto por 4 frentes e duas fiadas verticais exteriores de 12 prateleiras. inclui 2 gavetas grandes, 2 varões e 2 prateleiras no interior ARM 01.10 - Armário composto por 4 frentes e duas fiadas verticais exteriores de 12 prateleiras. inclui 2 gavetas grandes, 2 varões e 2 prateleiras no interior PARTE EXTERIOR: Portas, painéis de topo de remate superior do armário e prateleiras exteriores em MDF esp. 19 mm, Lacado na cor RAL 9003. PARTE INTERIOR: Gavetas em MDF esp. 19mm, melamina carvalho. Corpos, Frentes de Gavetas, Prateleiras e Tampos em MDF esp. 19 mm, melamina carvalho. RODAPÉ: em MDF Hidrófugo esp. 19mm, lacado em RAL igual às portas. =Rodatecto PUXADOR: Tique-Taque SUPORTES DE PRATELEIRAS: tipo 'hafele' ref. 282.04.711 da polifer DOBRADIÇAS: "BLUM / CLIP" com amortecedor CORREDIÇAS: Com amortecimento, "BLUM / MOVENTO - BLUMOTION" ILUMINAÇÃO: Luminária de cabeceira IP20 3000K 3W, acabamento branco, modelo "ICELAND" marca HOFFLIGHTS.</t>
  </si>
  <si>
    <t>11.19.1</t>
  </si>
  <si>
    <t>ARM 01.09 - Armário, com dimensões 2.87x2.50x0.75m.</t>
  </si>
  <si>
    <t>11.19.2</t>
  </si>
  <si>
    <t>ARM 01.10 - Armário, com dimensões 2.05x2.50x0.75m.</t>
  </si>
  <si>
    <t>11.19.3</t>
  </si>
  <si>
    <t>ESP 01.7 - Espelho em vidro cristal esp. 6mm, com dimensões 1.04x2.50m.</t>
  </si>
  <si>
    <t>Fornecimento e montagem de armário composto por 3 frentes e uma fiada vertical exterior com 6 prateleiras. inclui 4 gavetas, 1 tampo e 9 prateleiras (quarto principal closet): PARTE EXTERIOR: Portas, painéis de topo de remate superior do armário e prateleiras exteriores em MDF Hidrófugo esp. 19 mm, Lacado na cor RAL 9003. PARTE INTERIOR: Gavetas em MDF esp. 19mm, Melamina carvalho. Corpos, Frentes de Gavetas, Prateleiras e Tampos em MDF esp. 19 mm, melamina carvalho. RODAPÉ: em MDF Hidrófugo esp. 19mm, lacado em RAL igual às portas. =Rodatecto PUXADOR: Tique-Taque SUPORTES DE PRATELEIRAS: tipo 'hafele' ref. 282.04.711 da polifer DOBRADIÇAS: "BLUM / CLIP" com amortecedor CORREDIÇAS: Com amortecimento, "BLUM / MOVENTO - BLUMOTION" ILUMINAÇÃO: Luminária de cabeceira IP20 3000K 3W, acabamento branco, modelo "ICELAND" marca HOFFLIGHTS.</t>
  </si>
  <si>
    <t>11.20.1</t>
  </si>
  <si>
    <t>ARM 01.11 - Armário, com dimensões 3.25x2.49x0.71m.</t>
  </si>
  <si>
    <t>Fornecimento e montagem de estrutura de cama e cabeceira com 2 cabeceiras em mdf e 12 prateleiras e 2 gavetas, inclui iluminação de cabeceira (quarto principal), composta por: PARTE EXTERIOR: Frentes, Painéis Laterais, Tampos e Prateleiras em MDF Hidrófugo Melamina carvalho PARTE INTERIOR: Gaveta em MDF esp. 19mm, Melamina carvalho RODAPÉ: em MDF Hidrófugo esp. 19mm, Melamina carvalho ESTRUTURA DA CAMA: barrotes de pinho 5x5cm e pés de borracha ajustáveis PUXADOR: Tique-Taque CORREDIÇAS: Com amortecimento, "BLUM / MOVENTO - BLUMOTION" SUPORTES DE PRATELEIRAS: tipo 'hafele' ref. 282.04.711 da polifer ILUMINAÇÃO: Luminária de cabeceira IP20 3000K 3W, acabamento branco, modelo "ICELAND" marca HOFFLIGHTS.</t>
  </si>
  <si>
    <t>11.21.1</t>
  </si>
  <si>
    <t>ARM 01.12 - Estrutura de Cama, com dimensões 2.76x1.10x2.24m.</t>
  </si>
  <si>
    <t>Fornecimento e montagem de armário em MDF Hidrófugo esp. 2cm, revestido com chapa de alumínio esp. 2mm, lacado na cor branco mate RAL 9003, e espelho em vidro cristal esp. 6mm colado a dois painéis laterais do armário (contabilizado em separado), composto por: PARTE EXTERIOR: Frentes, painéis de topo de remate superior do armário, em MDF Hidrófugo esp. 19 mm, revestido com chapa de alumínio lacado na cor RAL 9003; PARTE INTERIOR: Gavetas e Prateleiras em MDF Hidrófugo esp. 19mm, revestido com chapa de alumínio lacado na cor RAL 9003; RODAPÉ: MDF esp. 19mm, revestido com chapa de alumínio lacado na cor RAL 9003; TAMPO: MDF esp. 19mm, revestido com chapa de alumínio lacado na cor RAL 9003; PUXADOR: Negativo redondo Ø3cm; SUPORTES DE PRATELEIRAS: Ocultos; CORREDIÇAS: Com amortecimento, "BLUM / MOVENTO - BLUMOTION"; VARÃO: Aço Inox 316 mate Ø3cm. Fixação oculta.</t>
  </si>
  <si>
    <t>11.22.1</t>
  </si>
  <si>
    <t>ARM 0.13 - Armário com 3 gavetas, 1 prateleira e 1 varão, com dimensões 0.83x2.50x0.52m.</t>
  </si>
  <si>
    <t>Fornecimento e montagem de conjunto de armários closet Quarto 1 e Quarto 2, composto por 10 gavetas, 4 tampos, 8 prateleiras, 1 varão e 2 painéis laterais de topo: PARTE EXTERIOR: Painéis de topo de remate superior do armário, em MDF esp. 19 mm, Melamina carvalho. PARTE INTERIOR: Corpos, Gavetas e Prateleiras em MDF esp. 19mm, em MDF esp. 19mm, Melamina carvalho RODAPÉ: em MDF esp. 19mm, Melamina carvalho TAMPO: em MDF esp. 19mm, Melamina carvalho PUXADOR: Tique-Taque SUPORTES DE PRATELEIRAS: tipo 'hafele' ref. 282.04.711 da polifer CORREDIÇAS: Com amortecimento, "BLUM / MOVENTO - BLUMOTION" ILUMINAÇÃO: Luminária de cabeceira IP20 3000K 3W, acabamento branco, modelo "ICELAND" marca HOFFLIGHTS.</t>
  </si>
  <si>
    <t>11.23.1</t>
  </si>
  <si>
    <t>ARM 01.04.1 - Armário, com dimensões 2.42x2.50x0.55m.</t>
  </si>
  <si>
    <t>11.23.2</t>
  </si>
  <si>
    <t>ARM 01.04.2 - Armário, com dimensões 2.42x2.50x0.55m.</t>
  </si>
  <si>
    <t>11.23.3</t>
  </si>
  <si>
    <t>ESP 01.4 - Espelho em vidro cristal esp. 6mm, com dimensões 1.10x2.42m.</t>
  </si>
  <si>
    <t>11.23.4</t>
  </si>
  <si>
    <t>ARM 01.05.1 - Armário, com dimensões 2.42x2.50x0.55m.</t>
  </si>
  <si>
    <t>11.23.5</t>
  </si>
  <si>
    <t>ARM 01.05.2 - Armário, com dimensões 2.42x2.50x0.55m.</t>
  </si>
  <si>
    <t>11.23.6</t>
  </si>
  <si>
    <t>ESP 01.5 - Espelho em vidro cristal esp. 6mm, com dimensões 1.10x2.42m.</t>
  </si>
  <si>
    <t>EQUIPAMENTOS SANITÁRIOS</t>
  </si>
  <si>
    <t>BANCADAS + ARMÁRIOS</t>
  </si>
  <si>
    <t>12.1</t>
  </si>
  <si>
    <t>Fornecimento e montagem de bancada suspensa com lavatório integrado em Corian branco mate RAL 9003 e armário suspenso com 2 gavetas em MDF hidrófugo lacado na cor branco mate RAL 9003, incluindo fixações, acessórios, ligações e todos os trabalhos preparatórios e acessórios necessários para perfeito funcionamento.</t>
  </si>
  <si>
    <t>Estes são todos móveis premium. É possível encomendar segmento médio sem comprometer a qualidade, reduzindo o preço em 30%.</t>
  </si>
  <si>
    <t>12.1.1</t>
  </si>
  <si>
    <t>BANC 01.1: 2,04m x 0,35m x 0,44m + ARM 01.1: 2,04m x 0,20m x 0,44m; EXTERIOR: Portas, painéis laterais do armário, em MDF Hidrófugo esp. 19 mm, lacado na cor RAL 9003; INTERIOR: Gavetas e prateleiras em MDF esp. 19mm, melamina cor RAL 7035; TAMPO: em Corian, RAL 9003, esp. 2cm; CHAPA PERF.: Chapa metálica perfurada, aço inox 316 mate; PUXADOR: ---; CORREDIÇAS: Com amortecimento, "BLUM / MOVENTO - BLUMOTION";</t>
  </si>
  <si>
    <t>12.1.2</t>
  </si>
  <si>
    <t>BANC 01.2: 2,04m x 0,35m x 0,44m + ARM 01.2: 2,04m x 0,20m x 0,44m; EXTERIOR: Portas, painéis laterais do armário, em MDF Hidrófugo esp. 19 mm, lacado na cor RAL 9003; INTERIOR: Gavetas e prateleiras em MDF esp. 19mm, melamina cor RAL 7035; TAMPO: em Corian, RAL 9003, esp. 2cm; CHAPA PERF.: Chapa metálica perfurada, aço inox 316 mate; PUXADOR: ---; CORREDIÇAS: Com amortecimento, "BLUM / MOVENTO - BLUMOTION";</t>
  </si>
  <si>
    <t>12.1.3</t>
  </si>
  <si>
    <t>BANC 01.3: 1,40m x 0,35m x 0,44m + ARM 01.3: 1,40m x 0,20m x 0,44m; EXTERIOR: Portas, painéis laterais do armário, em MDF Hidrófugo esp. 19 mm, lacado na cor RAL 9003; INTERIOR: Gavetas e prateleiras em MDF esp. 19mm, melamina cor RAL 7035; TAMPO: em Corian, RAL 9003, esp. 2cm; CHAPA PERF.: Chapa metálica perfurada, aço inox 316 mate; PUXADOR: ---; CORREDIÇAS: Com amortecimento, "BLUM / MOVENTO - BLUMOTION";</t>
  </si>
  <si>
    <t>LAVATÓRIO DE COLUNA</t>
  </si>
  <si>
    <t>12.2</t>
  </si>
  <si>
    <t>Fornecimento e montagem de lavatório de coluna cilíndrico com corpo em betão aparente e cuba de lavatório em Corian branco mate RAL 9003, incluindo fixações, acessórios, ligações e todos os trabalhos preparatórios e acessórios necessários para perfeito funcionamento.</t>
  </si>
  <si>
    <t>12.2.1</t>
  </si>
  <si>
    <t>BANC -01.1: 0,40m x 0,90m -Corpo cilíndrico em betão armado esp. 7cm, cofragem em bloco de poliestireno; -Cuba em Corian 5mm moldada conforme desenho de pormenor; -Tubagem em PVC com sifão vertical; -Acesso para manutenção através de ligação roscada entre válvula do lavatório e sifão vertical; -Prever reforço e nivelamento da tubagem de esgoto ao corpo de betão.</t>
  </si>
  <si>
    <t>12.2.2</t>
  </si>
  <si>
    <t>BANC 00.4: 0,40m x 0,90m -Corpo cilíndrico em betão armado esp. 7cm, cofragem em bloco de poliestireno; -Cuba em Corian 5mm moldada conforme desenho de pormenor; -Tubagem em PVC com sifão vertical; -Acesso para manutenção através de ligação roscada entre válvula do lavatório e sifão vertical; -Prever reforço e nivelamento da tubagem de esgoto ao corpo de betão.</t>
  </si>
  <si>
    <t>12.2.3</t>
  </si>
  <si>
    <t>BANC 00.5: 0,40m x 0,90m -Corpo cilíndrico em betão armado esp. 7cm, cofragem em bloco de poliestireno; -Cuba em Corian 5mm moldada conforme desenho de pormenor; -Tubagem em PVC com sifão vertical; -Acesso para manutenção através de ligação roscada entre válvula do lavatório e sifão vertical; -Prever reforço e nivelamento da tubagem de esgoto ao corpo de betão.</t>
  </si>
  <si>
    <t>LOUÇAS SANITÁRIAS</t>
  </si>
  <si>
    <t>Fornecimento e montagem de calha de duche, 90cm, acabamento "INOX", modelo "CALHA DE DUCHE GEBERIT CLEANLINE20", marca "GEBERITE", ref. 154.450.KS.1, incluindo fixações, ligações e todos os trabalhos preparatórios e acessórios necessários para perfeito funcionamento. (EQ08)</t>
  </si>
  <si>
    <t>12.3.1</t>
  </si>
  <si>
    <t>Fornecimento e montagem de banheira de pousar, dimensão 160x75cm, acabamento "BRANCO", modelo "ONE BB1.20", marca "PADIMAT", ref. BB1.20.16075, incluindo fixações, ligações e todos os trabalhos preparatórios e acessórios necessários para perfeito funcionamento. (EQ09)</t>
  </si>
  <si>
    <t>12.3.2</t>
  </si>
  <si>
    <t>Fornecimento e montagem de sanita suspensa, acabamento "BRANCO", modelo "BORMIO, SANITA SUSPENSA BR18", marca "PADIMAT", ref. 5603313495638, com tampa de descida suave, incluindo KOMBIFIX, 8cm, modelo "INSTALAÇÃO GEBERIT KOMBIFIX PARA SANITA SUSPENSA, 109 cm, COM CISTERNA DE EMBUTIR SIGMA 8 cm, CURVA DE DESCARGA EM PVC", marca "GEBERITE", ref. 110.793.00.1, acessórios, ligações e todos os trabalhos preparatórios e acessórios necessários para perfeito funcionamento. (EQ10) (EQ11)</t>
  </si>
  <si>
    <t>12.3.3</t>
  </si>
  <si>
    <t>Fornecimento e montagem de placa de descarga, 24,6x16,4cm, modelo "PLACA DE COMANDO DE DESCARGA GEBERIT DELTA10 PARA DESCARGA INTERROMPÍVEL, APARAFUSADA", marca "GEBERITE", ref. 115.101.00.5, incluindo fixações e todos os trabalhos preparatórios e acessórios necessários para perfeito funcionamento. (EQ12)</t>
  </si>
  <si>
    <t>12.3.4</t>
  </si>
  <si>
    <t>Fornecimento e montagem de placa de descarga, acabamento "INOX", modelo "BOTÃO DE COMANDO À DISTÂNCIA GEBERIT SÉRIE 10 PNEUMÁTICO, PARA DESCARGA DUPLA, PARA CISTERNA DE EMBUTIR SIGMA 8 CM, BOTÃO DE EMBUTIR", marca "GEBERITE", ref. 116.056.JQ.1, incluindo fixações e todos os trabalhos preparatórios e acessórios necessários para perfeito funcionamento. (EQ13)</t>
  </si>
  <si>
    <t>TORNEIRAS</t>
  </si>
  <si>
    <t>Fornecimento e montagem de torneira de passagem, acabamento "CROMADO", modelo "TORNEIRA DE PASSAGEM 3/4" - QUADRA", marca "BRUMA", Ref. 82775232, incluindo ligações e todos os trabalhos preparatórios e acessórios necessários para perfeito funcionamento. (EQ01)</t>
  </si>
  <si>
    <t>12.4.1</t>
  </si>
  <si>
    <t>Fornecimento e montagem de válvula, acabamento "INOX", modelo "VÁLVULA CLIC-CLAC 1 ¼" - ELO</t>
  </si>
  <si>
    <t>12.4.2</t>
  </si>
  <si>
    <t>Fornecimento e montagem de misturadora monocomando para lavatório, acabamento "INOX", modelo "MISTURADORA MONOCOMANDO PARA LAVATÓRIO 2 FUROS, MONTAGEM NA BANCADA</t>
  </si>
  <si>
    <t>12.4.3</t>
  </si>
  <si>
    <t>Fornecimento e montagem de misturadora monocomando de parede para lavatório, acabamento "INOX", modelo "MISTURADORA MONOCOMANDO DE PAREDE PARA LAVATÓRIO, COM 2 FUROS. BICA 150 MM</t>
  </si>
  <si>
    <t>12.4.4</t>
  </si>
  <si>
    <t>Fornecimento e montagem de misturadora monocomando de pavimento para banheira, acabamento "INOX", modelo "MISTURADORA MONOCOMANDO PARA BANHEIRA E DUCHE, MONTAGEM AO PAVIMENTO", marca "BRUMA", Ref. 186 980 2IS. OPÇÃO: MANÍPULO 2, Ref. 186 980 2IS, incluindo ligações e todos os trabalhos preparatórios e acessórios necessários para perfeito funcionamento. (EQ05)</t>
  </si>
  <si>
    <t>12.4.5</t>
  </si>
  <si>
    <t>Fornecimento e montagem de misturadora para bidé, acabamento "INOX COM MANGA PRETA", modelo "MISTURADORA PARA BIDÉ WC, ABERTURA 90°, EM AÇO INOX</t>
  </si>
  <si>
    <t>12.4.6</t>
  </si>
  <si>
    <t>Fornecimento e montagem de conjunto de duche, acabamento "INOX COM MANGA PRETA", modelo "SISTEMA DE DUCHE DE ENCASTRAR COM CHUVEIRO DE PAREDE Ø250 MM E CONJUNTO DE CHUVEIRO DE MÃO", marca "BRUMA", Ref. 186 782 1IS, MANGUEIRA PRETA E OPÇÃO MANÍPULO 2, Ref. 186 782 2IS + 186 562 2IS, incluindo ligações e todos os trabalhos preparatórios e acessórios necessários para perfeito funcionamento. (EQ07)</t>
  </si>
  <si>
    <t>12.4.7</t>
  </si>
  <si>
    <t>Fornecimento e montagem de misturadora monocomando de parede para lavatório, acabamento "INOX", modelo "MISTURADORA MONOCOMANDO DE PAREDE PARA LAVATÓRIO, COM 2 FUROS, BICA 230 MM</t>
  </si>
  <si>
    <t>EQUIPAMENTOS</t>
  </si>
  <si>
    <t>Fornecimento e montagem de porta-rolos, acabamento "INOX", modelo "INOX, PORTA-ROLOS", marca "LOJA AREA", Ref. 84633, incluindo acessórios, fixações e todos os trabalhos preparatórios e acessórios necessários para perfeito funcionamento. (EQ14)</t>
  </si>
  <si>
    <t>12.5.1</t>
  </si>
  <si>
    <t>Fornecimento e montagem de toalheiro, 65cm, acabamento "INOX", modelo "INOX, TOALHEIRO 65CM", marca "LOJA AREA", Ref. 84635, incluindo fixações e todos os trabalhos preparatórios e acessórios necessários para perfeito funcionamento. (EQ15)</t>
  </si>
  <si>
    <t>12.5.2</t>
  </si>
  <si>
    <t>Fornecimento e montagem de sifão para lavatório, acabamento cromado, modelo "ELO", marca "BRUMA", Ref. 1370001CR, incluindo fixações e todos os trabalhos preparatórios e acessórios necessários para perfeito funcionamento. (EQ16)</t>
  </si>
  <si>
    <t>12.5.3</t>
  </si>
  <si>
    <t>Fornecimento e montagem de sifão vertical para lavatório circular tipo "JIMTEN 1.1/4X32", acesso para manutenção através do desaparafusamento da cuba do lavatório em corian, incluindo fixações e todos os trabalhos preparatórios e acessórios necessários para perfeito funcionamento. (EQ17)</t>
  </si>
  <si>
    <t>12.5.4</t>
  </si>
  <si>
    <t>Fornecimento e montagem de banco suspenso com dimensão 0,60x0,51x2,10 (LxAxC), monolítico em betão armado, revestido com mosaico igual à parede adjacente, incluindo reforço estrutural para fixação do banco à parede e todos os trabalhos preparatórios e acessórios necessários para perfeito acabamento.</t>
  </si>
  <si>
    <t>12.5.5</t>
  </si>
  <si>
    <t>Fornecimento e montagem de divisórias em vidro temperado com 12mm de espessura, acabamento extra-claro, para bases de duche, dimensões e características conforme desenhos de pormenor, incluindo ferragens, puxadores, acessórios, fixações e todos os trabalhos preparatórios e acessórios necessários para perfeito funcionamento.</t>
  </si>
  <si>
    <t>12.5.6</t>
  </si>
  <si>
    <t>Fornecimento e montagem de espelhos circulares em vidro cristal com 6mm de espessura, com 40cm de diâmetro, com aro em aço inox 316 escovado com 6mm de espessura, incluindo sistema de fixação conforme desenhos de pormenor indicados e todos os trabalhos preparatórios e acessórios necessários para perfeito acabamento.</t>
  </si>
  <si>
    <t>12.5.7</t>
  </si>
  <si>
    <t>Fornecimento e montagem de espelhos em vidro cristal com 6mm de espessura, incluindo sistema de fixação conforme desenhos de pormenor indicados (colado à superfície da parede, complanar com o restante da parede), e todos os trabalhos preparatórios e acessórios necessários para perfeito acabamento.</t>
  </si>
  <si>
    <t>EQUIPAMENTOS DE COZINHA E LAVANDARIA</t>
  </si>
  <si>
    <t>COZINHA</t>
  </si>
  <si>
    <t>Fornecimento e montagem completa de armários de cozinha inferiores, superiores e altos em MDF hidrófugo com 19mm de espessura, lacado na cor RAL 9003, incluindo corpos, portas, gavetas, prateleiras, rodapés, ferragens, iluminação, fixações, corte, acabamento, tudo conforme mapa de armários e todos os trabalhos preparatórios e acessórios necessários para perfeito acabamento.</t>
  </si>
  <si>
    <t>13.1.1</t>
  </si>
  <si>
    <t>BANC00.1 + ARM00.5, com dimensão 2,60x0,90x1,00m</t>
  </si>
  <si>
    <t>13.1.2</t>
  </si>
  <si>
    <t>BANC00.2 + ARM00.6, com dimensão 4,20x2,49x0,62m</t>
  </si>
  <si>
    <t>Fornecimento e montagem de bancada de cozinha em MDF hidrófugo com 19mm de espessura, revestida com chapa de aço inox 316 escovado com 3mm de espessura, incluindo revestimento do nicho da bancada, furos, fixações, corte, remates e todos os trabalhos preparatórios e acessórios necessários para perfeito acabamento.</t>
  </si>
  <si>
    <t>13.2.1</t>
  </si>
  <si>
    <t>BANC00.1, com dimensão 2,60x1,00m</t>
  </si>
  <si>
    <t>13.2.2</t>
  </si>
  <si>
    <t>BANC00.2, com dimensão 1,76x0,62m</t>
  </si>
  <si>
    <t>Fornecimento e montagem de lava-louça 100cm, acabamento "SOFT WHITE", modelo "AXIA III 6 S", marca "BLANCO", Ref. 525849, incluindo acessórios, sifão e válvula, ligações e todos os trabalhos preparatórios e acessórios necessários para perfeito funcionamento. (EQ01)</t>
  </si>
  <si>
    <t>Fornecimento e montagem de misturadora, acabamento "INOX COM MANGA PRETA", modelo "MISTURADORA MONOCOMANDO PARA LAVA-LOUÇA, BICA GIRATÓRIA, CHUVEIRO EXTRAÍVEL 2 MODOS", marca "BRUMA", Ref. 197 011 1IS, incluindo ligações e todos os trabalhos preparatórios e acessórios necessários para perfeito funcionamento. (EQ02)</t>
  </si>
  <si>
    <t>Fornecimento e montagem de separador de resíduos, 56,8 x 45x 45,8cm, modelo "SELECT II 60/3 Orga", marca "BLANCO", Ref. 526209, incluindo todos os trabalhos preparatórios e acessórios necessários para perfeito funcionamento. (EQ03)</t>
  </si>
  <si>
    <t>Fornecimento e montagem de forno de encastrar, dimensão 90x60cm, acabamento "INOX", modelo "SERIE 6", marca "BOSCH", Ref. VBD5780S0, incluindo fixações, ligações e todos os trabalhos preparatórios e acessórios necessários para perfeito funcionamento. (EQ04)</t>
  </si>
  <si>
    <t>Fornecimento e montagem de frigorífico de encastrar, dimensão 177,5x56cm, modelo "SERIE 4, FRIGORÍFICO COMBINADO DE ENCASTRAR", marca "BOSCH", Ref. KIL82VFE0, incluindo fixações, ligações e todos os trabalhos preparatórios e acessórios necessários para perfeito funcionamento. (EQ05)</t>
  </si>
  <si>
    <t>Fornecimento e montagem de congelador de encastrar, dimensão 177,2x55,8cm, modelo "SERIE 4", marca "BOSCH", Ref. GIN81VEE0, incluindo fixações, ligações e todos os trabalhos preparatórios e acessórios necessários para perfeito funcionamento. (EQ06)</t>
  </si>
  <si>
    <t>Fornecimento e montagem de micro-ondas de encastrar, dimensão 59,4x29,7x38,2cm, acabamento "PRETO", modelo "SERIE 6, marca "BOSCH", Ref. BFL524MB0, incluindo fixações, ligações e todos os trabalhos preparatórios e acessórios necessários para perfeito funcionamento. (EQ07)</t>
  </si>
  <si>
    <t>13.10</t>
  </si>
  <si>
    <t>Fornecimento e montagem de placa de indução, dimensão 81,6x52,7cm, modelo "SERIE 8, 80 CM, PRETA, INSTALAÇÃO À FACE COM PERFIL", marca "BOSCH", Ref. PXV875DV1E, incluindo fixações, ligações e todos os trabalhos preparatórios e acessórios necessários para perfeito funcionamento. (EQ08)</t>
  </si>
  <si>
    <t>Fornecimento e montagem de exaustor de ilha, dimensão 133x38cm, acabamento "BRANCO", modelo "EXAUSTOR BOLEA", marca "KARLSTEIN", Ref. 10041225, incluindo chaminé, fixações, ligações e todos os trabalhos preparatórios e acessórios necessários para perfeito funcionamento. (EQ09)</t>
  </si>
  <si>
    <t>Fornecimento e montagem de despensa extraível, modelo "UTRUSTA, DESPENSA EXTRAÍVEL", marca "IKEA", Ref. 505.153.46, incluindo fixações e todos os trabalhos preparatórios e acessórios necessários para perfeito funcionamento. (EQ10)</t>
  </si>
  <si>
    <t>Fornecimento e montagem de calha de arrumação, 56cm, acabamento "AÇO INOXIDÁVEL", modelo "KUNGSFORS, CALHA, AÇO INOXIDÁVEL, 56 cm", marca "IKEA", Ref. 403.349.16, incluindo fixações e todos os trabalhos preparatórios e acessórios necessários para perfeito funcionamento. (EQ11)</t>
  </si>
  <si>
    <t>Fornecimento e montagem de suporte magnético para facas, acabamento "AÇO INOXIDÁVEL", modelo "KUNGSFORS, SUPORTE MAGNÉTICO PARA FACAS", MARCA "IKEA", Ref. 403.349.21, incluindo fixações e todos os trabalhos preparatórios e acessórios necessários para perfeito funcionamento. (EQ12)</t>
  </si>
  <si>
    <t>Fornecimento e montagem de máquina de lavar louça de encastrar, dimensão 59,8x55x81,5cm, modelo "SERIE 4, marca "BOSCH", Ref. SMV4ECX21E, incluindo ligações, fixações e todos os trabalhos preparatórios e acessórios necessários para perfeito funcionamento. (EQ13)</t>
  </si>
  <si>
    <t>LAVANDARIA</t>
  </si>
  <si>
    <t>Fornecimento e montagem de máquina de lavar roupa, dimensão 59,8x59x84,8cm, modelo "SERIE 6, CARGA FRONTAL, 10 KG, 1400 RPM", marca "BOSCH", Ref. WAL28PH1ES, incluindo ligações e todos os trabalhos preparatórios e acessórios necessários para perfeito funcionamento. (EQ14)</t>
  </si>
  <si>
    <t>Fornecimento e montagem de máquina de secar roupa, dimensão 59,8x59x84,2cm, modelo "SERIE 4, BOMBA DE CALOR, 8 KG", marca "BOSCH", Ref. WTR85V92ES, incluindo ligações e todos os trabalhos preparatórios e acessórios necessários para perfeito funcionamento. (EQ15)</t>
  </si>
  <si>
    <t>REDE HIDRÁULICA INTERIOR, PISCINA</t>
  </si>
  <si>
    <t>REDE HIDRÁULICA INTERIOR, PISCINA E REGA</t>
  </si>
  <si>
    <t>Fornecimento e montagem de rede de abastecimento de água fria interior conforme projeto de especialidade, constituída por tubagem PEAD PN10 (tipo SDR 13,6 da Politejo) nas redes exteriores enterradas, tubagem multicamada (tipo Mepla da Geberit) nas redes de distribuição interior e exterior do edifício e na alimentação aos dispositivos de consumo, incluindo todos os materiais, acessórios e trabalhos complementares.</t>
  </si>
  <si>
    <t>Fornecimento e montagem de tubagem PEAD PN10 (tipo SDR 13,6 da Politejo), bem como todos os materiais auxiliares e trabalhos complementares.</t>
  </si>
  <si>
    <t>14.2.1</t>
  </si>
  <si>
    <t>PEAD Ø20</t>
  </si>
  <si>
    <t>14.2.2</t>
  </si>
  <si>
    <t>PEAD Ø25</t>
  </si>
  <si>
    <t>14.2.3</t>
  </si>
  <si>
    <t>PEAD Ø40</t>
  </si>
  <si>
    <t>Fornecimento e montagem de tubagem multicamada (tipo Mepla da Geberit), incluindo isolamento flexível em espuma elastomérica da Armacell, SH Armaflex ou equivalente, e fixações ao teto Armafix Ecolight, quando aplicável, bem como todos os materiais auxiliares e trabalhos complementares.</t>
  </si>
  <si>
    <t>14.3.1</t>
  </si>
  <si>
    <t>MC Ø16</t>
  </si>
  <si>
    <t>14.3.2</t>
  </si>
  <si>
    <t>MC Ø20</t>
  </si>
  <si>
    <t>14.3.3</t>
  </si>
  <si>
    <t>MC Ø26</t>
  </si>
  <si>
    <t>14.3.4</t>
  </si>
  <si>
    <t>MC Ø32</t>
  </si>
  <si>
    <t>14.3.5</t>
  </si>
  <si>
    <t>MC Ø40</t>
  </si>
  <si>
    <t>Fornecimento e montagem de rede de abastecimento de água quente interior conforme projeto de especialidade, constituída por tubagem multicamada (tipo Mepla da Geberit) nas redes de distribuição interior do edifício e na alimentação aos dispositivos de consumo, incluindo todos os materiais, acessórios e trabalhos complementares.</t>
  </si>
  <si>
    <t>Fornecimento e montagem de tubagem multicamada (tipo Mepla da Geberit), incluindo isolamento térmico AF/Armaflex ou equivalente com espessura de acordo com as exigências da legislação térmica, e fixações ao teto Armafix Ecolight, bem como todos os materiais auxiliares e trabalhos complementares.</t>
  </si>
  <si>
    <t>14.5.1</t>
  </si>
  <si>
    <t>14.5.2</t>
  </si>
  <si>
    <t>14.5.3</t>
  </si>
  <si>
    <t>14.5.4</t>
  </si>
  <si>
    <t>Fornecimento e montagem de rede de retorno de água quente interior conforme projeto de especialidade, constituída por tubagem multicamada (tipo Mepla da Geberit), incluindo todos os materiais, acessórios e trabalhos complementares.</t>
  </si>
  <si>
    <t>Fornecimento e montagem de tubagem multicamada (tipo Mepla da Geberit ou equivalente), incluindo isolamento térmico AF/Armaflex ou equivalente de acordo com as exigências da legislação térmica, e fixações ao teto ArmaFix AF ou equivalente, quando aplicável, bem como todos os materiais auxiliares e trabalhos complementares.</t>
  </si>
  <si>
    <t>14.7.1</t>
  </si>
  <si>
    <t>14.7.2</t>
  </si>
  <si>
    <t>Fornecimento e montagem de sistema de osmose inversa, constituído por 3 corpos de cartuchos brancos 10", pré-filtro de polipropileno prensado 5 mícron 10", cartucho de carvão ativado GAC 10", cartucho de carvão em bloco 10", corpo de membranas, membrana filmtec 50 GPD, pós-filtro de carvão em linha 2" x 10", depósito em aço com revestimento em plástico 14 litros, torneira com válvula cerâmica, limitador 350-400 cc, válvula de 4 vias, bomba Booster, transformador 24 V e eletroválvula ¼", relé de pressão máxima e mínima, bem como todos os trabalhos complementares.</t>
  </si>
  <si>
    <t>Fornecimento e montagem de sistema de filtragem, tratamento, reserva e pressurização de água da rede, constituído por reservatório de 1.000l em polietileno de alta densidade, filtros de sedimentos 20"-1", sistema de recirculação temporizada, Aqua Innovation - anti-calcário, lâmpada UV, grupo hidropressor constituído por bomba Grundfos SCALA2 3-45A, 1 quadro de proteção e comando, 1 conjunto de manómetro e pressostato, 1 válvula de retenção, bem como todos os materiais auxiliares e trabalhos complementares tipo Golden Fibra conforme projeto de especialidade.</t>
  </si>
  <si>
    <t>14.10</t>
  </si>
  <si>
    <t>Fornecimento e montagem de torneiras de serviço com ligação para mangueira (tipo TRES jardim/piscina CRO 03450102 ou equivalente), bem como todos os trabalhos complementares.</t>
  </si>
  <si>
    <t>14.11</t>
  </si>
  <si>
    <t>Fornecimento e montagem de torneiras de serviço em caixa de válvulas (tipo RAINBIRD Standard Rectangular Series VB-STD ou equivalente), bem como todos os trabalhos complementares.</t>
  </si>
  <si>
    <t>14.12</t>
  </si>
  <si>
    <t>Fornecimento e montagem de válvulas de seccionamento (tipo Klimapress da Heliroma ou equivalente), bem como todos os trabalhos complementares.</t>
  </si>
  <si>
    <t>14.13</t>
  </si>
  <si>
    <t>Fornecimento e montagem de válvulas reguladoras de caudal modelo 116 da Calefi ou equivalente, regulada para 45°C, com todos os trabalhos e acessórios para correto funcionamento.</t>
  </si>
  <si>
    <t>14.14</t>
  </si>
  <si>
    <t>Fornecimento e montagem de boca de incêndio no muro de limite do lote conforme pormenor de projeto e incluindo todos os acessórios e trabalhos complementares.</t>
  </si>
  <si>
    <t>14.15</t>
  </si>
  <si>
    <t>Trabalhos de apoio de construção civil na abertura e tapamento de valas e roços, todos os materiais, acessórios e trabalhos complementares.</t>
  </si>
  <si>
    <t>14.16</t>
  </si>
  <si>
    <t>Execução de ensaios e certificação quando necessário, de acordo com projeto de especialidade, fornecimento de manuais de operação e manutenção quando necessário, cópias e versão digital, incluindo todos os procedimentos, equipamentos, materiais, acessórios e trabalhos complementares.</t>
  </si>
  <si>
    <t>SISTEMA DE FILTRAGEM E RECIRCULAÇÃO DE ÁGUA DA PISCINA E TANQUE DE COMPENSAÇÃO</t>
  </si>
  <si>
    <t>14.17</t>
  </si>
  <si>
    <t>Fornecimento e montagem de equipamento para tratamento e recirculação de água da piscina e tanque de compensação, incluindo toda a tubagem em PVC PN10 necessária à instalação e todos os equipamentos e acessórios, nomeadamente:</t>
  </si>
  <si>
    <t>14.17.1</t>
  </si>
  <si>
    <t>PVC PN10 ø63</t>
  </si>
  <si>
    <t>14.18</t>
  </si>
  <si>
    <t>Fornecimento e montagem de tubagem de caleira de transbordo em PVC série U SN4, incluindo todos os materiais auxiliares e trabalhos complementares:</t>
  </si>
  <si>
    <t>14.18.1</t>
  </si>
  <si>
    <t>PVC PN10 ø110</t>
  </si>
  <si>
    <t>14.19</t>
  </si>
  <si>
    <t>Fornecimento e montagem do sistema de filtragem e tratamento da piscina, incluindo equipamentos e acessórios necessários ao correto funcionamento, sendo que o acabamento dos acessórios visíveis deve ser compatível com o revestimento/acabamento indicado no projeto de arquitetura e apresentado para aprovação ao cliente/fiscalização para aplicação, nomeadamente:</t>
  </si>
  <si>
    <t>Filtro de cartucho Clean&amp;Clear Plus 39M2 (ref. PAC-050-0068) + Bomba Intelliflo 3 VSD 1,5CV (ref. PAC-100-0043)</t>
  </si>
  <si>
    <t>Opcional - Filtro de cartucho mono Clean&amp;Clear 18 M3/H (ref. PAC-050-0352) + Bomba Superflo VSD (ref. PAC-100-0050)</t>
  </si>
  <si>
    <t>Eletrolisador Promatic Lifeguard 25 g (ref. MNC-450-0534)</t>
  </si>
  <si>
    <t>Ralo de fundo Hayward para betão (x2) (ref. HAY-250-1797) (para piscina)</t>
  </si>
  <si>
    <t>Boquilha de fundo ABS branca para tubo 63-50 mm (ref. ZAN-250-0001)</t>
  </si>
  <si>
    <t>Passa-muros Superpool para betão 300 mm (ref. EMX-250-0012)</t>
  </si>
  <si>
    <t>Passa-muros Hayward Liner 250mm 2'' 50 (ref. HAY-250-0142)</t>
  </si>
  <si>
    <t>Ralo de fundo Superpool para liner (ref. EMX-250-0016) (para tanque de compensação)</t>
  </si>
  <si>
    <t>Quadro de regulação de nível de água com 5 sondas (ref. CCE-570-0147)</t>
  </si>
  <si>
    <t>Sal para eletrólise granulado especial para piscina (ref. UNS-500-0002)</t>
  </si>
  <si>
    <t>Acti Expert Ph Minus 15 20L - Classe de perigo 8, Designação UN 2796; Grupo de embalagem II (ref. ACT58P-7169)</t>
  </si>
  <si>
    <t>SISTEMA DE FILTRAGEM E RECIRCULAÇÃO DE ÁGUA DOS ESPELHOS DE ÁGUA</t>
  </si>
  <si>
    <t>14.20</t>
  </si>
  <si>
    <t>Fornecimento e montagem de equipamento para tratamento e recirculação de água dos espelhos de água, incluindo toda a tubagem em PVC PN10 necessária à instalação e todos os equipamentos e acessórios, nomeadamente:</t>
  </si>
  <si>
    <t>14.20.1</t>
  </si>
  <si>
    <t>14.21</t>
  </si>
  <si>
    <t>Fornecimento e montagem do sistema de filtragem e tratamento dos espelhos de água, incluindo equipamentos e acessórios necessários ao correto funcionamento, sendo que o acabamento dos acessórios visíveis deve ser compatível com o revestimento/acabamento indicado no projeto de arquitetura e apresentado para aprovação ao cliente/fiscalização para aplicação, nomeadamente:</t>
  </si>
  <si>
    <t>14.21.1</t>
  </si>
  <si>
    <t>Filtro de cartucho mono Galaxy ICF100 (ref. EMX-050-0070) + Bomba Superpool 0,5cv Mono IE2 (ref. HAY-100-0404)</t>
  </si>
  <si>
    <t>14.21.2</t>
  </si>
  <si>
    <t>Skimmer A500 betão/liner branco (ref. WEL-250-0268)</t>
  </si>
  <si>
    <t>14.21.3</t>
  </si>
  <si>
    <t>Boquilha de impulsão orientável Hayward betão 2-1,5'' 22mm 100 (ref. HAY-250-0130)</t>
  </si>
  <si>
    <t>14.21.4</t>
  </si>
  <si>
    <t>Ralo de fundo Hayward para betão (x2) (ref. HAY-250-1797)</t>
  </si>
  <si>
    <t>14.21.5</t>
  </si>
  <si>
    <t>Bomba doseadora Prim pH com kit completo (ref. AVA-450-0230)</t>
  </si>
  <si>
    <t>14.21.6</t>
  </si>
  <si>
    <t>Regulador de nível Hayward (ref. HAY-250-0005)</t>
  </si>
  <si>
    <t>14.22</t>
  </si>
  <si>
    <t>REDE DE GÁS</t>
  </si>
  <si>
    <t>Tubagem</t>
  </si>
  <si>
    <t>15.1</t>
  </si>
  <si>
    <t>Fornecimento e montagem de rede de gás conforme projeto, incluindo tubagens exteriores e todos os materiais e acessórios necessários à instalação, em PE com diâmetro ?20, de acordo com a legislação aplicável.</t>
  </si>
  <si>
    <t>15.2</t>
  </si>
  <si>
    <t>Fornecimento e montagem de rede de gás conforme projeto e todos os materiais e acessórios necessários à instalação, em Cu com diâmetro ?15, de acordo com a legislação aplicável.</t>
  </si>
  <si>
    <t>Caixas</t>
  </si>
  <si>
    <t>15.3</t>
  </si>
  <si>
    <t>Fornecimento e montagem de contador (tipo G4), incluindo válvulas, redutor de média pressão, bem como todos os trabalhos complementares associados.</t>
  </si>
  <si>
    <t>15.4</t>
  </si>
  <si>
    <t>Fornecimento e montagem de caixa de corte e transição, incluindo transição PE-Cu, válvulas, ligação à terra e todos os trabalhos inerentes à boa execução, de acordo com a legislação aplicável.</t>
  </si>
  <si>
    <t>15.5</t>
  </si>
  <si>
    <t>15.6</t>
  </si>
  <si>
    <t>Execução de todos os ensaios e certificação quando necessário, incluindo todos os procedimentos, materiais, trabalhos complementares e acessórios.</t>
  </si>
  <si>
    <t>FORNECIMENTO E MONTAGEM DE EQUIPAMENTOS E SISTEMAS DE CLIMATIZAÇÃO E PRODUÇÃO DE ÁGUA QUENTE SANITÁRIA</t>
  </si>
  <si>
    <t>CLIMATIZAÇÃO</t>
  </si>
  <si>
    <t>16.1</t>
  </si>
  <si>
    <t>Unidade exterior de climatização tipo VRF, incluindo montagem e todos os acessórios necessários de acordo com as especificações das peças desenhadas e especificações do fabricante. UE.01.12</t>
  </si>
  <si>
    <t>Propomos instalar dois sistemas split para cada andar com ar condicionados custando cerca de 1000-1500 por unidade. E então toda esta etapa custará não 50000, mas cerca de 25000.
Ou sistema de ventilação+Ar condicionado. O preço para dois sistemas ficou em cerca de 65000. Será 40000 mais barato do que você tem agora</t>
  </si>
  <si>
    <t>16.2</t>
  </si>
  <si>
    <t>Unidades interiores do sistema (VRF) do tipo conduta de pressão estática (média), incluindo comando por cabo e todos os acessórios necessários de acordo com as especificações das peças desenhadas e especificações do fabricante.</t>
  </si>
  <si>
    <t>16.2.1</t>
  </si>
  <si>
    <t>16.2.2</t>
  </si>
  <si>
    <t>16.2.3</t>
  </si>
  <si>
    <t>16.3</t>
  </si>
  <si>
    <t>Alçapões de acesso para manutenção das unidades interiores de conduta, incluindo instalação e todos os acessórios necessários</t>
  </si>
  <si>
    <t>16.3.1</t>
  </si>
  <si>
    <t>Alçapão 60x60</t>
  </si>
  <si>
    <t>16.4</t>
  </si>
  <si>
    <t>Derivadores para o sistema VRF, incluindo montagem e todos os acessórios necessários de acordo com as especificações das peças desenhadas e especificações do fabricante.</t>
  </si>
  <si>
    <t>16.4.1</t>
  </si>
  <si>
    <t>16.5</t>
  </si>
  <si>
    <t>Unidade de climatização tipo bomba de calor com módulo hidráulico para piso radiante, climatização e AQS, incluindo montagem e todos os acessórios necessários de acordo com as especificações das peças desenhadas e especificações do fabricante.</t>
  </si>
  <si>
    <t>16.5.1</t>
  </si>
  <si>
    <t>16.6</t>
  </si>
  <si>
    <t>Comando centralizado de ecrã tátil por cabo, incluindo todos os acessórios necessários de acordo com as especificações técnicas e especificações do fabricante.</t>
  </si>
  <si>
    <t>16.7</t>
  </si>
  <si>
    <t>Comando individual por cabo, incluindo todos os acessórios necessários de acordo com as especificações técnicas e especificações do fabricante.</t>
  </si>
  <si>
    <t>Tubagem de cobre da instalação frigorífica, devidamente isolada com manga elastomérica tipo Armaflex, incluindo todos os acessórios necessários de acordo com as especificações das peças desenhadas e especificações do fabricante.</t>
  </si>
  <si>
    <t>16.8.1</t>
  </si>
  <si>
    <t>16.8.2</t>
  </si>
  <si>
    <t>16.8.3</t>
  </si>
  <si>
    <t>16.8.4</t>
  </si>
  <si>
    <t>16.8.5</t>
  </si>
  <si>
    <t>16.8.6</t>
  </si>
  <si>
    <t>16.8.7</t>
  </si>
  <si>
    <t>16.9</t>
  </si>
  <si>
    <t>Tubagem em PVC para drenagem de condensados, incluindo fornecimento, montagem e instalação de todos os acessórios necessários ao perfeito funcionamento, bem como acessórios de suporte e fixação de acordo com as especificações das peças escritas e especificações do fabricante.</t>
  </si>
  <si>
    <t>16.9.1</t>
  </si>
  <si>
    <t>AQUECIMENTO/PISO RADIANTE</t>
  </si>
  <si>
    <t>16.10</t>
  </si>
  <si>
    <t>Tubagem de distribuição de água aquecida entre caixas de coletores de piso radiante e central térmica em material multicamada, devidamente isolada, incluindo todos os acessórios necessários de acordo com as especificações das peças desenhadas e especificações do fabricante.</t>
  </si>
  <si>
    <t>Como você terá madeira em todos os lugares, propomos instalar piso radiante apenas nos banheiros e quartos. E cozinha, salas de estar e porões sem piso radiante, e então o preço de 68000 custará, com base em nossa experiência, cerca de 25000.
Ou um sistema elétrico sob o azulejo custará até 25000 euros</t>
  </si>
  <si>
    <t>16.10.1</t>
  </si>
  <si>
    <t>16.10.2</t>
  </si>
  <si>
    <t>16.10.3</t>
  </si>
  <si>
    <t>16.10.4</t>
  </si>
  <si>
    <t>16.11</t>
  </si>
  <si>
    <t>Sistema de piso radiante, incluindo todos os acessórios necessários de acordo com as especificações das peças desenhadas e especificações do fabricante. Tubagem para piso radiante em polietileno reticulado com barreira anti-oxidante dos seguintes diâmetros:</t>
  </si>
  <si>
    <t>16.11.1</t>
  </si>
  <si>
    <t>16.11.2</t>
  </si>
  <si>
    <t>Placas de piso radiante esp. 4cm</t>
  </si>
  <si>
    <t>16.11.3</t>
  </si>
  <si>
    <t>Fita de isolamento perimetral</t>
  </si>
  <si>
    <t>16.11.4</t>
  </si>
  <si>
    <t>Aditivo para betão (10l)</t>
  </si>
  <si>
    <t>16.11.5</t>
  </si>
  <si>
    <t>Clips de fixação de tubo</t>
  </si>
  <si>
    <t>16.11.6</t>
  </si>
  <si>
    <t>Anti-calcário</t>
  </si>
  <si>
    <t>16.11.7</t>
  </si>
  <si>
    <t>Coletor 5 saídas pré-montado com medição de caudal</t>
  </si>
  <si>
    <t>16.11.8</t>
  </si>
  <si>
    <t>Coletor 6 saídas pré-montado com medição de caudal</t>
  </si>
  <si>
    <t>16.11.9</t>
  </si>
  <si>
    <t>Coletor 7 saídas pré-montado com medição de caudal</t>
  </si>
  <si>
    <t>16.11.10</t>
  </si>
  <si>
    <t>Caixa para coletor 800x450x110mm</t>
  </si>
  <si>
    <t>16.11.11</t>
  </si>
  <si>
    <t>Caixa para coletor 1000x450x110mm</t>
  </si>
  <si>
    <t>16.11.12</t>
  </si>
  <si>
    <t>Válvula de esfera MF/FF 1"x1"</t>
  </si>
  <si>
    <t>16.11.13</t>
  </si>
  <si>
    <t>Adaptador para PEX/AL 18x(17x2)</t>
  </si>
  <si>
    <t>16.11.14</t>
  </si>
  <si>
    <t>Módulo de regulação central</t>
  </si>
  <si>
    <t>16.11.15</t>
  </si>
  <si>
    <t>Sonda de impulsão tipo passivo</t>
  </si>
  <si>
    <t>16.11.16</t>
  </si>
  <si>
    <t>Sonda exterior com sensor</t>
  </si>
  <si>
    <t>16.11.17</t>
  </si>
  <si>
    <t>Termostato ambiente (contabilizado nos sistemas integrados)</t>
  </si>
  <si>
    <t>16.11.18</t>
  </si>
  <si>
    <t>Cabeça elétrica para coletor cabo 1m 230V</t>
  </si>
  <si>
    <t>16.11.19</t>
  </si>
  <si>
    <t>Grupo de distribuição com válvula de 3 vias</t>
  </si>
  <si>
    <t>16.11.20</t>
  </si>
  <si>
    <t>Suporte para grupo de distribuição</t>
  </si>
  <si>
    <t>16.11.21</t>
  </si>
  <si>
    <t>Motor para válvula de 3 vias (24V)</t>
  </si>
  <si>
    <t>16.11.22</t>
  </si>
  <si>
    <t>Régua de ligação</t>
  </si>
  <si>
    <t>16.11.23</t>
  </si>
  <si>
    <t>Transformador 220V/24V</t>
  </si>
  <si>
    <t>16.11.24</t>
  </si>
  <si>
    <t>Acessórios hidráulicos diversos</t>
  </si>
  <si>
    <t>16.12</t>
  </si>
  <si>
    <t>Sistema de energia solar e central térmica de funcionamento e segurança</t>
  </si>
  <si>
    <t>16.12.1</t>
  </si>
  <si>
    <t>Coletores solares térmicos</t>
  </si>
  <si>
    <t>16.12.2</t>
  </si>
  <si>
    <t>Estrutura em alumínio</t>
  </si>
  <si>
    <t>16.12.3</t>
  </si>
  <si>
    <t>Depósito de acumulação 800 litros com estratificador, incluindo isolamento, controlo diferencial e estação solar, módulos de ligação, permutador esférico, manómetros, termómetros e todos os acessórios necessários</t>
  </si>
  <si>
    <t>16.12.4</t>
  </si>
  <si>
    <t>Depósito de inércia 200 litros, incluindo isolamento, manómetros, termómetros e todos os acessórios necessários</t>
  </si>
  <si>
    <t>16.12.5</t>
  </si>
  <si>
    <t>Módulo de regulação central, incluindo módulo de controlo e todos os acessórios necessários</t>
  </si>
  <si>
    <t>16.12.6</t>
  </si>
  <si>
    <t>Líquido solar (litro) mistura 20% até -8°</t>
  </si>
  <si>
    <t>16.12.7</t>
  </si>
  <si>
    <t>Vaso de expansão (solar) - VE1-50l</t>
  </si>
  <si>
    <t>16.12.8</t>
  </si>
  <si>
    <t>Vaso de expansão (apoio) - VE2-25l</t>
  </si>
  <si>
    <t>16.12.9</t>
  </si>
  <si>
    <t>Vaso de expansão (água piscina) - VE3-25l Tubagem de cobre com acessórios, isolamento térmico para toda a instalação e térmico e mecânico para zonas instaladas à vista</t>
  </si>
  <si>
    <t>16.12.10</t>
  </si>
  <si>
    <t>16.12.11</t>
  </si>
  <si>
    <t>Grupo de enchimento</t>
  </si>
  <si>
    <t>16.12.12</t>
  </si>
  <si>
    <t>Bomba de circulação solar - BCS</t>
  </si>
  <si>
    <t>16.12.13</t>
  </si>
  <si>
    <t>Bomba de circulação AQS para retorno - BCR</t>
  </si>
  <si>
    <t>16.12.14</t>
  </si>
  <si>
    <t>Bomba de circulação piso radiante -BCP 1</t>
  </si>
  <si>
    <t>16.12.15</t>
  </si>
  <si>
    <t>Bomba de circulação piso radiante -BCP 2</t>
  </si>
  <si>
    <t>16.12.16</t>
  </si>
  <si>
    <t>Bomba de circulação piscina -BCPisc</t>
  </si>
  <si>
    <t>16.12.17</t>
  </si>
  <si>
    <t>Permutador de placas titânio 40kW</t>
  </si>
  <si>
    <t>16.12.18</t>
  </si>
  <si>
    <t>Válvula misturadora termostática</t>
  </si>
  <si>
    <t>16.12.19</t>
  </si>
  <si>
    <t>Válvula de 3 vias</t>
  </si>
  <si>
    <t>16.12.20</t>
  </si>
  <si>
    <t>16.13</t>
  </si>
  <si>
    <t>Bomba de calor para aquecimento de piscina exterior, incluindo montagem e todos os acessórios necessários, bem como módulo hidráulico, controladores, acessórios hidráulicos, apoios anti-vibratórios de acordo com as especificações das peças desenhadas e especificações do fabricante.</t>
  </si>
  <si>
    <t>16.13.1</t>
  </si>
  <si>
    <t>VENTILAÇÃO</t>
  </si>
  <si>
    <t>16.14</t>
  </si>
  <si>
    <t>Condutas circulares para circuito de insuflação e retorno em chapa metálica com isolamento térmico, incluindo registos, ligações flexíveis, portas de visita, suporte e todos os acessórios necessários</t>
  </si>
  <si>
    <t>16.14.1</t>
  </si>
  <si>
    <t>16.14.2</t>
  </si>
  <si>
    <t>16.15</t>
  </si>
  <si>
    <t>Condutas em PVC para ventilação, para circuito de ar novo e extração, em PVC semi-rígido, incluindo registos, ligações flexíveis, portas de visita, suporte e todos os acessórios necessários</t>
  </si>
  <si>
    <t>16.15.1</t>
  </si>
  <si>
    <t>16.16</t>
  </si>
  <si>
    <t>Condutas circulares para circuito de extração em chapa metálica sem isolamento térmico, incluindo registos, ligações flexíveis, portas de visita, suporte e todos os acessórios necessários</t>
  </si>
  <si>
    <t>16.16.1</t>
  </si>
  <si>
    <t>16.16.2</t>
  </si>
  <si>
    <t>16.17</t>
  </si>
  <si>
    <t>Condutas retangulares em alumínio pré-isolado "PIR-ALU", incluindo suporte e todos os acessórios necessários para perfeito funcionamento, bem como acessórios de inspeção, suporte e fixação de acordo com as especificações das peças escritas e especificações do fabricante.</t>
  </si>
  <si>
    <t>16.18</t>
  </si>
  <si>
    <t>Unidades de ventilação com recuperação de calor, incluindo fornecimento, montagem e instalação de todos os acessórios necessários ao perfeito funcionamento, bem como acessórios de suporte e fixação de acordo com as especificações das peças escritas e especificações do fabricante.</t>
  </si>
  <si>
    <t>16.18.1</t>
  </si>
  <si>
    <t>16.19</t>
  </si>
  <si>
    <t>Ventiladores de conduta, incluindo fornecimento, montagem e instalação de todos os acessórios necessários ao perfeito funcionamento, bem como acessórios de suporte e fixação e todos os acessórios necessários para instalação exterior, de acordo com as especificações das peças escritas e especificações do fabricante. (CONSIDERA-SE FRANCE AIR)</t>
  </si>
  <si>
    <t>16.19.1</t>
  </si>
  <si>
    <t>16.20</t>
  </si>
  <si>
    <t>Registos de caudal constante em todos os ramais necessários para equilibragem de caudal, aos quais não é possível aceder através de alçapão, incluindo todos os acessórios necessários ao perfeito funcionamento, de acordo com as especificações das peças escritas e especificações do fabricante.</t>
  </si>
  <si>
    <t>16.21</t>
  </si>
  <si>
    <t>Válvula de extração, incluindo fornecimento, montagem e instalação de todos os acessórios necessários ao perfeito funcionamento.</t>
  </si>
  <si>
    <t>16.21.1</t>
  </si>
  <si>
    <t>16.22</t>
  </si>
  <si>
    <t>Difusores lineares e grelhas de insuflação e retorno em alumínio, incluindo fornecimento, montagem e instalação de plenum e registo, bem como todos os acessórios necessários ao perfeito funcionamento, bem como acessórios de fixação de acordo com as especificações das peças escritas e especificações do fabricante. (CONSIDERA-SE FRANCE AIR)</t>
  </si>
  <si>
    <t>16.22.1</t>
  </si>
  <si>
    <t>16.22.2</t>
  </si>
  <si>
    <t>16.22.3</t>
  </si>
  <si>
    <t>16.22.4</t>
  </si>
  <si>
    <t>16.22.5</t>
  </si>
  <si>
    <t>16.22.6</t>
  </si>
  <si>
    <t>16.22.7</t>
  </si>
  <si>
    <t>16.22.8</t>
  </si>
  <si>
    <t>16.22.9</t>
  </si>
  <si>
    <t>16.22.10</t>
  </si>
  <si>
    <t>16.22.11</t>
  </si>
  <si>
    <t>GAR 45m3/h</t>
  </si>
  <si>
    <t>DIVERSOS</t>
  </si>
  <si>
    <t>16.23</t>
  </si>
  <si>
    <t>Instalações elétricas, incluindo respetiva cablagem de comando de acordo com as especificações técnicas.</t>
  </si>
  <si>
    <t>Está incluído no nosso trabalho</t>
  </si>
  <si>
    <t>16.24</t>
  </si>
  <si>
    <t>Trabalhos complementares diversos de construção civil, incluindo abertura e tapamento de valas e roços, construção de maciços, aberturas e pintura</t>
  </si>
  <si>
    <t>16.25</t>
  </si>
  <si>
    <t>Manuais de operação e manutenção</t>
  </si>
  <si>
    <t>16.26</t>
  </si>
  <si>
    <t>Desenhos de execução: cópias e versão digital</t>
  </si>
  <si>
    <t>16.27</t>
  </si>
  <si>
    <t>Arranque e ensaios de todos os equipamentos e redes nos aspetos técnicos relacionados com o seu funcionamento; Elétricos - Mecânicos - Térmicos - Acústicos - Pressão</t>
  </si>
  <si>
    <t>REDE ELÉTRICA</t>
  </si>
  <si>
    <t>INFRAESTRUTURA ELÉTRICA</t>
  </si>
  <si>
    <t>17.1</t>
  </si>
  <si>
    <t>Fornecimento e montagem de entrada de energia e alimentação de instalações exteriores conforme projeto de eletrotecnia:</t>
  </si>
  <si>
    <t>17.2</t>
  </si>
  <si>
    <t>Portinhola, executada conforme desenhos de pormenor anexos, incluindo P100 com fusíveis conforme DMA EDP, classe de isolamento II.</t>
  </si>
  <si>
    <t>17.3</t>
  </si>
  <si>
    <t>Caixa de telecontagem direta, classe II e isolamento, conforme pormenores escritos e gráficos e projeto de eletrotecnia, conforme DMA EDP</t>
  </si>
  <si>
    <t>Quadros elétricos, incluindo todo o aparelhamento e equipamento indicado nos esquemas, armários, construção, eletrificação, etc.</t>
  </si>
  <si>
    <t>17.4.1</t>
  </si>
  <si>
    <t>Q.G.E. - Quadro Geral de Entrada</t>
  </si>
  <si>
    <t>17.4.2</t>
  </si>
  <si>
    <t>QP1- Quadro Parcial piso 1</t>
  </si>
  <si>
    <t>17.4.3</t>
  </si>
  <si>
    <t>QP-1- Quadro Parcial piso -1</t>
  </si>
  <si>
    <t>17.4.4</t>
  </si>
  <si>
    <t>QPZT - Quadro Parcial zona técnica</t>
  </si>
  <si>
    <t>17.4.5</t>
  </si>
  <si>
    <t>QPAT 1 - Quadro Parcial área técnica 1</t>
  </si>
  <si>
    <t>17.4.6</t>
  </si>
  <si>
    <t>QPAT 2 - Quadro Parcial área técnica 2</t>
  </si>
  <si>
    <t>17.4.7</t>
  </si>
  <si>
    <t>QP Piscina (excluído)</t>
  </si>
  <si>
    <t>17.4.8</t>
  </si>
  <si>
    <t>QP AVAC (excluído)</t>
  </si>
  <si>
    <t>17.4.9</t>
  </si>
  <si>
    <t>QP Bombas (excluído)</t>
  </si>
  <si>
    <t>17.4.10</t>
  </si>
  <si>
    <t>QP Jardim (excluído)</t>
  </si>
  <si>
    <t>ALIMENTAÇÃO DE QUADROS ELÉTRICOS</t>
  </si>
  <si>
    <t>Condutores Fornecimento e montagem:</t>
  </si>
  <si>
    <t>17.5.1</t>
  </si>
  <si>
    <t>P100 - Caixa de transição</t>
  </si>
  <si>
    <t>17.5.2</t>
  </si>
  <si>
    <t>17.5.3</t>
  </si>
  <si>
    <t>QGE - Placa 1</t>
  </si>
  <si>
    <t>17.5.4</t>
  </si>
  <si>
    <t>17.5.5</t>
  </si>
  <si>
    <t>17.5.6</t>
  </si>
  <si>
    <t>17.5.7</t>
  </si>
  <si>
    <t>17.5.8</t>
  </si>
  <si>
    <t>QP-1 - Sauna</t>
  </si>
  <si>
    <t>17.5.9</t>
  </si>
  <si>
    <t>QP-1-Carro elétrico 1</t>
  </si>
  <si>
    <t>17.5.10</t>
  </si>
  <si>
    <t>QP-1-Carro elétrico 2</t>
  </si>
  <si>
    <t>17.5.11</t>
  </si>
  <si>
    <t>QPZT- Q.AVAC(excluído)</t>
  </si>
  <si>
    <t>17.5.12</t>
  </si>
  <si>
    <t>QPZT - Q.AQS(excluído)</t>
  </si>
  <si>
    <t>17.5.13</t>
  </si>
  <si>
    <t>QPZT - Q.Rega(excluído)</t>
  </si>
  <si>
    <t>17.5.14</t>
  </si>
  <si>
    <t>QPAT1 - Q.Piscina(excluído)</t>
  </si>
  <si>
    <t>17.5.15</t>
  </si>
  <si>
    <t>Q.Piscina(excluído) - BC Piscina</t>
  </si>
  <si>
    <t>17.5.16</t>
  </si>
  <si>
    <t>QPZT - Q.Bombas(excluído)</t>
  </si>
  <si>
    <t>17.5.17</t>
  </si>
  <si>
    <t>Q.AVAC - BC02.16(excluído)</t>
  </si>
  <si>
    <t>17.5.18</t>
  </si>
  <si>
    <t>Q.AVAC -UE.01.12(excluído)</t>
  </si>
  <si>
    <t>17.5.19</t>
  </si>
  <si>
    <t>Q.AVAC -Módulo hidráulico (excluído)</t>
  </si>
  <si>
    <t>17.5.20</t>
  </si>
  <si>
    <t>Q.AVAC -Reserva apoio AQS (excluído)</t>
  </si>
  <si>
    <t>17.6</t>
  </si>
  <si>
    <t>Tubagens</t>
  </si>
  <si>
    <t>17.6.1</t>
  </si>
  <si>
    <t>Fornecimento e montagem: Corrugado Ø125 embebido/enterrado</t>
  </si>
  <si>
    <t>17.6.2</t>
  </si>
  <si>
    <t>Corrugado Ø63 embebido/enterrado</t>
  </si>
  <si>
    <t>17.6.3</t>
  </si>
  <si>
    <t>Corrugado Ø50 embebido/enterrado</t>
  </si>
  <si>
    <t>17.6.4</t>
  </si>
  <si>
    <t>Corrugado Ø40 embebido/enterrado</t>
  </si>
  <si>
    <t>17.6.5</t>
  </si>
  <si>
    <t>Corrugado Ø32 embebido/enterrado</t>
  </si>
  <si>
    <t>17.6.6</t>
  </si>
  <si>
    <t>Corrugado Ø20 embebido/enterrado</t>
  </si>
  <si>
    <t>17.6.7</t>
  </si>
  <si>
    <t>Tubo VD Ø32</t>
  </si>
  <si>
    <t>17.7.1</t>
  </si>
  <si>
    <t>Fornecimento e montagem: Caixas de visita 0,6x0,6x0,6</t>
  </si>
  <si>
    <t>Rede de terras</t>
  </si>
  <si>
    <t>Fornecimento e montagem:</t>
  </si>
  <si>
    <t>17.8.1</t>
  </si>
  <si>
    <t>Ligador amovível</t>
  </si>
  <si>
    <t>17.8.2</t>
  </si>
  <si>
    <t>Cobre nu 25mm²</t>
  </si>
  <si>
    <t>17.8.3</t>
  </si>
  <si>
    <t>Elétrodo de terra em aço cobreado 250 microns 2m x14.6mm</t>
  </si>
  <si>
    <t>17.8.4</t>
  </si>
  <si>
    <t>Tubo ERFE Ø25</t>
  </si>
  <si>
    <t>17.8.5</t>
  </si>
  <si>
    <t>HO7V-R 1G25mm²</t>
  </si>
  <si>
    <t>17.8.6</t>
  </si>
  <si>
    <t>H07V - U1G2,5mm² em tubo</t>
  </si>
  <si>
    <t>17.8.7</t>
  </si>
  <si>
    <t>ALIMENTAÇÕES ESPECIAIS. Condutores. Fornecimento e montagem:</t>
  </si>
  <si>
    <t>17.9.1</t>
  </si>
  <si>
    <t>H05VV-F 3G1.5mm² em tubo</t>
  </si>
  <si>
    <t>17.9.2</t>
  </si>
  <si>
    <t>Olflex 8G1 mm² em tubo</t>
  </si>
  <si>
    <t>17.9.3</t>
  </si>
  <si>
    <t>ERFE Ø20 embebido</t>
  </si>
  <si>
    <t>17.9.4</t>
  </si>
  <si>
    <t>ERFE Ø32 embebido</t>
  </si>
  <si>
    <t>17.9.5</t>
  </si>
  <si>
    <t>Caixa de aparelhagem saliente</t>
  </si>
  <si>
    <t>TOMADAS E EQUIPAMENTOS</t>
  </si>
  <si>
    <t>17.10</t>
  </si>
  <si>
    <t>Condutores. Fornecimento e montagem:</t>
  </si>
  <si>
    <t>17.10.1</t>
  </si>
  <si>
    <t>H05VV-F 3G2.5mm² em tubo</t>
  </si>
  <si>
    <t>17.10.2</t>
  </si>
  <si>
    <t>H07V-U - U3G2.5mm² em tubo</t>
  </si>
  <si>
    <t>17.10.3</t>
  </si>
  <si>
    <t>XV-R3G2.5mm²</t>
  </si>
  <si>
    <t>17.10.4</t>
  </si>
  <si>
    <t>XV-R3G4mm²</t>
  </si>
  <si>
    <t>Tubagens. Fornecimento e montagem:</t>
  </si>
  <si>
    <t>17.11.1</t>
  </si>
  <si>
    <t>17.11.2</t>
  </si>
  <si>
    <t>Caixas. Fornecimento e montagem:</t>
  </si>
  <si>
    <t>17.12.1</t>
  </si>
  <si>
    <t>Caixa de aparelhagem funda</t>
  </si>
  <si>
    <t>Aparelhagem completa e equipamentos e todos os acessórios. Fornecimento e montagem:</t>
  </si>
  <si>
    <t>17.13.1</t>
  </si>
  <si>
    <t>Tomada simples, Efapel logus 90 BB ou equivalente (cor e acabamento compatíveis com o projeto de arquitetura)</t>
  </si>
  <si>
    <t>17.13.2</t>
  </si>
  <si>
    <t>Tomada dupla, Efapel logus 90 BB ou equivalente (cor e acabamento compatíveis com o projeto de arquitetura)</t>
  </si>
  <si>
    <t>17.13.3</t>
  </si>
  <si>
    <t>Tomada 2P + T embebida com obturadores, com saída 1 x USB tipo A e 1 x USB tipo, Efapel logus 90 BB ou equivalente (cor e acabamento compatíveis com o projeto de arquitetura)</t>
  </si>
  <si>
    <t>17.13.4</t>
  </si>
  <si>
    <t>Tomada 2P + T simples estanque com tampa e obturadores IP44, Efapel logus 90 BB ou equivalente (cor e acabamento compatíveis com o projeto de arquitetura)</t>
  </si>
  <si>
    <t>17.13.5</t>
  </si>
  <si>
    <t>Tomada 2P + T dupla estanque com tampa e obturadores IP44, Efapel logus 90 BB ou equivalente (cor e acabamento compatíveis com o projeto de arquitetura)</t>
  </si>
  <si>
    <t>17.13.6</t>
  </si>
  <si>
    <t>Tomadas para carros elétricos tipo WallBox - Black com sistema DLM (Dynamic Load Management) da V2C ou equivalente</t>
  </si>
  <si>
    <t>17.13.7</t>
  </si>
  <si>
    <t>Caixa de pavimento com 2 tomadas Schuko com alvéolos protegidos, UDHOME 2 da OBO BETTERMAN ou equivalente (cor e acabamento compatíveis com o projeto de arquitetura)</t>
  </si>
  <si>
    <t>17.13.8</t>
  </si>
  <si>
    <t>Caixa de pavimento com 1 tomada Schuko com alvéolos protegidos para aplicação exterior, IP66, marca Simon ou equivalente (cor e acabamento compatíveis com o projeto de arquitetura)</t>
  </si>
  <si>
    <t>17.13.9</t>
  </si>
  <si>
    <t>Tomada dupla 2P + T embebida com obturadores, estanque, IP55, LEGRAND PLEXO ou equivalente (cor e acabamento compatíveis com o projeto de arquitetura)</t>
  </si>
  <si>
    <t>Estores e blackouts</t>
  </si>
  <si>
    <t>17.14.1</t>
  </si>
  <si>
    <t>- H05VV-F 4x1,5mm² em tubo</t>
  </si>
  <si>
    <t>17.15.1</t>
  </si>
  <si>
    <t>- ERFE Ø20 embebido</t>
  </si>
  <si>
    <t>17.16.1</t>
  </si>
  <si>
    <t>Caixa de derivação embebida</t>
  </si>
  <si>
    <t>ILUMINAÇÃO</t>
  </si>
  <si>
    <t>17.17.1</t>
  </si>
  <si>
    <t>- H05VV-F 2x1,5mm² em tubo</t>
  </si>
  <si>
    <t>17.17.2</t>
  </si>
  <si>
    <t>- H05VV-F 3G1,5mm² em tubo</t>
  </si>
  <si>
    <t>17.17.3</t>
  </si>
  <si>
    <t>- XAV 3G1.5 em tubo para iluminação exterior</t>
  </si>
  <si>
    <t>17.18.1</t>
  </si>
  <si>
    <t>- Tubo cinzento Ø20 embebido</t>
  </si>
  <si>
    <t>17.19.1</t>
  </si>
  <si>
    <t>- Caixa de derivação saliente</t>
  </si>
  <si>
    <t>17.19.2</t>
  </si>
  <si>
    <t>- Caixa de derivação com gel</t>
  </si>
  <si>
    <t>17.19.3</t>
  </si>
  <si>
    <t>- Caixa de aparelhagem saliente</t>
  </si>
  <si>
    <t>17.19.4</t>
  </si>
  <si>
    <t>- Caixa de derivação Gewiss (ou equivalente) ou C1</t>
  </si>
  <si>
    <t>17.20</t>
  </si>
  <si>
    <t>Aparelhagem. Fornecimento e montagem de iluminação</t>
  </si>
  <si>
    <t>Nota: Nomenclatura das luminárias de acordo com o estudo de iluminação fornecido</t>
  </si>
  <si>
    <t>17.20.1</t>
  </si>
  <si>
    <t>Cave</t>
  </si>
  <si>
    <t>17.20.1.1</t>
  </si>
  <si>
    <t>-Luminária estanque</t>
  </si>
  <si>
    <t>17.20.1.2</t>
  </si>
  <si>
    <t>-Tipo LIS 30</t>
  </si>
  <si>
    <t>17.20.1.3</t>
  </si>
  <si>
    <t>-Tipo ALA 12</t>
  </si>
  <si>
    <t>17.20.1.4</t>
  </si>
  <si>
    <t>-Tipo CAN10</t>
  </si>
  <si>
    <t>17.20.1.5</t>
  </si>
  <si>
    <t>-Tipo VIE 2</t>
  </si>
  <si>
    <t>17.20.1.6</t>
  </si>
  <si>
    <t>-Tipo FRA 10</t>
  </si>
  <si>
    <t>17.20.1.7</t>
  </si>
  <si>
    <t>-Tipo BUL</t>
  </si>
  <si>
    <t>17.20.1.8</t>
  </si>
  <si>
    <t>-Tipo ponto de luz</t>
  </si>
  <si>
    <t>17.20.1.9</t>
  </si>
  <si>
    <t>-Tipo ICE 80 com interruptor</t>
  </si>
  <si>
    <t>17.20.1.10</t>
  </si>
  <si>
    <t>-Fita LED tipo 04 - 22m</t>
  </si>
  <si>
    <t>17.20.1.11</t>
  </si>
  <si>
    <t>-Fita LED tipo 04 - 16.5m</t>
  </si>
  <si>
    <t>17.20.1.12</t>
  </si>
  <si>
    <t>Tipo LED 05 - 5m</t>
  </si>
  <si>
    <t>17.20.1.13</t>
  </si>
  <si>
    <t>Detector de movimento</t>
  </si>
  <si>
    <t>17.20.1.14</t>
  </si>
  <si>
    <t>Interruptores simples, IP55</t>
  </si>
  <si>
    <t>17.20.1.15</t>
  </si>
  <si>
    <t>Ponto de alimentação de roupeiros</t>
  </si>
  <si>
    <t>17.20.2</t>
  </si>
  <si>
    <t>Piso 0</t>
  </si>
  <si>
    <t>17.20.2.1</t>
  </si>
  <si>
    <t>17.20.2.2</t>
  </si>
  <si>
    <t>17.20.2.3</t>
  </si>
  <si>
    <t>-Tipo PIS</t>
  </si>
  <si>
    <t>17.20.2.4</t>
  </si>
  <si>
    <t>17.20.2.5</t>
  </si>
  <si>
    <t>-Tipo BEL</t>
  </si>
  <si>
    <t>17.20.2.6</t>
  </si>
  <si>
    <t>-Tipo ALA 6</t>
  </si>
  <si>
    <t>17.20.2.7</t>
  </si>
  <si>
    <t>17.20.2.8</t>
  </si>
  <si>
    <t>-Tipo CAN 10</t>
  </si>
  <si>
    <t>17.20.2.9</t>
  </si>
  <si>
    <t>-Tipo MOR 2</t>
  </si>
  <si>
    <t>17.20.2.10</t>
  </si>
  <si>
    <t>Tipo LED 01 - 2.3 m</t>
  </si>
  <si>
    <t>17.20.2.11</t>
  </si>
  <si>
    <t>Tipo LED 01 - 11.7 m</t>
  </si>
  <si>
    <t>17.20.2.12</t>
  </si>
  <si>
    <t>Tipo LED 01 - 1.4 m</t>
  </si>
  <si>
    <t>17.20.2.13</t>
  </si>
  <si>
    <t>Tipo LED 01 - 3.3 m</t>
  </si>
  <si>
    <t>17.20.2.14</t>
  </si>
  <si>
    <t>Tipo LED 01 - 2.4 m</t>
  </si>
  <si>
    <t>17.20.2.15</t>
  </si>
  <si>
    <t>Tipo LED 01 - 6.9 m</t>
  </si>
  <si>
    <t>17.20.2.16</t>
  </si>
  <si>
    <t>Tipo LED 03</t>
  </si>
  <si>
    <t>17.20.2.17</t>
  </si>
  <si>
    <t>Tipo LED 04 - 15.6 m</t>
  </si>
  <si>
    <t>17.20.2.18</t>
  </si>
  <si>
    <t>Tipo LED 05 - 4.6m</t>
  </si>
  <si>
    <t>17.20.2.19</t>
  </si>
  <si>
    <t>17.20.2.20</t>
  </si>
  <si>
    <t>Tipo LED 06 - 6.7m</t>
  </si>
  <si>
    <t>17.20.2.21</t>
  </si>
  <si>
    <t>Tipo LED 06 - 5.4m</t>
  </si>
  <si>
    <t>17.20.2.22</t>
  </si>
  <si>
    <t>Tipo LED 06 - 5.3m</t>
  </si>
  <si>
    <t>17.20.2.23</t>
  </si>
  <si>
    <t>Tipo LED 06 - 4.4m</t>
  </si>
  <si>
    <t>17.20.2.24</t>
  </si>
  <si>
    <t>Tipo LED 06 - 4.1m</t>
  </si>
  <si>
    <t>17.20.2.25</t>
  </si>
  <si>
    <t>Tipo LED 06 - 3.5m</t>
  </si>
  <si>
    <t>17.20.2.26</t>
  </si>
  <si>
    <t>Tipo LED 06 - 2.8m</t>
  </si>
  <si>
    <t>17.20.2.27</t>
  </si>
  <si>
    <t>Tipo LED 06 - 2.4m</t>
  </si>
  <si>
    <t>17.20.2.28</t>
  </si>
  <si>
    <t>Tipo LED 06 - 1.7m</t>
  </si>
  <si>
    <t>17.20.2.29</t>
  </si>
  <si>
    <t>Tipo LED 06 - 3.4m</t>
  </si>
  <si>
    <t>17.20.2.30</t>
  </si>
  <si>
    <t>Tipo LED 06 - 2.6m</t>
  </si>
  <si>
    <t>17.20.2.31</t>
  </si>
  <si>
    <t>Tipo LED 06 - 2.0m</t>
  </si>
  <si>
    <t>17.20.2.32</t>
  </si>
  <si>
    <t>17.20.2.33</t>
  </si>
  <si>
    <t>Tomada comandada</t>
  </si>
  <si>
    <t>17.20.2.34</t>
  </si>
  <si>
    <t>17.20.2.35</t>
  </si>
  <si>
    <t>17.20.2.36</t>
  </si>
  <si>
    <t>17.20.3</t>
  </si>
  <si>
    <t>Piso 1</t>
  </si>
  <si>
    <t>17.20.3.1</t>
  </si>
  <si>
    <t>-Tipo de luz VIE 2</t>
  </si>
  <si>
    <t>17.20.3.2</t>
  </si>
  <si>
    <t>17.20.3.3</t>
  </si>
  <si>
    <t>17.20.3.4</t>
  </si>
  <si>
    <t>17.20.3.5</t>
  </si>
  <si>
    <t>-Tipo ART10</t>
  </si>
  <si>
    <t>17.20.3.6</t>
  </si>
  <si>
    <t>17.20.3.7</t>
  </si>
  <si>
    <t>17.20.3.8</t>
  </si>
  <si>
    <t>17.20.3.9</t>
  </si>
  <si>
    <t>17.20.3.10</t>
  </si>
  <si>
    <t>Tipo LED 01 -5.8m</t>
  </si>
  <si>
    <t>17.20.3.11</t>
  </si>
  <si>
    <t>Tipo LED 01 -6.1m</t>
  </si>
  <si>
    <t>17.20.3.12</t>
  </si>
  <si>
    <t>Tipo LED 01 -4.8m</t>
  </si>
  <si>
    <t>17.20.3.13</t>
  </si>
  <si>
    <t>Tipo LED 01 -7.1m</t>
  </si>
  <si>
    <t>17.20.3.14</t>
  </si>
  <si>
    <t>Tipo LED 01 -4.5m</t>
  </si>
  <si>
    <t>17.20.3.15</t>
  </si>
  <si>
    <t>Tipo LED 01 -17.3m</t>
  </si>
  <si>
    <t>17.20.3.16</t>
  </si>
  <si>
    <t>Tipo LED 01 -2.1m</t>
  </si>
  <si>
    <t>17.20.3.17</t>
  </si>
  <si>
    <t>Tipo LED 01 -4.1m</t>
  </si>
  <si>
    <t>17.20.3.18</t>
  </si>
  <si>
    <t>Tipo LED 02</t>
  </si>
  <si>
    <t>17.20.3.19</t>
  </si>
  <si>
    <t>17.20.3.20</t>
  </si>
  <si>
    <t>Tipo LED 04 -1.8m</t>
  </si>
  <si>
    <t>17.20.3.21</t>
  </si>
  <si>
    <t>17.20.3.22</t>
  </si>
  <si>
    <t>-Tipo tomada comandada</t>
  </si>
  <si>
    <t>17.21</t>
  </si>
  <si>
    <t>- Montagem, incluindo todos os acessórios, drivers e trabalhos necessários para a correta instalação e funcionamento.</t>
  </si>
  <si>
    <t>Concordar se ele precisa de LEDs, economia de cerca de 35000 euros.</t>
  </si>
  <si>
    <t>17.22</t>
  </si>
  <si>
    <t>- Montagem, incluindo todos os acessórios e trabalhos necessários para a correta instalação e funcionamento da iluminação de jardim</t>
  </si>
  <si>
    <t>TRABALHOS FINAIS</t>
  </si>
  <si>
    <t>17.23</t>
  </si>
  <si>
    <t>17.24</t>
  </si>
  <si>
    <t>Fornecimento de manuais de operação e manutenção.</t>
  </si>
  <si>
    <t>SISTEMAS INTEGRADOS (CASA INTELIGENTE / AUTOMAÇÃO)</t>
  </si>
  <si>
    <t>17.25</t>
  </si>
  <si>
    <t>KNX, WIFI, AUDIOVISUAIS, CINEMA EM CASA, CONTROLE, ALARME DE SEGURANÇA E VIDEOVIGILÂNCIA</t>
  </si>
  <si>
    <t>Sistema de controle de iluminação e estores</t>
  </si>
  <si>
    <t>Nota: Fornecimento e montagem de domótica baseada no protocolo KNX conforme projeto com controle total dos sistemas de iluminação e estores</t>
  </si>
  <si>
    <t>Aparelhagem e sensores</t>
  </si>
  <si>
    <t>17.26.1</t>
  </si>
  <si>
    <t>Teclados ABB White ou LS990 F50 - marca Jung ou equivalente (cor e acabamento compatíveis com o projeto de arquitetura)</t>
  </si>
  <si>
    <t>17.26.2</t>
  </si>
  <si>
    <t>Sensores de presença Zennio -Detector Mini ou equivalentes (cor e acabamento compatíveis com o projeto de arquitetura)</t>
  </si>
  <si>
    <t>17.26.3</t>
  </si>
  <si>
    <t>Botão marca Legrand ou equivalente (cor e acabamento compatíveis com o projeto de arquitetura)</t>
  </si>
  <si>
    <t>Controladores AVAC</t>
  </si>
  <si>
    <t>17.27.1</t>
  </si>
  <si>
    <t>Display tátil com termostato de ambiente, marca iHome/INZennio Z35i</t>
  </si>
  <si>
    <t>17.27.2</t>
  </si>
  <si>
    <t>Termostato sem display - KNX Room Temperature Controller iHome/Zennio</t>
  </si>
  <si>
    <t>Infraestrutura. Condutores. Fornecimento e montagem:</t>
  </si>
  <si>
    <t>17.28.1</t>
  </si>
  <si>
    <t>Cabo BUS KNX 2x2x0.8</t>
  </si>
  <si>
    <t>17.29.1</t>
  </si>
  <si>
    <t>17.29.2</t>
  </si>
  <si>
    <t>ERFE Ø25 embebido</t>
  </si>
  <si>
    <t>17.30</t>
  </si>
  <si>
    <t>17.30.1</t>
  </si>
  <si>
    <t>- Caixa de aparelhagem funda</t>
  </si>
  <si>
    <t>17.30.2</t>
  </si>
  <si>
    <t>Rede Wi-Fi - Tecnologias de rede</t>
  </si>
  <si>
    <t>Nota: Fornecimento e montagem de equipamentos de redes Wi-Fi (networking) para garantir a distribuição de um sistema estável com alta largura de banda na rede interna via Wireless nas bandas de frequência 2.4 e 5 GHz, com gestão centralizada e acesso remoto, monitorização do estado da rede (clientes, largura de banda, tipo de tráfego,...). Estrutura física de rede em cabo de alta qualidade</t>
  </si>
  <si>
    <t>Rede Wi-Fi</t>
  </si>
  <si>
    <t>17.31.1</t>
  </si>
  <si>
    <t>Ponto de acesso interior para fixação em parede/teto, com alimentação POE Data Gigabit, tecnologia dualband 2.4 e 5GHz, Multi BSSID padrões 802.11a/b/g/n/ac, modo de poupança de energia, QOS - marca GrandStream modelo 7660 (ou equivalente (cor e acabamento compatíveis com o projeto de arquitetura)</t>
  </si>
  <si>
    <t>17.31.2</t>
  </si>
  <si>
    <t>Ponto de acesso exterior para fixação em parede, com alimentação POE Data Gigabit, tecnologia dualband 2.4 e 5GHz, Multi BSSID padrões 802.11a/b/g/n/ac, modo de poupança de energia, QOS - marca GrandStream modelo 7660 LR (ou equivalente (cor e acabamento compatíveis com o projeto de arquitetura)</t>
  </si>
  <si>
    <t>17.31.3</t>
  </si>
  <si>
    <t>Tomada de ligação de ponto de acesso</t>
  </si>
  <si>
    <t>17.31.4</t>
  </si>
  <si>
    <t>RACK - Zona técnica e suporte físico</t>
  </si>
  <si>
    <t>17.31.5</t>
  </si>
  <si>
    <t>PDU inteligente com 8 saídas 16A, ligações c13 e c19, 100-240VAC, PAKEDGE (ou equivalente</t>
  </si>
  <si>
    <t>17.31.6</t>
  </si>
  <si>
    <t>Switch de rede gigabit, POE, com plataforma de gestão, 24 portas POE e SFP para ligações de fibra ótica, integração simplificada no sistema de rede, protocolos de encaminhamento, portas traseiras e com ligação à plataforma de gestão remota OVRC, montagem em rack - ARA-310-SW-R-24-POE da ARAKNIS ou equivalente</t>
  </si>
  <si>
    <t>17.31.7</t>
  </si>
  <si>
    <t>UPS ONLINE 3KVA inteligente para servidores/equipamentos de rede, com medição de energia, modo económico, compensação de carga, eliminação de ruído e alta eficiência, sistema de gestão e monitorização inteligente. UPS RACK 2U ONLINE DUPLA CONVERSÃO ou equivalente</t>
  </si>
  <si>
    <t>17.31.8</t>
  </si>
  <si>
    <t>Router de rede com suporte para VLAN, servidor VPN, QOS, VoIP, sistema de relatórios e controle analítico, criação de grupos de dispositivos LAN e 2 WLAN, gestão de tráfego e ligação à plataforma de gestão remota OVRC, portas de rede 10/100/1000 RJ45 - ARA-310-RT-4L2W da ARAKNIS ou equivalente</t>
  </si>
  <si>
    <t>17.31.9</t>
  </si>
  <si>
    <t>Sistema de gestão e manutenção de rede via cloud OVRC</t>
  </si>
  <si>
    <t>17.31.10</t>
  </si>
  <si>
    <t>Cabo de rede Cat6 tecnologia HDBaseT preparado para grandes distâncias, convergência de sinais. Capacitância mútua &lt; 5.6nF/100m, resistência do condutor 7.32Ohm/100m a 20°C, condutores de cobre 23(1)AWG, impedância característica 100/+-15 Ohm /1-500MHz)</t>
  </si>
  <si>
    <t>17.31.11</t>
  </si>
  <si>
    <t>Painel de patch de conectores RJ45 24 portas - Cat6</t>
  </si>
  <si>
    <t>17.31.12</t>
  </si>
  <si>
    <t>Tubagem ERFE Ø25</t>
  </si>
  <si>
    <t>17.31.13</t>
  </si>
  <si>
    <t>Tubagem ERFE Ø40</t>
  </si>
  <si>
    <t>17.31.14</t>
  </si>
  <si>
    <t>Caixa tipo C1</t>
  </si>
  <si>
    <t>Sistema audiovisual</t>
  </si>
  <si>
    <t>Sistema de integração</t>
  </si>
  <si>
    <t>17.32.1</t>
  </si>
  <si>
    <t>Cabo de rede Cat6 exterior preparado para grandes distâncias, convergência de sinais. Capacitância mútua &lt; 5.6nF/100m, resistência do condutor 9.38Ohm/100m a 20°C, condutores de cobre 23(1)AWG, impedância característica 100/+-15 Ohm /1-500MHz)</t>
  </si>
  <si>
    <t>17.33.1</t>
  </si>
  <si>
    <t>Caixa de encastrar para videoporteiro</t>
  </si>
  <si>
    <t>17.33.2</t>
  </si>
  <si>
    <t>Caixa de encastrar para ecrã tátil de parede</t>
  </si>
  <si>
    <t>17.33.3</t>
  </si>
  <si>
    <t>17.34.1</t>
  </si>
  <si>
    <t>17.34.2</t>
  </si>
  <si>
    <t>Caixa tipo C0</t>
  </si>
  <si>
    <t>Equipamentos do sistema de integração</t>
  </si>
  <si>
    <t>17.35</t>
  </si>
  <si>
    <t>Controlador de entretenimento e automação/integração, 5 zonas de saída, alto desempenho de processamento, com servidor de tecnologia Zigbee e Zwave, personalizável, saída HDMI 1080p, Ethernet 10/100/1000 BaseT, 8 saídas IR, 1 captura IR, 4 interfaces série (2 comuns), streaming shairbridge, serviços de música, 4 contactos, 4 relés, interface eSata, wireless dual-band, 4 portas gigabit, processamento de áudio duplo, 5 streams simultâneos, integração com múltiplos sistemas. Marca iHome / Control4 ou equivalente (cor e acabamento compatíveis com o projeto de arquitetura)</t>
  </si>
  <si>
    <t>17.36</t>
  </si>
  <si>
    <t>Videoporteiro de montagem embutida, em níquel mate, com câmera HD e áudio de alta qualidade, teclado, sensor de movimento, capacidade de envio de chamada para aplicação e comunicação remota via chamada VoIP, relé de contacto NO/NC, saída ativa 8-12Vdc, IP54, infravermelho, teclado alfanumérico C7, modelo DS2 marca iHome / Control4 ou equivalente (cor e acabamento compatíveis com o projeto de arquitetura)</t>
  </si>
  <si>
    <t>17.37</t>
  </si>
  <si>
    <t>Interface de utilizador de parede, 10" branco para utilização e controle total dos sistemas., marca iHome / Control4</t>
  </si>
  <si>
    <t>17.38</t>
  </si>
  <si>
    <t>Interface com sistema de ar condicionado CoolMasterNet com porta KNX, para instalação em rack técnico, marca iHome / Control4</t>
  </si>
  <si>
    <t>Controle de acesso</t>
  </si>
  <si>
    <t>Sistema de alarme de segurança</t>
  </si>
  <si>
    <t>Nota: Fornecimento e montagem de equipamentos de segurança, sensores de movimento PIR com sistema PET até 25kg, tecnologia QLIT, infravermelhos, microondas para maior eficácia do sistema pela casa. Este sistema inclui central com sistema de alimentação secundária para funcionamento em caso de falha da alimentação principal. Integração do alarme com o sistema de controle principal via IP, permitindo controle remoto do alarme, bem como a partir de ecrãs táteis locais, smartphones.</t>
  </si>
  <si>
    <t>Equipamentos do sistema de alarme de segurança</t>
  </si>
  <si>
    <t>17.39.1</t>
  </si>
  <si>
    <t>Software de integração de alarme</t>
  </si>
  <si>
    <t>17.39.2</t>
  </si>
  <si>
    <t>Central de alarme, 8 zonas, expansível até 64 zonas com fio, 4 saídas PGM, expansíveis até 14, programação GUI, até 8 teclados, 8 partições, registo de memória até 500 eventos, 95 códigos de utilizador, suporte para teclados via rádio, marca iHome, DSC NEO</t>
  </si>
  <si>
    <t>17.39.3</t>
  </si>
  <si>
    <t>Cabo para sistema de alarme de 6 condutores tipo ACN6 ou equivalente</t>
  </si>
  <si>
    <t>17.39.4</t>
  </si>
  <si>
    <t>Teclado multilingue até 64 zonas com display LCD, mensagens de texto completas, estado das partições, teclas de emergência, retroiluminação ajustável, diagnóstico via bus. Marca iHome / DSC NEO</t>
  </si>
  <si>
    <t>17.39.5</t>
  </si>
  <si>
    <t>Módulo de integração do sistema de alarme</t>
  </si>
  <si>
    <t>17.39.6</t>
  </si>
  <si>
    <t>Sirene exterior</t>
  </si>
  <si>
    <t>17.39.7</t>
  </si>
  <si>
    <t>Sirene interior</t>
  </si>
  <si>
    <t>17.39.8</t>
  </si>
  <si>
    <t>Sensor de movimento PIR com imunidade a animais PET, tecnologia dupla, QLIT, processamento digital de sinal, contacto de alarme e tamper, compacto, baseado em sistema ASIC, com sensibilidade ajustável. Marca iHome / DSC</t>
  </si>
  <si>
    <t>17.39.9</t>
  </si>
  <si>
    <t>Contactos magnéticos</t>
  </si>
  <si>
    <t>17.39.10</t>
  </si>
  <si>
    <t>Sensor de fumo</t>
  </si>
  <si>
    <t>17.39.11</t>
  </si>
  <si>
    <t>Sensor de inundação</t>
  </si>
  <si>
    <t>17.39.12</t>
  </si>
  <si>
    <t>Fonte de alimentação para central de alarme com 4 saídas programáveis 1A@12VDC</t>
  </si>
  <si>
    <t>17.39.13</t>
  </si>
  <si>
    <t>Expansor de 8 zonas da central de alarme, proteção PTC</t>
  </si>
  <si>
    <t>17.39.14</t>
  </si>
  <si>
    <t>Bateria 7.2 Ampere; 12V 151x65x95</t>
  </si>
  <si>
    <t>17.39.15</t>
  </si>
  <si>
    <t>Tubo cinzento Ø20</t>
  </si>
  <si>
    <t>17.39.16</t>
  </si>
  <si>
    <t>Tubo ERFE Ø32</t>
  </si>
  <si>
    <t>17.39.17</t>
  </si>
  <si>
    <t>17.39.18</t>
  </si>
  <si>
    <t>Caixa tipo C2</t>
  </si>
  <si>
    <t>Sistema de videovigilância</t>
  </si>
  <si>
    <t>Nota: Fornecimento e montagem de equipamentos de videovigilância exterior, utilizando como camada física cabo de rede e protocolo IP ao nível de rede, ligação de todas as câmeras de videovigilância ao gravador de rede principal. Instalação do sistema em locais específicos e estratégicos conforme cobertura necessária e especificações dos equipamentos. Além disso, o sistema permite integração para visualização local e visualização remota a partir de qualquer local.</t>
  </si>
  <si>
    <t>17.40</t>
  </si>
  <si>
    <t>Equipamentos do sistema de videovigilância</t>
  </si>
  <si>
    <t>17.40.1</t>
  </si>
  <si>
    <t>Software de integração do sistema de videovigilância</t>
  </si>
  <si>
    <t>17.40.2</t>
  </si>
  <si>
    <t>Gravador de videovigilância IP 8 canais de gravação de câmeras Ultra HD (4K), vídeo Ultra High Definition, 4K ou 8 megapixels quatro vezes mais nítido que o tradicional 1080p. Juntamente com baixo consumo de energia, marca: iHome/Hikvision; modelo DS-7608NI-K2/8P</t>
  </si>
  <si>
    <t>17.40.3</t>
  </si>
  <si>
    <t>Disco rígido HDD 3.5" 6TB AV</t>
  </si>
  <si>
    <t>17.40.4</t>
  </si>
  <si>
    <t>Switch de rede gigabit, POE, com plataforma de gestão, 16 portas POE e SFP para ligações de fibra ótica, integração simplificada no sistema de rede, protocolos de encaminhamento, portas traseiras e com ligação à plataforma de gestão remota OVRC, montagem em rack ARAKNIS 210 ou equivalente</t>
  </si>
  <si>
    <t>17.40.5</t>
  </si>
  <si>
    <t>Cabo de rede Cat6 tecnologia HDBaseT, preparado para grandes distâncias, convergência de sinais. Capacitância mútua &lt; 5.6nF/100m, resistência do condutor 7.32Ohm/100m a 20°C, condutores de cobre 23(1)AWG, impedância característica 100/+-15 Ohm /1-500MHz)</t>
  </si>
  <si>
    <t>17.40.6</t>
  </si>
  <si>
    <t>Câmera bullet de rede 4MP com alimentação POE varifocal motorizada, DS-2CD2043G0-I</t>
  </si>
  <si>
    <t>17.40.7</t>
  </si>
  <si>
    <t>Poste metálico para fixação de câmera, h=2,5m</t>
  </si>
  <si>
    <t>17.40.8</t>
  </si>
  <si>
    <t>17.40.9</t>
  </si>
  <si>
    <t>Tubagem eRFE Ø25</t>
  </si>
  <si>
    <t>17.40.10</t>
  </si>
  <si>
    <t>Tubagem ERFE Ø32</t>
  </si>
  <si>
    <t>17.41</t>
  </si>
  <si>
    <t>17.42</t>
  </si>
  <si>
    <t>INSTALAÇÕES DE TELECOMUNICAÇÕES ITED</t>
  </si>
  <si>
    <t>ITED</t>
  </si>
  <si>
    <t>Nota: Fornecimento e execução de todos os trabalhos necessários à execução da rede ITED conforme indicações e especificações previstas nas peças escritas e desenhadas do projeto. Considera-se incluído nos preços unitários a abertura e tapamento de valas e roços e todos os fornecimentos de materiais e mão-de-obra necessários à execução da rede elétrica, de forma a garantir o seu correto funcionamento.</t>
  </si>
  <si>
    <t>18.1</t>
  </si>
  <si>
    <t>Fornecimento e montagem de tubagens</t>
  </si>
  <si>
    <t>18.1.1</t>
  </si>
  <si>
    <t>18.1.2</t>
  </si>
  <si>
    <t>18.1.3</t>
  </si>
  <si>
    <t>18.2</t>
  </si>
  <si>
    <t>Fornecimento e montagem de câmara de visita</t>
  </si>
  <si>
    <t>18.2.1</t>
  </si>
  <si>
    <t>18.2.2</t>
  </si>
  <si>
    <t>Caixas de visita 0,6x0,6x0,6</t>
  </si>
  <si>
    <t>Fornecimento e montagem de ATI</t>
  </si>
  <si>
    <t>18.3.1</t>
  </si>
  <si>
    <t>Rack 42U' 600x800 - ATI, equipado com RC-PC RC-CC e RC-FO ITED, kits equipados com RC PC cat. 6, 1 repartidor RC CC 2400 MHz e RC FO SC/APC. Os kits ATI são fornecidos com placa, barra de terra, régua de tomadas 6 tomadas 230V, separador, suportes laterais, porta, aro e RC</t>
  </si>
  <si>
    <t>Fornecimento e montagem de caixas</t>
  </si>
  <si>
    <t>18.4.1</t>
  </si>
  <si>
    <t>Caixa de aparelhagem tipo I1</t>
  </si>
  <si>
    <t>18.4.2</t>
  </si>
  <si>
    <t>Caixa de passagem tipo C1</t>
  </si>
  <si>
    <t>Fornecimento e montagem de tomadas</t>
  </si>
  <si>
    <t>18.5.1</t>
  </si>
  <si>
    <t>Tomada terminal 2,4MHz da Televes, acabamento branco marca Jung ou equivalente (cor e acabamento devem ser compatíveis com o projeto de arquitetura)</t>
  </si>
  <si>
    <t>18.5.2</t>
  </si>
  <si>
    <t>Tomada simples RJ45, acabamento branco marca Jung ou equivalente (cor e acabamento devem ser compatíveis com o projeto de arquitetura)</t>
  </si>
  <si>
    <t>18.5.3</t>
  </si>
  <si>
    <t>Tomada dupla de fibra ótica SC/APC acabamento branco marca Jung ou equivalente (cor e acabamento devem ser compatíveis com o projeto de arquitetura)</t>
  </si>
  <si>
    <t>Rede de cabos coaxiais</t>
  </si>
  <si>
    <t>18.6.1</t>
  </si>
  <si>
    <t>Antena Televes DAT 1495 da Televes ou equivalente</t>
  </si>
  <si>
    <t>18.6.2</t>
  </si>
  <si>
    <t>DST – Descarregador de sobretensões</t>
  </si>
  <si>
    <t>Fornecimento e montagem de cabos</t>
  </si>
  <si>
    <t>18.7.1</t>
  </si>
  <si>
    <t>Cabo coaxial Televes 2141 ou equivalente – Rede CATV</t>
  </si>
  <si>
    <t>18.7.2</t>
  </si>
  <si>
    <t>Cabo UTP Cat6</t>
  </si>
  <si>
    <t>18.7.3</t>
  </si>
  <si>
    <t>Fibra ótica tipo SC/APC DUPLEX</t>
  </si>
  <si>
    <t>18.8.1</t>
  </si>
  <si>
    <t>18.8.2</t>
  </si>
  <si>
    <t>18.9.1</t>
  </si>
  <si>
    <t>18.9.2</t>
  </si>
  <si>
    <t>PAVIMENTOS, REVESTIMENTOS E ELEMENTOS CONSTRUTIVOS</t>
  </si>
  <si>
    <t>PAISAGISMO E ARRANJOS EXTERIORES</t>
  </si>
  <si>
    <t>Todas as obras de construção civil devem ser coordenadas com as obras de engenharia especializada, nomeadamente: estabilidade, abastecimento de água e drenagem pluvial, e instalações elétricas.</t>
  </si>
  <si>
    <t>Revestimento em grelhas para enrelvamento</t>
  </si>
  <si>
    <t>19.1.1</t>
  </si>
  <si>
    <t>Execução de revestimento em grelhas para enrelvamento em polipropileno tipo 'Jardins &amp; Afins - Nidagravel 130-140' ou equivalente, cor preta (dimensões: 2,40x1,20x0,03m), após abertura de caixa e compactação será colocada uma camada de brita 2/3 com 20cm de espessura, sobre a qual se espalha uma camada de areia com 5cm de espessura, após o que se colocam as grelhas alveolares com encaixes cruzados, procedendo-se depois ao enchimento das grelhas numa altura total de 3cm para garantir uma distribuição uniforme do material vegetal. Os trabalhos incluem transporte de produtos sobrantes e respetiva compensação, cofragens, argamassas, cortes e todos os meios, trabalhos, materiais necessários e complementares, mesmo que não descritos neste artigo.</t>
  </si>
  <si>
    <t>19.1.2</t>
  </si>
  <si>
    <t>Fornecimento e espalhamento de terra vegetal com execução de hidrossementeira de relva com 5cm de espessura ao espalhar sobre as grelhas.</t>
  </si>
  <si>
    <t>Gravilha</t>
  </si>
  <si>
    <t>19.2.1</t>
  </si>
  <si>
    <t>Fornecimento e espalhamento de gravilha branca 4/6mm (a definir em obra por amostras) com 10cm de espessura como revestimento solto (pátio).</t>
  </si>
  <si>
    <t>Passadiço em degraus de travessas de madeira</t>
  </si>
  <si>
    <t>19.3.1</t>
  </si>
  <si>
    <t>Execução de revestimento em degraus sobre o terreno em travessas de pinho marítimo, serradas e tratadas em autoclave classe C4, com dimensão 1,00x0,24x0,10m, com acabamento anti-derrapante tipo 'Carmo ref eco-travessas' ou equivalente, fixadas ao terreno com 2 estacas metálicas/travessa, afundadas para fixação e estabilização, após abertura de caixa, compactação e fornecimento e execução de 100mm de brita média para assentamento. Os trabalhos incluem transporte de produtos sobrantes e respetiva compensação, cortes, armaduras e todos os meios, trabalhos, materiais necessários e complementares, mesmo que não descritos neste artigo.</t>
  </si>
  <si>
    <t>Deck de madeira</t>
  </si>
  <si>
    <t>19.4.1</t>
  </si>
  <si>
    <t>Fornecimento e aplicação de revestimento em deck termotratado TOSCCA com réguas 140x28mm ou equivalente, assente sobre base de betonilha de regularização com pendente e altura 0,10, previamente executada, incluindo preparação da base, maciços de apoio, estrutura de assentamento em barrotes, acabamento e todos os trabalhos necessários conforme desenhos de pormenor e condições e indicações do fornecedor.</t>
  </si>
  <si>
    <t>Perguntar se é necessário ou não</t>
  </si>
  <si>
    <t>Revestimento em betão aparente</t>
  </si>
  <si>
    <t>19.5.1</t>
  </si>
  <si>
    <t>Fornecimento e execução de revestimento em betão aparente tipo 'SECIL Argamassas ref. Unidecor natural' ou equivalente com 0,12m de espessura, após abertura e compactação de caixa, espalhamento de camada de brita sobre manta geotêxtil 200g/m2, incluindo: mistura em autobetoneira, acabamento mecânico, lavagem e selagem, execução de juntas serradas, acabamento e limpeza final, e todos os meios, trabalhos, materiais necessários e complementares, mesmo que não descritos neste artigo.</t>
  </si>
  <si>
    <t>Canteiros em chapa de aço corten</t>
  </si>
  <si>
    <t>19.6.1</t>
  </si>
  <si>
    <t>Fornecimento e execução de canteiros de jardim em chapa de aço corten (8mm) com 0,50m de altura. Os trabalhos incluem serralharia, soldadura, armaduras, acessórios, lacagem, impermeabilização e drenagem (geodreno diâmetro 50mm) e demais materiais e trabalhos necessários</t>
  </si>
  <si>
    <t>ILUMINAÇÃO - PONTOS DE LUZ</t>
  </si>
  <si>
    <t>ver projeto de instalações elétricas</t>
  </si>
  <si>
    <t>Projetores de pavimento</t>
  </si>
  <si>
    <t>20.1</t>
  </si>
  <si>
    <t>Fornecimento e instalação de projetores de pavimento tipo 'MINI AIR DOUBLE EMIS BLACK 2700K RECESSING BOX DRIVER 350MA IP20 15W 220.240VAC Voutmax 40V' com referência MXR2N0 / CSXT01 / AL1034 da 'Flexalighting / OHM' ou equivalente conforme especificações do fabricante, incluindo todas as ligações, meios, trabalhos, materiais necessários e complementares, mesmo que não descritos neste artigo.</t>
  </si>
  <si>
    <t>20.2</t>
  </si>
  <si>
    <t>Fornecimento e instalação de projetor de pavimento tipo 'BUNGA SINGLE BLACK 2700K RECESSING BOX DRIVER 350MA IP20 15W 220.240VAC Voutmax 40V' com referência BG1N0 / CSXT01 / AL1034 da 'Flexalighting / OHM' ou equivalente, conforme especificações do fabricante, incluindo todas as ligações, meios, trabalhos, materiais necessários e complementares, mesmo que não descritos neste artigo.</t>
  </si>
  <si>
    <t>Projetor orientador</t>
  </si>
  <si>
    <t>20.3</t>
  </si>
  <si>
    <t>Fornecimento e instalação de projetor de iluminação direcional tipo 'STAGE ROUND LED 3000K com estaca para fixação ao solo, ref. S.1325W24 / S.355409' da Simes ou equivalente, conforme especificações do fabricante, incluindo todas as ligações, meios, trabalhos, materiais necessários e complementares, mesmo que não descritos neste artigo.</t>
  </si>
  <si>
    <t>Projetor de campo de jogos</t>
  </si>
  <si>
    <t>20.4</t>
  </si>
  <si>
    <t>Fornecimento e instalação de projetor para iluminação de campo de jogos tipo 'MAHALO POLE 120° 3000K CRI93 IP65, Black + Driver' com referência MHP1539X + PLC5 da 'Flexalighting' ou equivalente, conforme especificações do fabricante, incluindo todas as ligações, meios, trabalhos, materiais necessários e complementares, mesmo que não descritos neste artigo.</t>
  </si>
  <si>
    <t>20.4.1</t>
  </si>
  <si>
    <t>Projetores 'MAHALO POLE 120° 3000K CRI93 IP65, Black + Driver' com referência MHP1539X</t>
  </si>
  <si>
    <t>20.4.2</t>
  </si>
  <si>
    <t>Poste 'POLE' Black' com referência PLC5</t>
  </si>
  <si>
    <t>Campo de jogos</t>
  </si>
  <si>
    <t>21.1</t>
  </si>
  <si>
    <t>Fornecimento e instalação de conjunto de mini-basquetebol, composto por: poste, tabela, aro e rede. Poste em tubo 100x100x3mm galvanizado com acabamento 100 Noir Sablé, enterrado em maciço de betão C20/25 XC2(P); D12; S3;Cl 0,4, aplicado sobre 0,05m de betão de limpeza após abertura e regularização do fundo da caixa. Tabela de tamanho oficial (1,80m x 1,05m) em acrílico transparente com 10mm de espessura, com aro de ferro com acabamento 100 Noir Sablé, com diâmetro interno de 450mm em varão redondo galvanizado 16mm&lt;Ø&lt;20mm, com iluminação LED integrada no aro. Rede em malha de nylon branca 6,5mm, presa ao aro em 12 pontos, com 40cm de comprimento, tudo conforme especificações do fabricante, incluindo todas as fixações, ligações, meios, trabalhos, materiais necessários e complementares, mesmo que não descritos neste artigo.</t>
  </si>
  <si>
    <t>21.2</t>
  </si>
  <si>
    <t>Fornecimento e instalação de base de duche tipo 'URBAN Dusche' da 'Viteo' ou equivalente, em material plástico e aço inoxidável (0,78m), tudo conforme especificações do fabricante, incluindo todas as fixações, ligações, meios, trabalhos, materiais necessários e complementares, mesmo que não descritos neste artigo.</t>
  </si>
  <si>
    <t>21.3</t>
  </si>
  <si>
    <t>Fornecimento e instalação de baliza de futebol para futebol 5 da Bricantel ou equivalente ref BR 023 - 1AL, incluindo abertura de caixa em terreno de qualquer natureza para execução de maciços de fundação e ancoragem, remoção de produtos sobrantes para vazadouro situado fora da zona dos trabalhos, execução de maciços de fundação e ancoragem em betão simples, todas as ancoragens e fixações, bem como todos os trabalhos preparatórios e de acabamento. Tudo devidamente montado conforme indicações do fabricante e instalado por pessoal especializado.</t>
  </si>
  <si>
    <t>21.4</t>
  </si>
  <si>
    <t>Fornecimento e instalação de banco em madeira conforme desenhos de pormenor, composto por ripas de madeira 12x12x240, incluindo todos os trabalhos preparatórios e de acabamento. Tudo devidamente montado conforme indicações.</t>
  </si>
  <si>
    <t>PLANTAÇÕES E SEMENTEIRAS</t>
  </si>
  <si>
    <t>PREPARAÇÃO DO SOLO PARA REVESTIMENTO VEGETAL</t>
  </si>
  <si>
    <t>Mobilização</t>
  </si>
  <si>
    <t>22.1.2</t>
  </si>
  <si>
    <t>Mobilização superficial, limpeza do solo de pedras e estabilização segundo as curvas de nível a uma profundidade de cerca de 0,30m, estabelecimento de pendentes mínimas definidas para as zonas verdes, e preparação do terreno natural para receber a terra de plantação, incluindo todos os meios, trabalhos, materiais necessários.</t>
  </si>
  <si>
    <t>Abertura de covas</t>
  </si>
  <si>
    <t>22.2.1</t>
  </si>
  <si>
    <t>Escavação em abertura de covas com 1,00m para plantação de árvores, incluindo elevação, transporte e condução das terras a destino final ou deposição em montes para aterro, todos os meios, trabalhos, materiais necessários.</t>
  </si>
  <si>
    <t>22.2.2</t>
  </si>
  <si>
    <t>Escavação em abertura de covas com 0,40m para plantação de maciços arbustivos, incluindo elevação, transporte e condução das terras a destino final ou deposição em montes para aterro, todos os meios, trabalhos, materiais necessários.</t>
  </si>
  <si>
    <t>22.2.3</t>
  </si>
  <si>
    <t>Escavação em abertura de covas com 0,20m para plantação de maciços herbáceos e subarbustivos, incluindo elevação, transporte e condução das terras a destino final ou deposição em montes para aterro, todos os meios, trabalhos, materiais necessários.</t>
  </si>
  <si>
    <t>Terra vegetal, composto e fertilizantes</t>
  </si>
  <si>
    <t>Espalhamento de terra vegetal, isenta de pedras, torrões e raízes, incluindo carga, transporte, descarga, espalhamento e regularização de acordo com as cotas e pendentes de projeto e/ou fornecimento, incluindo incorporação de matéria orgânica, fertilização, todos os meios, trabalhos, materiais necessários.</t>
  </si>
  <si>
    <t>22.3.1</t>
  </si>
  <si>
    <t>para relvado com 0,10m de espessura</t>
  </si>
  <si>
    <t>22.3.2</t>
  </si>
  <si>
    <t>para maciços herbáceos e subarbustivos com 0,20m de espessura</t>
  </si>
  <si>
    <t>22.3.3</t>
  </si>
  <si>
    <t>para maciços arbustivos com 0,40m de espessura</t>
  </si>
  <si>
    <t>22.3.4</t>
  </si>
  <si>
    <t>para árvores com 1,00m de espessura</t>
  </si>
  <si>
    <t>MATERIAL VEGETAL, TUTORES E MULCH</t>
  </si>
  <si>
    <t>Plantação de árvores. Fornecimento e plantação de árvores, incluindo todos os meios, trabalhos, materiais necessários.</t>
  </si>
  <si>
    <t>22.4.1</t>
  </si>
  <si>
    <t>Cr - Tangerineira PAP8/10, V20/40l (ARTIGO CALCULADO PARA V35L)</t>
  </si>
  <si>
    <t>22.4.2</t>
  </si>
  <si>
    <t>Cs - Laranjeira doce PAP8/10, V20/40l (ARTIGO CALCULADO PARA V35L)</t>
  </si>
  <si>
    <t>22.4.3</t>
  </si>
  <si>
    <t>Ac - Bordo-comum PAP16/18, V60l</t>
  </si>
  <si>
    <t>22.4.4</t>
  </si>
  <si>
    <t>Me - Metrosideros excelsa PAP16/18, V40l</t>
  </si>
  <si>
    <t>22.4.5</t>
  </si>
  <si>
    <t>Oe - Oliveira europeia PAP16/18, V60l</t>
  </si>
  <si>
    <t>22.4.6</t>
  </si>
  <si>
    <t>Pd - Ameixeira (ameixeira) PAP8/10, V20/40l</t>
  </si>
  <si>
    <t>22.4.7</t>
  </si>
  <si>
    <t>Csq - Alfarrobeira PAP18/20, V80l</t>
  </si>
  <si>
    <t>22.4.8</t>
  </si>
  <si>
    <t>Ppn - Pinheiro-manso PAP18/20, V80l</t>
  </si>
  <si>
    <t>22.4.9</t>
  </si>
  <si>
    <t>Pp - Pinheiro-bravo PAP18/20, V80l</t>
  </si>
  <si>
    <t>22.4.10</t>
  </si>
  <si>
    <t>Cl - Cipreste de Leyland PAP18/20, V80l</t>
  </si>
  <si>
    <t>Fornecimento e plantação de arbustos, incluindo todos os meios, trabalhos, materiais necessários.</t>
  </si>
  <si>
    <t>22.5.1</t>
  </si>
  <si>
    <t>Au - Medronheiro alt 80/100, V10l</t>
  </si>
  <si>
    <t>22.5.2</t>
  </si>
  <si>
    <t>Ln - Loureiro alt 100, V10l</t>
  </si>
  <si>
    <t>22.5.3</t>
  </si>
  <si>
    <t>Em - Eugenia myrtifolia alt 40/60, V5l</t>
  </si>
  <si>
    <t>22.5.4</t>
  </si>
  <si>
    <t>Jh - Juniperus horizontalis alt 40/60, V5l</t>
  </si>
  <si>
    <t>22.5.5</t>
  </si>
  <si>
    <t>Ej - Evónimo-do-japão alt 80/100, V5l (ARTIGO CALCULADO PARA ALT 40/60 E V10L)</t>
  </si>
  <si>
    <t>22.5.6</t>
  </si>
  <si>
    <t>Tf - Teucrium fruticans alt 80/100, V5l (ARTIGO CALCULADO PARA ALT 40/60 E V10L)</t>
  </si>
  <si>
    <t>22.5.7</t>
  </si>
  <si>
    <t>Ro - Alecrim (rosmarinho) alt 40/60, V5l (ARTIGO CALCULADO PARA V2,5L)</t>
  </si>
  <si>
    <t>22.5.8</t>
  </si>
  <si>
    <t>Wf - Westringia fruticosa alt 40/60, V5l</t>
  </si>
  <si>
    <t>22.5.9</t>
  </si>
  <si>
    <t>Lv - Alfeneiro-comum alt 40/60, V5l (ARTIGO CALCULADO PARA V2,5L)</t>
  </si>
  <si>
    <t>22.5.10</t>
  </si>
  <si>
    <t>Pt - Pitósporo-da-china alt 40/60, V5l (ARTIGO CALCULADO PARA V3L)</t>
  </si>
  <si>
    <t>Plantação de palmeiras</t>
  </si>
  <si>
    <t>Fornecimento e plantação de plantas suculentas, cicas e palmeiras, incluindo todos os meios, trabalhos, materiais necessários.</t>
  </si>
  <si>
    <t>22.6.1</t>
  </si>
  <si>
    <t>Ch - Palmeira-anã alt 80/100, V7,5l</t>
  </si>
  <si>
    <t>22.6.2</t>
  </si>
  <si>
    <t>Cr - Cica-revoluta alt tronco 20/30cm, V7,5l</t>
  </si>
  <si>
    <t>Plantação de subarbustos e herbáceas</t>
  </si>
  <si>
    <t>Fornecimento e plantação de subarbustos e herbáceas, incluindo todos os meios, trabalhos, materiais necessários.</t>
  </si>
  <si>
    <t>22.7.1</t>
  </si>
  <si>
    <t>Fg - Festuca glauca - 5un/m² alt 10/20, V9cm</t>
  </si>
  <si>
    <t>22.7.2</t>
  </si>
  <si>
    <t>Gl - Gaura lindheimeri - 5un/m² alt 30/40, V3l (ARTIGO CALCULADO PARA V1L)</t>
  </si>
  <si>
    <t>22.7.3</t>
  </si>
  <si>
    <t>Lm - Alfazema-francesa - 5un/m² alt 30/40, V3l (ARTIGO CALCULADO ALT20/30 PARA V2,5L)</t>
  </si>
  <si>
    <t>22.7.4</t>
  </si>
  <si>
    <t>St - Stipa tenuissima - 5un/m² alt 20/30, V2,5l</t>
  </si>
  <si>
    <t>22.7.5</t>
  </si>
  <si>
    <t>Pa - Pennisetum setaceum - 5un/m² alt 30/40, V3l (ARTIGO CALCULADO ALT20/30 PARA V1L)</t>
  </si>
  <si>
    <t>22.7.6</t>
  </si>
  <si>
    <t>Sc - Santolina chamaecyparissus - 5un/m² alt 30/40, V3l (ARTIGO CALCULADO ALT20/30 PARA V2,5L)</t>
  </si>
  <si>
    <t>22.7.7</t>
  </si>
  <si>
    <t>Tv - Tomilho-vulgar - 5un/m² alt 10/20, V1l</t>
  </si>
  <si>
    <t>Sementeira de relvado</t>
  </si>
  <si>
    <t>22.8</t>
  </si>
  <si>
    <t>Fornecimento e sementeira de relvado tipo 'Alipio Dias' ou equivalente, incluindo fertilização, todos os trabalhos complementares de acordo com C.E., à densidade de 60g/m2.</t>
  </si>
  <si>
    <t>Sementeira de prado</t>
  </si>
  <si>
    <t>22.9</t>
  </si>
  <si>
    <t>Fornecimento e sementeira de prado Prado Florido APJordão ou equivalente, incluindo fertilização, todos os trabalhos complementares de acordo com C.E., à densidade de 100g/m2.</t>
  </si>
  <si>
    <t>Tutores e atilhos</t>
  </si>
  <si>
    <t>22.10</t>
  </si>
  <si>
    <t>Fornecimento e colocação de tutores em forma de monólito (plantações em solo) em pinho ou eucalipto, devidamente tratados, com 3,50m de altura e 0,10m de diâmetro, incluindo proteção em borracha e dupla atilhagem em base elástica tipo "Toltex –Elastos 45" ou equivalente. Inclui todos os materiais e trabalhos complementares.</t>
  </si>
  <si>
    <t>Casca de pinheiro</t>
  </si>
  <si>
    <t>22.11</t>
  </si>
  <si>
    <t>Fornecimento e espalhamento de casca de pinheiro (mulch) tipo 'Siro Decor' ou equivalente, granulometria 25-45mm (e=15cm), incluindo transporte, todos os materiais necessários e complementares e trabalhos, mesmo que não descritos neste artigo.</t>
  </si>
  <si>
    <t>REGA</t>
  </si>
  <si>
    <t>VALAS</t>
  </si>
  <si>
    <t>23.1</t>
  </si>
  <si>
    <t>Abertura e tapamento de valas com 0,40 x 0,50m, incluindo todos os trabalhos e materiais complementares, tudo de acordo com as normas de boa execução, conforme previsto no projeto, em terreno</t>
  </si>
  <si>
    <t>23.2</t>
  </si>
  <si>
    <t>Fornecimento e colocação de areia de rio em camada de 0,40 x 0,20m, isenta de pedras, torrões, raízes e sal, formando almofada e envolvimento das tubagens, incluindo compactação e regularização do fundo para assentamento das tubagens.</t>
  </si>
  <si>
    <t>23.3</t>
  </si>
  <si>
    <t>Remoção de produtos sobrantes para local adequado de acordo com PPGRCD e da responsabilidade do empreiteiro, incluindo carga, transporte, descarga e espalhamento (medição com 20% de empolamento).</t>
  </si>
  <si>
    <t>Tubagens e bocas</t>
  </si>
  <si>
    <t>Fornecimento e montagem em vala ou atravessamento de pavimento de tubo em polietileno de alta densidade (PEAD MRS 100, PN 10 SDR 17), incluindo todos os tipos de juntas e com acessórios de ligação, indicados no Caderno de Encargos tanto em planta como em perfil, bem como todos os materiais e trabalhos complementares.</t>
  </si>
  <si>
    <t>23.4.1</t>
  </si>
  <si>
    <t>Diâmetro 25mm</t>
  </si>
  <si>
    <t>23.4.2</t>
  </si>
  <si>
    <t>Diâmetro 32mm</t>
  </si>
  <si>
    <t>23.4.3</t>
  </si>
  <si>
    <t>Diâmetro 40mm</t>
  </si>
  <si>
    <t>Fornecimento e instalação de proteção mecânica em polietileno de alta densidade (PEAD) MRS 100 PN 12,5 SRD 13,6 para atravessamentos de pavimentos, bem como todos os materiais e trabalhos complementares.</t>
  </si>
  <si>
    <t>23.5.1</t>
  </si>
  <si>
    <t>Diâmetro 180mm</t>
  </si>
  <si>
    <t>Emissores</t>
  </si>
  <si>
    <t>23.6</t>
  </si>
  <si>
    <t>Fornecimento e instalação subterrânea de gotejadores Netafim Turbonet 2,3 l/h ou equivalentes, integrados a cada 30 cm em tubo Netafim UniRAM 16/120 ou equivalente, a 10 cm de profundidade, incluindo ligações e estacas de fixação recomendadas pela Netafim ou equivalente, bem como todos os trabalhos e materiais complementares.</t>
  </si>
  <si>
    <t>Fornecimento e instalação de aspersores Rain Bird MProtater ou equivalentes, instalados em corpos Rain Bird 3500 ou equivalentes, incluindo ligação flexível, bem como todos os materiais e trabalhos complementares.</t>
  </si>
  <si>
    <t>23.7.1</t>
  </si>
  <si>
    <t>Aspersores e bicos</t>
  </si>
  <si>
    <t>23.8</t>
  </si>
  <si>
    <t>Fornecimento e montagem de tomadas de água diâm. 3/4" em metal Sure Quick 3 WW, incluindo haste em hidronil 3/4" e válvula de esfera 3/4" em latão a montante, bem como todos os materiais e trabalhos necessários para ligação à tubagem e caixa de proteção Rain Bird VB10RND conforme Caderno de Encargos.</t>
  </si>
  <si>
    <t>Electroválvulas</t>
  </si>
  <si>
    <t>Fornecimento e montagem de electroválvula Hunter PGV ou equivalente, incluindo caixa de proteção Rain Bird VBSTD conforme Caderno de Encargos, bem como todos os materiais e trabalhos necessários para ligações com tubagem a montante e a jusante.</t>
  </si>
  <si>
    <t>23.9.1</t>
  </si>
  <si>
    <t>23.10</t>
  </si>
  <si>
    <t>Fornecimento e montagem de electroválvula 1" Rain Bird 100 DV 9V ou equivalente, incluindo caixa de proteção Rain Bird VBSTD conforme Caderno de Encargos, bem como todos os materiais e trabalhos necessários para ligações com tubagem a montante e a jusante.</t>
  </si>
  <si>
    <t>Controladores e cabos elétricos</t>
  </si>
  <si>
    <t>23.11</t>
  </si>
  <si>
    <t>Fornecimento e instalação de programador eletrónico tipo "Programador ESP-ME3 de 4 estações, modular e expansível – compatível com WIFI" ou equivalente + Módulo de expansão de 6 estações para ESP-Me</t>
  </si>
  <si>
    <t>Fornecimento e montagem em vala de cabos elétricos VAV secção 1,5 mm², incluindo rede de polietileno de aviso com inscrição "Eletricidade", ligações entre troços de cabos elétricos e veios condutores aos solenoides das electroválvulas.</t>
  </si>
  <si>
    <t>23.12.1</t>
  </si>
  <si>
    <t>7 veios</t>
  </si>
  <si>
    <t>Filtros</t>
  </si>
  <si>
    <t>23.13</t>
  </si>
  <si>
    <t>Fornecimento e instalação de filtro de discos 1 1/2" 120 mesh Arkal ou equivalente conforme Caderno de Encargos, bem como todos os materiais e trabalhos complementares. (ARTIGO CALCULADO FILTRO ARAG 100MESH)</t>
  </si>
  <si>
    <t>Válvulas</t>
  </si>
  <si>
    <t>23.14.1</t>
  </si>
  <si>
    <t>Fornecimento e instalação de válvula de fim de linha 1/2" Netafim ou equivalente conforme Caderno de Encargos, incluindo caixa de proteção Rain Bird VB10RND ou equivalente, bem como todos os materiais e trabalhos complementares.</t>
  </si>
  <si>
    <t>23.14.2</t>
  </si>
  <si>
    <t>Fornecimento e instalação de válvula de ar 1" ARI MiniBarak D-40 ou equivalente, incluindo caixa de proteção Rain Bird VB10RND ou equivalente conforme Caderno de Encargos, bem como todos os materiais e trabalhos complementares.</t>
  </si>
  <si>
    <t>Fornecimento e instalação de válvula de retenção tipo York conforme Caderno de Encargos, bem como todos os materiais e trabalhos complementares.</t>
  </si>
  <si>
    <t>23.15.1</t>
  </si>
  <si>
    <t>Válvula tipo York</t>
  </si>
  <si>
    <t>Grupo hidropressor</t>
  </si>
  <si>
    <t>23.16</t>
  </si>
  <si>
    <t>Fornecimento e instalação de grupo hidropressor Grundfos Hydro Multi S 2 CR 5-8 ou equivalente, incluindo depósito pneumático, quadro de comando, aspiração e todos os equipamentos recomendados pelo fabricante, de acordo com as regras de boa execução e Caderno de Encargos, bem como todos os materiais e trabalhos complementares.</t>
  </si>
  <si>
    <t>Ligações</t>
  </si>
  <si>
    <t>23.17</t>
  </si>
  <si>
    <t>Execução de ligação ao ponto de alimentação conforme Caderno de Encargos e regras de boa execução.</t>
  </si>
  <si>
    <t>MANUTENÇÃO DE ZONAS VERDES</t>
  </si>
  <si>
    <t>24.1</t>
  </si>
  <si>
    <t>Fornecimento e execução de todos os trabalhos de manutenção do jardim após a recepção provisória.</t>
  </si>
  <si>
    <t>ARRANJOS EXTERIORES</t>
  </si>
  <si>
    <t>MUROS E VEDAÇÕES EXTERIORES</t>
  </si>
  <si>
    <t>Fornecimento e execução de muros exteriores com 1,40m de altura, constituídos por 1 pano de alvenaria de blocos de betão 50x20x25cm, incluindo argamassa de cimento e areia ao traço 1:3, pilares de rigidez em betão armado com 20x20cm a cada 3 metros, fundação em betão armado, betão de limpeza, viga de coroamento em betão armado e todos os trabalhos preparatórios e acessórios necessários para perfeito acabamento.</t>
  </si>
  <si>
    <t>Fornecimento e execução de reboco areado ao traço 1:4 em muros exteriores, incluindo salpico e chapisco e todos os trabalhos preparatórios e acessórios necessários para perfeito acabamento.</t>
  </si>
  <si>
    <t>Fornecimento e execução de pintura com tinta 100% acrílica "CIN - NOVATEX - Ref.ª 12-230", na cor cinza RAL 7035, em 2-3 demãos, sobre reboco, incluindo limpeza prévia das superfícies, aplicação de 1 demão de primário "EP/GC 300 - Ref.ª 10-600" e todos os trabalhos preparatórios e acessórios necessários para perfeito acabamento.</t>
  </si>
  <si>
    <t>Fornecimento e montagem de vedação com 1,40m de altura, constituída por postes em perfil tubular ou secção quadrada 50x50mm, pintados na cor RAL 6005, para suporte de rede de malha de aço galvanizado plastificado, conforme desenho de pormenor, incluindo execução de maciço de fundação, fixações, corte, acabamento e todos os trabalhos preparatórios e acessórios necessários para perfeito acabamento.</t>
  </si>
  <si>
    <t>REMATES DE PAVIMENTOS EXTERIORES</t>
  </si>
  <si>
    <t>Fornecimento e montagem de cantoneiras em remates de pavimentos exteriores, ancoradas à extremidade da viga de betão armado chanfrada, conforme desenho de pormenor, incluindo execução de maciço de fundação, fixações, corte, acabamento e todos os trabalhos preparatórios e acessórios necessários para perfeito acabamento.</t>
  </si>
  <si>
    <t>25.5.1</t>
  </si>
  <si>
    <t>Cantoneira L 150x150mm.</t>
  </si>
  <si>
    <t>25.5.2</t>
  </si>
  <si>
    <t>Cantoneira L 100x100mm.</t>
  </si>
  <si>
    <t>ENTRADA</t>
  </si>
  <si>
    <t>Fornecimento e execução de muro exterior com 1 pano de alvenaria de tijolo cerâmico 30x20x15cm, incluindo argamassa de assentamento ao traço 1:4, vergas em betão armado sobre vãos e todos os trabalhos preparatórios e acessórios necessários para perfeito acabamento. (PE-M) (PE-N)</t>
  </si>
  <si>
    <t>Fornecimento e execução de pavimento e escada ESC04 em betonilha talochada, acabamento com hidrofugante SIKAGARD 680-S incolor mate, incluindo betonilha de enchimento/regularização, acabamento e todos os trabalhos preparatórios e acessórios necessários para perfeito acabamento.</t>
  </si>
  <si>
    <t>Fornecimento e montagem de cobertura com estrutura tipo "facar", revestida com chapa de alumínio, acabamento anodizado, conforme desenho de pormenor, incluindo corte, acabamento, soldadura, fixações e todos os trabalhos preparatórios e acessórios necessários para perfeito acabamento.</t>
  </si>
  <si>
    <t>Fornecimento e montagem de portão pedonal de batente, constituído por estrutura tipo "facar" 40x40mm, revestida com chapa de alumínio com 3mm de espessura, acabamento anodizado, espessura total = 180mm, conforme desenhos de pormenor, incluindo ferragens e todos os trabalhos preparatórios e acessórios necessários para perfeito funcionamento.</t>
  </si>
  <si>
    <t>25.11.1</t>
  </si>
  <si>
    <t>POR 00.1 - Portão pedonal, dimensão 1,41x2,00m.</t>
  </si>
  <si>
    <t>Fornecimento e montagem de portão de correr para acesso à rampa da garagem, constituído por estrutura tipo "facar" 40x40mm, revestida com chapa de alumínio com 3mm de espessura, acabamento anodizado, espessura total = 180mm, conforme desenhos de pormenor, incluindo cremalheira e guia metálica do portão, situada nas paredes, canal no pavimento, motor, ferragens e todos os trabalhos preparatórios e acessórios necessários para perfeito funcionamento.</t>
  </si>
  <si>
    <t>25.12.1</t>
  </si>
  <si>
    <t>POR 00.2 - Portão automóvel, dimensão 3,63x1,40m.</t>
  </si>
  <si>
    <t>Fornecimento e montagem de armários metálicos, compostos por: PARTE EXTERIOR: Portas, constituídas por estrutura tipo "facar" 40x40mm, revestida com chapa de alumínio anodizado com 3mm de espessura. PARTE INTERIOR: Revestimento interior em chapa de alumínio anodizado com 3mm de espessura. PUXADOR: N/A DOBRADIÇAS: "BLUM / CLIP" com amortecedor FECHADURA: Tipo de armário CORREIO: Porta em chapa de alumínio anodizado e dobradiça piano. CAMPAINHA: Control4® DS2 Mini Door Station, flush mount. REF: C4-DS2MINI-BN + C4-DS2MINIFP-BN</t>
  </si>
  <si>
    <t>25.13.1</t>
  </si>
  <si>
    <t>ARM 00.13 - Dimensão 2,07x2,30x0,58m, armário composto por 3 frentes, 2 de batente e 1 fixa. inclui caixa de correio e campainha. (CAMPAINHA EXCLUÍDA)</t>
  </si>
  <si>
    <t>25.13.2</t>
  </si>
  <si>
    <t>ARM 00.14 - Dimensão 2,07x2,30x0,58m, armário composto por 2 frentes. inclui contadores.</t>
  </si>
  <si>
    <t>Fornecimento e montagem de caleira de pavimento com grelha em aço galvanizado com 0,15m de largura, incluindo execução de caleira em betão com pendente, aro metálico e todos os trabalhos preparatórios e acessórios necessários para perfeito acabamento.</t>
  </si>
  <si>
    <t>EQUIPAMENTOS E ELEMENTOS ESPECIAIS</t>
  </si>
  <si>
    <t>Fornecimento e montagem de garrafeira "SIEMENS", Ref: KW36KATGA, dimensão 60x61x186mm, incluindo ligações e todos os trabalhos preparatórios e acessórios necessários para perfeito funcionamento. (EQ15)</t>
  </si>
  <si>
    <t>Fornecimento e montagem de recuperador (LAR 00.1), marca "UNICHAMA", modelo "M-DESING LUNA DIAMON 1000 RD", incluindo conduta de exaustão, fixações, ligações e todos os trabalhos preparatórios e acessórios necessários para perfeito funcionamento. (EQ16)</t>
  </si>
  <si>
    <t>TELAS SOLARES INTERIORES</t>
  </si>
  <si>
    <t>Fornecimento e montagem de cortinas interiores motorizadas "Calha para cortinas "REPRESTOR" Cortin ER 50 + Tecido Voile Visillo 300 cm - creme = DIM 01.10x02.88 (LxA)", incluindo acessórios do sistema, fixações e todos os trabalhos preparatórios e acessórios necessários para perfeito funcionamento. (FORAM EXCLUÍDAS AS PRÓPRIAS CORTINAS NUMA OUTRA EMPRESA)</t>
  </si>
  <si>
    <t>26.3.1</t>
  </si>
  <si>
    <t>VE 01.1 - Dimensão 1,10x2,88m.</t>
  </si>
  <si>
    <t>26.3.2</t>
  </si>
  <si>
    <t>VE 01.2 - Dimensão 4,68x2,92m.</t>
  </si>
  <si>
    <t>26.3.3</t>
  </si>
  <si>
    <t>VE 01.3 - Dimensão 4,61x2,92m.</t>
  </si>
  <si>
    <t>26.3.4</t>
  </si>
  <si>
    <t>VE 01.4 - Dimensão 3,04x2,92m.</t>
  </si>
  <si>
    <t>26.3.5</t>
  </si>
  <si>
    <t>VE 01.5 - Dimensão 5,93x2,92m.</t>
  </si>
  <si>
    <t>26.3.6</t>
  </si>
  <si>
    <t>VE 01.6 - Dimensão 6,19x2,92m.</t>
  </si>
  <si>
    <t>26.3.7</t>
  </si>
  <si>
    <t>VE 01.7 - Dimensão 4,94x2,92m.</t>
  </si>
  <si>
    <t>26.3.8</t>
  </si>
  <si>
    <t>VE 01.8 - Dimensão 7,18x2,92m.</t>
  </si>
  <si>
    <t>26.3.9</t>
  </si>
  <si>
    <t>VE 00.1 - Dimensão 7,24x2,94m.</t>
  </si>
  <si>
    <t>26.3.10</t>
  </si>
  <si>
    <t>VE 00.4 - Dimensão 2,58x2,92m.</t>
  </si>
  <si>
    <t>26.3.11</t>
  </si>
  <si>
    <t>VE 00.6 - Dimensão 17,33x2,94m.</t>
  </si>
  <si>
    <t>26.3.12</t>
  </si>
  <si>
    <t>VE 00.7 - Dimensão 4,74x2,94m.</t>
  </si>
  <si>
    <t>26.3.13</t>
  </si>
  <si>
    <t>VE 00.8 - Dimensão 1,98x2,94m.</t>
  </si>
  <si>
    <t>26.3.14</t>
  </si>
  <si>
    <t>VE 00.9 - Dimensão 2,54x2,94m.</t>
  </si>
  <si>
    <t>26.3.15</t>
  </si>
  <si>
    <t>VE 00.10 - Dimensão 3,28x2,94m.</t>
  </si>
  <si>
    <t>26.3.16</t>
  </si>
  <si>
    <t>VE -01.1 - Dimensão 4,18x2,36m.</t>
  </si>
  <si>
    <t>26.3.17</t>
  </si>
  <si>
    <t>VE -01.2 - Dimensão 2,21x2,36m.</t>
  </si>
  <si>
    <t>CHURRASQUEIRA (BBQ)</t>
  </si>
  <si>
    <t>Fornecimento e execução completa de bancada e armário de BBQ exterior, composto por 1 pia e 1 grelha de BBQ, embutidas no tampo, 1 misturadora, incluindo armários, gavetas, rodapé, tampo em MDF hidrófugo com 19mm de espessura com acabamento adequado, ferragens, iluminação LED, ligações, tudo conforme desenho de pormenor e especificações de projeto e todos os trabalhos preparatórios e acessórios necessários para perfeito acabamento.</t>
  </si>
  <si>
    <t>26.4.1</t>
  </si>
  <si>
    <t>BANC 00.6 + ARM 00.10 - Dimensão 3,60x0,90x0,60m.</t>
  </si>
  <si>
    <t>BANCO CORRIDO EM MADEIRA (DECK)</t>
  </si>
  <si>
    <t>Fornecimento e execução de banco corrido de deck com dimensão 10,00x0,60x0,45m, constituído por tábuas de pinho 20x220x2200mm, tratamento em autoclave, acabamento em verniz mate na cor natural, fixação simétrica por parafusos, incluindo estrutura metálica de suporte interior, corte, acabamento, fixações ao pavimento e todos os trabalhos preparatórios e acessórios necessários para perfeito acabamento. (PV11)</t>
  </si>
  <si>
    <t>Lareira (zona de fogueira / fire pit)</t>
  </si>
  <si>
    <t>Fornecimento e execução completa de LAREIRA com dimensão 5,00x5,00m, constituída por muretes periféricos em alvenaria rebocada e pintada, cobertura em placas cimentícias (armadas) com 40mm de espessura, zona interior em betonilha talochada com formação de pendentes, incluindo ralo de pavimento e todos os trabalhos preparatórios e acessórios necessários para perfeito acabamento.</t>
  </si>
  <si>
    <t>Item</t>
  </si>
  <si>
    <t>Descrição</t>
  </si>
  <si>
    <t>UN</t>
  </si>
  <si>
    <t>Quantidade</t>
  </si>
  <si>
    <t>PREÇO</t>
  </si>
  <si>
    <t>Unitário</t>
  </si>
  <si>
    <t>T O T A L</t>
  </si>
  <si>
    <t>Units</t>
  </si>
  <si>
    <t>Quantity</t>
  </si>
  <si>
    <t>Unit Price</t>
  </si>
  <si>
    <t>Total</t>
  </si>
  <si>
    <t>EXECUÇÃO DE MORADIA - URB. DAS GAIVOTAS MATA PORCAS, PRAIA DA LUZ</t>
  </si>
  <si>
    <t>ESTALEIRO</t>
  </si>
  <si>
    <t>ESTALEIRO E TRABALHOS COMPLEMENTARES</t>
  </si>
  <si>
    <t>Montagem, construção, manutenção, desmontagem e demolição de estaleiro, incluindo as correspondentes instalações, redes provisórias de água, esgoto, electricidade e meios de telecomunicações, vias internas de circulação e tudo o mais necessário de acordo com o Dec-Lei n.º 18/08, de 29 de Janeiro, satisfazendo as prescrições relativas à Segurança, Higiene e Saúde no trabalho, em conformidade com o Dec-Lei n.º 273/2003 de 29 de Outubro e demais legislação em vigor, Desenvolvimento e Implementação do Plano de Prevenção e Gestão de Resíduos de Construção e Demolição (na acepção do D.L. Nº46/2008 de 12 de Março).</t>
  </si>
  <si>
    <t>2</t>
  </si>
  <si>
    <t>ARQUITECTURA</t>
  </si>
  <si>
    <t>ALVENARIAS E PARAMENTOS LEVES</t>
  </si>
  <si>
    <t>ALVENARIAS EXTERIORES</t>
  </si>
  <si>
    <t>Fornecimento e execução de parede exterior com 1 pano de tijolo térmico Preceram com 25cm de espessura, incluindo argamassa de assentamento ao traço 1:4, vergas de betão armado sobre vãos, gatos de travamento em aço inox entre alvenarias e estrutura de betão e todos os trabalhos preparatórios e acessórios necessários a um perfeito acabamento. (PE-A) (PE-B) (PE-C) (PE-D) (PE-E) (PE-P) (PE-F)</t>
  </si>
  <si>
    <t>Fornecimento e execução de parede exterior com 1 pano em alvenaria de tijolo cerâmico com 30x20x15cm, incluindo argamassa de assentamento ao traço 1:4, vergas de betão armado sobre vãos e todos os trabalhos preparatórios e acessórios necessários a um perfeito acabamento. (PE-M) (PE-N)</t>
  </si>
  <si>
    <t>Fornecimento e execução de parede exterior com 1 pano em alvenaria de tijolo cerâmico com 30x20x11cm, incluindo argamassa de assentamento ao traço 1:4, vergas de betão armado sobre vãos, nos intervalos de caixas de ar prever canaleta em betonilha com pendente para escoamento de águas de condensação para ralo com saída, e todos os trabalhos preparatórios e acessórios necessários a um perfeito acabamento. (PE-H) (PE-K) (PE-L)</t>
  </si>
  <si>
    <t>ALVENARIAS INTERIORES</t>
  </si>
  <si>
    <t>Fornecimento e execução de paredes interiores com 1 pano em alvenaria de tijolo cerâmico com 30x20x15cm, incluindo argamassa de assentamento ao traço 1:4, vergas de betão armado sobre vãos e todos os trabalhos preparatórios e acessórios necessários a um perfeito acabamento. (PI-A) (PI-B)</t>
  </si>
  <si>
    <t>Fornecimento e execução de paredes interiores com 1 pano em alvenaria de tijolo cerâmico com 30x20x7cm, incluindo argamassa de assentamento ao traço 1:4, vergas de betão armado sobre vãos e todos os trabalhos preparatórios e acessórios necessários a um perfeito acabamento. (PI-C)</t>
  </si>
  <si>
    <t>Fornecimento e execução de paredes interiores com 2 panos em alvenaria de tijolo cerâmico com 30x20x11cm + caixa de ar 3cm + 30x20x11cm, incluindo argamassa de assentamento ao traço 1:4, vergas de betão armado sobre vãos e todos os trabalhos preparatórios e acessórios necessários a um perfeito acabamento. (PI-D) (PI-E)</t>
  </si>
  <si>
    <t>PARAMENTOS LEVES INTERIORES</t>
  </si>
  <si>
    <t>Fornecimento e execução de revestimento em placas de gesso cartonado de 12mm, em faces interiores das paredes exteriores, sistema de dupla placagem, preenchimento interior com lã de rocha com 9cm de espessura, incluindo estrutura perfilada para suporte das placas com montantes de 90mm, sistema de fixação, tratamento de juntas, barramento e preparação final para receber pintura ou revestimento final e todos os trabalhos preparatórios e acessórios necessários a um perfeito acabamento. (PE-P)</t>
  </si>
  <si>
    <t>Fornecimento e execução de revestimento em placas de gesso cartonado standard de 12mm, em faces interiores das paredes exteriores, sistema de dupla placagem, preenchimento interior com lã de rocha com 5cm de espessura, incluindo estrutura perfilada para suporte das placas com montantes de 48mm, sistema de fixação, tratamento de juntas, barramento e preparação final para receber pintura ou revestimento final e todos os trabalhos preparatórios e acessórios necessários a um perfeito acabamento. (PE-C) (PE-D) (PI-G)</t>
  </si>
  <si>
    <t>Fornecimento e execução de revestimento em placas de gesso cartonado hidrófugo de 12mm, em faces interiores das paredes exteriores, sistema de dupla placagem, preenchimento interior com lã de rocha com 5cm de espessura, incluindo estrutura perfilada para suporte das placas com montantes de 48mm, sistema de fixação, tratamento de juntas, barramento e preparação final para receber pintura ou revestimento final e todos os trabalhos preparatórios e acessórios necessários a um perfeito acabamento. (PE-I) (PI-H)</t>
  </si>
  <si>
    <t>Fornecimento e execução de revestimento em placas de gesso cartonado hidrófugo de 12mm, em faces interiores das paredes exteriores, sistema de dupla placagem, preenchimento interior com lã de rocha com 3cm de espessura, incluindo estrutura perfilada para suporte das placas com montantes de 30mm, sistema de fixação, tratamento de juntas, barramento e preparação final para receber pintura ou revestimento final e todos os trabalhos preparatórios e acessórios necessários a um perfeito acabamento. (PE-J)</t>
  </si>
  <si>
    <t>Fornecimento e montagem de paramentos leves em dupla placagem de gesso cartonado hidrófugo de 12mm por face, revestidas interiormente com isolamento acustico de lã de rocha de 5cm, incluindo estrutura perfilada para suporte das placas com montantes de 48mm, sistema de fixação, tratamento de juntas, barramento e preparação final para receber pintura e todos os trabalhos preparatórios e acessórios necessários a um perfeito acabamento. (PI-F)</t>
  </si>
  <si>
    <t>Fornecimento e montagem de paramentos leves em placagem simples de MDF hidrófugo 19mm lacado por face, com acabamento mate à cor RAL 9003, revestidas interiormente com isolamento acustico de lã de rocha de 4cm, incluindo estrutura em tubo FACAR de 4cm para suporte das placas, sistema de fixação e todos os trabalhos preparatórios e acessórios necessários a um perfeito acabamento. (PI-I) (PR06)</t>
  </si>
  <si>
    <t>SOLEIRAS EM BETÃO</t>
  </si>
  <si>
    <t>Fornecimento e execução de soleiras em betão com barramento, conforme detalhe PORM10, sobre-elevada 1cm com apoios de borracha ao critério do executante, incluindo cortes, remates e todos os trabalhos preparatórios e acessórios necessários a um perfeito acabamento.</t>
  </si>
  <si>
    <t>Soleira VE 01.1 - Dimensão de 1.10m.</t>
  </si>
  <si>
    <t>Soleira VE 01.2 - Dimensão de 4.68m.</t>
  </si>
  <si>
    <t>Soleira VE 01.3 - Dimensão de 4.61m.</t>
  </si>
  <si>
    <t>Soleira VE 01.4 - Dimensão de 3.04m.</t>
  </si>
  <si>
    <t>Fornecimento e execução de soleiras estreitas entre vãos do piso 1, em peças de betão com barramento, conforme detalhe PORM10, sobre-elevada 1cm com apoios de borracha ao critério do executante, incluindo cortes, remates e todos os trabalhos preparatórios e acessórios necessários a um perfeito acabamento.</t>
  </si>
  <si>
    <t>Soleira A - Dimensão de 400x70mm.</t>
  </si>
  <si>
    <t>Soleira B - Dimensão de 3960x70mm.</t>
  </si>
  <si>
    <t>Soleira C - Dimensão de 5300x70mm.</t>
  </si>
  <si>
    <t>Soleira D - Dimensão de 1390x70mm.</t>
  </si>
  <si>
    <t>Soleira E - Dimensão de 1040x70mm.</t>
  </si>
  <si>
    <t>IMPERMEABILIZAÇÕES E ISOLAMENTOS</t>
  </si>
  <si>
    <t>EM COBERTURA #2 e #3</t>
  </si>
  <si>
    <t>Fornecimento e execução de impermeabilização de Coberturas Planas (#2 e #3) do Piso 1 (não acessivel), incluindo todos os trabalhos preparatórios e acessórios necessários a um perfeito acabamento, de acordo com os seguintes trabalhos:</t>
  </si>
  <si>
    <t>Isolamento térmico em placas de poliestireno extrudido "IFOAM COBERTURAS" com 8cm de espessura, incluindo cortes, remates.</t>
  </si>
  <si>
    <t>Camada de forma em betão leve para regularização e criação de caleiras e pendentes na espessura necessária, com acabamento afagado para o assentamento de telas.</t>
  </si>
  <si>
    <t>Sistema de impermeabilização tipo "Imperalum" com pintura a Imperkote L, sistema de impermeabilização com duas telas cruzadas tela POLYPLAS 30 + POLYXIS R40 (as telas sobem nos muretes, fazendo capeamento sendo fixas a estes com cantoneiras apropriadas ou outros), tela separador em tecido de poliester calandrado tipo "IMPERSEP 200" incluindo cortes, remates, fixações, tudo pronto para receber revestimento final.</t>
  </si>
  <si>
    <t>EM VARANDA</t>
  </si>
  <si>
    <t>Fornecimento e execução de impermeabilização de Varanda do Piso 1 (acessiveis), incluindo todos os trabalhos preparatórios e acessórios necessários a um perfeito acabamento, de acordo com os seguintes trabalhos:</t>
  </si>
  <si>
    <t>Betonilha com acabamento afagado para o assentamento de telas e criação de pendentes.</t>
  </si>
  <si>
    <t>Sistema de impermeabilização tipo "Imperalum" com pintura a Imperkote L, sistema de impermeabilização com duas telas cruzadas POLYPLAS 30 + POLYXIS R40, (as telas sobem nos muretes, fazendo capeamento sendo fixas a estes com cantoneiras apropriadas ou outros), tela separador em tecido de poliester calandrado tipo "IMPERSEP 200", incluindo cortes, remates, fixações, tudo pronto para receber revestimento final.</t>
  </si>
  <si>
    <t>EM COBERTURA DA ÁREA TÉCNICA DA PISCINA #1 E ÁREA TÉCNICA #2</t>
  </si>
  <si>
    <t>Fornecimento e execução de impermeabilização de Cobertura Plana da Área Técnica #1 e Tanque de Compensação, Área Técnica #2, incluindo todos os trabalhos preparatórios e acessórios necessários a um perfeito acabamento, de acordo com os seguintes trabalhos:</t>
  </si>
  <si>
    <t>EM PARAMENTOS ENTERRADOS</t>
  </si>
  <si>
    <t>Fornecimento e execução de sistema de drenagem das paredes enterradas através da aplicação de tela drenante pitonada tipo "Aguadrain" ou equivalente, fixa aos paramentos de betão armado, incluindo tubo geodreno no fundo da vala envolto em brita, ligação à rede de drenagem, caixas, sistema de fixação, cortes, remates e todos os trabalhos preparatórios e acessórios.</t>
  </si>
  <si>
    <t>EM LAJES INTERIORES</t>
  </si>
  <si>
    <t>Fornecimento e execução de Isolamento térmico de lajes interiores (#2 e #3) com placas de poliestireno extrudido "XPS" com 8cm de espessura assente sobre manta acústica Impactodam de 10mm, de acordo com desenho de pormenor, incluindo cortes, remates e todos os trabalhos preparatórios e acessórios.</t>
  </si>
  <si>
    <t>EM BASES DE DUCHE</t>
  </si>
  <si>
    <t>Fornecimento e execução de impermeabilização de bases de duche no pavimento com argamassa cimentícia bicomponente elástica tipo "Mapelastic Smart" ou equivalente, armado com rede de fibra de vidro com tratamento anti-alcalino, com subida até 30cm nas paredes, incluindo todos os trabalhos preparatórios e acessórios necessários a um perfeito acabamento.</t>
  </si>
  <si>
    <t>SISTEMA DE IMPERMEABILIZAÇÃO DA PISCINA E ESPELHOS DE ÁGUA</t>
  </si>
  <si>
    <t>Fornecimento e execução de sistema da "IMPERALUM" para impermeabilização da piscina e espelhos de água, constituido por aplicação pintura a Imperkote F, sistema de duas telas cruzadas POLYPLAS 30 + POLYXIS R40T + POLYBANCA 33, separador em tecido de poliester calandrado, IMPERSEP 150 (no fundo e nos cantos), sistema de 1 tela POLYXIS R50 nos paramentos verticais, pronto para receber acabamento final, tudo de acordo com desenhos de pormenor, incluindo cortes e remates e todos os trabalhos preparatórios e acessórios a um perfeito acabamento.</t>
  </si>
  <si>
    <t>2.4</t>
  </si>
  <si>
    <t>Fornecimento e montagem de revestimento de cobertura #1 com chapas de zinco lacadas a branco RAL 9003, com junta agrafada tipo "Double Lock", assente sobre camada de ventilação tipo "AGUADRAIN GEO" e Membrana de impermeabilização tipo "RHENOFOL CV", isolamento térmico XPS de 8cm pelo interior e camada de lã de rocha com 17cm entre OSB, conforme desenho de pormenor, incluindo execução de caleira e capeamentos em zinco, cortes, remates, elementos de fixação e todos os trabalhos preparatórios e acessórios necessários a um perfeito acabamento. (PV15)</t>
  </si>
  <si>
    <t>Fornecimento e aplicação de revestimento a seixo rolado miudo cinza, numa espessura de 10cm, em cobertura plana #2 e #3 (não acessivel), incluindo carga, transporte, espanhamento e todos os trabalhos preparatórios e acessórios necessários a um perfeito acabamento. (PV12)</t>
  </si>
  <si>
    <t>Fornecimento e execução de capeamentos de muretes da cobertura #2 e #3 (não acessivel) em chapa de metálica zincada, incluindo cortes, remates, elementos de fixação, criação de pendentes, conforme elementos do projecto, e todos os trabalhos preparatórios e acessórios necessários a um perfeito acabamento.</t>
  </si>
  <si>
    <t>Fornecimento e execução de chaminé metálica da lareira de acordo com o desenho de pormenor, incluindo tubo metálico de exaustão, isolamentos de estanquicidade, cortes, remates, ligações e todos os trabalhos preparatórios e acessórios necessários a um perfeito acabamento.</t>
  </si>
  <si>
    <t>2.5</t>
  </si>
  <si>
    <t>REVESTIMENTO DE TECTOS</t>
  </si>
  <si>
    <t>TECTOS EXTERIORES</t>
  </si>
  <si>
    <t>Fornecimento e execução de revestimento de tectos de betão aparente com acabamento hidrofugante, da "SIKAGARD 680-S PT", incolor mate, incluindo preparação da base com corte de rebarbas de betão, preenchimento de chochos com materiais apropriados, preparação geral das superficies, aplicação de primário e todos os trabalhos preparatórios e acessórios necessários a um perfeito acabamento. (TE04)</t>
  </si>
  <si>
    <t>TECTOS INTERIORES</t>
  </si>
  <si>
    <t>Fornecimento e execução de revestimento de tectos de betão aparente com acabamento hidrofugante, da "SIKAGARD 680-S PT", incolor mate, incluindo preparação da base com corte de rebarbas de betão, preenchimento de chochos com materiais apropriados, preparação geral das superficies, aplicação de primário e todos os trabalhos preparatórios e acessórios necessários a um perfeito acabamento. (TE01)</t>
  </si>
  <si>
    <t>Fornecimento e montagem de tectos falsos continuos com placas de gesso cartonado de 12mm, "KNAUF KS STANDARD", incluindo alheta com 10mmx10mm com perfil do sistema, estrutura de suporte, sistema de fixação, execução de aberturas para colocação de equipamentos diversos, recaídas, tratamento de juntas, barramento e preparação final para receber pintura e todos os trabalhos preparatórios e acessórios necessários a um perfeito acabamento. (TE02)</t>
  </si>
  <si>
    <t>Fornecimento e montagem de tectos falsos continuos com placas de gesso cartonado hidrofugo de 12mm, "KNAUF HIDROFUGA H1", incluindo alheta com 10mmx10mm com perfil do sistema, estrutura de suporte, sistema de fixação, execução de aberturas para colocação de equipamentos diversos, recaídas, tratamento de juntas, barramento e preparação final para receber pintura e todos os trabalhos preparatórios e acessórios necessários a um perfeito acabamento. (TE03)</t>
  </si>
  <si>
    <t>Fornecimento e execução de sanca em tectos falsos de gesso cartonado, conforme desenho de pormenor, com barramento e preparação final para receber pintura, incluindo todos os trabalhos preparatórios e acessórios necessários a um perfeito acabamento.</t>
  </si>
  <si>
    <t>Fornecimento e execução de pintura a tinta aquosa, "CIN - VINYLMATE - Ref.ª 10-250", acabamento extra mate, na cor branco RAL 9003, em 2 a 3 demãos, incluindo limpeza prévia de superfícies, aplicação de 1 demão de primário "EP/GC 300 - Ref.ª 10-600" e todos os trabalhos preparatórios e acessórios necessários a um perfeito acabamento. (PR02)</t>
  </si>
  <si>
    <t>REVESTIMENTO DE PAREDES</t>
  </si>
  <si>
    <t>Fornecimento e execução de revestimento de paredes de betão aparente com acabamento hidrofugante, da "SIKAGARD 680-S PT", incolor mate, incluindo preparação da base com corte de rebarbas de betão, preenchimento de chochos com materiais apropriados, preparação geral das superficies, aplicação de primário e todos os trabalhos preparatórios e acessórios necessários a um perfeito acabamento. (PR08)</t>
  </si>
  <si>
    <t>Fornecimento e execução de barramento "WEBER REV PASTA CINZA RAL 7035 da marca SAINT-GOBAIN", incluindo todos os trabalhos preparatórios e acessórios necessários a um perfeito acabamento. (PR09)</t>
  </si>
  <si>
    <t>Fornecimento e execução de revestimento de fachadas com sistema completo "ETICS - WEBER REV PASTA CINZA RAL 7035 da marca SAINT-GOBAIN", constituido por argamassa de colagem, isolamento térmico com placas de poliestireno expandido moldado de 7cm de espessura, duas camadas de argamassa de revestimento separadas entre elas por rede de reforço, rede normal, primário de regularização, regulador e acabamento final, incluindo buchas e acessórios de fixação, perfis e cantoneiras de remate e todos os trabalhos preparatórios e acessórios necessários a um perfeito acabamento. (PR10)</t>
  </si>
  <si>
    <t>Fornecimento e montagem de sistema de fachada acabada a chapa de aluminio 5mm lacada a cor branca RAL 9003 com sistema colado da marca "CORTIZO" e sub-estrutura perfil T e isolamento XPS 7cm, incluindo cortes, remates e todos os trabalhos preparatórios e acessórios necessários a um perfeito acabamento. (PR11)</t>
  </si>
  <si>
    <t>Fornecimento e execução de reboco areado fino ao traço 1:4, em fachadas e pérgola, tudo pronto para receber pintura ou barramento final, incluindo salpico, emboço e todos os trabalhos preparatórios e acessórios necessários a um perfeito acabamento. (PR09) (PR14)</t>
  </si>
  <si>
    <t>Fornecimento e execução de pintura a tinta 100% acrilíca, "CIN - NOVATEX - Ref.ª 12-230", na cor Cinza RAL 7035, em 2 a 3 demãos, sobre reboco, incluindo limpeza prévia de superfícies, aplicação de 1 demão de primário "EP/GC 300 - Ref.ª 10-600" e todos os trabalhos preparatórios e acessórios necessários a um perfeito acabamento. (PR14)</t>
  </si>
  <si>
    <t>Fornecimento e execução de revestimento de paredes de betão aparente com acabamento hidrofugante, da "SIKAGARD 680-S PT", incolor mate, incluindo preparação da base com corte de rebarbas de betão, preenchimento de chochos com materiais apropriados, preparação geral das superficies, aplicação de primário e todos os trabalhos preparatórios e acessórios necessários a um perfeito acabamento. (PR01)</t>
  </si>
  <si>
    <t>Fornecimento e execução de estuque projectado, incluindo barramento em massa fina, reforço com rede de fibra de vidro 5x5cm (75g/m2) na transição betão/alvenaria e perfis cobre-cantos em pvc reforçado com rede de fibra, tudo pronto para receber pintura e todos os trabalhos preparatórios e acessórios necessários a um perfeito acabamento. (PR02) (PR03)</t>
  </si>
  <si>
    <t>Fornecimento e assentamento de revestimento em pastilha "CLASSIC BRANCO 30x30cm da marca "RUBICER" e
com juntas em betume cinza claro RAL 7035, incluindo reboco base sarrafado em paramentos de alvenaria, argamassa de assentamento ou cola, cortes, remates, betumagem de juntas e todos os trabalhos preparatórios e acessórios necessários a um perfeito acabamento. (PR5.1)</t>
  </si>
  <si>
    <t>Fornecimento e assentamento de revestimento em pastilha "GREY 30x30cm da marca "RUBICER" e com juntas em betume branco RAL 9003, incluindo reboco base sarrafado em paramentos de alvenaria, argamassa de assentamento ou cola, cortes, remates, betumagem de juntas e todos os trabalhos preparatórios e acessórios necessários a um perfeito acabamento. (PR5.2)</t>
  </si>
  <si>
    <t>Fornecimento e execução de reboco estanhado, incluindo salpico, emboço e todos os trabalhos preparatórios e acessórios necessários a um perfeito acabamento. (PR07)</t>
  </si>
  <si>
    <t>Fornecimento e execução de pintura a tinta aquosa, "CIN - VINYLCLEAN MATE - Ref.ª 10-245", na cor branco RAL 9003, em 2 a 3 demãos, aplicada em paredes estucadas e/ou gesso cartonado, incluindo limpeza prévia de superfícies, aplicação de 1 demão de primário "EP/GC 300 - Ref.ª 10-600" e todos os trabalhos preparatórios e acessórios necessários a um perfeito acabamento. (PR02) (PR04)</t>
  </si>
  <si>
    <t>Fornecimento e execução de pintura a tinta de esmalte aquoso acrílico, "CIN - CINACRYL MATE - Ref.ª 10-230", na cor branco RAL 9003, em 2 a 3 demãos, aplicada em paredes estucadas e/ou gesso cartonado, incluindo limpeza prévia de superfícies, aplicação de 1 demão de primário "EP/GC 300 - Ref.ª 10-600" e todos os trabalhos preparatórios e acessórios necessários a um perfeito acabamento. (PR03) (PR04)</t>
  </si>
  <si>
    <t>REVESTIMENTO DE PAVIMENTOS E RODAPÉS</t>
  </si>
  <si>
    <t>Fornecimento e execução de piso térreo para assentamento de pavimento exterior, incluindo abertura de caixa com 15cm com transporte a vazadouro dos produtos sobrantes, regularização e compactação da caixa, camada de enrocamento e brita (3 a 5cm) com 0.15cm compactada, barreira vapor, massame de betão armado com malha sol CQ50 com 15cm de espessura, de acordo com desenho de pormenor, incluindo criação de pendentes, e todos os trabalhos preparatórios e acessórios necessários a um perfeito acabamento.</t>
  </si>
  <si>
    <t>Fornecimento e execução de revestimento contínuo em betonilha afagada com autonivelante com hidrofugante, incluindo suporte de regularização/enchimento em betão leve, remates, nivelamentos e todos os trabalhos preparatórios e acessórios necessários a um perfeito acabamento. (PV07)</t>
  </si>
  <si>
    <t>Fornecimento e assentamento de pavimento em lajetas pré-fabricadas em betão 50x50x6cm da marca "VERDASCA GROUP", incluindo apoios reguláveis para suporte das lajetas, nivelamento, cortes, remates e todos os trabalhos preparatórios e acessórios necessários a um perfeito acabamento. (PV08) (LAJ 01.1)</t>
  </si>
  <si>
    <t>Fornecimento e assentamento de pavimento em lajetas de betão com dimensões variáveis, incluindo betonilha de enchimento/regularização com acabamento afagado, argamassa de assentamento ou cola, nivelamento, cortes, remates, betumagem de juntas e todos os trabalhos preparatórios e acessórios necessários a um perfeito acabamento. (PV09)</t>
  </si>
  <si>
    <t>LAJ -01.1 - Caminho sobre a a água em lajetas de betão pré-fabricadas. Descritivo: Conjunto de 3 Lajetas em betão pré-fabricadas e com apoios em betão-armado. As Lajetas têm 650x650x70mm.  Dimensões:  Medidas gerais - 2050x650x70mm (CxLxA)  3 Lajetas - 650x650x70mm (CxLxA)</t>
  </si>
  <si>
    <t>LAJ 00.1 - Caminho sobre a a água em lajetas de betão pré-fabricadas. Descritivo: Conjunto de 13 Lajetas em betão pré-fabricadas e com apoios em betão-armado. As Lajetas nos extremos têm 1250x500x70mm e as restantes têm 1250x300x70mm. A extremidade das lajetas são chanfradas para criar o efeito de que estão a flutuar sobre o nível da água, sendo a altura da lajeta 5cm no limite da mesma.  Dimensões: Medidas gerais - 5000x1250x260mm (CxLxA)  2 Lajeta Tipo 1 - 1250x500x50mm (CxLxA) 11 Lajeta Tipo 2 - 1250x300x50mm  (CxLxA)</t>
  </si>
  <si>
    <t>LAJ 00.3 - Percurso em Lajetas pré-fabricadas de betão.  Descritivo: Conjunto de 9 Lajetas em  betão pré-fabricadas. As Lajetas têm 2050x300x100mm. As mesmas deverão ser asentes sobre base de gravilha média. Dimensões:  9 Lajetas - 2050x300x100mm (CxLxA)</t>
  </si>
  <si>
    <t>Fornecimento e assentamento de pavimento em blocos de betão do tipo "PAVIMENTO ECOQUADRADO" da marca "VERDASCA GROUP", juntas preenchidas com seixo rolado miudo cinza, aplicado sobre base com 5cm de espessura de cimento e areia ao traço 1:4, sub-base de tout-venant com 15 cm de espessura, incluindo abertura de caixa com 20cm, compactação, remoção e transporte a vazadouro de produtos sobrantes (sendo o vazadouro por conta do empreiteiro) e todos os trabalhos preparatórios e acessórios necessários a um perfeito acabamento. (PV10)</t>
  </si>
  <si>
    <t>Fornecimento e assentamento de deck composto por tábuas de madeira de pinho 20x220x2200mm, tratamento autoclave, acabamento verniz mate à cor natural, aparafusamento simétrico, incluindo base em betonilha de enchimento/regularização com acabamento afagado, nivelamento, cortes, remates e todos os trabalhos preparatórios e acessórios necessários a um perfeito acabamento. (PV11)</t>
  </si>
  <si>
    <t>Fornecimento e aplicação de revestimento com seixo rolado miudo cinza, numa espessura de 10cm, incluindo carga, transporte, espanhamento e todos os trabalhos preparatórios e acessórios necessários a um perfeito acabamento. (PV12)</t>
  </si>
  <si>
    <t>Fornecimento e aplicação de casca de pinheiro, incluindo carga, transporte, espanhamento e todos os trabalhos preparatórios e acessórios necessários a um perfeito acabamento. (PV13)</t>
  </si>
  <si>
    <t>Fornecimento e assentamento de pastilha de vidro modelo "Classic Cinza 30x30cm da marca "RUBICER" e com juntas em betume cinza claro RAL 7035, incluindo argamassa de colagem e betumação com Adhere piscinas, base em reboco "MAXDUR da SECIL", cortes, remates, betumagem de juntas, execução de negativos para calhas de LED, bordo da Piscina em cantoneira "L" em aço inox 316 escovado com 15x15cm e caleira de transbordo em chapa de alumínio quinada com boca de 5cm na piscina, tudo de acordo com desenho de pormenor e todos os trabalhos preparatórios e acessórios necessários a um perfeito acabamento. (PR05.1)</t>
  </si>
  <si>
    <t>Fornecimento e execução completa de escada de ligação entre a rampa de estacionamento e deck do piso 0 (ESC 02):  Escada em betão acabada a lajetas pré-fabricadas de betão com 3cm esp. nos cobertores e a barramento cimenticio (PR09) nos espelhos dos degrau, incluindo betonilha de enchimento/regularização, remates e todos os trabalhos preparatórios e acessórios necessários a um perfeito acabamento.  Dimensões:  Medidas gerais - 4350x1200x2850mm  (CxLxA)  Degraus - 290x1200x178mm (CxLxA)</t>
  </si>
  <si>
    <t>Fornecimento e execução completa de escada exterior de acesso à área técnica #1 (ESC 03):  Escada acabada a betonilha afagada,  acessível a partir de duas grelhas de  pavimento em aço inox escovado,  rebatíveis que se convertem em guarda  quando abertas, incluindo betonilha de enchimento/regularização, remates, soldaduras e todos os trabalhos preparatórios e acessórios necessários a um perfeito acabamento.  Dimensões: Medidas gerais - 4340x900x2750mm (CxLxA)  Degraus - 280x900x197mm (CxLxA)  Medida de cada grelha x 2 - 2170x980x40mm  2 Grelhas (aço inox) de Pavimento com a dimensão 2.17x0.98m</t>
  </si>
  <si>
    <t>Fornecimento e execução de pavimento em betonilha afagada a helicopetro, incluindo hidrufugante, da SIKAGARD 680-S incolor mate, incluindo
betonilha de enchimento/regularização, rebaixo em zona de duches com criação de pendentes, remates e todos os trabalhos preparatórios e acessórios necessários a um perfeito acabamento. (PV01)</t>
  </si>
  <si>
    <t>Fornecimento e assentamento de pavimento em soalho - réguas de madeira de carvalho 20x220x2200 (hxlxc) - modelo ALVA RIBADÃO, tratamento "NORDIC NATURAL" da marca BONA, incluindo betonilha de enchimento/regularização com acabamento afagado, cortes, remates, fixações e todos os trabalhos preparatórios e acessórios necessários a um perfeito acabamento. (PV03)</t>
  </si>
  <si>
    <t>Fornecimento e execução de pintura epoxi bege brilhante RAL a definir, contra amostra, SIKAFLOOR-264, da marca SIKA, incluindo todos os componentes necessários e acabamento antiderrapante, betonilha de enchimento/regularização com acabamento afagado, remates e todos os trabalhos preparatórios e acessórios necessários a um perfeito acabamento. (PV04)</t>
  </si>
  <si>
    <t>Fornecimento e execução de pintura epoxi branco mate RAL 9003 SIKAFLOOR-264, da marca SIKA, incluindo todos os componentes necessários e acabamento antiderrapante, betonilha de enchimento/regularização com acabamento afagado, rebaixo em zona de duches com criação de pendentes, remates e todos os trabalhos preparatórios e acessórios necessários a um perfeito acabamento. (PV04)</t>
  </si>
  <si>
    <t>Fornecimento e assentamento de rodapé em cantoneira de aço inox escovado 20x10x5mm (hxlxe), incluindo sistema de fixação, cortes, remates e todos os trabalhos preparatórios e acessórios necessários a um perfeito acabamento. (RD01)</t>
  </si>
  <si>
    <t>Fornecimento e montagem de vãos de porta interiores em engradado de MDF hidrófugo lacado a branco mate RAL 9003 em ambas as faces. Espessura total = 45mm; Guarnição lateral em MDF hidrófugo lacadado a branco mate RAL 9003; Puxador: JNF IN.00.070.RB08M; Roseta: JNF R01S; Dobradiças: JNF IN.05.019.75.ECO D; Fechadura magnética: JNF IN.20.835; Batente de chão: PADIMAT FB.S2C.16; Prever vedante na mesma cor da porta; Tudo conforme peças desenhadas e todos os trabalhos preparatórios e acessórios necessários a um perfeito funcionamento.</t>
  </si>
  <si>
    <t>VI -01.2 - Porta Interior 1 folha de batente, com as dimensões de 1.10x2.30m.</t>
  </si>
  <si>
    <t>VI -01.3 - Porta Interior 1 folha de batente, com as dimensões de 1.10x2.30m.</t>
  </si>
  <si>
    <t>VI -01.4 - Porta Interior 1 folha de batente, com as dimensões de 1.10x2.30m.</t>
  </si>
  <si>
    <t>VI -01.5 - Porta Interior 1 folha de batente, com as dimensões de 1.10x2.30m.</t>
  </si>
  <si>
    <t>Fornecimento e montagem de vãos de porta interiores em engradado de MDF hidrófugo lacado a branco mate RAL 9003 em ambas as faces. Espessura total = 45mm; Guarnição lateral em MDF hidrófugo lacadado a branco mate RAL 9003; Puxadores: JNF IN.00.070.RB08M; Rosetas: JNF R01S; Pivots ocultos: JNF IN.05.202.B; Fechaduras magnéticas: JNF IN.20.835; Batente de chão: PADIMAT FB.S2C.16; Prever reforço estrutural por cima do tecto em pladur e vedantes de porta na mesma cor; Tudo conforme peças desenhadas e todos os trabalhos preparatórios e acessórios necessários a um perfeito funcionamento.</t>
  </si>
  <si>
    <t>VI 01.1 - Porta Interior 1 folha pivotante, com as dimensões de 1.14x2.50m.</t>
  </si>
  <si>
    <t>VI 01.4 - Porta Interior 1 folha pivotante, com as dimensões de 1.14x2.50m.</t>
  </si>
  <si>
    <t>VI 01.2 - Porta Interior 1 folha pivotante, com as dimensões de 1.19x2.50m.</t>
  </si>
  <si>
    <t>VI 01.3 - Porta Interior 1 folha pivotante, com as dimensões de 1.19x2.50m.</t>
  </si>
  <si>
    <t>VI 01.5 - Porta Interior 1 folha pivotante, com as dimensões de 1.22x2.50m.</t>
  </si>
  <si>
    <t>Fornecimento e montagem de vão de porta interior em engradado de MDF hidrófugo lacado a branco mate RAL 9003 em ambas as faces. Espessura total = 80mm; Guarnição lateral em MDF hidrófugo lacadado a branco mate RAL 9003; Puxador: JNF IN.07.207.D Ø25 (A=1250mm; B=12575mm); Dobradiças: JNF IN.05.019.75.ECO D; Fechaduras de serviço: JNF IN.20.974; Batente de chão: PADIMAT FB.S2C.16; Prever vedantes de porta na mesma cor; Tudo conforme peças desenhadas e todos os trabalhos preparatórios e acessórios necessários a um perfeito funcionamento.</t>
  </si>
  <si>
    <t>VI 00.3 - Porta Interior 1 folha de batente, com as dimensões de 1.00x2.49m.</t>
  </si>
  <si>
    <t>VÃOS INTERIORES DAS I.S.</t>
  </si>
  <si>
    <t>Fornecimento e montagem de vãos de porta em engradado de MDF hidrófugo 45mm esp. lacado a branco mate RAL 9003 em ambas as faces; Guarnição lateral em MDF hidrófugo lacadado a branco mate RAL 9003; Puxador: JNF IN.00.070.RB08M; Roseta: JNF R01S; Dobradiças: JNF IN.05.019.75.ECO D; Fechadura magnética: JNF IN.20.835; Batente de chão: PADIMAT FB.S2C.16; Tudo conforme peças desenhadas e todos os trabalhos preparatórios e acessórios necessários a um perfeito funcionamento.</t>
  </si>
  <si>
    <t>VI -01.1 - Porta Interior de batente, com as dimensões 1.08x2.30m.</t>
  </si>
  <si>
    <t>Fornecimento e montagem de vãos de porta em engradado de MDF hidrófugo lacado a branco mate RAL 9003 esp. 45mm em uma das faces e revestido a espelho 6mm esp. extra claro na outra face. Espessura total = 51mm (quantificado à parte); Guarnição lateral em MDF hidrófugo lacadado a branco mate RAL 9003 e a espelho 6mm esp. extra claro (quantificado à parte); Puxadores: JNF IN.00.070.RB08M; Rosetas: JNF R01S; Pivots ocultos: JNF IN.05.202.B; Fechaduras magnéticas: JNF IN.20.835; Batente de chão: PADIMAT FB.S2C.16 (VI 0.1); Batente de parede: Calço de borracha (VI 0.2); Prever reforço estrutural por cima do tecto em pladur; Tudo conforme peças desenhadas e todos os trabalhos preparatórios e acessórios necessários a um perfeito funcionamento.</t>
  </si>
  <si>
    <t>VI 0.1 - Porta Interior pivotante, com as dimensões 1.22x2.49m.</t>
  </si>
  <si>
    <t>Fornecimento e montagem de vãos de porta em engradado de MDF hidrófugo lacado a branco mate RAL 9003 esp. 45mm em ambas as faces; Guarnição lateral em MDF hidrófugo lacadado a branco mate RAL 9003 e a espelho 6mm esp. extra claro; Puxadores: JNF IN.00.070.RB08M; Rosetas: JNF R01S; Pivots ocultos: JNF IN.05.202.B; Fechaduras magnéticas: JNF IN.20.835; Batente de chão: PADIMAT FB.S2C.16 (VI 0.1); Batente de parede: Calço de borracha (VI 0.2); Prever reforço estrutural por cima do tecto em pladur; Tudo conforme peças desenhadas e todos os trabalhos preparatórios e acessórios necessários a um perfeito funcionamento.</t>
  </si>
  <si>
    <t>VI 0.2 - Porta Interior pivotante, com as dimensões 1.22x2.49m.</t>
  </si>
  <si>
    <t>Fornecimento e montagem de vãos de porta de correr com cassete sem guarnição, composta por:  -Porta de correr em MDF 4cm esp.,  lacada a branco mate RAL 9003.  -Sistema de cacete de correr da marca  "GOSIMAT" modelo "UNICO PLUS",  incluindo guias superior e inferior.  -Concha de embutir, JNF  IN.16.302.M1.40;  Tudo conforme peças desenhadas e todos  os trabalhos preparatórios e acessórios necessários a um perfeito funcionamento.</t>
  </si>
  <si>
    <t>VI 01.6 - Porta de correr, com as dimensões 0.87x2.50m.</t>
  </si>
  <si>
    <t>VI 01.7 - Porta de correr, com as dimensões 0.89x2.50m.</t>
  </si>
  <si>
    <t>Fornecimento e montagem de armário composto por 4 frentes e 8 prateleiras, para armazenamento e colocação de quadro eléctrico do piso -1 e bastidor da domótica, compostos por:  EXTERIOR: Portas, ilhargas de remate de topo de armário, em MDF Hidrófugo com  19 mm de esp., Lacado à cor a RAL 9003. INTERIOR: Caixote e Prateleiras em MDF Hidrófugo de 19mm de esp., Melamina de carvalho.    RODAPÉ: MDF Hidrófugo de 19mm, lacado a RAL igual às portas PUXADOR: Tic-Tac  SUPORTES DE PRATELEIRAS: tipo 'hafele'  ref. 282.04.711 da polifer  DOBRADIÇAS: "BLUM / CLIP" com  amortecedor</t>
  </si>
  <si>
    <t>ARM -01.1 - Armário, com as dimensões 2.07x2.30x0.58m.</t>
  </si>
  <si>
    <t>Fornecimento e montagem de armário composto por 4 frentes, 1 prateleira e 2 gavetas com 1 bancada e 1 varão, inclui também banco e base para sapatos em mdf e iluminação led superior e inferior. (hall de entrada), compostos por:  EXTERIOR: Portas, ilhargas de remate de topo de armário e frentes de gavetas em MDF com 19 mm de esp., Lacado à cor a  RAL 9003.  INTERIOR: Caixotes, Prateleiras e  gavetas em MDF de 19mm de esp.,  Melamina de carvalho BANCO: em MDF de 19mm, lacado a RAL 9003    BASE SAPATOS: em MDF de 19mm, lacado a  RAL 9003    BANCADA: em MDF de 19mm, lacado a RAL  9003  VARÃO: em Aço inox 316 escovado  PUXADOR: Tic-Tac
 SUPORTES DE PRATELEIRAS: tipo 'hafele'
 ref. 282.04.711 da polifer
DOBRADIÇAS: "BLUM / CLIP" com amortecedor    CORREDIÇAS: Com amortecimento, "BLUM /  MOVENTO - BLUMOTION"  ILUMINAÇÃO: Calha de alumínio de altura reduzida, com fita LED "Flex Strip Cob" ref. L62C026, da PROLED com interruptor de abertura de porta</t>
  </si>
  <si>
    <t>ARM 00.1 - Armário, com as dimensões 1.66x2.04x0.40m.</t>
  </si>
  <si>
    <t>ARM 00.1 - Banco/Base Sapatos, com as dimensões 2.25x0.08x0.32m.</t>
  </si>
  <si>
    <t>Fornecimento e montagem de banco suspenso em mdf e estrutura em perfis tipo "facar". (sala de estar), compostos por:  EXTERIOR: em MDF Hidrófugo com 19 mm  de esp., Melamina de Carvalho.    ESTRUTURA: em perfis tipo "facar"  40x40mm de secção ILUMINAÇÃO: Calha de alumínio de altura reduzida, com fita LED "Flex Strip Cob" ref. L62C026, da PROLED.</t>
  </si>
  <si>
    <t>ARM 00.2 - Banco, com as dimensões 6.34x0.08x0.44m.</t>
  </si>
  <si>
    <t>Fornecimento e montagem de armário para loiça composto por prateleiras e gavetas e duas folhas de abrir, inclui também uma garrafeira, uma lareira e um nicho de arrumação de lenha, compostos por:  EXTERIOR: Portas, ilhargas de remate de topo de armário, em MDF com 19 mm de  esp., Lacado à cor a RAL 9003;  INTERIOR: Caixotes e Prateleiras em  Aglomerado de 19mm de esp., Melamina à  cor RAL 9003;    RODAPÉ: em MDF de 19mm, lacado a RAL  igual às portas;  BANCADA: em Corian, RAL 9003, esp. 2cm; PUXADOR: Tic-Tac;  SUPORTES DE PRATELEIRAS: tipo 'hafele'  ref. 282.04.711 da polifer;  DOBRADIÇAS: "BLUM / CLIP" com  amortecedor; CORREDIÇAS: Com amortecimento, "BLUM / MOVENTO - BLUMOTION";  ILUMINAÇÃO: Calha de alumínio de altura reduzida, com fita LED "Flex Strip Cob" ref. L62C026, da PROLED com interruptor de abertura de porta;  LAREIRA: Recuperador da marca unichama  modelo m-desing luna diamon 1000 RD (Quantificado à parte) + Chapa em aço inox com 6mm de esp. de remate e alheta com 10mm para evitar aquecimento do painel de MDF;  GARRAFEIRA: Cave de Vinho SIEMENS com  60x61x186mm (LxPxA) Ref: KW36KATGA  (Quantificado à parte);
 NICHO PARA LENHA: Caixa em aço inox escovado com 6mm de esp. com 55mm de profundidade para armazenagem de troncos de madeira;</t>
  </si>
  <si>
    <t>ARM 0.03 - Armário, com as dimensões 3.25x2.49x0.71m.</t>
  </si>
  <si>
    <t>Fornecimento e montagem de módulo para ocultar as condutas de a/c com montantes de 46mm e 2x placas de gesso cartonado, inclui estrutura em perfis tipo "facar" e aparador suspenso em mdf hidrófugo 19mm esp. lacados a branco mate ral 9003 (sala de jantar), compostos por:  EXTERIOR: 2x Placas de gesso cartonado  pintado a branco mate RAL 9003  ESTRUTURA: Montantes 46mm e estrutura  do tipo "facar" 40x40mm secção  APARADOR: em MDF Hidrófugo de 19mm,  lacado a RAL 9003</t>
  </si>
  <si>
    <t>ARM 0.04 - Armário, com as dimensões 2.80x2.49x0.45m.</t>
  </si>
  <si>
    <t>Fornecimento e montagem de armário para MLR e MSR com 1 gaveta, 1 bancada, 1 prateleira e 1 varão e 1 ilharga lateral (lavandaria), compostos por: EXTERIOR: Ilharga lateral e prateleira em corian 10mm esp. à cor a RAL 9003. Frente da gaveta em MDF hidrófugo de 19mm lacado à cor RAL 9003.  ESTRUTURA: Estrutura da bancada em  perfis tipo "facar" 40x40mm de secção    RODAPÉ: em MDF Hidrófugo de 19mm,  lacado a RAL igual às portas  BANCADA: em MDF hidrófugo de 19mm  lacado à cor RAL 9003.</t>
  </si>
  <si>
    <t>ARM 0.08 + BANC 0.03 - Armário, com as dimensões 1.23x2.49x0.70m.</t>
  </si>
  <si>
    <t>Fornecimento e montagem de armário dispenseiro composto por 4 frentes, 1 ilharga de remate lateral e 17 prateleiras. (lavandaria) as frentes estão destacadas para permitir ventilar o armário enquanto está fechado, conforme detalhe, compostos por: EXTERIOR: Portas, ilhargas de remate de topo de armário, em MDF Hidrófugo com 19 mm de esp., Lacado à cor a RAL 9003. INTERIOR: Caixotes e Prateleiras em MDF Hidrófugo de 19mm de esp., Melamina de carvalho  RODAPÉ: em MDF Hidrófugo de 19mm,  lacado a RAL igual às portas PUXADOR: Tic-Tac  SUPORTES DE PRATELEIRAS: tipo 'hafele'  ref. 282.04.711 da polifer  DOBRADIÇAS: "BLUM / CLIP" com  amortecedor</t>
  </si>
  <si>
    <t>ARM 0.09 - Armário, com as dimensões 2.42x2.49x0.65m.</t>
  </si>
  <si>
    <t>Fornecimento e montagem de armários em MDF Hidrófugo lacado a branco mate RAL 9003, compostos por:  EXTERIOR: Frentes, ilhargas de remate  de topo de armário, em MDF Hidrófugo  com 19 mm de esp., lacado a branco mate RAL 9003; INTERIOR: Gavetas e Prateleiras em MDF Hidrófugo de 19mm de esp., lacado a branco mate RAL 9003;  RODAPÉ: em MDF de 19mm,lacado a branco  mate RAL 9003;
 BANCADA: em MDF de 19mm, lacado a branco mate RAL 9003;  PUXADOR: Negativo circular Ø3cm;  SUPORTES DE PRATELEIRAS: Oculto;  CORREDIÇAS: Com amortecimento, "BLUM /  MOVENTO - BLUMOTION";  VARÃO: Aço inox 316 escovado Ø3cm.  Fixação oculta.</t>
  </si>
  <si>
    <t>ARM 0.11 - Armário aberto com 2 gavetas, 1 prateleira e 1 varão de inox 3cmø, com as dimensões 1.20x2.40x0.60m.</t>
  </si>
  <si>
    <t>ARM 0.12 - Armário com 2 frentes, 2 gavetas, 1 prateleira, com as dimensões 1.19x2.40x0.60m.</t>
  </si>
  <si>
    <t>Fornecimento e montagem de estrutura de cama e costas com 2 cabeceiras em mdf e 2 gavetas, inclui iluminação de cabeceira (suite 1 + suite 2), compostos por:  EXTERIOR: Frentes, Ilhargas e tampos em MDF Hidrófugo, melamina de carvalho.  INTERIOR: Gaveta em MDF de 19mm de  esp., Melamina de carvalho.  RODAPÉ: Em MDF Hidrófugo de 19mm,  melamina de carvalho.  ESTRUTURA DA CAMA: barrotes de pinho  5x5cm com pés de borracha reguláveis.  PUXADOR: Tic-Tac.  CORREDIÇAS: Com amortecimento, "BLUM /  MOVENTO - BLUMOTION".  ILUMINAÇÃO: Luminária de cabeceira IP20 3000K 3W, acabamento branco, modelo  "ICELAND" da marca HOFFLIGHTS.</t>
  </si>
  <si>
    <t>ARM 01.6.1 + ARM 01.6.2 - Estrutura de Cama, com as dimensões 2.76x1.10x2.24m.</t>
  </si>
  <si>
    <t>Fornecimento e montagem de armário composto por 4 frentes e inclui 8 gavetas, 2 tampos e 6 prateleiras no interior, compostos por:  EXTERIOR: Portas, ilhargas de remate de topo de armário, em MDF com 19 mm de  esp., Lacado à cor a RAL 9003.  INTERIOR: Gavetas em MDF de 19mm de  esp., Melamina de carvalho.Caixotes,  Frentes de gavetas e Prateleiras em MDF de 19mm de esp., Melamina de carvalho.
BANCADA: em MDF de 19mm de esp., Melamina de carvalho  RODAPÉ: em MDF de 19mm, lacado a RAL  igual às portas. = Rodatecto  PUXADOR: Tic-Tac  SUPORTES DE PRATELEIRAS: tipo 'hafele'  ref. 282.04.711 da polifer  DOBRADIÇAS: "BLUM / CLIP" com  amortecedor CORREDIÇAS: Com amortecimento, "BLUM / MOVENTO - BLUMOTION"  ILUMINAÇÃO: Luminária de cabeceira IP20 3000K 3W, acabamento branco, modelo  "ICELAND" da marca HOFFLIGHTS.</t>
  </si>
  <si>
    <t>ARM 01.7 - Armário, com as dimensões 2.42x2.50x0.70m.</t>
  </si>
  <si>
    <t>Fornecimento e montagem de armário composto por 4 frente e três fiadas verticais exteriores de 18 prateleiras.inclui 2 gavetões, 2 varões e 2 prateleiras no interior, composto por:  EXTERIOR: Portas, ilhargas de remate de topo de armário e prateleiras
 exteriores em MDF com 19 mm de esp., Lacado à cor a RAL 9003.  INTERIOR: Gavetas em MDF de 19mm de  esp., Melamina de carvalho. Caixotes e Frentes de gaveta, Prateleiras e Tampos em MDF de 19mm de esp., Melamina de carvalho  RODAPÉ: em MDF Hidrófugo de 19mm,  lacado a RAL igual às portas. = Rodatecto  PUXADOR: Tic-Tac  SUPORTES DE PRATELEIRAS: tipo 'hafele'  ref. 282.04.711 da polifer  DOBRADIÇAS: "BLUM / CLIP" com  amortecedor CORREDIÇAS: Com amortecimento, "BLUM / MOVENTO - BLUMOTION"  ILUMINAÇÃO: Luminária de cabeceira IP20 3000K 3W, acabamento branco, modelo  "ICELAND" da marca HOFFLIGHTS.</t>
  </si>
  <si>
    <t>ARM 01.8 - Armário, com as dimensões 2.87x2.50x0.79m.</t>
  </si>
  <si>
    <t>Fornecimento e montagem de:  ARM 01.09 - Armário composto por 4  frente e duas fiadas verticais  exteriores de 12 prateleiras. inclui 2  gavetões, 2 varões e 2 prateleiras no  interior
ARM 01.10 - Armário composto por 4 frente e duas fiadas verticais exteriores de 12 prateleiras. inclui 2 gavetões, 2 varões e 2 prateleiras no interior  EXTERIOR: Portas, ilhargas de remate de topo de armário e prateleiras
 exteriores em MDF com 19 mm de esp., Lacado à cor a RAL 9003.  INTERIOR: Gavetas em MDF de 19mm de  esp., melamina de carvalho. Caixotes,  Frente de Gavetas, Prateleiras e Tampos em MDF com 19 mm de esp., melamina de carvalho.  RODAPÉ: em MDF Hidrófugo de 19mm,  lacado a RAL igual às portas. =Rodatecto  PUXADOR: Tic-Tac  SUPORTES DE PRATELEIRAS: tipo 'hafele'  ref. 282.04.711 da polifer  DOBRADIÇAS: "BLUM / CLIP" com  amortecedor CORREDIÇAS: Com amortecimento, "BLUM / MOVENTO - BLUMOTION"  ILUMINAÇÃO: Luminária de cabeceira IP20 3000K 3W, acabamento branco, modelo  "ICELAND" da marca HOFFLIGHTS.</t>
  </si>
  <si>
    <t>ARM 01.09 - Armário, com as dimensões 2.87x2.50x0.75m.</t>
  </si>
  <si>
    <t>ARM 01.10 - Armário, com as dimensões 2.05x2.50x0.75m.</t>
  </si>
  <si>
    <t>ESP 01.7 - Espelho em vidro cristal de 6mm, com as dimensões 1.04x2.50m.</t>
  </si>
  <si>
    <t>Fornecimento e montagem de armário composto por 3 frentes e uma fiada vertical exterior com 6 prateleiras. inclui 4 gavetas, 1 tampo e 9 prateleiras  (m suite closet): EXTERIOR: Portas, ilhargas de remate de topo de armário e prateleiras exteriores em MDF Hidrófugo com 19 mm de esp., Lacado à cor a RAL 9003. INTERIOR: Gavetas emMDF de 19mm de esp., Melamina de carvalho. Caixotes, Frentes de Gaveta, Prateleiras e Tampos em MDF com 19 mm de esp., melamina de carvalho.  RODAPÉ: em MDF Hidrófugo de 19mm,  lacado a RAL igual às portas. =Rodatecto  PUXADOR: Tic-Tac  SUPORTES DE PRATELEIRAS: tipo 'hafele'  ref. 282.04.711 da polifer  DOBRADIÇAS: "BLUM / CLIP" com  amortecedor CORREDIÇAS: Com amortecimento, "BLUM / MOVENTO - BLUMOTION"  ILUMINAÇÃO: Luminária de cabeceira IP20 3000K 3W, acabamento branco, modelo  "ICELAND" da marca HOFFLIGHTS.</t>
  </si>
  <si>
    <t>ARM 01.11 - Armário, com as dimensões 3.25x2.49x0.71m.</t>
  </si>
  <si>
    <t>Fornecimento e montagem de estrutura de cama e costas com 2 cabeceiras em mdf e 12 prateleiras e 2 gavetas, inclui iluminação de cabeceira (m suite), compostos por:  EXTERIOR: Frentes, Ilhargas, Tampos e  Prateleiras em MDF Hidrófugo Melamina  de carvalho INTERIOR: Gaveta em MDF de 19mm de esp., Melamina de carvalho    RODAPÉ: em MDF Hidrófugo de 19mm,  Melamina de carvalho    ESTRUTURA DA CAMA: barrotes de pinho  5x5cm e pés de borracha reguláveis  PUXADOR: Tic-Tac CORREDIÇAS: Com amortecimento, "BLUM / MOVENTO - BLUMOTION"  SUPORTES DE PRATELEIRAS: tipo 'hafele'  ref. 282.04.711 da polifer  ILUMINAÇÃO: Luminária de cabeceira IP20 3000K 3W, acabamento branco, modelo  "ICELAND" da marca HOFFLIGHTS.</t>
  </si>
  <si>
    <t>ARM 01.12 - Estrutura de Cama, com as dimensões 2.76x1.10x2.24m.</t>
  </si>
  <si>
    <t>Fornecimento e montagem de armário em MDF Hidrófugo com 2cm esp., revestido a chapa de alumínio 2mm esp., lacada a branco mate RAL 9003, e espelho em vidro cristal 6mm colado a duas laterais do armário (quantificado à parte), compostos por:  EXTERIOR: Frentes, ilhargas de remate  de topo de armário, em MDF Hidrófugo  com 19 mm de esp., revestido a chapa  alumínio lacado à cor a RAL 9003;  INTERIOR: Gavetas e Prateleiras em MDF  Hidrófugo de 19mm de esp, revestido a  chapa alumínio lacado à cor a RAL 9003; RODAPÉ: MDF de 19mm,revestido a chapa alumínio lacado à cor a RAL 9003; BANCADA: MDF de 19mm,revestido a chapa alumínio lacado à cor a RAL 9003; PUXADOR: Negativo circular Ø3cm; SUPORTES DE PRATELEIRAS: Oculto; CORREDIÇAS: Com amortecimento, "BLUM / MOVENTO - BLUMOTION";  VARÃO: Aço inox 316 escovado Ø3cm.  Fixação oculta.</t>
  </si>
  <si>
    <t>ARM 0.13 - Armário com 3 gavetas, 1 prateleira e 1 varão, com as dimensões 0.83x2.50x0.52m.</t>
  </si>
  <si>
    <t>Fornecimento e montagem de conjunto de armários dos closet Suite 1 e Suite 2, composto por 10 gavetas, 4 tampos, 8 prateleiras, 1 varão e 2 ilhargas de remate lateral:  EXTERIOR: Ilhargas de remate de topo de armário, em MDF com 19 mm de esp.,  Melamina de carvalho . INTERIOR: Caixotes, Gavetas e Prateleiras em MDF de 19mm de esp., em MDF de 19mm, Melamina de carvalho RODAPÉ: em MDF de 19mm, Melamina de carvalho    BANCADA: em MDF de 19mm, Melamina de  carvalho    PUXADOR: Tic-Tac  SUPORTES DE PRATELEIRAS: tipo 'hafele'  ref. 282.04.711 da polifer CORREDIÇAS: Com amortecimento, "BLUM / MOVENTO - BLUMOTION"  ILUMINAÇÃO: Luminária de cabeceira IP20 3000K 3W, acabamento branco, modelo  "ICELAND" da marca HOFFLIGHTS.</t>
  </si>
  <si>
    <t>ARM 01.04.1 - Armário, com as dimensões 2.42x2.50x0.55m.</t>
  </si>
  <si>
    <t>ARM 01.04.2 - Armário, com as dimensões 2.42x2.50x0.55m.</t>
  </si>
  <si>
    <t>ESP 01.4 - Espelho em vidro cristal de 6mm, com as dimensões 1.10x2.42m.</t>
  </si>
  <si>
    <t>ARM 01.05.1 - Armário, com as dimensões 2.42x2.50x0.55m.</t>
  </si>
  <si>
    <t>ARM 01.05.2 - Armário, com as dimensões 2.42x2.50x0.55m.</t>
  </si>
  <si>
    <t>ESP 01.5 - Espelho em vidro cristal de 6mm, com as dimensões 1.10x2.42m.</t>
  </si>
  <si>
    <t>2.9</t>
  </si>
  <si>
    <t>SERRALHARIAS E CAIXILHARIAS</t>
  </si>
  <si>
    <t>CAIXILHARIA DE ALUMÍNIO</t>
  </si>
  <si>
    <t>Fornecimento e montagem de vãos exteriores em caixilharia de alumínio CORTIZO, incluindo acabamento, vidros duplos, vedações, soleiras metálicas, sistema de abertura e ferragens conforme descrito no mapa de vãos e elementos do projecto e todos os trabalhos preparatórios e acessórios necessários a um perfeito funcionamento.</t>
  </si>
  <si>
    <t>VE 01.1 - Dimensão de 1.10x2.88m, Vão de Sacada 1 Folha oscilo-batente + 1 bandeira, série "COR 70", Folha Oculta C16 ST, Lacada segundo alçados (RAL9003, por confirmar), incluindo soleira em chapa de alumínio anodizado (acabamento natural) quinada 3mm esp.</t>
  </si>
  <si>
    <t>VE 01.2 - Dimensão de 4.68x2.92m, Vão de Sacada 1 Folha de correr + 1 Folha fixa, série "COR VISION PLUS", Lacada segundo alçados (RAL9003, por confirmar), incluindo soleira em chapa de alumínio anodizado (acabamento natural) quinada 3mm esp., estruturada com tubos facar ao critério do executante, sobre-elevada 1cm com apoios de borracha ao critério do executante.</t>
  </si>
  <si>
    <t>VE 01.3 - Dimensão de 4.61x2.92m, Vão de Sacada 1 Folha de correr + 1 Folha fixa, série "COR VISION PLUS", Lacada segundo alçados (RAL9003, por confirmar), incluindo soleira em chapa de alumínio anodizado (acabamento natural) quinada 3mm esp., estruturada com tubos facar ao critério do executante, sobre-elevada 1cm com apoios de borracha ao critério do executante.</t>
  </si>
  <si>
    <t>VE 01.4 - Dimensão de 3.04x2.92m, Vão de Sacada 2 Folhas de correr, série "COR VISION PLUS", Lacada segundo alçados (RAL9003, por confirmar), incluindo soleira em chapa de alumínio anodizado (acabamento natural) quinada 3mm esp., estruturada com tubos facar ao critério do executante.</t>
  </si>
  <si>
    <t>VE 01.5 - Dimensão de 5.93x2.92m, Vão de Sacada 1 Folha de correr e 2 Folhas fixas, série "COR VISION PLUS", Lacada segundo alçados (RAL9003, por confirmar), incluindo Perfis estruturais de ligação entre VE05 e VE06 forrados a chapa de aluminio anodizado igual aos caixilhos, nas faces visiveis. Consultar PORM04 na folha EXE33.</t>
  </si>
  <si>
    <t>VE 01.6 - Dimensão de 6.19x2.92m, Vão de Sacada 1 Folha de correr e 2 Folhas fixas, série "COR VISION PLUS", Lacada segundo alçados (RAL9003, por confirmar), incluindo Perfis estruturais de ligação entre VE05 e VE06 + VE06 e VE07 forrados a chapa de aluminio anodizado igual aos caixilhos, nas faces visiveis. Consultar PORM04 na folha EXE33.</t>
  </si>
  <si>
    <t>VE 01.7 - Dimensão de 4.94x2.92m, Vão de Sacada 1 Folha de correr e 1 Folha fixa, série "COR VISION PLUS", Lacada segundo alçados (RAL9003, por confirmar), incluindo Perfis estruturais de ligação entre VE06 e VE07 + VE07 e VE08 forrados a chapa de aluminio anodizado igual aos caixilhos, nas faces visiveis. Consultar PORM04 na folha EXE33.</t>
  </si>
  <si>
    <t>VE 01.8 - Dimensão de 7.18x2.92m, Vão de Sacada 1 Folha de correr e 2 Folhas fixas, série "COR VISION PLUS", Lacada segundo alçados (RAL9003, por confirmar), incluindo Perfis estruturais de ligação entre VE07 e VE08 forrados a chapa de aluminio anodizado igual aos caixilhos, nas faces visiveis. Consultar PORM04 na folha EXE33.</t>
  </si>
  <si>
    <t>VE 00.1 - Dimensão de 7.24x2.94m, Vão de Sacada 1 Folha de correr e 2 Folhas fixas, série "COR VISION PLUS", Lacada segundo alçados (RAL9003, por confirmar), incluindo soleira em cantoneira de Alumínio L 210x60mm, acabamento escovado.</t>
  </si>
  <si>
    <t>VE 00.2 - Dimensão de 2.23x2.94m, Vão de Sacada 1 Folha pivotante, Porta de Entrada CORTIZO, série "MILLENNIUM PLUS PIVOT", acabamento Anodizado, incluindo soleira em chapa de aço inox quinada 3mm esp. sobre-elevada 1cm com apoios de borracha ao critério do executante, incluindo Perfis estruturais de ligação entre VE02 e VE03 forrados a chapa de aluminio anodizado igual aos caixilhos, nas faces visiveis. Consultar PORM07 na folha EXE34.</t>
  </si>
  <si>
    <t>VE 00.3 - Dimensão de 2.15x2.89m, Vão de Sacada 1 Folha fixa, série "COR 70", acabamento Anodizado, incluindo soleira em chapa de alumínio anodizado (acabamento natural) quinada 3mm esp., estruturada com tubos facar ao critério do executante - Ver PORM12, incluindo Perfis estruturais de ligação entre VE02 e VE03 forrados a chapa de aluminio anodizado igual aos caixilhos, nas faces visiveis. Consultar PORM07 na folha EXE34.</t>
  </si>
  <si>
    <t>VE 00.4 - Dimensão de 2.58x2.92m, Vão de Sacada 1 Folha fixa, série "COR 70", acabamento Anodizado, incluindo soleira em chapa de alumínio anodizado, quinada em Z, 3mm esp. DIM abas, sequencialmente: 20mm, 260mm, 45mm, apoiada sobre estrutura ao critério do executante, conforme detalhes.</t>
  </si>
  <si>
    <t>VE 00.6 - Dimensão de 17.33x2.94m, Vão de Sacada 4 Folhas de correr e 3 Folhas fixas, série "COR VISION PLUS", acabamento Anodizado.</t>
  </si>
  <si>
    <t>VE 00.7 - Dimensão de 4.74x2.94m, Vão de Sacada 1 Folha de correr e 1 Folha fixa, série "COR VISION PLUS", acabamento Anodizado.</t>
  </si>
  <si>
    <t>VE 00.8 - Dimensão de 1.98x2.94m, Vão de Sacada 1 Folha de correr, série "COR VISION PLUS", intalado com galandage, acabamento Anodizado.</t>
  </si>
  <si>
    <t>VE 00.9 - Dimensão de 2.54x2.94m, Vão de Sacada 1 Folha de correr e 1 Folha fixa, série "COR VISION PLUS", acabamento Anodizado, incluindo soleira em chapa de alumínio anodizado (acabamento natural) quinada 3mm esp. DIM 01.10x 0.06 (LxP), estruturada com tubos facar ao critério do executante, sobre-elevada 1cm com apoios de borracha ao critério do executante, incluindo Perfis estruturais de ligação entre VE09 e VE10 forrados a chapa de aluminio anodizado igual aos caixilhos, nas faces visiveis. Consultar PORM05 na folha EXE35.</t>
  </si>
  <si>
    <t>VE 00.10 - Dimensão de 3.28x2.94m, Vão de Sacada 1 Folha de correr e 1 Folha fixa, série "COR VISION PLUS", acabamento Anodizado, incluindo soleira em chapa de alumínio anodizado (acabamento natural) quinada 3mm esp. DIM 01.10x 0.06 (LxP), estruturada com tubos facar ao critério do executante, sobre-elevada 1cm com apoios de borracha ao critério do executante, incluindo Perfis estruturais de ligação entre VE09 e VE10 forrados a chapa de aluminio anodizado igual aos caixilhos, nas faces visiveis. Consultar PORM05 na folha EXE35.</t>
  </si>
  <si>
    <t>VE -01.1 - Dimensão de 4.18x2.36m, Vão de Sacada 1 Folha de correr e 1 Folha fixa, série "COR VISION PLUS", acabamento Anodizado, incluindo soleira em cantoneira de Alumínio L 210x60mm, acabamento escovado.</t>
  </si>
  <si>
    <t>VE -01.2 - Dimensão de 2.21x2.36m, Vão de Sacada 1 Folha fixa, série "COR 70", acabamento Anodizado, incluindo soleira em cantoneira de Alumínio L 210x60mm, acabamento escovado.</t>
  </si>
  <si>
    <t>VE-01.3 - Dimensão de 2.15x2.89m, Vão de Sacada 1 Folha fixa, série "COR 70", acabamento Anodizado.</t>
  </si>
  <si>
    <t>VE-01.4 - Dimensão de 0.97x2.30m, Vão de Sacada 1 Folha oscilo-batente, série "COR 70", acabamento Anodizado, incluindo soleira em chapa de alumínio anodizado, quinada em Z, 3mm esp. DIM abas, sequencialmente: 20mm, 260mm, 45mm, apoiada sobre estrutura ao critério do executante, conforme detalhes.</t>
  </si>
  <si>
    <t>Fornecimento e montagem de portinhola de acesso a tanque de compensação da piscina em alumínio anodizado a RAL 9003 com guarnição, espessura total = 50mm, incluindo dobradiças ao critério do executante, fechadura de cacifo JNF IN.20.07715 e todos os trabalhos preparatórios e acessórios necessários a um perfeito acabamento.</t>
  </si>
  <si>
    <t>VI -01.6 - Portinhola de 1 folha de batente, com a dimensão de 1.00x0.60m.</t>
  </si>
  <si>
    <t>Fornecimento e montagem de porta com estrutura em perfil facar com secção 40x40mm, que serve de suporte para placa OSB 2cm esp. e acabamento a pastilha branca igual à parede contígua (quantificado à parte); Aro e guarnição de Porta em perfil de Aço inox 316 escovado; A dobradiça e fixação da mesma à parede é do critério do executante, e deve respeitar o peso próprio da porta; O objetivo desta porta é que não seja perceptível enquanto porta no plano da parede contígua com a mesma; Tudo conforme peças desenhadas e todos os trabalhos preparatórios e acessórios necessários a um perfeito funcionamento.</t>
  </si>
  <si>
    <t>VE 00.5A - Porta de 1 folha de batente (ocultas), com a dimensão de 0.70x2.44m.</t>
  </si>
  <si>
    <t>Fornecimento e montagem de porta com estrutura em perfil facar com secção 30x30mm, que serve de suporte para placa EPS 3cm esp. (quantificado à parte) e acabamento a barramento cimenticio igual à parede exterior contígua (quantificado à parte); Aro e guarnição de Porta em perfil de Aço inox 316 escovado; A dobradiça e fixação da mesma à parede é do critério do executante, e deve respeitar o peso próprio da porta; O objetivo desta porta é que não seja perceptível enquanto porta no plano da parede contígua com a mesma; Fechadura com cilindro europeu; Tudo conforme peças desenhadas e todos os trabalhos preparatórios e acessórios necessários a um perfeito funcionamento.</t>
  </si>
  <si>
    <t>VE 00.5B - Porta de 1 folha de batente (ocultas), com a dimensão de 0.70x2.44m.</t>
  </si>
  <si>
    <t>Fornecimento e montagem de porta composta por estrutura em perfis facar 3x3cm e revestida a chapa de alumínio rebitada com 2mm esp. lacado a branco mate RAL 9003. Espessura total =40mm. A face exterior da porta receberá a estrutura de ripado que compõe a fachada (quantificado à parte). A guarnição da porta deverá ser feita com cantoneiras de aço inox 316 lacado a branco mate RAL 9003; Puxadores: JNF IN.07.207.D Ø25 (A=1250mm;B=12575mm); Dobradiças: Adequadas ao peso próprio da porta e lacadas à mesma cor da porta; Fechadura: Cilindro Europeu; Batente de chão: PADIMAT FB.S2C.16 (VI 0.1); Tudo conforme peças desenhadas e todos os trabalhos preparatórios e acessórios necessários a um perfeito funcionamento.</t>
  </si>
  <si>
    <t>VE 0.11 - Porta exterior de batente com ripado no lado exterior - RIP 0.2, com a dimensão de 0.85x2.11m.</t>
  </si>
  <si>
    <t>VE 0.12 - Porta exterior de batente com ripado no lado exterior - RIP 0.2, com a dimensão de 0.85x2.11m.</t>
  </si>
  <si>
    <t>Fornecimento e montagem de porta em cantoneira 40x40mm revestida a chapa de alumínio 3mm esp. acabamento anodizado. Articulada com quadros pré-fabricados em tubos de alúminio com secção quadrangular 50x50x3mm acabamento anodizado, que compõem a parede confinante, esp. total = 45mm; Guarnição lateral em cantoneira 40x40mm e tubo estrutural do tipo "facar" 40x40mm, acabamento anodizado; Ligação do tubo estrutural à laje atráves de patere metálico; Puxador: JNF IN.07.207.D Ø25 (A=1250mm;B=12575mm); Dobradiças: Adequadas ao peso próprio da porta e lacadas à mesma cor da porta; Fechadura: Cilindro Europeu; Tudo conforme peças desenhadas e todos os trabalhos preparatórios e acessórios necessários a um perfeito funcionamento.</t>
  </si>
  <si>
    <t>VE 00.13 - Porta Exterior de Batente, Dimensão de 0.80x2.13m.</t>
  </si>
  <si>
    <t>Fornecimento e montagem de porta sem aro com estrutura em perfil facar com secção 40x40mm, que serve de suporte para placa OSB 2cm esp. e acabamento a pastilha branca igual à parede contígua. Espessura total = 70mm; A dobradiça e fixação da mesma à parede é do critério do executante, e deve respeitar o peso próprio da porta; O objetivo desta porta é que não seja perceptível enquanto porta no plano da parede contígua com a mesma; Tudo conforme peças desenhadas e todos os trabalhos preparatórios e acessórios necessários a um perfeito funcionamento.</t>
  </si>
  <si>
    <t>VI 01.8 - Porta interior de 1 folha de batente (oculta), com a dimensão de 0.69x2.20m.</t>
  </si>
  <si>
    <t>Fornecimento e montagem de porta com: Aro em cantoneiras L 30x30mm e/ou 40x40mm, esp. = 5mm, em aço inox 316 escovado; Tela metálica cruzada em aço inoxidável; Perfis de fixação de tela em cantoneiras L 25x25mm, esp. ao critério do executante, em aço inoxidável 316, fixados ao aro por soldadura ou com parafusos de cabeça sextavada, oculta pelo lado exterior; Trinco Magnético; Tudo conforme peças desenhadas e todos os trabalhos preparatórios e acessórios necessários a um perfeito funcionamento.</t>
  </si>
  <si>
    <t>VE -01.6 - Dimensão de 0.74x2.30m, Vão de Sacada 1 Folha batente.</t>
  </si>
  <si>
    <t>VE -01.7 - Dimensão de 1.74x2.30m, Vão de Sacada 1 Folha batente.</t>
  </si>
  <si>
    <t>VE -01.8 - Dimensão de 0.75x2.20m, Vão de Sacada 1 Folha batente.</t>
  </si>
  <si>
    <t>Fornecimento e montagem de claraboia com execução de Aro Oculto pelo interior, ao critério do executante; Considerar Alumínio Anodizado à cor Natural ou outro material e acabamento semelhante ao zinco; VIDRO - Consultar projeto de Especialidades - Térmica; Tudo conforme peças desenhadas e todos os trabalhos preparatórios e acessórios necessários a um perfeito funcionamento.</t>
  </si>
  <si>
    <t>CLA 01 - Claraboia Fixa, dimensão 1.03x1.45m.</t>
  </si>
  <si>
    <t>Fornecimento e montagem de portão de garagem seccionado, "Portões LM INOX da Marca LMPerfis PS.040CA94", conforme especificações do projecto, incluindo sistema de abertura automática, comandos, sensores e todos os trabalhos preparatórios e acessórios necessários a um perfeito funcionamento.</t>
  </si>
  <si>
    <t>Ve -01.5 - Portão de Garagem Seccionado, dimensão 3.60x2.30m.</t>
  </si>
  <si>
    <t>Fornecimento e montagem de escada principal de acesso aos vários pisos da casa (ESC01):  Obs: A estrutura da escada já está  contemplada no projeto de estabilidade, considerar apenas a lacagem da  estrutura RAL 9003 Mate.  - Escada metálica suspensa acabada a réguas de madeira equivalente ao pavimento da casa; Fixação das escadas aos paramentos laterais, conforme pormenor, e guarda central em cabos de aço tensionados com fixação ao tecto e aos degraus, também conforme pormenor.
  - Guardas laterais em tubos de aço inox com Ø 4,24cm e suportes de corrimão -  M8 - JNF - IN.18.133.  - A composição dos degraus é em perfis metálicos conforme se encontram descritas no pormenor e deverá ser previstos reforços estruturais no apoios dos degraus às paredes de betão e para o apoio superior dos cabos de aço, conforme desenhado no respetivo pormenor.  - Topo das lajes forrados a chapa de  aço de 8mm (2un)  - Dimensões:  Pé direito total - 8780mm (A)  Medidas gerais - 3365x2075x6280mm (CxLxA)  Degraus - 280x1020x60mm (CxLxA)  Patamares de descanso - 2070x1220x100mm (CxLxA)</t>
  </si>
  <si>
    <t>Fornecimento e montagem de estores exteriores de rolo com caixa redonda em inox 110 ou 130mm - Motorizada WAREMA-CRUZFER Tecido Screen cor referência: 3511 da WAREMA + Suporte fixação do Cabo do Rolo + 2 cantoneiras de aço inox 316 escovado 150x75x5mm, incluindo acessórios e todos os trabalhos preparatórios e acessórios necessários a um perfeito funcionamento.</t>
  </si>
  <si>
    <t>Estore VE 01.5 - Dimensão de 5.93x2.92m.</t>
  </si>
  <si>
    <t>Estore VE 01.6 - Dimensão de 6.19x2.92m.</t>
  </si>
  <si>
    <t>Estore VE 01.7 - Dimensão de 4.94x2.92m.</t>
  </si>
  <si>
    <t>Estore VE 01.8 - Dimensão de 7.18x2.92m.</t>
  </si>
  <si>
    <t>Estore VE 00.9 - Dimensão de 2.54x2.94m.</t>
  </si>
  <si>
    <t>Estore VE 00.10 - Dimensão de 3.28x2.94m.</t>
  </si>
  <si>
    <t>Fornecimento e montagem de guarda composta por rede de nylon verde escura e varões de aço cravados no pavimento, incluindo maciços de fundação em betão pobre, cortes, remates e todos os trabalhos preparatórios e acessórios necessários a um perfeito acabamento.</t>
  </si>
  <si>
    <t>GUA 00.1 - Guarda com 0.97m de altura, composta por:  Medidas gerais: 4530x970mm (ml x A)  6x varões de Aço comprimento = 1200mm  6x Sapatas sobre gravilha  DIN=150x150x100mm.</t>
  </si>
  <si>
    <t>GUA 00.3 - Guarda com 0.97m de altura, composta por:  Medidas gerais: 8700x970mm (ml x A)  9x varões de Aço comprimento = 1200mm  9x Sapatas sobre gravilha  DIN=150x150x100mm</t>
  </si>
  <si>
    <t>GUA 00.4 - Guarda com 0.97m de altura, composta por:  Medidas gerais: 14000x970mm (ml x A)  15x varões de Aço comprimento = 1200mm  15x Sapatas sobre gravilha  DIN=150x150x100mm</t>
  </si>
  <si>
    <t>GUA 00.5 - Guarda com 0.97m de altura, composta por:  Medidas gerais: 14000x970mm (ml x A)  15x varões de Aço comprimento = 1200mm  15x Sapatas sobre gravilha  DIN=150x150x100mm</t>
  </si>
  <si>
    <t>Fornecimento e montagem de guarda em aço inox 316 escovado composta por vergalhões verticais com 8mmØ e 1050mm comprimento, com inclinação 93º relativamente ao pavimento, o corrimão da guarda é composto por uma barra rectangular com secção 50x20mm, a fixação da guarda ao pavimento faz-se com o auxílio de uma cantoneira de aço "L" com 150x150mm que deverá ser chumbada à laje inferior e ficar embebida na betonilha do pavimento, incluindo cortes, remates e todos os trabalhos preparatórios e acessórios necessários a um perfeito acabamento.</t>
  </si>
  <si>
    <t>GUA 00.2 - Guarda com 0.90m de altura, composta por:  Medidas gerais: 2650x900mm (ml x A)  26x Vergalhões verticais de Aço 8mmØ,  comprimento = 1050mm  1x Corrimão em barra de Aço secção  50x20mm, 2650mm  1x cantoneira de aço "L" com 150x150mm</t>
  </si>
  <si>
    <t>GUA 00.2 - Guarda com 0.90m de altura, composta por:  Medidas gerais: 25150x900mm (ml x A)  249x Vergalhões verticais de Aço 8mmØ,  comprimento = 1300mm  1x Corrimão em barra de Aço secção  50x20mm, 25150mm  1x cantoneira de aço "L" com 150x150mm</t>
  </si>
  <si>
    <t>RIPADOS</t>
  </si>
  <si>
    <t>Fornecimento e montagem de sistema de ensobreamento na fachada tardoz do Piso 1 composto por quadros pré-fabricados em tubos de alúminio com secção quadrangular 50x50x3mm lacados à cor RAL 9003; Fixação dos Quadros pré-fabricados à estrutura do edifício pelo lado posterior do quadro; Incluindo cortes, remates e todos os trabalhos preparatórios e acessórios necessários a um perfeito acabamento. (RP12)</t>
  </si>
  <si>
    <t>RIP 01.1 - Ripado com 2.80m de altura, composta por:  Medidas gerais - 25000x2800x50mm  (CxLxA)    Quadro #1 - 5080x2800x50mm (CxLxA)  Quadro #2/3/4 - 5000x2800x50mm (CxLxA)  Quadro #5 - 5080x2800x50mm (CxLxA)</t>
  </si>
  <si>
    <t>Fornecimento e montagem de revestimento da fachada do anexo do jardim composto por quadros pré-fabricados em tubos de alúminio com secção quadrangular 50x50x3mm acabamento anodizado; Fixação dos quadros pré-fabricados à estrutura do edifício pelo lado posterior do quadro; Os vãos VE 00.11 e VE 00.12 são abrangidos por estes elementos e a separação entre os tubos situados nas portas e os da fachadas é feita com uma junta de 1cm entre ambos; Incluindo cortes, remates e todos os trabalhos preparatórios e acessórios necessários a um perfeito acabamento. (RP12)</t>
  </si>
  <si>
    <t>RIP 00.2 - Ripado com 2.86m de altura, composta por:  Dimensões:  Fachada Norte - 2550x2860x50mm (CxLxA)  Fachada Sul - 2550x2860x50mm (CxLxA)  Fachada Nascente - 4350x2860x50mm  (CxLxA) Fachada Poente - 4350x2860x50mm (CxLxA)</t>
  </si>
  <si>
    <t>Fornecimento e montagem de Anexo do Estendal composto por quadros pré-fabricados em tubos de alúminio com secção quadrangular 50x50x3mm acabamento anodizado, configurando 4 paredes e uma cobertura no mesmo sistema; Fixação dos Quadros pré-fabricados à estrutura do edifício pelo pavimento, com recurso a tubos estruturais do tipo "facar" e pateres de ligação à laje; O vão VE 00.13 é abrangido por estes elementos e a separação entre os tubos situados nas portas e os da fachadas é feita com uma junta de 1cm entre ambos; Incluindo cortes, remates e todos os trabalhos preparatórios e acessórios necessários a um perfeito acabamento. (RP12)</t>
  </si>
  <si>
    <t>RIP 00.3 - Ripado com 2.86m de altura, composta por:  Dimensões:  Fachada Norte - 2550x2860x50mm (CxLxA)  Fachada Sul - 2550x2860x50mm (CxLxA)  Fachada Nascente - 2550x2860x50mm  (CxLxA) Fachada Poente - 4350x2860x50mm (CxLxA)</t>
  </si>
  <si>
    <t>Fornecimento e montagem de sistema de emsobreamento zona BBQ composto por quadro pré-fabricado em tubos de alúminio com secção quadrangular 50x50x3mm acabamento anodizado; Fixação dos Quadros pré-fabricados à estrutura do edifício pelo lado posterior do quadro; Incluindo cortes, remates e todos os trabalhos preparatórios e acessórios necessários a um perfeito acabamento. (RP12)</t>
  </si>
  <si>
    <t>RIP 00.3 - Ripado com 2.86m de altura, composta por:  Dimensões:  Quadro - 4000x1960x50mm (CxLxA)</t>
  </si>
  <si>
    <t>Fornecimento e montagem de caleira de pavimento com grelha em aço galvanizado, incluindo execução da caleira em betão com pendente, aro metálico e todos os trabalhos preparatórios e acessórios necessários a um perfeito acabamento.</t>
  </si>
  <si>
    <t>CAL 0.01 - Caleira com 0.35m de largura.</t>
  </si>
  <si>
    <t>CAL 0.02 - Caleira com 0.35m de largura, tipo ACO "BrickSlot".</t>
  </si>
  <si>
    <t>CAL 0.03 - Caleira com 0.10m de largura.</t>
  </si>
  <si>
    <t>Fornecimento e montagem de divisória entre master suite e is m.suite 2, em perfil tipo "facar", dimensões: 0.10x3.05x0.03m, composta por: Divisória entre Closet e IS M Suite
- Tubo tipo "Facar" 3050x190x30mm  - Lacagem a branco mate RAL 9003  - Ancoragem às lajes.  - Preenchimento com areia.  - Escova preta - altura completa  - Tudo conforme mapa de armários e  todos os trabalhos preparatórios e  acessórios necessários.</t>
  </si>
  <si>
    <t>2.10</t>
  </si>
  <si>
    <t>Fornecimento e montagem de bancada suspensa com lavatório embutido em Corian Branco mate RAL 9003 e armário suspenso com 2 gavetas em MDF Hidrófugo lacado a branco mate RAL 9003, incluindo fixações, acessórios, ligações e todos os trabalhos preparatórios e acessórios necessários a um perfeito funcionamento.</t>
  </si>
  <si>
    <t>BANC 01.1: 2.04m x 0.35m x 0.44m + ARM 01.1: 2.04m x 0.20m x 0.44m;  EXTERIOR: Portas, ilhargas de remate de topo de armário, em MDF Hidrófugo com  19 mm de esp., Lacado à cor a RAL 9003; INTERIOR: Caixotes e Prateleiras em Aglomerado de 19mm de esp., Melamina à cor RAL 7035;  BANCADA: em Corian, RAL 9003, esp. 2cm; CHAPA PERF: Chapa metálica perfurada,  Aço inox 316 escovado;  PUXADOR: ---;  CORREDIÇAS: Com amortecimento, "BLUM /  MOVENTO - BLUMOTION";</t>
  </si>
  <si>
    <t>BANC 01.2: 2.04m x 0.35m x 0.44m + ARM 01.2: 2.04m x 0.20m x 0.44m;  EXTERIOR: Portas, ilhargas de remate de topo de armário, em MDF Hidrófugo com  19 mm de esp., Lacado à cor a RAL 9003; INTERIOR: Caixotes e Prateleiras em Aglomerado de 19mm de esp., Melamina à cor RAL 7035;  BANCADA: em Corian, RAL 9003, esp. 2cm; CHAPA PERF: Chapa metálica perfurada,  Aço inox 316 escovado;  PUXADOR: ---;  CORREDIÇAS: Com amortecimento, "BLUM /  MOVENTO - BLUMOTION";</t>
  </si>
  <si>
    <t>BANC 01.3: 1.40m x 0.35m x 0.44m + ARM 01.3: 1.40m x 0.20m x 0.44m;  EXTERIOR: Portas, ilhargas de remate de topo de armário, em MDF Hidrófugo com  19 mm de esp., Lacado à cor a RAL 9003; INTERIOR: Caixotes e Prateleiras em Aglomerado de 19mm de esp., Melamina à cor RAL 7035;  BANCADA: em Corian, RAL 9003, esp. 2cm; CHAPA PERF: Chapa metálica perfurada,  Aço inox 316 escovado;  PUXADOR: ---;  CORREDIÇAS: Com amortecimento, "BLUM /  MOVENTO - BLUMOTION";</t>
  </si>
  <si>
    <t>LAVATÓRIO DE CHÃO</t>
  </si>
  <si>
    <t>Fornecimento e montagem de lavatório de chão cilindríco com corpo em betão à vista e peça de lavatório em Corian Branco Mate RAL 9003, incluindo fixações, acessórios, ligações e todos os trabalhos preparatórios e acessórios necessários a um perfeito funcionamento.</t>
  </si>
  <si>
    <t>BANC -01.1: 0.40m x 0.90m  -Corpo cilindrico em Betão-armado com  7cm esp., cofragem com bloco de
esferovite;  -Taça em Corian 5mm moldado conforme  desenho de pormenor; -Canalização de PVC com sifão vertical; -Acesso para manutenção através de rosca entre a válvula do lavatório e o sifão vertical;  -Prever reforço e alinhamento da  canalização do esgoto ao corpo de  betão.</t>
  </si>
  <si>
    <t>BANC 00.4: 0.40m x 0.90m  -Corpo cilindrico em Betão-armado com  7cm esp., cofragem com bloco de
esferovite;  -Taça em Corian 5mm moldado conforme  desenho de pormenor; -Canalização de PVC com sifão vertical; -Acesso para manutenção através de rosca entre a válvula do lavatório e o sifão vertical;  -Prever reforço e alinhamento da  canalização do esgoto ao corpo de  betão.</t>
  </si>
  <si>
    <t>BANC 00.5: 0.40m x 0.90m  -Corpo cilindrico em Betão-armado com  7cm esp., cofragem com bloco de
esferovite;  -Taça em Corian 5mm moldado conforme  desenho de pormenor; -Canalização de PVC com sifão vertical; -Acesso para manutenção através de rosca entre a válvula do lavatório e o sifão vertical;  -Prever reforço e alinhamento da  canalização do esgoto ao corpo de  betão.</t>
  </si>
  <si>
    <t>LOIÇAS SANITÁRIAS</t>
  </si>
  <si>
    <t>Fornecimento e montagem de calha para duche, 90cm, acabamento "INOX", modelo "CALHA PARA DUCHE GEBERIT CLEANLINE20", marca "GEBERITE", Ref. 154.450.KS.1, incluindo fixações, ligações e todos os trabalhos preparatórios e acessórios necessários a um perfeito funcionamento. (EQ08)</t>
  </si>
  <si>
    <t>Fornecimento e montagem de banheira de chão, dimensão 160x75cm, acabamento "BRANCO", modelo "ONE BB1.20", marca "PADIMAT", Ref. BB1.20.16075, incluindo fixações, ligações e todos os trabalhos preparatórios e acessórios necessários a um perfeito funcionamento. (EQ09)</t>
  </si>
  <si>
    <t>Fornecimento e montagem de sanita suspensa, acabamento "BRANCO", modelo "BORMIO, SANITA SUSPENSA BR18", marca "PADIMAT", Ref. 5603313495638, com tampo de queda amortecida, incluindo KOMBIFIX, 8cm, modelo "ESTRUTURA GEBERIT KOMBIFIX PARA SANITA SUSPENSA, 109 cm, COM AUTOCLISMO DE INTERIOR SIGMA 8 cm, CURVA DE DESCARGA DE PVC", marca "GEBERITE", Ref. 110.793.00.1, acessórios, ligações e todos os trabalhos preparatórios e acessórios necessários a um perfeito funcionamento. (EQ10) (EQ11)</t>
  </si>
  <si>
    <t>Fornecimento e montagem de placa de descarga, 24.6x16.4cm, modelo "PLACA DE COMANDO DE DESCARGA GEBERIT DELTA10 PARA DESCARGA INTERROMPÍVEL, APARAFUSÁVEL", marca "GEBERITE", Ref. 115.101.00.5, incluindo fixações e todos os trabalhos preparatórios e acessórios necessários a um perfeito funcionamento. (EQ12)</t>
  </si>
  <si>
    <t>Fornecimento e montagem de placa de descarga, acabamento "INOX", modelo "PLACA À DISTÂNCIA GEBERIT SÉRIE 10 PNEUMÁTICA, PARA DESCARGA DUPLA, PARA AUTOCLISMO DE INTERIOR SIGMA 8 CM, PLACA EMBUTIDA", marca "GEBERITE", Ref. 116.056.JQ.1, incluindo fixações e todos os trabalhos preparatórios e acessórios necessários a um perfeito funcionamento. (EQ13)</t>
  </si>
  <si>
    <t>Fornecimento e montagem de torneira de passagem, acabamento "CROMADO", modelo "TORNEIRA DE PASSAGEM 3/4" - QUADRA", marca "BRUMA", Ref. 82775232, incluindo ligações e todos os trabalhos preparatórios e acessórios necessários a um perfeito funcionamento. (EQ01)</t>
  </si>
  <si>
    <t>Fornecimento e montagem de válvula, ACABAMENTO "INOX", modelo "VÁLVULA CLIC-CLAC 1 ¼" - ELO|X-ALPHA", marca "BRUMA", Ref. 186 001 0IS, incluindo todos os trabalhos preparatórios e acessórios necessários a um perfeito funcionamento. (EQ02)</t>
  </si>
  <si>
    <t>Fornecimento e montagem de monocomando lavatório, acabamento "INOX", modelo "MONOCOMANDO DE LAVATÓRIO 2 FUROS, MONTAGEM À BANCADA|X-ALPHA", marca "BRUMA", Ref. 186 220 1IS, incluindo ligações e todos os trabalhos preparatórios e acessórios necessários a um perfeito funcionamento. (EQ03)</t>
  </si>
  <si>
    <t>Fornecimento e montagem de monocomando lavatório de parede, acabamento "INOX", modelo "MONOCOMANDO DE LAVATÓRIO À PAREDE, COM 2 FUROS. BICA COM 150 MM|X-ALPHA", marca "BRUMA", Ref. 186 850 2IS, incluindo ligações e todos os trabalhos preparatórios e acessórios necessários a um perfeito funcionamento. (EQ04)</t>
  </si>
  <si>
    <t>Fornecimento e montagem de monocomando banheira chão, acabamento "INOX", modelo "MONOCOMANDO DE BANHEIRA E DUCHE, MONTAGEM AO CHÃO", marca "BRUMA", Ref. 186 980 2IS. OPÇÃO: MANÍPULO 2, Ref. 186 980 2IS, incluindo ligações e todos os trabalhos preparatórios e acessórios necessários a um perfeito funcionamento. (EQ05)</t>
  </si>
  <si>
    <t>Fornecimento e montagem de torneira bidé, acabamento "INOX COM MANGA PRETA", modelo "TORNEIRA PARA BIDÉ WC, ABERTURA 90°, EM AÇO INOX | X-ALPHA", marca "BRUMA", Ref. 186 513 6IS, incluindo ligações e todos os trabalhos preparatórios e acessórios necessários a um perfeito funcionamento. (EQ06)</t>
  </si>
  <si>
    <t>Fornecimento e montagem de conjunto chuveiro, acabamento "INOX COM MANGA PRETA", modelo "SISTEMA EMBUTIDO DE DUCHE COM CHUVEIRO DE PAREDE Ø250 MM E KIT DE CHUVEIRO MÃO ", marca "BRUMA", Ref. 186 782 1IS, MANGUEIRA PRETA E OPÇÃO MANÍPULO 2, Ref. 186 782 2IS + 186 562 2IS, incluindo ligações e todos os trabalhos preparatórios e acessórios necessários a um perfeito funcionamento. (EQ07)</t>
  </si>
  <si>
    <t>Fornecimento e montagem de monocomando lavatório de parede, acabamento "INOX", modelo "MONOCOMANDO DE LAVATÓRIO À PAREDE, COM 2 FUROS, BICA COM 230 MM|X-ALPHA", marca "BRUMA", Ref. 186 840 2IS, incluindo ligações e todos os trabalhos preparatórios e acessórios necessários a um perfeito funcionamento. (EQ18)</t>
  </si>
  <si>
    <t>Fornecimento e montagem de porta-rolo de papel, acabamento "INOX", modelo "INOX, PORTA-ROLO DE PAPEL", marca "LOJA AREA", Ref. 84633, incluindo acessórios, fixações e todos os trabalhos preparatórios e acessórios necessários a um perfeito funcionamento. (EQ14)</t>
  </si>
  <si>
    <t>Fornecimento e montagem de toalheiro, 65cm, acabamento "INOX", modelo "INOX, TOALHEIRO 65CM", marca "LOJA AREA", Ref. 84635, incluindo fixações e todos os trabalhos preparatórios e acessórios necessários a um perfeito funcionamento. (EQ15)</t>
  </si>
  <si>
    <t>Fornecimento e montagem de sifão para lavatório, acabamento cromado, modelo "ELO", marca "BRUMA", Ref. 1370001CR, incluindo fixações e todos os trabalhos preparatórios e acessórios necessários a um perfeito funcionamento. (EQ16)</t>
  </si>
  <si>
    <t>Fornecimento e montagem de sifão vertical para lavatório circular do tipo "JIMTEN 1.1/4X32", acesso para manutenção ao desenroscar o prato do lavatório em corian, incluindo fixações e todos os trabalhos preparatórios e acessórios necessários a um perfeito funcionamento. (EQ17)</t>
  </si>
  <si>
    <t>Fornecimento e montagem de banco suspenso com a dimensão 0.60x0.51x2.10 (LxHxC), maciço em betão-armado revestido a pastilha igual à parede confinante, incluindo reforço estrutural para fixar o banco à parede e todos os trabalhos preparatórios e acessórios necessários a um perfeito acabamento.</t>
  </si>
  <si>
    <t>Fornecimento e montagem de resguardos em vidro temperado 12mm de espessura, acabamento extra claro, para bases de duche, dimensões e caracteristicas conforme peças desenhadas, incluindo ferragens, puxadores, acessórios, fixações e todos os trabalhos preparatórios e acessórios necessários a um perfeito funcionamento.</t>
  </si>
  <si>
    <t>Fornecimento e montagem de espelhos circulares em vidro cristal de 6mm, diâmetro 40cm, com aro em aço inox 316 escovado 6mm esp, incluindo sistema de fixação conforme indicado mas peças desenhadas e todos os trabalhos preparatórios e acessórios necessários a um perfeito acabamento.</t>
  </si>
  <si>
    <t>Fornecimento e montagem de espelhos em vidro cristal de 6mm, incluindo sistema de fixação conforme indicado mas peças desenhadas (colado à superfície do paramento, complanar com o restante paramento), e todos os trabalhos preparatórios e acessórios necessários a um perfeito acabamento.</t>
  </si>
  <si>
    <t>2.11</t>
  </si>
  <si>
    <t>EQUIPAMENTOS COZINHA E LAVANDARIA</t>
  </si>
  <si>
    <t>Fornecimento e montagem completa de móveis inferiores, superiores e altos de cozinha, em MDF Hidrófugo com 19mm de esp., lacado à cor RAL 9003, incluindo caixotes, portas, gavetas, prateleiras, rodapés, ferragens, iluminação, fixações, cortes, remates, tudo de acordo com mapa de armários e todos os trabalhos preparatórios e acessórios necessários a um perfeito acabamento.</t>
  </si>
  <si>
    <t>BANC00.1 + ARM00.5, com a dimensão 2.60x0.90x1.00m</t>
  </si>
  <si>
    <t>BANC00.2 + ARM00.6, com a dimensão 4.20x2.49x0.62m</t>
  </si>
  <si>
    <t>Fornecimento e montagem de bancada de cozinha em MDF Hidrófugo de 19mm, revestida a chapa de aço inox 316 escovado 3mm espessura, incluindo revestimento do nicho da bancada, furações, fixações, cortes, arestas e todos os trabalhos preparatórios e acessórios necessários a um perfeito acabamento.</t>
  </si>
  <si>
    <t>BANC00.1, com a dimensão 2.60x1.00m</t>
  </si>
  <si>
    <t>BANC00.2, com a dimensão 1.76x0.62m</t>
  </si>
  <si>
    <t>Fornecimento e montagem de lava-loiças 100cm, acabamento "SOFT WHITE", modelo "AXIA III 6 S", marca "BLANCO", Ref. 525849, incluindo acessórios, sifão e válvula, ligações e todos os trabalhos preparatórios e acessórios necessários a um perfeito funcionamento. (EQ01)</t>
  </si>
  <si>
    <t>Fornecimento e montagem de torneira, acabamento "INOX COM MANGA PRETA", modelo "MONOCOMANDO DE LAVA LOIÇA, BICA GIARATÓRIA, CHUVEIRO EXTENSÍVEL 2 JATOS", marca "BRUMA", Ref. 197 011 1IS ., incluindo ligações e todos os trabalhos preparatórios e acessórios necessários a um perfeito funcionamento. (EQ02)</t>
  </si>
  <si>
    <t>Fornecimento e montagem de separador de resíduos, 56.8 x 45x 45.8cm, modelo "SELECT II 60/3 Orga", marca "BLANCO", Ref. 526209, incluindo todos os trabalhos preparatórios e acessórios necessários a um perfeito funcionamento. (EQ03)</t>
  </si>
  <si>
    <t>Fornecimento e montagem de forno integrável, dimensão 90x60cm, acabamento "INOX", modelo "SERIE 6", marca "BOSCH", Ref. VBD5780S0, incluindo fixações, ligações e todos os trabalhos preparatórios e acessórios necessários a um perfeito funcionamento. (EQ04)</t>
  </si>
  <si>
    <t>Fornecimento e montagem de frigorifico de integrar, dimensão 177.5x56cm, modelo "SERIE 4, FRIGORÍFICO COM COMPARTIMENTO DE CONGELAÇÃO INTEGRÁVEL", marca "BOSCH", Ref. KIL82VFE0, incluindo fixações, ligações e todos os trabalhos preparatórios e acessórios necessários a um perfeito funcionamento. (EQ05)</t>
  </si>
  <si>
    <t>Fornecimento e montagem de congelador de integrar, dimensão 177.2x55.8cm, modelo "SERIE 4", marca "BOSCH", Ref. GIN81VEE0, incluindo fixações, ligações e todos os trabalhos preparatórios e acessórios necessários a um perfeito funcionamento. (EQ06)</t>
  </si>
  <si>
    <t>Fornecimento e montagem de micro-ondas integrável, dimensão 59.4x29.7x38.2cm, acabamento "PRETO", modelo "SERIE 6, MARCA "BOSCH", Ref. BFL524MB0, incluindo fixações, ligações e todos os trabalhos preparatórios e acessórios necessários a um perfeito funcionamento. (EQ07)</t>
  </si>
  <si>
    <t>Fornecimento e montagem de placa de indução, dimensão 81.6x52.7cm, modelo "SERIE 8, 80 CM, PRETO, INSTALAÇÃO NA SUPERFÍCIE COM MOLDURA", marca "BOSCH", Ref. PXV875DV1E, incluindo fixações, ligações e todos os trabalhos preparatórios e acessórios necessários a um perfeito funcionamento. (EQ08)</t>
  </si>
  <si>
    <t>Fornecimento e montagem de exaustor completo de ilha, dimensão 133x38cm, acabamento "BRANCO", modelo "EXAUSTOR BOLEA", marca "KARLSTEIN", Ref. 10041225, incluindo conduta de chaminé, fixações, ligações e todos os trabalhos preparatórios e acessórios necessários a um perfeito funcionamento. (EQ09)</t>
  </si>
  <si>
    <t>Fornecimento e montagem de despenseiro de integrar, modelo "UTRUSTA, DESPENSA EXTRAÍVEL", marca "IKEA", Ref. 505.153.46, incluindo fixações e todos os trabalhos preparatórios e acessórios necessários a um perfeito funcionamento. (EQ10)</t>
  </si>
  <si>
    <t>Fornecimento e montagem de calha para arrumação, 56cm, acabamento "AÇO INOXIDAVEL", modelo "KUNGSFORS, CALHA, AÇO INOXIDÁVEL, 56 cm", marca "IKEA", Ref. 403.349.16, incluindo fixações e todos os trabalhos preparatórios e acessórios necessários a um perfeito funcionamento. (EQ11)</t>
  </si>
  <si>
    <t>Fornecimento e montagem de suporte magnético para facas, acabamento "AÇO INOXIDAVEL", modelo "KUNGSFORS, SUPORTE MAGNÉTICO P/FACAS", MARCA "IKEA", Ref. 403.349.21, incluindo fixações e todos os trabalhos preparatórios e acessórios necessários a um perfeito funcionamento. (EQ12)</t>
  </si>
  <si>
    <t>Fornecimento e montagem de máquina de lavar loiça integrável, dimensão 59.8x55x81.5cm, modelo "SERIE 4, marca "BOSCH", Ref. SMV4ECX21E, incluindo ligações, fixações e todos os trabalhos preparatórios e acessórios necessários a um perfeito funcionamento. (EQ13)</t>
  </si>
  <si>
    <t>Fornecimento e montagem de máquina de lavar roupa, dimensão 59.8x59x84.8cm, modelo "SERIE 6, CARGA FRONTAL, 10 KG, 1400 RPM", marca "BOSCH", Ref. WAL28PH1ES, incluindo ligações e todos os trabalhos preparatórios e acessórios necessários a um perfeito funcionamento. (EQ14)</t>
  </si>
  <si>
    <t>Fornecimento e montagem de máquina de secar roupa, dimensão 59.8x59x84.2cm, modelo "SERIE 4, BOMBA DE CALOR, 8 KG", marca "BOSCH", Ref. WTR85V92ES, incluindo ligações e todos os trabalhos preparatórios e acessórios necessários a um perfeito funcionamento. (EQ15)</t>
  </si>
  <si>
    <t>2.12</t>
  </si>
  <si>
    <t>Fornecimento e montagem de cave de vinho "SIEMENS", Ref: KW36KATGA, dimensão 60x61x186mm, incluindo ligações e todos os trabalhos preparatórios e acessórios necessários a um perfeito funcionamento. (EQ15)</t>
  </si>
  <si>
    <t>Fornecimento e montagem de recuperador (LAR 00.1), da marca "UNICHAMA", modelo "M-DESING LUNA DIAMON 1000 RD", incluindo tubo de exaustão, fixações, ligações e todos os trabalhos preparatórios e acessórios necessários a um perfeito funcionamento. (EQ16)</t>
  </si>
  <si>
    <t>TELAS DE SOMBREAMENTO INTERIOR</t>
  </si>
  <si>
    <t>Fornecimento e montagem de cortinas interiores motorizadas "Guia de Cortina "REPRESTOR" Cortin ER 50 + Tecido
Voile Visillo 300 cm - creme = DIM 01.10x02.88 (LxH)", incluindo acessórios do sistema, fixações e todos os trabalhos preparatórios e acessórios necessários a um perfeito funcionamento.  (EXCLUIDO A CORTINA EM TECIDO)</t>
  </si>
  <si>
    <t>VE 01.1 - Dimensão de 1.10x2.88m.</t>
  </si>
  <si>
    <t>VE 01.2 - Dimensão de 4.68x2.92m.</t>
  </si>
  <si>
    <t>VE 01.3 - Dimensão de 4.61x2.92m.</t>
  </si>
  <si>
    <t>VE 01.4 - Dimensão de 3.04x2.92m.</t>
  </si>
  <si>
    <t>VE 01.5 - Dimensão de 5.93x2.92m.</t>
  </si>
  <si>
    <t>VE 01.6 - Dimensão de 6.19x2.92m.</t>
  </si>
  <si>
    <t>VE 01.7 - Dimensão de 4.94x2.92m.</t>
  </si>
  <si>
    <t>VE 01.8 - Dimensão de 7.18x2.92m.</t>
  </si>
  <si>
    <t>VE 00.1 - Dimensão de 7.24x2.94m.</t>
  </si>
  <si>
    <t>VE 00.4 - Dimensão de 2.58x2.92m.</t>
  </si>
  <si>
    <t>VE 00.6 - Dimensão de 17.33x2.94m.</t>
  </si>
  <si>
    <t>VE 00.7 - Dimensão de 4.74x2.94m.</t>
  </si>
  <si>
    <t>VE 00.8 - Dimensão de 1.98x2.94m.</t>
  </si>
  <si>
    <t>VE 00.9 - Dimensão de 2.54x2.94m.</t>
  </si>
  <si>
    <t>VE 00.10 - Dimensão de 3.28x2.94m.</t>
  </si>
  <si>
    <t>VE -01.1 - Dimensão de 4.18x2.36m.</t>
  </si>
  <si>
    <t>VE -01.2 - Dimensão de 2.21x2.36m.</t>
  </si>
  <si>
    <t>Fornecimento e execução completa de bancada e armário exterior BBQ composta por 1 lava-loiças e 1 grelha BBQ integrada na bancada, 1 torneira, incluindo armários, gavetas, rodapé, bancada em MDF Hidrófugo de 19mm com o acabamento respectivo, ferragens, iluminação LED, ligações, tudo conforme descrito no desenho de pormenor e especifcações do projecto e todos os trabalhos preparatórios e acessórios necessários a um perfeito acabamento.</t>
  </si>
  <si>
    <t>BANC 00.6 + ARM 00.10 - Dimensão de 3.60x0.90x0.60m.</t>
  </si>
  <si>
    <t>Fornecimento e execução de banco corrido do deck com a dimensão de 10.00x0.60x0.45m, composto por tábuas de madeira de pinho 20x220x2200mm, tratamento autoclave, acabamento verniz mate à cor natural, aparafusamento simétrico, incluindo estrutura metálica interna de suporte, cortes, remates, fixações ao pavimento e todos os trabalhos preparatórios e acessórios necessários a um perfeito acabamento. (PV11)</t>
  </si>
  <si>
    <t>FIREPIT</t>
  </si>
  <si>
    <t>Fornecimento e execução completa de FIREPIT com a dimensão de 5.00x5.00m, composto por muretes periféricos em alvenaria rebocada e pintada, capeamento em lajetas de cimento (armado) com 40mm de esp., área interior em betonilha afagada com criação de pendentes, incluindo ralo de pavimento e todos os trabalhos preparatórios e acessórios necessários a um perfeito acabamento.</t>
  </si>
  <si>
    <t>2.13</t>
  </si>
  <si>
    <t>Fornecimento e execução de muros exteriores com 1.40m de altura, constituídos por 1 pano em alvenaria de blocos de betão com 50x20x25cm, incluindo argamassa de cimento e areia ao traço de 1:3, pilaretes de travamento em betão armado com a dimensão de 20x20cm de 3 em 3 metros, fundação em betão armado, betão de limpeza, lintel superior em betão armado e todos os trabalhos preparatórios e acessórios necessários a um perfeito acabamento.</t>
  </si>
  <si>
    <t>Fornecimento e execução de reboco areado fino ao traço 1:4, em muros exteriores, incluindo salpico e emboço e todos os trabalhos preparatórios e acessórios necessários a um perfeito acabamento.</t>
  </si>
  <si>
    <t>Fornecimento e execução de pintura a tinta 100% acrilíca, "CIN - NOVATEX - Ref.ª 12-230", na cor Cinza RAL 7035, em 2 a 3 demãos, sobre reboco, incluindo limpeza prévia de superfícies, aplicação de 1 demão de primário "EP/GC 300 - Ref.ª 10-600" e todos os trabalhos preparatórios e acessórios necessários a um perfeito acabamento.</t>
  </si>
  <si>
    <t>Fornecimento e montagem de vedação com 1.40m de altura, composta por estacas em perfil tubular ou de secção quadrada 50x50mm, pintadas à cor RAL 6005, para suporte de rede galinheiro em aço, plastificada, de acordo com desenho de pormenor, incluindo execução de maciço de fundação, fixações, cortes, remates e todos os trabalhos preparatórios e acessórios necessários a um perfeito acabamento.</t>
  </si>
  <si>
    <t>Fornecimento e montagem de cantoneiras em remates de pavimentos exteriores, chumbadas a bordo de lintel em betão armado, chanfrado, de acordo com desenho de pormenor, incluindo execução de maciço de fundação, fixações, cortes, remates e todos os trabalhos preparatórios e acessórios necessários a um perfeito acabamento.</t>
  </si>
  <si>
    <t>NICHO DE ENTRADA</t>
  </si>
  <si>
    <t>Fornecimento e execução de reboco areado fino ao traço 1:4, em paredes exteriores, incluindo salpico e emboço e todos os trabalhos preparatórios e acessórios necessários a um perfeito acabamento.</t>
  </si>
  <si>
    <t>Fornecimento e execução de pavimento e escada ESC04 em betonilha afagada, acabamento a hidrufugante da SIKAGARD 680-S incolor mate, incluindo betonilha de enchimento/regularização, remates e todos os trabalhos preparatórios e acessórios necessários a um perfeito acabamento.</t>
  </si>
  <si>
    <t>Fornecimento e montagem de cobertura com estrutura tipo "facar" revestida a chapa de alumínio, acabamento anodizado, de acordo com desenho de pormenor, incluindo, cortes, remates, soldaduras, fixações e todos os trabalhos preparatórios e acessórios necessários a um perfeito acabamento.</t>
  </si>
  <si>
    <t>Fornecimento e montagem de portão pedestre de batente composto por estrutura tipo "facar" 40x40mm, revestido a chapa de alumínio 3mm esp. acabamento anodizado, espessura total = 180mm, conforme peças desenhadas, incluindo ferragens e todos os trabalhos preparatórios e acessórios necessários a um perfeito funcionamento.</t>
  </si>
  <si>
    <t>POR 00.1 - Portão Pedestre, dimensão de 1.41x2.00m.</t>
  </si>
  <si>
    <t>Fornecimento e montagem de portão de correr, de acesso à rampa da garagem, composto por estrutura tipo "facar" 40x40mm, revestido a chapa de alumínio 3mm esp. acabamento anodizado, espessura total = 180mm, conforme peças desenhadas, incluindo cremalheira e guia de portão metálica situada na paredes, canal de pavimento, motor, ferragens e todos os trabalhos preparatórios e acessórios necessários a um perfeito funcionamento.</t>
  </si>
  <si>
    <t>POR 00.2 - Portão Automóvel, dimensão de 3.63x1.40m.</t>
  </si>
  <si>
    <t>Fornecimento e montagem de armários metálicos compostos por:  EXTERIOR: Portas compostas por  estrutura tipo "facar" 40x40mm  revestido a chapa de alumínio anodizada 3mm esp.
INTERIOR: Interior revestido a chapa
de alumínio anodizada 3mm esp.
PUXADOR: N/A  DOBRADIÇAS: "BLUM / CLIP" com  amortecedor    FECHADURA: Tipo cacifo  CORREIO: Portinhola em chapa de
 alumínio anodizado e dobradiça de piano.  CAMPAINHA: Control4® DS2 Mini Door  Station, flush mount. REF: C4-DS2MINI-BN + C4-DS2MINIFP-BN</t>
  </si>
  <si>
    <t>ARM 00.13 - Dimemsão 2.07x2.30x0.58m, Armário composto por 3 frentes, 2 de abrir e 1 fixa. inclui caixa de correio e campainha. ( EXCLUIDO A CAMPAINHA)</t>
  </si>
  <si>
    <t>ARM 00.14 - Dimemsão 2.07x2.30x0.58m, Armário composto por 2 frentes. inclui contadores.</t>
  </si>
  <si>
    <t>Fornecimento e montagem de caleira de pavimento com grelha em aço galvanizado, com 0.15m de largura, incluindo execução da caleira em betão com pendente, aro metálico e todos os trabalhos preparatórios e acessórios necessários a um perfeito acabamento.</t>
  </si>
  <si>
    <t>ESPECIALIDADES</t>
  </si>
  <si>
    <t>Limpeza geral de terreno que inclui todo o tipo de trabalhos de limpeza, remoção, desmatação e abate de espécies arbóreas, existentes e necessários ao cumprimento geral dos projetos.</t>
  </si>
  <si>
    <t>Execução de escavação geral para implantação da estrutura da moradia, piscina e muros em terreno de qualquer natureza (incluindo rocha), de forma a atingir as cotas de arranque das fundações, assim como a execução de trabalhos de entivação, escoramentos, esgotos, incluindo todos os trabalhos inerentes.</t>
  </si>
  <si>
    <t>Execução de aterros na zona da moradia, piscina e terraços exteriores, com produtos provenientes da escavação, incluindo espalhamento e compactação devidamente executada, com meios mecânicos, em camadas com espessura máxima de 0,30m, empregando àgua na quantidade conveniente à sua perfeita compactação, para obtenção de níveis de projeto, incluindo todos os trabalhos inerentes.</t>
  </si>
  <si>
    <t>Transporte a vazadouro</t>
  </si>
  <si>
    <t>Transporte, carga e descarga de terras sobrantes, da zona da moradia, a vazadouro, incluindo empolamento de 20%, bem como todos os trabalhos inerentes.</t>
  </si>
  <si>
    <t>ESTABILIDADE E CONTENÇÃO PERIFÉRICA</t>
  </si>
  <si>
    <t>Elementos de Betão Armado</t>
  </si>
  <si>
    <t>Fornecimento e aplicação de betão de limpeza com Betão C12/15, com classe de exposição X0, Cl 1.0, Dmax 25mm, S3, com espessura de 5 cm sob os elementos de fundação, incluíndo prévia regularização e compactação de fundo das caixas, aplicada na figura geométrica dos seguintes elementos:</t>
  </si>
  <si>
    <t>Em sapatas, sapatas de muros, muros limite, vigas de fundação e lajes de fundação</t>
  </si>
  <si>
    <t>Fornecimento e aplicação de Betão C30/37, com classe de exposição XC2, Cl 0.4, Dmax 20mm, S3 , incluindo vibração, e todos os trabalhos inerentes e necessários ao seu perfeito acabamento nos seguintes elementos:</t>
  </si>
  <si>
    <t>Em sapatas</t>
  </si>
  <si>
    <t>Em sapatas de muros e paredes</t>
  </si>
  <si>
    <t>Fornecimento e aplicação de Betão C30/37, com classe de exposição XC2, Cl 0.4, Dmax 20mm, S4 , incluindo vibração, e todos os trabalhos inerentes e necessários ao seu perfeito acabamento nos seguintes elementos:</t>
  </si>
  <si>
    <t>Pilares do muro de cave</t>
  </si>
  <si>
    <t>Muros de cave/ suporte/ paredes</t>
  </si>
  <si>
    <t>Escada Exterior</t>
  </si>
  <si>
    <t>Fornecimento e aplicação de Betão C40/50, com classe de exposição XS1, Cl 0.2, Dmax 20mm, S4 , incluindo vibração, e todos os trabalhos inerentes e necessários ao seu perfeito acabamento nos seguintes elementos:</t>
  </si>
  <si>
    <t>Fornecimento e aplicação de Betão C40/50, com classe de exposição XS1, Cl 0.2, Dmax 16mm, S4 , incluindo vibração, e todos os trabalhos inerentes e necessários ao seu perfeito acabamento nos seguintes elementos:</t>
  </si>
  <si>
    <t>Fornecimento e aplicação de Betão C40/50, com classe de exposição XD2, Cl 0.2, Dmax 20mm, S4, em elementos da piscina, tanque de compensação e espelho de água, incluindo vibração, e todos os trabalhos inerentes e necessários ao seu perfeito acabamento nos seguintes elementos:</t>
  </si>
  <si>
    <t>Armaduras de Aço</t>
  </si>
  <si>
    <t>Fornecimento, armação e colocação de Aço A500NR SD, em armaduras dos elementos estruturais, incluindo desperdícios, empalmes, arame recozido, meios e equipamentos e todos os trabalhos inerentes e necessários ao seu perfeito acabamento nos seguintes elementos:</t>
  </si>
  <si>
    <t>Sapatas</t>
  </si>
  <si>
    <t>Sapatas de muro/ paredes</t>
  </si>
  <si>
    <t>Laje de Fundação</t>
  </si>
  <si>
    <t>Muros de cave/ suporte e Paredes</t>
  </si>
  <si>
    <t>Piscina (lajes, muros e tanque de compensação)</t>
  </si>
  <si>
    <t>Cofragem</t>
  </si>
  <si>
    <t>Fornecimento e montagem de cofragem em elementos de betão armado, constituída por preparação de plano de cofragem e definição da mesma consoante o elemento a cofrar e aplicação de óleo descofrante de reconhecida qualidade, incluindo estruturas de suporte, descofragem, mão-de-obra e todos os trabalhos e materiais acessórios necessários à sua correta execução, considerando ainda a preparação dos negativos a deixar nos elementos de betão impostos pelas instalações das redes de águas, esgotos, eletricidade, ventilação, ar condicionado e outras instalações não descritas e todos os trabalhos inerentes e necessários ao seu perfeito acabamento nos seguintes elementos:</t>
  </si>
  <si>
    <t>Sapatas de muros de cave e paredes</t>
  </si>
  <si>
    <t>Muros de cave/ paredes</t>
  </si>
  <si>
    <t>Fornecimento e montagem de cofragem em elementos de betão aparente armado, com painéis de contraplacado marítimo, perfis quebra cantos em PVC (1x1cm) e acabamento com três demãos de verniz incolor mate, da Diera ou equivalente, formulado à base de um polímero acrílico puro e aditivos, que possui alta resistência à alcalinidade e à saponificação, apresenta elevada aderência e previne o crescimento de fungos, ou equivalente, bem como aplicação de óleo descofrante de reconhecida qualidade, incluindo estruturas de suporte, descofragem, mão-de-obra e todos os trabalhos e materiais acessórios necessários à sua correta execução, considerando ainda a preparação de plano de cofragem incluíndo contra-flechas, desenhos de montagem, faseamento e escoramento dos painéis a executar, bem como a preparação dos negativos a deixar nos elementos de betão impostos pelas instalações das redes de águas, esgotos, eletricidade, iluminação, ventilação, ar condicionado e outras instalações não descritas e todos os trabalhos inerentes e necessários ao seu perfeito acabamento nos seguintes elementos:</t>
  </si>
  <si>
    <t>Em muros/ paredes</t>
  </si>
  <si>
    <t>Elementos de Pré-Esforço</t>
  </si>
  <si>
    <t>Fornecimento e aplicação de pré-esforço por pós tensionamento em elementos estruturais, (baixa relaxação - EN1992-1-1-Classe 2): Y1860 S7 15,3, sistema TTM da "FERCA" composto por: cabos especiais designados monocordões Ø 0.6" do tipo A=140 mm², tensão de rotura características à tração do aço de 1860N/mm²,, TBR CLASSE II, ancoragens ativas e ancoragens passivas, colocados na posição indicada nos desenhos com tolerância horizontal +/- 2.cm e verticais com +/- 0.5cm, incluindo todos os fornecimentos, restantes peças e /ou de fixação necessários mas não descritos, todos os trabalhos preparatórios, selagens e cortes, bem como todos os restantes acessórios e trabalhos necessários a um bom acabamento.  De acordo com indicações do  fabricante/fornecedor, elementos de  projeto e do seguinte tipo:</t>
  </si>
  <si>
    <t>Cabos de pré-esforço</t>
  </si>
  <si>
    <t>Fornecimento e montagem de aligeiramento com sistema Cobiax Ref. COBIAX CBCM-S-180 da "FERCA", para lajes de espessura igual a 30cm, constituído por elemento de aligeiramento composto por suporte metálico e elipsoides em polipropileno (PP) reciclado, incluindo todos os trabalhos preparatórios, peças e/ou elementos de fixação não descritos, cortes e remates, bem como todos os restantes acessórios e e todos os trabalhos inerentes e necessários ao seu perfeito assentamento.</t>
  </si>
  <si>
    <t>Elementos de Aço Laminado a Quente</t>
  </si>
  <si>
    <t>Fornecimento e montagem de pilares em aço laminado S275 J0, protegidos da ação do fogo através de aplicação de pintura intumescente, garantido o índice de proteção R 30, incluindo decapagem, metalização e todos os trabalhos inerentes e necessários ao seu perfeito acabamento nos seguintes elementos (Nota: Na base dos pilares metálicos, a zona do pilar em contacto com as betonilhas e os enchimentos, mesmo depois de metalizado, pode sofrer oxidação, pelo que esta zona deverá ser protegida com pintura epoxy do tipo C-THANE S250 da CIN ou equivalente.):</t>
  </si>
  <si>
    <t>Fornecimento e montagem de placas de ancoragem de base e de topo dos pilares, em aço laminado S275 J0, incluindo chumbadores, rigidificadores, selagem com grout, porcas de nivelamento, decapagem, metalização e todos os trabalhos inerentes e necessários ao seu perfeito acabamento.</t>
  </si>
  <si>
    <t>Fornecimento e montagem de vigas em aço laminado S275 J0, incluindo cantoneiras e parafusos de ligação, decapagem, metalização e todos os trabalhos inerentes e necessários ao seu perfeito acabamento nos seguintes elementos:</t>
  </si>
  <si>
    <t>Fornecimento e montagem de escada E2, em aço laminado S275 J0, incluindo lacas de ancoragem, chumbadores, rigidificadores, selagem com grout, decapagem, metalização e todos os trabalhos inerentes e necessários ao seu perfeito acabamento.</t>
  </si>
  <si>
    <t>Elementos de Aço Enformado a frio</t>
  </si>
  <si>
    <t>Fornecimento e montagem de estrutura metálica, para execução de painés de laje, em aço enformado a frio S280GD+Z275 (tipo perfisa), incluindo, cantoneiras e respetivos parafusos de fixação, chumbadores e todos os trabalhos inerentes e necessários ao seu perfeito acabamento nos seguintes elementos:</t>
  </si>
  <si>
    <t>Pavimentos diversos</t>
  </si>
  <si>
    <t>Fornecimento e aplicação de pavimento térreo constituído por: camada de areia com 0.05m de espessura e camada de massame em betão C30/37 com classe de exposição XC2(P) CI0.4 Dmáx=20, S4 com 0.15m de espessura; armaduras em aço A500NR SD, incluindo reforços, desperdícios, empalmes, arame recozido, meios e equipamentos e todos os trabalhos inerentes e necessários ao seu perfeito acabamento nos seguintes elementos:</t>
  </si>
  <si>
    <t>Fornecimento e aplicação de pavimento térreo constituído por: camada de brita com 0.10m de espessura e camada de massame em betão C30/37 com classe de exposição XC2(P) CI0.4 Dmáx=20, S4 com 0.15m de espessura; armaduras em aço A500NR SD, incluindo reforços, desperdícios, empalmes, arame recozido, meios e equipamentos e todos os trabalhos inerentes e necessários ao seu perfeito acabamento nos seguintes elementos:</t>
  </si>
  <si>
    <t>Muro Limite</t>
  </si>
  <si>
    <t>Fornecimento e execução de paredes em blocos de betão pré-fabricados com agregados leves de argila expandida, com 50x20x20cm, incluindo argamassa de assentamento, fundações, pilares de travamento, vigas de coroamento, cofragem, armaduras em aço A500NR SD, incluindo desperdícios, empalmes, arame recozido, betão de limpeza, bem como todos os restantes acessórios e trabalhos necessários a uma boa execução.  De acordo com indicações do fabricante/fornecedor e elementos de projeto e do seguinte tipo:</t>
  </si>
  <si>
    <t>Fornecimento e execução de paredes em blocos de betão pré-fabricados com agregados leves de argila expandida, com 50x15x20cm, incluindo argamassa de assentamento, fundações, pilares de travamento, vigas de coroamento, cofragem, armaduras em aço A500NR SD, incluindo desperdícios, empalmes, arame recozido, betão de limpeza, bem como todos os restantes acessórios e trabalhos necessários a uma boa execução.  De acordo com indicações do fabricante/fornecedor e elementos de projeto e do seguinte tipo:</t>
  </si>
  <si>
    <t>Fornecimento e aplicação de juntas bentoníticas de expanção Waterstop, no encontro entre paredes e laje da piscina/tanque de compensação, incluindo todos os trabalhos preparatórios, peças e/ou elementos necessários mas não descritos bem como todos os restantes acessórios e trabalhos necessários a uma boa aplicação.  De acordo com indicações do fabricante/fornecedor e elementos de projeto.</t>
  </si>
  <si>
    <t>Fornecimento e aplicação de juntas de dilatação, incluindo todos os trabalhos preparatórios, peças e/ou elementos necessários mas não descritos, selagens, cortes e remates bem como todos os restantes acessórios e trabalhos necessários a uma boa aplicação.  De acordo com indicações do fabricante/fornecedor e elementos de projeto.</t>
  </si>
  <si>
    <t>Fornecimento e aplicação de betão ciclópico constituído por 60% de Betão C20/25 com classe de exposição XC2, CI0.4, Dmax. 20 mm, S3 e 40% de rachão, com dimensão máxima de 0.20m, sob elementos de fundação, incluindo vibração, e todos os trabalhos inerentes e necessários ao seu perfeito acabamento.  De acordo com indicações do  fabricante/fornecedor e elementos de  projeto.</t>
  </si>
  <si>
    <t>Fornecimento e execução de Mockup em betão armado aparente, com betão da classe de resistência C40/50, com classe de exposição XS1, Cl 0.2, Dmax 16mm, S4., armaduras em aço A500, cofragem e descofragem, em elemento curvo e reto, incluindo todos os trabalhos inerentes ao bom acabamento das peças:</t>
  </si>
  <si>
    <t>Elemento reto com sapata 2x1.25x0.30m, parede com 0.25m de espessura e 2.4m de altura</t>
  </si>
  <si>
    <t>3</t>
  </si>
  <si>
    <t>REDE PREDIAL DE ABASTECIMENTO DE ÁGUAS, PISCINA E ESPELHOS DE ÁGUA</t>
  </si>
  <si>
    <t>REDE PREDIAL DE ABASTECIMENTO DE ÁGUAS, PISCINA E REGA</t>
  </si>
  <si>
    <t>3.1</t>
  </si>
  <si>
    <t>Fornecimento e instalação de rede predial de abastecimento de águas frias de acordo com o projeto de especialidade, composta por tubagem em PEAD PN10 (tipo SDR 13,6 da Politejo) nas redes enterradas exteriores, tubagem em Multicamada (Tipo Mepla da Geberit) nas redes de distribuição no interior e exterior do edifício e na alimentação dos dispositivos de utilização, incluindo todos os materiais, acessórios e trabalhos complementares.</t>
  </si>
  <si>
    <t>Fornecimento e instalação de tubagem em PEAD PN10 (tipo SDR 13,6 da Politejo), bem como todos os materiais acessórios e trabalhos complementares.</t>
  </si>
  <si>
    <t>Fornecimento e instalação de tubagem em Multicamada (do tipo Mepla da Geberit), incluindo isolamento flexível de espuma elastomérica da Armacell, SH Armaflex, ou equivalente, e fixações no teto Armafix Ecolight, sempre que se aplique, bem como todos os materiais acessórios e trabalhos complementares.</t>
  </si>
  <si>
    <t>3.2</t>
  </si>
  <si>
    <t>Fornecimento e instalação de rede predial de abastecimento de águas quentes de acordo com o projeto de especialidade, composta por tubagem em Multicamada (Tipo Mepla da Geberit) nas redes de distribuição no interior do edifício e na alimentação dos dispositivos de utilização, incluindo todos os materiais, acessórios e trabalhos complementares.</t>
  </si>
  <si>
    <t>Fornecimento e instalação de tubagem em Multicamada (do tipo Mepla da Geberit), incluindo isolamento térmico AF/Armaflex, ou equivalente, com espessura de acordo com o exigido pela legislação da térmica, e fixações no teto Armafix Ecolight, bem como todos os materiais acessórios e trabalhos complementares.</t>
  </si>
  <si>
    <t>3.3</t>
  </si>
  <si>
    <t>Fornecimento e instalação de rede predial de retorno de água quente de acordo com o projeto de especialidade, composta por tubagem em Multicamada (Tipo Mepla da Geberit), incluindo todos os materiais, acessórios e trabalhos complementares.</t>
  </si>
  <si>
    <t>Fornecimento e instalação de tubagem em Multicamada (do tipo Mepla da Geberit, ou equivalente), incluindo isolamento térmico AF/Armaflex ou equivalente de acordo com o exigido pela legislação da térmica, e fixações no teto ArmaFix AF ou equivalente, quando aplicável, bem como todos os materiais acessórios e trabalhos complementares.</t>
  </si>
  <si>
    <t>3.4</t>
  </si>
  <si>
    <t>Fornecimento e instalação de máquina de osmose inversa composta por 3 Porta cartuxos de 10” brancos,Préfiltro de 5 ?m de polipropileno prensado de 10”, Cartuxo de Carvão GAC 10”, Cartuxo de Carvão Bloc 10”, Porta membranas, Membrana filmtec 50 GPD, Post Carvão em linha de 2” x 10”, Depósito em aço com revestimento em plástico 14 litros, Torneira com válvula de cerâmica, Restrictor de 350cc – 400 cc, Válvula de 4 vias, Bomba Booster, Transformador 24 V &amp; Electroválvula ¼ “, Pressostato Máxima &amp; Mínima, bem como todos os trabalhos complementares.</t>
  </si>
  <si>
    <t>3.5</t>
  </si>
  <si>
    <t>Fornecimento e instalação de sistema de filtragem, tratamento, reserva e pressurização de água da rede composto por reservatório de 1.000Lt. em polietileno de alta densidade, filtros de sedimento 20"-1", sistema de recirculação temporizada, Aqua Innovation - anti incrustante, lâmpada UV, grupo hidropressor composto por bomba Grundfos SCALA2 3-45A, 1 quadro de proteção e comando, 1 Kit manómetro e pressostato, 1 válvula antirretorno, bem como todos os materiais acessórios e trabalhos complementares, do tipo Golden Fibra, conforme projeto da especialidade.</t>
  </si>
  <si>
    <t>3.6</t>
  </si>
  <si>
    <t>Fornecimento e instalação de torneiras de serviço porta mangueira (Tipo TRES jardim / piscina CRO 03450102, ou equivalente), bem como todos os trabalhos complementares.</t>
  </si>
  <si>
    <t>3.7</t>
  </si>
  <si>
    <t>Fornecimento e instalação de torneiras de serviço em caixa de válvulas (Tipo RAINBIRD Stardard Rectangular Series VB-STD, ou equivalente), bem como todos os trabalhos complementares.</t>
  </si>
  <si>
    <t>3.8</t>
  </si>
  <si>
    <t>Fornecimento e instalação de válvulas de seccionamento (Tipo Klimapress da Heliroma, ou equivalente), bem como todos os trabalhos complementares.</t>
  </si>
  <si>
    <t>3.9</t>
  </si>
  <si>
    <t>Fornecimento e instalação de válvulas reguladoras de caudal Modelo 116 da Calefi ou equivalente regulado para 45ºC, com todos os trabalhos e acessorios para o seu correcto funcionamento.</t>
  </si>
  <si>
    <t>3.10</t>
  </si>
  <si>
    <t>Fornecimento e instalação de boca de incêndio em muro limite do lote, conforme pormenor de projeto e incluíndo todos os acessórios e trabalhos complementares.</t>
  </si>
  <si>
    <t>3.11</t>
  </si>
  <si>
    <t>Trabalhos de apoio de construção civil em abertura e tapamento de valas e roços, todos os materiais, acessórios e trabalhos complementares.</t>
  </si>
  <si>
    <t>3.12</t>
  </si>
  <si>
    <t>Execução de ensaios e certificação sempre que exigível, em conformidade com o projeto da especialidade, fornecimento de manuais de operação e manutenção sempre que exigível, cópias e versão em suporte digital, incluindo todas as diligências, equipamento, materiais, acessórios e trabalhos complementares.</t>
  </si>
  <si>
    <t>3.13</t>
  </si>
  <si>
    <t>Equipamentos e Tratamento da Água da Piscina</t>
  </si>
  <si>
    <t>Fornecimento e instalação do equipamento de tratamento e recirculação da água da piscina, e tanque de compensação, incluindo toda a tubagem em PVC PN10 necessária à sua instalação e todos os equipamentos e acessórios, nomeadamente:</t>
  </si>
  <si>
    <t>Fornecimento e instalação de tubagens da caleira de overflow PVC Série U SN4 icluindo todos os materiais acessórios e trabalhos complementares:</t>
  </si>
  <si>
    <t>Fornecimento e instalação de sistema de filtração e tratamento da piscina, incluindo os equipamentos e acessórios necessários ao seu bom funcionamento, sendo o acabamento dos acessórios à vista a compatibilizar com o revestimento/acabamento indicado em projeto de arquitetura e submetidos à aprovação do cliente/fiscalização da sua aplicação, nomeadamente:</t>
  </si>
  <si>
    <t>Filtro Cartucho Clean&amp;Clear Plus 39M2 (ref.ª PAC-050-0068) + Bomba Intelliflo 3 VSD 1,5CV (ref.ª PAC-100-0043)</t>
  </si>
  <si>
    <t>Opcional - Filtro Mono Cartucho Clean&amp;Clear 18 M3/H (ref.ª PAC-050-0352) + Bomba Superflo VSD (ref.ª PAC-100-0050)</t>
  </si>
  <si>
    <t>Eletrolisador Promatic Lifeguard 25 g (ref.ª MNC-450-0534)</t>
  </si>
  <si>
    <t>Ralo de Fundo Hayward p/ betão (x2) (ref.ª HAY-250-1797) (para a piscina)</t>
  </si>
  <si>
    <t>Boca de Fundo ABS Branco p/ Tubo 63-50 mm (ref.ª ZAN-250-0001)</t>
  </si>
  <si>
    <t>Tomada de Vácuo Superpool ABS Branco Betão 2'' (ref.ª EMX-250-0010)</t>
  </si>
  <si>
    <t>Passamuro Superpool para Betão 300 mm (ref.ª EMX-250-0012)</t>
  </si>
  <si>
    <t>Passamuro Hayward Liner 250mm 2'' 50 (ref.ª HAY-250-0142)</t>
  </si>
  <si>
    <t>Ralo de Fundo Superpool p/ Liner (ref.ª EMX-250-0016) (para o tanque de compensação)</t>
  </si>
  <si>
    <t>Quadro Regulação nível Água com 5 sondas (ref.ª CCE-570-0147)</t>
  </si>
  <si>
    <t>Sal p/ eletrólise granulado especial para piscina (refª UNS-500-0002)</t>
  </si>
  <si>
    <t>Acti Expert Ph Menos 15 20L - Classe de perigo 8, Designação UN 2796; Grupo de Embalagem II (refª ACT58P-7169)</t>
  </si>
  <si>
    <t>3.14</t>
  </si>
  <si>
    <t>Equipamentos e Tratamento da Água dos Espelhos de Água</t>
  </si>
  <si>
    <t>Fornecimento e instalação do equipamento de tratamento e recirculação da água dos espelhos de água, incluindo toda a tubagem em PVC PN10 necessária à sua instalação e todos os equipamentos e acessórios, nomeadamente:</t>
  </si>
  <si>
    <t>Fornecimento e instalação de sistema de filtração e tratamento dos espelhos de água, incluindo os equipamentos e acessórios necessários ao seu bom funcionamento, sendo o acabamento dos acessórios à vista a compatibilizar com o revestimento/acabamento indicado em projeto de arquitetura e submetidos à aprovação do cliente/fiscalização da sua aplicação, nomeadamente:</t>
  </si>
  <si>
    <t>Filtro MonoCartucho Galaxy ICF100 (ref.ª EMX-050-0070) + Bomba Superpool 0,5cv Mono IE2 (ref.ª HAY-100-0404)</t>
  </si>
  <si>
    <t>Skimmer A500 Betão/Liner Branco (ref.ª WEL-250-0268)</t>
  </si>
  <si>
    <t>Boca de Impulsão Direcionável HaywardBetão 2-1,5'' 22mm 100 (ref.ª HAY-250-0130)</t>
  </si>
  <si>
    <t>Ralo de Fundo Hayward p/ betão (x2) (ref.ª HAY-250-1797)</t>
  </si>
  <si>
    <t>Bomba Doseadora Prim pH com kit completo (ref.ª AVA-450-0230)</t>
  </si>
  <si>
    <t>Regulador de nível Hayward (ref.ª HAY-250-0005)</t>
  </si>
  <si>
    <t>4</t>
  </si>
  <si>
    <t>REDE PREDIAL DE ÁGUAS RESIDUAIS DOMÉSTICAS E PLUVIAIS</t>
  </si>
  <si>
    <t>4.1</t>
  </si>
  <si>
    <t>Fornecimento e instalação de rede predial de águas residuais domésticas de acordo com o projeto de especialidade, tubagem exterior em PVC Série U SN4; tubagem em PVC Série B para tubagens interiores, exteriroes (embebidas no pavimento) e ventilação; tubagem interior em PP-Silent da Geberit; e tubagem em PEAD PN10 sob pressão, incluindo todos os materiais, acessórios e trabalhos complementares, bem como o isolamento identificado em projeto.</t>
  </si>
  <si>
    <t>Fornecimento e instalação de tubagem exterior em PVC Série U SN4, incluindo, sempre que necessário, abertura e tapamento de valas bem como todos os materiais, acessórios e trabalhos complementares.</t>
  </si>
  <si>
    <t>PVC Ø110</t>
  </si>
  <si>
    <t>Fornecimento e instalação de tubagem em PVC Série B para tubagem interior, exterior e ventilação, incluindo incluindo isolamento acústico Armacell Tubolit AR Fonoblok e, sempre que necessário, acessórios de suspensão da tubagem, abertura e tapamento de roços e coretes bem como todos os materiais, acessórios e trabalhos complementares.</t>
  </si>
  <si>
    <t>PVC Ø40</t>
  </si>
  <si>
    <t>PVC Ø50</t>
  </si>
  <si>
    <t>PVC Ø75</t>
  </si>
  <si>
    <t>PVC Ø90</t>
  </si>
  <si>
    <t>Fornecimento e instalação de tubagem interior em PP-Silent da Geberit incluindo isolamento do tipo Isol Flex, Geberit, com 17 mm de espessura e, sempre que necessário, acessórios de suspensão da tubagem, abertura e tapamento de roços e coretes bem como todos os materiais, acessórios e trabalhos complementares.</t>
  </si>
  <si>
    <t>Fornecimento e instalação de tubagem sob pressão em PEAD PN10, incluindo abertura e tapamento de roços, abertura e tapamento de valas bem como todos os materiais, acessórios e trabalhos complementares - Ø75</t>
  </si>
  <si>
    <t>4.2</t>
  </si>
  <si>
    <t>Fornecimento e execução de ramal da rede predial de águas residuais domésticas entre a caixa de ramal domiciliário e a caixa de visita existente no arruamento, de acordo com o projeto de especialidade, incluindo caixa de ramal domiciliária conforme regulamentação, remoção e reaproveitamento do acabamento, corte de betuminoso existente, abertura, escavação em terreno de qualquer natureza, montagem de coletor em PVC Série U SN4 DN 125mm incluindo cama de areia e tapamento de tubagem com areia, fita de sinalização, aterro com material de terreno da própria vala e reposicionamento do respetivo acabamento.</t>
  </si>
  <si>
    <t>4.3</t>
  </si>
  <si>
    <t>Fornecimento e instalação de caixas de visita de acordo com o projeto:</t>
  </si>
  <si>
    <t>Caixas quadradas construídas pré-fabricadas em betão, rebocadas no interior com imperkote e com soleira em betão e tampa quadrada em:</t>
  </si>
  <si>
    <t>Aço galvanizado do tipo Tampa Rebaixada Estanque GR65 400x400 da CAPADrain, ou equivalente.</t>
  </si>
  <si>
    <t>Aço galvanizado do tipo Tampa Rebaixada Estanque GR65 500x500 da CAPADrain, ou equivalente.</t>
  </si>
  <si>
    <t>Aço galvanizado do tipo Tampa Rebaixada Estanque GR65 600x600 da CAPADrain, ou equivalente.</t>
  </si>
  <si>
    <t>Caixas redondas construídas com manilhas de betão ø1,00m, cabeça cónica excêntrica, com soleira em betão e tampa redonda em Ferro fundido do tipo Tampa Redonda Enchimento da CAPADrain, ou equivalente.</t>
  </si>
  <si>
    <t>Caixas redondas construídas com manilhas de betão ø1,25m, cabeça cónica excêntrica, com soleira em betão e tampa Quadrada em ferro fundido do tipo DOURO B125 900x900 da CAPADrain (caixa da EEAR), ou equivalente.</t>
  </si>
  <si>
    <t>4.4</t>
  </si>
  <si>
    <t>Fornecimento e instalação de válvula de admissão de ar D30 a D63 Caudal 6,1 l/s, da Valsir, ou equivalente, incluindo todos os materiais, acessórios e trabalhos complementares.</t>
  </si>
  <si>
    <t>4.5</t>
  </si>
  <si>
    <t>Fornecimento e montagem de estação elevatória de águas residuais (EEAR), composta por: um conjunto de duas electrobombas centrífuga submersível Unilift AP50.50.11.1V, da Grundfos, (2x) Válvulas de retenção do tipo bola roscadas 2”, (2x) Válvulas de seccionamento roscadas 2”, (4x) Interruptor de nível ecológico, modelo MS1 com 10mts de cabo elétrico, (1X) Interruptor de corte geral, (1x) quadro elétrico de comando e proteção das eletrobombas, modelo LC 231 2 x 1-9 DOL-CLI-S, tubagem de acordo com o diâmetro de saída das bombas, bem como todos os materiais, acessórios e trabalhos complementares.</t>
  </si>
  <si>
    <t>4.6</t>
  </si>
  <si>
    <t>4.7</t>
  </si>
  <si>
    <t>Trabalhos de apoio de construção civil em abertura e tapamento de valas e roços, cravação de caixas, todos os materiais, acessórios e trabalhos complementares.</t>
  </si>
  <si>
    <t>4.8</t>
  </si>
  <si>
    <t>Fornecimento e instalação de rede predial de águas pluviais de acordo com o projeto de especialidade; tubagem exterior em PVC Série U SN4; tubagem em PVC Série B para tubagens interiores e exteriores (embebidas no pavimento); e tubagem em tubagem interior em PP-Silent da Geberit; e tubagem em PEAD PN10 sob pressão, incluindo todos os materiais, acessórios e trabalhos complementares, bem como o isolamento identificado em projeto.</t>
  </si>
  <si>
    <t>PVC Ø125</t>
  </si>
  <si>
    <t>Fornecimento e instalação de tubagem em PVC Série B, para tubagens interiores e exteriores, incluindo isolamento acústico Armacell Tubolit AR Fonoblok sempre que necessário, acessórios de suspensão da tubagem, abertura e tapamento de roços e coretesbem como todos os materiais, acessórios e trabalhos complementares.</t>
  </si>
  <si>
    <t>Fornecimento e instalação de tubagem sob pressão em PEAD PN10 (CEAP1), incluindo abertura e tapamento de roços, abertura e tapamento de valas bem como todos os materiais, acessórios e trabalhos complementares - Ø125</t>
  </si>
  <si>
    <t>Fornecimento e instalação de tubagem sob pressão em PEAD PN10 (CEAP2), incluindo abertura e tapamento de roços, abertura e tapamento de valas bem como todos os materiais, acessórios e trabalhos complementares - Ø50</t>
  </si>
  <si>
    <t>Fornecimento e instalação de tubagem sob pressão em PEAD PN10 (CEAP3), incluindo abertura e tapamento de roços, abertura e tapamento de valas bem como todos os materiais, acessórios e trabalhos complementares - Ø50</t>
  </si>
  <si>
    <t>Fornecimento e instalação de tubagem em PVC Série B, para descarga de emergência do tanque de compensação da da piscina, bem como todos os acessórios e trabalhos complementares - Ø110</t>
  </si>
  <si>
    <t>Fornecimento e instalação de tubagem em PVC Série B, para o esgoto de condensados, incluindo fornecimento, instalação e montagem de todos os acessórios de suporte e fixação necessários e trabalhos complementares - Ø32.</t>
  </si>
  <si>
    <t>4.9</t>
  </si>
  <si>
    <t>Fornecimento e assentamento de geodreno com geotêxtil TECpipe GEO DN100, incluindo todos os materiais e acessórios necessários à sua montagem, incluindo camada de brita e ligação à caixa de drenagem pluvial mais próxima, de acordo com o promenor de projecto da respectiva especialidade.</t>
  </si>
  <si>
    <t>4.10</t>
  </si>
  <si>
    <t>Fornecimento e execução de ramal da rede predial de águas pluviais entre a caixa de ramal domiciliário e a caixa de visita existente no arruamento, de acordo com o projeto de especialidade, incluindo caixa de ramal domiciliária conforme regulamentação, remoção e reaproveitamento do acabamento, corte de betuminoso existente, abertura, escavação em terreno de qualquer natureza, montagem de coletor em PVC Série U SN4 DN 125mm incluindo cama de areia e tapamento de tubagem com areia, fita de sinalização, aterro com material de terreno da própria vala e reposicionamento do respetivo acabamento.</t>
  </si>
  <si>
    <t>4.11</t>
  </si>
  <si>
    <t>Ferro fundido do tipo Sumidouro quadrada C250 de 600x600 da CAPADrain, ou equivalente. (Caixas das EEAP_2 e EEAP_3)</t>
  </si>
  <si>
    <t>Caixas redondas construídas com manilhas de betão ø1,25m, cabeça cónica excêntrica, com soleira em betão e tampa Quadrada em ferro fundido do tipo DOURO B125 900x900 da CAPADrain, ou equivalente. (caixa da EEAP_1)</t>
  </si>
  <si>
    <t>4.12</t>
  </si>
  <si>
    <t>Fornecimento e instalação de sumidouro tipo ACO RUG com saída horizontal DN50 com grelha em aço inoxidável da ACO, ou equivalente, incluindo todos os materiais, acessórios e trabalhos complementares.</t>
  </si>
  <si>
    <t>4.13</t>
  </si>
  <si>
    <t>Fornecimento e instalação de bocal de saída de água EPDM e para gravilhas da Soprema, ou equivalente, incluindo todos os materiais, acessórios e trabalhos complementares.</t>
  </si>
  <si>
    <t>4.14</t>
  </si>
  <si>
    <t>Fornecimento e instalação de Gárgula da Soprema, ou equivalente, incluindo todos os materiais, acessórios e trabalhos complementares.</t>
  </si>
  <si>
    <t>4.15</t>
  </si>
  <si>
    <t>Fornecimento e execução de caleira de drenagem com grelha em Ferro Fundido, de classe B125, da CapaDrain, ou equivalente, nos locais indicados no projeto, incluindo todos os trabalhos e acessórios inerentes, assim como, as ligações às caixas de drenagem.</t>
  </si>
  <si>
    <t>4.16</t>
  </si>
  <si>
    <t>Fornecimento e execução de caleira de drenagem tipo Brickslot , de classe B125 (GR SELF 100 L1000 B125 AISI304 BRICKSLOT L H40), da ACO, ou equivalente, nos locais indicados no projeto, incluindo todos os trabalhos e acessórios inerentes, assim como, as ligações às caixas de drenagem.</t>
  </si>
  <si>
    <t>4.17</t>
  </si>
  <si>
    <t>Fornecimento e aplicação de válvulas de maré em PVC, incluindo todos os materiais, acessórios e trabalhos complementares.</t>
  </si>
  <si>
    <t>4.18</t>
  </si>
  <si>
    <t>Fornecimento e aplicação caixa de inspeção em zonas ajardinadas (ZinCo, ou equivalente), incluindo todos os materiais, acessórios e trabalhos complementares.</t>
  </si>
  <si>
    <t>Caixa de controlo KS 10/30</t>
  </si>
  <si>
    <t>4.19</t>
  </si>
  <si>
    <t>Fornecimento e montagem de estação elevatória de águas pluviais (EEAP1), composta por um conjunto de duas electrobombas centrífuga submersível SL1.80.80.15.4.50D, da Grundfos, (2x) Sistema de acoplamento automático com suporte superior de guias, vedante, garra e base, (2x) Corrente em aço INOX com 3mts, (2x) Válvulas de retenção do tipo bola flangeadas DN80, (2x) Válvulas de seccionamento flangeadas DN80, (5x) Interruptor de nível ecológico, modelo MS1 com 10mts de cabo elétrico, (1x) Interruptor de corte geral, (1x) quadro elétrico de comando e proteção das eletrobombas, modelo LC 231 2 x 1-9 DOL PI, tubagem de acordo com o diâmetro de saída das bombas, bem como todos os materiais, acessórios e trabalhos complementares. (CONSIDERADO MARCA EBARA )</t>
  </si>
  <si>
    <t>4.20</t>
  </si>
  <si>
    <t>Fornecimento e montagem de estação elevatória de águas pluviais (EEAP2 e EEAP3), composta por uma bomba de elevação Unilift KP150.AV.1, (1x) válvula de seccionamento, (1x) válvula de retenção, da Grundos, ou equivalente, bem como todos os trabalhos complementares. (CONSIDERADO MARCA EBARA )</t>
  </si>
  <si>
    <t>4.21</t>
  </si>
  <si>
    <t>4.22</t>
  </si>
  <si>
    <t>5</t>
  </si>
  <si>
    <t>5.1</t>
  </si>
  <si>
    <t>Fornecimento e instalação de rede de gás de acordo com projeto, incluindo tubagem exterior e todos os materiais e acessórios necessários à instalação, em PE de diâmetro ?20, conforme legislação aplicável.</t>
  </si>
  <si>
    <t>Fornecimento e instalação de rede de gás de acordo com projeto e todos os materiais e acessórios necessários à instalação, em Cu de diâmetro ?15, conforme legislação aplicável.</t>
  </si>
  <si>
    <t>5.2</t>
  </si>
  <si>
    <t>Fornecimento e instalação de contador (do tipo G4), incluindo válvulas, redutor de média pressão, bem como todos os trabalhos complementares associados.</t>
  </si>
  <si>
    <t>Fornecimento e instalação de caixa de corte e transição incluindo transição PE-Cu, válvulas, ligação de terra, e todos os trabalhos inerentes a uma boa execução, conforme legislação aplicável.</t>
  </si>
  <si>
    <t>5.3</t>
  </si>
  <si>
    <t>Trabalhos de apoio de contrução civil em abertura e tapamento de valas e roços, todos os materiais, acessórios e trabalhos complementares.</t>
  </si>
  <si>
    <t>Realização de todos os ensaios e certificação sempre que exigível, incluindo todas as diligencias, materiais, trabalhos complementares e acessórios.</t>
  </si>
  <si>
    <t>6</t>
  </si>
  <si>
    <t>FORNECIMENTO E INSTALAÇÃO DOS EQUIPAMENTOS E SISTEMAS DE CLIMATIZAÇÃO E PRODUÇÃO DAS ÁGUAS QUENTES SANITÁRIAS</t>
  </si>
  <si>
    <t>Unidade de climatização do tipo VRF Unidade exterior, incluindo montagem e todos acessórios necessários conforme especificações das peças desenhadas e especificações do fabricante. UE.01.12</t>
  </si>
  <si>
    <t>Unidades Interiores do sistema (VRF) Tipo Conduta de (média) pressão estática, incluindo comando por cabo e todos acessórios necessários conforme especificações das peças desenhadas e especificações do fabricante.</t>
  </si>
  <si>
    <t>Alçapões de acesso para manutenção das unidades interiores de conduta, incluindo istalação e todos os acessórios necessários</t>
  </si>
  <si>
    <t>Derivadores para o sistema VRF , incluindo montagem e todos acessórios necessários conforme especificações
das peças desenhadas e especificações do fabricante.</t>
  </si>
  <si>
    <t>Unidade de climatização do tipo bomba de calor com módulo hidraulico para pavimento radiante, climatização e AQS, incluindo montagem e todos os acessórios necessários conforme especificações das peças desenhadas e especificações do fabricante.</t>
  </si>
  <si>
    <t>Comando centralizado touch screen por cabo, incluindo todos acessórios necessários conforme cte e especificações do fabricante.</t>
  </si>
  <si>
    <t>Comando individual por cabo, incluindo todos acessórios necessários conforme cte e especificações do fabricante.</t>
  </si>
  <si>
    <t>Tubagem de cobre refrigeração, devidamente isolada com manga elastomérica tipo Armaflex, incluindo todos acessórios necessários conforme especificações das peças desenhadas e especificações do fabricante.</t>
  </si>
  <si>
    <t>6.9</t>
  </si>
  <si>
    <t>Tubagem PVC, para o esgoto de condensados, incluindo fornecimento, instalação e montagem de todos os acessórios necessários ao seu perfeito funcionamento, bem como acessórios de suporte e fixação, conforme especificações das peças escritas e especificações do fabricante.</t>
  </si>
  <si>
    <t>6.10</t>
  </si>
  <si>
    <t>Tubagem de distribuição de água aquecida entre caixas de colectores do Pavimento Radiante e central térmica em Multicamada devidamente isolada, incluindo todos acessórios necessários conforme especificações das peças desenhadas e especificações do fabricante.</t>
  </si>
  <si>
    <t>Sistema de Pavimento Radiante, incluindo todos acessórios necessários conforme especificações das peças desenhadas e especificações do fabricante. Tubagem para Pavimento Radiante em polietileno reticulado com barreira antioxigénio, nos seguintes diâmetros:</t>
  </si>
  <si>
    <t>Placas pav. Radiante esp 4cm</t>
  </si>
  <si>
    <t>Banda para Isolamento perímetral</t>
  </si>
  <si>
    <t>Aditivo para betão (10L)</t>
  </si>
  <si>
    <t>Clips fixação tubo</t>
  </si>
  <si>
    <t>Antincrustante</t>
  </si>
  <si>
    <t>Colector 5 saidas pré-mont c/med caudal</t>
  </si>
  <si>
    <t>Colector 6 saidas pré-mont c/med caudal</t>
  </si>
  <si>
    <t>Colector 7 saidas pré-mont c/med caudal</t>
  </si>
  <si>
    <t>Caixa para colector 800x450x110mm</t>
  </si>
  <si>
    <t>Caixa para colector 1000x450x110mm</t>
  </si>
  <si>
    <t>Válvula esfera esf MA/FE 1"x1"</t>
  </si>
  <si>
    <t>Adaptador t/PEX/AL 18x(17x2)</t>
  </si>
  <si>
    <t>Centralina regulação</t>
  </si>
  <si>
    <t>Sonda ida tipo passivo</t>
  </si>
  <si>
    <t>Sonda exterior c/sensor</t>
  </si>
  <si>
    <t>Termostato ambiente (Considerado nos sistemas integrados)</t>
  </si>
  <si>
    <t>Cabeça eléctrica p/col. cabo 1m 230V</t>
  </si>
  <si>
    <t>Grupo de distribuição c/válvula de 3 Vias</t>
  </si>
  <si>
    <t>Suporte p/ grupo de dist.</t>
  </si>
  <si>
    <t>Regua de ligações</t>
  </si>
  <si>
    <t>Sistema de Energia Solar e Central Térmica de funcionamento e de segurança</t>
  </si>
  <si>
    <t>Coletores Solares Térmicos</t>
  </si>
  <si>
    <t>Deposito de acumulação de 800 litros com estratificador, incluindo isolamento, comando diferencial e estação solar, módulos de ligação, permutador de esfera, manómetros, termometros e todos os acessórios necessários</t>
  </si>
  <si>
    <t>Deposito de inercia de 200 litros, incluindo isolamento, , manómetros, termometros e todos os acessórios necessários</t>
  </si>
  <si>
    <t>Centralina de Regulação, incluindo módulo de controlo e todos os acessórios necessários</t>
  </si>
  <si>
    <t>Fluído solar (litro ) mistura 20% até 8° negativos</t>
  </si>
  <si>
    <t>Vaso de expansão (solar) - VE1-50L</t>
  </si>
  <si>
    <t>Vaso de expansão (apoio) - VE2-25L</t>
  </si>
  <si>
    <t>Vaso de expansão (Aq Pisc) - VE3-25L Tubagem de cobre com acessórios , isolamento térmico para toda a instalação e térmico e mecânico para as zonas instaladas à vista</t>
  </si>
  <si>
    <t>Bomba de Circulação Solar - BCS</t>
  </si>
  <si>
    <t>Bomba de Circulação AQS para Retorno - BCR</t>
  </si>
  <si>
    <t>Bomba de Circulação Pav. Rad. -BCP 1</t>
  </si>
  <si>
    <t>Bomba de Circulação Pav. Rad. -BCP 2</t>
  </si>
  <si>
    <t>Bomba de Circulação Piscina -BCPisc</t>
  </si>
  <si>
    <t>Permutador Placas Titânio 40kw</t>
  </si>
  <si>
    <t>6.13</t>
  </si>
  <si>
    <t>Bomba de Calor para aquecimento de piscina exterior, incluindo, montagem e todos acessórios necessários, assim como modulo hidraulico, controladores, acessórios hidraulicos, apoios antivibraticos conforme especificações das peças desenhadas e especificações do fabricante.</t>
  </si>
  <si>
    <t>Condutas circulares, para o circuito de insuflação e retorno, em chapa com isolamento térmico, incluindo registos, ligações flexiveis, portas de visita, suportagem e todos os acessorios necessários</t>
  </si>
  <si>
    <t>Condutas PVC próprias para ventilação, para o circuito de ar novo e extração, em PVC semirigido, incluindo registos, ligações flexiveis, portas de visita, suportagem e todos os acessorios necessários</t>
  </si>
  <si>
    <t>Condutas circulares, para o circuito de extração, em chapa sem isolamento térmico, incluindo registos, ligações flexiveis, portas de visita, suportagem e todos os acessorios necessários</t>
  </si>
  <si>
    <t>Condutas rectângulares em aluminio Pré Isolado "PIR-ALU", incluindo suportagem, e todos os acessorios necessários seu perfeito funcionamento, bem como acessórios de visita, suporte e fixação, conforme especificações das peças escritas e especificações do fabricante.</t>
  </si>
  <si>
    <t>Unidades de Ventilação com recuperação de Calor,incluindo fornecimento, instalação e montagem de todos os acessórios necessários ao seu perfeito funcionamento, bem como acessórios de suporte e fixação, conforme especificações das peças escritas e especificações do fabricante.</t>
  </si>
  <si>
    <t>Ventiladores In Line ,incluindo fornecimento, instalação e montagem de todos os acessórios necessários ao seu perfeito funcionamento, bem como acessórios de suporte e fixação e todos os acessórios necessários à sua instalação no exterior, conforme especificações das peças escritas e especificações do fabricante. (CONSIDERADO FRANCE AIR)</t>
  </si>
  <si>
    <t>6.20</t>
  </si>
  <si>
    <t>Registos de caudal constante , em todas as derivações necessárias para o equilibrio de caudal que não seja possivel aceder por alçapão, incluindo todos os acessorios necessários seu perfeito funcionamento, conforme especificações das peças escritas e especificações do fabricante.</t>
  </si>
  <si>
    <t>Válvula de Extração, incluindo fornecimento, instalação e montagem de todos os acessórios necessários ao seu perfeito funcionamento.</t>
  </si>
  <si>
    <t xml:space="preserve"> BE</t>
  </si>
  <si>
    <t>Difusores e Grelhas lineares de Insuflação e Retorno em aluminio, incluindo fornecimento, instalação e montagem de pleno e registo assim como todos os acessórios necessários ao seu perfeito funcionamento, bem como acessórios de fixação, conforme especificações das peças escritas e especificações do fabricante. (CONSIDERADO FRANCE AIR)</t>
  </si>
  <si>
    <t>Instalações Elétricas Incluindo cablagem de comando associada,
conforme CTE.</t>
  </si>
  <si>
    <t>Diversos Trabalhos complementares de construção civil, incluindo abertura e tapamento de Valas e roços, contrução de maciços, furos e pintura</t>
  </si>
  <si>
    <t>Desenhos Finais: cópias e versão em suporte digital</t>
  </si>
  <si>
    <t>Arranque e ensaios de todos os equipamentos e redes nas vertentes técnicas relacionadas com o seu desempenho; Eléctricos - Mêcanicas - Térmicos - Acústicos - Pressão</t>
  </si>
  <si>
    <t>7</t>
  </si>
  <si>
    <t>Fornecimento e montagem de Entrada Energia e alimentação de Exteriores, conforme C.E:</t>
  </si>
  <si>
    <t>Quadro de Entrada constituido de acordo com peças desenhadas em anexo, incluindo P100 com fusíveis conforme DMA EDP, da Classe II de Isolamento.</t>
  </si>
  <si>
    <t>Caixa telecontagem directa, classe II e isolamento, de acordo com peças as peças escritas e desenhadas e C.E, conforme DMA EDP</t>
  </si>
  <si>
    <t>Quadros eléctricos,incluindo toda a aparelhagem e equipamentoindicadosnosesquemas,armários , estrutura, electrificação, etc.</t>
  </si>
  <si>
    <t>QP1- Quadro Parcial Piso 1</t>
  </si>
  <si>
    <t>QP-1- Quadro Parcial Piso -1</t>
  </si>
  <si>
    <t>QPZT - Quadro Parcial Zona Tecnica</t>
  </si>
  <si>
    <t>QPAT 1 - Quadro Parcial Area Tecnica 1</t>
  </si>
  <si>
    <t>QPAT 2 - Quadro Parcial Area Tecnica 2</t>
  </si>
  <si>
    <t>QP Piscina (Excluido)</t>
  </si>
  <si>
    <t>QP AVAC (Excluido)</t>
  </si>
  <si>
    <t>QP Bombas (Excluido)</t>
  </si>
  <si>
    <t>QP Jardim (Excluido)</t>
  </si>
  <si>
    <t>Condutores</t>
  </si>
  <si>
    <t>Fornecimento e instalação de: P100 - Cx transiçaõ || XV 4x25 mm²</t>
  </si>
  <si>
    <t>QGE - QP1 || XV 5G6mm²</t>
  </si>
  <si>
    <t>QGE - Placa 1|| XV 5G4mm²</t>
  </si>
  <si>
    <t>QGE - QP-1 || XV 5G16mm²</t>
  </si>
  <si>
    <t>QP-1 - QPAT1 || XV 5G6mm²</t>
  </si>
  <si>
    <t>QP-1 - QPAT2 || XV 5G6mm²</t>
  </si>
  <si>
    <t>QP-1 - QPZT || XV 5G16mm²</t>
  </si>
  <si>
    <t>QP-1 - Sauna || XV 5G6mm²</t>
  </si>
  <si>
    <t>QP-1-Veiculo Electric 1 || XV 5G6mm²</t>
  </si>
  <si>
    <t>QP-1-Veiculo Electric 2 || XV 5G6mm²</t>
  </si>
  <si>
    <t>QPZT- Q.AVAC(Excluido) || XV 5G10mm²</t>
  </si>
  <si>
    <t>QPZT - Q.AQS(Excluido) || XV 5G4mm²</t>
  </si>
  <si>
    <t>QPZT - Q.Rega(Excluido) || XV 5G2.5mm²</t>
  </si>
  <si>
    <t>QPAT1 - Q.Piscina(Excluido) || XV 5G6mm²</t>
  </si>
  <si>
    <t>Q.Piscina(Excluido) - BC Piscina|| XV 5G4mm² (Locação estimado)</t>
  </si>
  <si>
    <t>QPZT - Q.Bombas(Excluido) || XV 5G2.5mm²</t>
  </si>
  <si>
    <t>Q.AVAC - BC02.16(Excluido) || XV 5G4mm²</t>
  </si>
  <si>
    <t>Q.AVAC -UE.01.12(Excluido) || XV 5G4mm²</t>
  </si>
  <si>
    <t>Q.AVAC -Mod. Hydraulico (Excluido) || XV 5G4mm²</t>
  </si>
  <si>
    <t>Q.AVAC -Res Apoio Aqs (Excluido) || XV 5G4mm²</t>
  </si>
  <si>
    <t>Fornecimento e instalação de: Corrugado Ø125 embebido/enterrado</t>
  </si>
  <si>
    <t>Fornecimento e instalação de: Caixas de Visita 0,6x0,6x0,6</t>
  </si>
  <si>
    <t>Rede de Terras</t>
  </si>
  <si>
    <t>Fornecimento e instalação de:</t>
  </si>
  <si>
    <t>Cobre Nú 25mm²</t>
  </si>
  <si>
    <t>Elétrodo de terra em aço revestido a cobre de 250 micro com 2m x14.6mm</t>
  </si>
  <si>
    <t>H07V - U1G2,5mm² entubado</t>
  </si>
  <si>
    <t>ALIMENTACÕES ESPECIFICAS</t>
  </si>
  <si>
    <t>H05VV-F 3G1.5mm² entubado</t>
  </si>
  <si>
    <t>Olflex 8G1 mm² entubado</t>
  </si>
  <si>
    <t>Caixa de aplique</t>
  </si>
  <si>
    <t>H05VV-F 3G2.5mm² entubado</t>
  </si>
  <si>
    <t>H07V-U - U3G2.5mm² entubado</t>
  </si>
  <si>
    <t>Aparelhagem e Equipamentos completos e todos os acessórios</t>
  </si>
  <si>
    <t>Tomada simples, Efapel logus 90 BB ou equivalente (cor e acabamento a compatibilizar com projeto de arquitetura)</t>
  </si>
  <si>
    <t>Tomada Duplo, Efapel logus 90 BB ou equivalente (cor e acabamento a compatibilizar com projeto de arquitetura)</t>
  </si>
  <si>
    <t>Tomada 2P + T embebida c/ obturadores de proteção,com Saida 1 x USB tipo A and 1 x USB tipo, , Efapel logus 90 BB ou equivalente (cor e acabamento a compatibilizar com projeto de arquitetura)</t>
  </si>
  <si>
    <t>Tomada 2P + T simples estanque c/ tampa e obturadores de proteção IP44,, Efapel logus 90 BB ou equivalente (cor e acabamento a compatibilizar com projeto de arquitetura)</t>
  </si>
  <si>
    <t>Tomada 2P + T Duplo estanque c/ tampa e obturadores de proteção IP44, Efapel logus 90 BB ou equivalente (cor e acabamento a compatibilizar com projeto de arquitetura)</t>
  </si>
  <si>
    <t>Tomadas Veiculos Electricos do tipo WallBox - Black com sistema DLM (Dynamic Lad Management) da V2C ou equivalente</t>
  </si>
  <si>
    <t>Caixa de Chão, com 2 Tomadas Schuko com alvéolos protegidos, UDHOME 2 da OBO BETTERMAN ou equivalente  (cor e acabamento a compatibilizar com
projeto de arquitetura)</t>
  </si>
  <si>
    <t>Caixa de Chão, com 1 Tomadas Schuko com alvéolos protegidos para exteriors,IP66, marca Simon ou equivalente  (cor e acabamento a compatibilizar com  projeto de arquitetura)</t>
  </si>
  <si>
    <t>Tomada duplo 2P + T embebida c/ obturadores de proteção , Estanque, IP55 , LEGRAND PLEXO ou equivalente e (cor e acabamento a compatibilizar com projeto de arquitetura)</t>
  </si>
  <si>
    <t>Blinds e Black-Outs</t>
  </si>
  <si>
    <t>- H05VV-F 4x1,5mm² entubado</t>
  </si>
  <si>
    <t>ILUMINAÇÃO NORMAL</t>
  </si>
  <si>
    <t>- H05VV-F 2x1,5mm² entubado</t>
  </si>
  <si>
    <t>- H05VV-F 3G1,5mm² entubado</t>
  </si>
  <si>
    <t>- XAV 3G1.5 Entubado para iluminação exterior</t>
  </si>
  <si>
    <t>- Tubo Gris Ø20 embebido</t>
  </si>
  <si>
    <t>- Caixa de aplique</t>
  </si>
  <si>
    <t>- Caixa de Derivação Gewiss (ou equivalente) ou C1</t>
  </si>
  <si>
    <t>Aparelhagem</t>
  </si>
  <si>
    <t>Fornecimento e instalação de Iluminação</t>
  </si>
  <si>
    <t>Nota : Nomenclatura das luminárias de acordo com estudo de iluminação fornecido</t>
  </si>
  <si>
    <t>-Armadura Estanque</t>
  </si>
  <si>
    <t>-Tipo Ponto Luz</t>
  </si>
  <si>
    <t>-Tipo ICE 80 com interuptor</t>
  </si>
  <si>
    <t>-Fita LED Tipo 04 - 22m</t>
  </si>
  <si>
    <t>-Fita LED Tipo 04 - 16.5m</t>
  </si>
  <si>
    <t>Detector de Movimento</t>
  </si>
  <si>
    <t>Interuptor Normais, IP55</t>
  </si>
  <si>
    <t>Ponto Alimentação Rouperiros</t>
  </si>
  <si>
    <t>Tomada Controlada</t>
  </si>
  <si>
    <t>-Tipo Luz VIE 2</t>
  </si>
  <si>
    <t>-Tipo tomada controlada</t>
  </si>
  <si>
    <t>- Montagem, incluindo todos os acessorios, drivers e trabalhos necessários à correcta instalação e funcionamento.</t>
  </si>
  <si>
    <t>- Montagem, incluindo todos os acessorios e trabalhos necessários à correcta instalação e funcionamento de equipamentos de Iluminação de Jardim</t>
  </si>
  <si>
    <t>Fornecimento de manuais de operação e de manutenção.</t>
  </si>
  <si>
    <t>SISTEMAS INTEGRADOS</t>
  </si>
  <si>
    <t>KNX, WIFI, AUDIOVISUAL, HOME CINEMA, CONTROL, INTRUSÃO E CCTV</t>
  </si>
  <si>
    <t>Sistema Controlo de Iluminação e Persianas</t>
  </si>
  <si>
    <t>Nota: Fornecimento e instalação de domótica baseado em protocolo KNX conforme projeto, com o controlo total dos sistemas de iluminação e blinds</t>
  </si>
  <si>
    <t>Aparelhagens e Sensores</t>
  </si>
  <si>
    <t>Keypads ABB White ou LS990 F50 - Marca Jung ou equivalente (cor e acabamento a compatibilizar com projeto de arquitetura)</t>
  </si>
  <si>
    <t>Sensores Presença Zennio -Detector Mini ou equivalente (cor e acabamento a compatibilizar com projeto de arquitetura)</t>
  </si>
  <si>
    <t>Push Botão Marca Legrand ou equivalente (cor e acabamento a compatibilizar com projeto de arquitetura)</t>
  </si>
  <si>
    <t>Controladores de HAVAC</t>
  </si>
  <si>
    <t>Touch display with ambient thermostat, Marca iHome/INZennio Z35i</t>
  </si>
  <si>
    <t>Termostado s/ Display - KNX Room Temperature Controller iHome/Zennio</t>
  </si>
  <si>
    <t>Infra-estrutura</t>
  </si>
  <si>
    <t>Rede de Wi-Fi - Networking</t>
  </si>
  <si>
    <t>Nota: Fornecimento e instalação de equipamento de redes Wi-Fi (networking) por forma a garantir a distribuição de um sistema estável e com capacidade de alto débito na Rede Interna via Wireless nas bandas de frequência de 2.4 e 5 GHz , com gestão centralizada e por acesso remoto, monitorização do estado da rede(clientes, largura de Banda, tipo de tráfego,...). Estrutura fisica da rede em cabo de elevada qualidade</t>
  </si>
  <si>
    <t>Pontos de Acesso</t>
  </si>
  <si>
    <t>Ponto de Acesso interior de fixação em parede/tecto, com alimentação POE Data Gigabit, tecnologia dualband 2.4 e 5GHZ,Multi BSSID Normas 802.11a/b/g/n/ac, modo poupança de energia, QOS - Marca GrandStream modelo 7660 (ou equivalente (cor e acabamento a compatibilizar com projeto de arquitetura)</t>
  </si>
  <si>
    <t>Ponto de Acesso Exterior de fixação em parede, com alimentação POE Data Gigabit, tecnologia dualband 2.4 e 5GHZ,Multi BSSID Normas 802.11a/b/g/n/ac, modo poupança de energia, QOS - Marca GrandStream modelo 7660 LR (ou equivalente (cor e acabamento a compatibilizar com projeto de arquitetura)</t>
  </si>
  <si>
    <t>Tomada de Conexão de AP</t>
  </si>
  <si>
    <t>RACK - Zona Técnica e Suporte físico</t>
  </si>
  <si>
    <t>PDU inteligente de 8 Saidas 16A, ligações c13 e c19, 100-240VAC, PAKEDGE (ou equivalente</t>
  </si>
  <si>
    <t>Switch de rede Gigabit, POE, com plataforma de gestão, 24 Portas POE e SFP para ligações de fibra, integração simplificada no sistema de rede, protocolos de roteamento, portas traseiras e c/ ligação a plataforma de Gestão remota OVRC, montagem em rack - ARA-310-SW-R-24-POE da ARAKNIS ou Equivalente</t>
  </si>
  <si>
    <t>UPS ONLINE 3KVA Inteligente para servidores/ equipamentos de rede, com medição de energia, modo económico, compensação de carga, eliminação de rudo e alta eficiencia, sistema de gestão e monitorização inteligente. UPS RACK 2U ONLINE DUPLA CONVERSÃO ou equivalente</t>
  </si>
  <si>
    <t>Router de rede com supporte a VLAN, servidor VPN, QOS, VoIP, sistema de relatório e controlo analítico, criação de grupos de dispositivos LAN e 2 WLAN, gestão de tráfego e ligação a plataforma de Gestão Remota OVRC, portas de rede 10/100/1000 RJ45 - ARA-310-RT-4L2W da ARAKNIS ou Equivalente</t>
  </si>
  <si>
    <t>Sistema de gestão e manutenção de rede via Cloud OVRC</t>
  </si>
  <si>
    <t>Cabo de rede Cat6 Tecnologia HDBaseT preparado para longas distancias, convergencia de sinais. Capacitancia Mutua &lt; 5.6nF/100m, Resistencia do condutor 7.32Ohm/100m a 20ºC, condutores cobre 23(1)AWG, impedância caracteristica 100/+-15 Ohm /1-500MHz)</t>
  </si>
  <si>
    <t>Patch Panel de Connector RJ45 24 Portas - Cat6</t>
  </si>
  <si>
    <t>Sistema Áudio Visual</t>
  </si>
  <si>
    <t>Sistema de Integração</t>
  </si>
  <si>
    <t>Cabo de rede Cat6Exterior preparado para longas distancias, convergencia de sinais. Capacitancia Mutua &lt; 5.6nF/100m, Resistencia do condutor 9.38Ohm/100m a 20ºC, condutores cobre 23(1)AWG, impedância caracteristica 100/+-15 Ohm /1-500MHz)</t>
  </si>
  <si>
    <t>Caixa de Encastrar para intercomunicador</t>
  </si>
  <si>
    <t>Caixa de embutir para ecra tatil de parede</t>
  </si>
  <si>
    <t>Equipamento do sistema de integração</t>
  </si>
  <si>
    <t>Controlador de entretenimento e automação/integração, 5 zonas de saída, elevado processamento, Com servidor tecnologia Zigbee e Zwave, personalizável, saida HDMI 1080p,Ethernet 10/100/1000 BaseT, 8 Saídas IR, 1 Captura IR, 4 interfaces série(2 partilhadas), Streaming shairbridge, serviços de música, 4 contactos, 4 relés, interface eSata, Wireless dual Band, 4 portas Gigabit, processamento duplo de audio, 5 streams concorrentes, integraçao com sistemas multiplos. Marca iHome / Control4 ou equivalente (cor e acabamento a compatibilizar com projeto de arquitetura)</t>
  </si>
  <si>
    <t>Intercomunicador Montagem embutida, em niquel escovado, com camara HD e audio alta qualidade, teclado, detector de movimento, capacidade de envio de de chamada para Aplicação e comunicação remota por chamada tipo voIP, contacto relé NA/NF,saída activa 8-12Vdc, IP54, Infravermelho, C7 teclado Alfanumerido, modelo DS2 Marca iHome / Control4 ou equivalente (cor e acabamento a compatibilizar com projeto de arquitetura)</t>
  </si>
  <si>
    <t>Interface de utilizador de parede, 10" Branco para total utilização e controlo dos sistemas., Marca iHome / Control4</t>
  </si>
  <si>
    <t>Interface de com sistema de Climatização CoolMasterNet c/ porta KNX, a instalar na Rack Técnica,Marca iHome / Control4</t>
  </si>
  <si>
    <t>Controlo de Acessos</t>
  </si>
  <si>
    <t>Sistema de Intrusão</t>
  </si>
  <si>
    <t>Nota: Fornecimento e instalação de equipamentode segurança, Sensores de movimento PIR com sistema PET até 25Kg, tecnologia QLIT, infravermelhos, microondas para um maior eficácia do sistema pela moradia. Este sistema comporta uma central com sistema de energia secundário, para funcionamento em caso de falha de energia principal. Integração do alarme com o sistema principal de controlo, por meio de IP permitindo remotamente o controlo do alarme, tal como a partir de ecrãs táteis locais, smartphones.</t>
  </si>
  <si>
    <t>Equipamento do sistema de Intrusão</t>
  </si>
  <si>
    <t>Central de alarme, 8 zonas, espansivel até 64 zonas cabladas, o, 4 saídas PGM, expansiveis até 14, programação GUI, até 8 teclados, 8 partições, registo de memória até 500 eventos, 95 codigos de utilizador,suporte para teclados radio, Marca iHome, DSC NEO</t>
  </si>
  <si>
    <t>Teclado multilingua até 64 zonas com LCD, Strings mensagens totais, estado de partiçoes, teclas de emergencia, lus ajustavel, diagnóstico via bus. Marca iHome / DSC NEO</t>
  </si>
  <si>
    <t>Modulo de integração de sistema de alarme</t>
  </si>
  <si>
    <t>Detector de movimento PIR com Im. PET, dupla tecnologia, QLIT, processamento digital de sinal, contacto de alarme e tamper, compacto, baseado em sistema ASIC, de sensibilidade ajustável. Marca iHome / DSC</t>
  </si>
  <si>
    <t>Contactos mágnéticos</t>
  </si>
  <si>
    <t>Detector De fumo</t>
  </si>
  <si>
    <t>Detector De Inundação</t>
  </si>
  <si>
    <t>Fonte de alimentação para central de alarme com 4 saídas programáveis a 1A@12VDC</t>
  </si>
  <si>
    <t>Expansor de 8 zonas central de alarme, protecçao PTC</t>
  </si>
  <si>
    <t>Bateria 7.2 Amp; 12V 151x65x95</t>
  </si>
  <si>
    <t>Tubagem Gris Ø20</t>
  </si>
  <si>
    <t>Sistema de CCTV</t>
  </si>
  <si>
    <t>Nota: Fornecimento e instalação de equipamentode CCTV exterior, usando como camada fisica cabo de rede, e protocolo IP na camada de rede, Interligação de todas as câmarasde vigilância a um gravador de rede principal. Instalação do sistema em locais específicos e estratégicos de acordo com a cobertura necessária e especificações do equipamento. Alem disso, o sistema permite a integração para visualização local e visualização remota a partir de qualquer ponto.</t>
  </si>
  <si>
    <t>Equipamento do sistema de CCTV</t>
  </si>
  <si>
    <t>Software de integração de Sistema CCTV</t>
  </si>
  <si>
    <t>Gravador CCTV IP 8 canais de gravação de câmera Ultra HD (4K) que o vídeo Ultra High Definition, 4K ou 8 Megapixels é quatro vezes mais claro que o tradicional 1080p. Juntamente com seu baixo consumo de energia, Marca: iHome/Hikvision ; Modelo DS-7608NI-K2/8P</t>
  </si>
  <si>
    <t>Disco Rigido HDD 3.5" 6TB AV</t>
  </si>
  <si>
    <t>Switch de rede Gigabit, POE, com plataforma de gestão, 16 Portas POE e SFP para ligações de fibra, integração simplificada no sistema de rede, protocolos de roteamento, portas traseiras e c/ ligação a plataforma de Gestão remota OVRC, montagem em rack
da ARAKNIS 210 ou Equivalente</t>
  </si>
  <si>
    <t>4MP Powered by POE Motorizada Varifocal Bullet Network Camera, DS-2CD2043G0-I</t>
  </si>
  <si>
    <t>Poste Metalico para fixação de Camara, h=2,5m</t>
  </si>
  <si>
    <t>INSTALAÇÕES DE TELECOMUNICAÇÕES</t>
  </si>
  <si>
    <t>Nota: Fornecimento e execução de todos os trabalhos necessários à execução da rede ITED conforme indicações e especificações preconizadas nas peças escritas e desenhadas de projeto. Considera-se incluindo nos preçosunitários a abertura e tapamento de valas e roços e todos os fornecimento de materiais e mão -de-obra necessária à execução da rede elétrica de modo a garantir o seu correto funcionamento.</t>
  </si>
  <si>
    <t>Fornecimento e instalação de tubagens</t>
  </si>
  <si>
    <t>Fornecimento e instalação de câmara de visita</t>
  </si>
  <si>
    <t>Caixas de Visita 0,6x0,6x0,6</t>
  </si>
  <si>
    <t>Bastidor 42U' 600x800 - ATI, equipado com RC-PC RC-CC e RC-FO ITED, Kits equipados com os RC PC cat. 6, 1 repartidor RC CC 2400 MHz e RC FO SC/APC. Kits ATI fornecidos com platine, barramento terra, regua de 6 tomadas 230V, separador, suportes laterais, porta, aro e RCs</t>
  </si>
  <si>
    <t>Tomada terminal 2,4Mhz da Televes, Acabamento branco do Marca Jung ou equivalente (cor e acabamento a compatibilizar com projeto de arquitetura)</t>
  </si>
  <si>
    <t>Tomada RJ45 simples, Acabamento  branco do Marca Jung ou equivalente  (cor e acabamento a compatibilizar com
projeto de arquitetura)</t>
  </si>
  <si>
    <t>Tomada dupla fibra óptica SC/APC Acabamento branco do Marca Jung ou equivalente (cor e acabamento a compatibilizar com projeto de arquitetura)</t>
  </si>
  <si>
    <t>DST – Descarregador de Sobretensão</t>
  </si>
  <si>
    <t>Fornecimento e instalação de cablagem</t>
  </si>
  <si>
    <t>Fibra Optica tipo SC/APC DUPLEX</t>
  </si>
  <si>
    <t>Diverso</t>
  </si>
  <si>
    <t>Nota 1: Todos os artigos incluem fornecimento e assentamento de materiais, todos os acessórios e trabalhos complementares  conforme as peças escritas e desenhadas do projeto,
 nomeadamente o Caderno de Encargos e as Condições Técnicas  Gerais e especiais. O articulado  apresentado deverá ser confirmado,  através de leitura atenta das Peças  Escritas e Desenhadas que  fazem parte integrante do processo e  devidamente adaptado sempre que as condições da obra assim o determinem.</t>
  </si>
  <si>
    <t>Nota 2: Todas as quantidade expressas referem-se a áreas  planificadas, que resultam da projecção horizontal de planos e  taludes, não conferindo direito a erros e omissões o diferencial  relativamente à area real.</t>
  </si>
  <si>
    <t>Nota 3: O presente projecto baseia-se na planta de levantamento  topográfico. Podem ocorrer, à altura da intervenção, ajustes entre  o levantamento topográfico e a  realidade do terreno.</t>
  </si>
  <si>
    <t>Nota 4: Todos os trabalhos e materiais a empregar deverão  merecer a aprovação prévia do Dono da  Obra</t>
  </si>
  <si>
    <t>Nota 5: Nas situações em que os elementos descritivos de execução  não se verifiquem como os mais  adequados para a realização do  trabalho, deverá o Empreiteiro alertar  o Dono de Obra para se  obter a melhor solução de execução.</t>
  </si>
  <si>
    <t>CONSTRUÇÃO CIVIL</t>
  </si>
  <si>
    <t>TRABALHOS PREPARATÓRIOS</t>
  </si>
  <si>
    <t>Piquetagem e implantação topográfica</t>
  </si>
  <si>
    <t>Impantação do traçado e piquetagem recorrendo a mestras  niveladas e aprumadas, recorrendo a  estacas e passagem de fio.  Inclui todos os meios, trabalhos,  materiais, necessários e  complementares ainda que não  expressamente descritos no presente artigo.</t>
  </si>
  <si>
    <t>Limpeza, desmatação e decapagem</t>
  </si>
  <si>
    <t>Limpeza geral do terreno, remoção de todos os lixos, cepas,  entulhos que se encontrem na área de  intervenção, desmatação e  regularização das zonas verdes a  plantar. Inclui remoção da vegetação de carácter infestante, incluindo decapagem numa  espessura de 0,10m, remoção de lixos e  entulhos existentes na  área, carga, transporte e descarga dos  produtos sobrantes para
 vazadouro autorizado para o depósito dos correspondentes  resíduos e todos os trabalhos  necessários.</t>
  </si>
  <si>
    <t>MOVIMENTOS DE TERRAS</t>
  </si>
  <si>
    <t>Escavação</t>
  </si>
  <si>
    <t>Escavação de terreno de  qualquer natureza, até às cotas  de projecto, incluindo transporte  para zonas de aterro, devendo os  restantes serem transportados para  depósito autorizado, incluindo  transporte, indemnizações, bem como  todos os meios, trabalhos,  materiais, necessários.</t>
  </si>
  <si>
    <t>Aterro</t>
  </si>
  <si>
    <t>Aterro por camadas até às cotas de projeto, com terras  selecionadas provenientes das  escavações ou de zonas de  empréstimo fora da área de intervenção, incluindo transporte, todos os meios, trabalhos, materiais, necessários.</t>
  </si>
  <si>
    <t>Empréstimo de terras</t>
  </si>
  <si>
    <t>Fornecimento, carga, transporte, descarga, espalhamento de terras  de empréstimo, bem como todos os meios, trabalhos, materiais,  necessários.</t>
  </si>
  <si>
    <t>1.3</t>
  </si>
  <si>
    <t>PAVIMENTOS, REVESTIMENTOS E ELEMENTOS CONSTRUÍDOS</t>
  </si>
  <si>
    <t>Toda a construção civil deverá ser articulada com as  especialidade de engenharias,  nomeadamente estabilidade,  abastecimento de águas e drenagem  pluvial, e instalações eléctricas.</t>
  </si>
  <si>
    <t>Pavimento em grelhas de enrelvamento</t>
  </si>
  <si>
    <t>Execução de pavimento em grelhas de enrelvamento em  polipropileno tipo 'Jardins &amp; Afins -  Nidagravel 130-140', ou  equivalente, cor preto (dim.:  2.40x1.20x0.03m), após abertura de  caixa e compactação, será aplicada uma  camada de 20cm de brita  2/3, sobre a qual é espalhada uma  camada de 5cm de areia, após o  que serão aplicadas as grelhas  alvéolares, com encaixes  entrecruzados, após ao que se procede  ao preenchimento das  grelhas numa altura total de 3cm, de  modo a garantir um uniforme  espalhamento do material vegetal. Os  trabalhos incluem transporte  dos produtos sobrantes e respectiva  indemnização, cofragens, argamassas, cortes e todos os meios, trabalhos, materiais  necessários e complementares, ainda que não expressamente  descritos no presente artigo.</t>
  </si>
  <si>
    <t>Fornecimento e espalhamento de terra vegetal com execução de
hidrosementeira de relva, com 5cm de espessura quando espalhado  sobre as grelhas.</t>
  </si>
  <si>
    <t>Fornecimento e espalhamento de em gravilha branca 4/6mm (a  definir em obra mediante amostras), com 10cm de espessura  quando em revestimento solto (pátio).</t>
  </si>
  <si>
    <t>Caminho escadeado em sulipas de madeira</t>
  </si>
  <si>
    <t>Execução de pavimento escadeado no terreno em sulipas de  madeira de pinho marítimo serradas e  tratadas em autoclave Classe  C4, com 1.00x0.24x0.10m, e com  acabamento antiderrapante do  tipo 'Carmo ref eco-travessas' ou  equivalente, fixas ao solo através  de 2 espigões metálicos/travessa  rebaixados, para fixação e  estabilização, após abertura de caixa,  compactação e fornecimento e execução de 100mm de brita média para assentamento. Os  trabalhos incluem transporte dos  produtos sobrantes e respectiva  indemnização, cortes, ferragens, e  todos os meios, trabalhos,  materiais necessários e complementares, ainda que não expressamente descritos no presente artigo.</t>
  </si>
  <si>
    <t>Deck madeira</t>
  </si>
  <si>
    <t>Fornecimento e assentamento pavimento em deck thermotratado  da TOSCCA, com réguas com 140x28mm, ou equivalente,assente  sobre base em betonilha de  regularização com pendente e altura de  0,10 previamente executada, incluindo  preparação da base,  massames de apoio, estrutura de assentamento em sarrafos,  remates e todos os trabalhos  necessários, conforme peças  desenhadas e as condições e indicações  do fornecedor.</t>
  </si>
  <si>
    <t>Pavimento em betão desactivado</t>
  </si>
  <si>
    <t>Fornecimento e execução de pavimento em betão desactivado tipo  'SECIL Argamassas ref. Unidecor  natural', ou equivalente, com  espessura de 0.12m, após abertura e  compactação da caixa, espalhamento de camada de brita sobre manta geotêxtil 200gr/m2,  incluindo: mistura em autobetoneira,  acabamento mecânico,  lavagem e selagem, execução de juntas  serradas, remates e limpeza final, e todos os meios, trabalhos, materiais, necessários e
complementares ainda que não expressamente descritos no  presente artigo.</t>
  </si>
  <si>
    <t>Floreiras em chapa de aço corten</t>
  </si>
  <si>
    <t>Fornecimento e execução de floreiras hortas em chapa de aço  corten (8mm) com 0,50 m de altura. Os  trabalhos incluem  serralharia, soldaduras, ferragens,  acessórios, envernizamentos,  impermeabilização e drenagem (geodreno  com diam. 50mm) e demais materiais e trabalhos necessários</t>
  </si>
  <si>
    <t>1.4</t>
  </si>
  <si>
    <t>consultar projecto de instalações elétricas</t>
  </si>
  <si>
    <t>Projectores de chão</t>
  </si>
  <si>
    <t>Fornecimento e colocação de projectores de pavimento tipo 'MINI  AIR DOUBLE EMIS BLACK 2700K RECESSING  BOX DRIVER 350MA  IP20 15W 220.240VAC Voutmax 40V' com a  referência MXR2N0 /  CSXT01 / AL1034 da 'Flexalighting /  OHM' ou equivalente de acordo  com especificações do fabricante,
incluindo todas as ligações,  meios, trabalhos, materiais necessários e complementares, ainda  que não expressamente descritos no  presente artigo.</t>
  </si>
  <si>
    <t>Fornecimento e colocação de projector de pavimento tipo 'BUNGA  SINGLE BLACK 2700K RECESSING BOX DRIVER 350MA IP20 15W  220.240VAC Voutmax 40V' com a referência BG1N0 / CSXT01 /  AL1034 da 'Flexalighting / OHM' ou  equivalente, de acordo com  especificações do fabricante, incluindo todas as ligações, meios,  trabalhos, materiais necessários e  complementares, ainda que não  expressamente descritos no presente  artigo.</t>
  </si>
  <si>
    <t>Projector orientativo</t>
  </si>
  <si>
    <t>Fornecimento e colocação de projector de iluminação direccionável  tipo 'STAGE ROUND LED 3000K com estaca  para fixação ao solo,  ref. S.1325W24 / S.355409' da Simes, ou equivalente, de acordo  com especificações do fabricante,  incluindo todas as ligações,  meios, trabalhos, materiais necessários e complementares, ainda
que não expressamente descritos no presente artigo.</t>
  </si>
  <si>
    <t>Projector de campo de jogo</t>
  </si>
  <si>
    <t>Fornecimento e colocação de projector para iluminação do campo  de jogos tipo 'MAHALO POLE 120° 3000K  CRI93 IP65, Black +  Driver' com a referência MHP1539X +  PLC5 da 'Flexalighting', ou
 equivalente, de acordo com especificações do fabricante, incluindo todas as ligações, meios, trabalhos, materiais necessários e
complementares, ainda que não expressamente descritos no  presente artigo.</t>
  </si>
  <si>
    <t>Projectores 'MAHALO POLE 120° 3000K CRI93 IP65, Black + Driver'  com a referência MHP1539X</t>
  </si>
  <si>
    <t>Poste 'POLE' Black' com a referência PLC5</t>
  </si>
  <si>
    <t>1.5</t>
  </si>
  <si>
    <t>Campo de jogo</t>
  </si>
  <si>
    <t>Fornecimento e colocação de conjunto de Mini-Basquetebol  composto por: poste, tabela, aro e  rede. Poste em tubo de 100x100x3mm galvanizado com acabamento 100 Noir Sablé,  embutido no massame de betão C20/25  XC2(P); D12; S3;Cl 0,4 ,aplicado sobre 0,05m de betão de limpeza após abertura e  regularização de fundo de cabouco.  Tabela de tamanho oficial  (1,80m x 1,05m) em acrílico de 10mm  translucido, com aro de ferro
com acabamento 100 Noir Sablé, com diâmetro interno de 450mm  em barra redonda galvanizada de  16mm&lt;Ø&lt;20mm, com iluminação  LED incluída no aro. Rede em malha de  nylon branca de 6,5mm,  presa ao aro em 12 pontos, comprimento  40cm, tudo de acordo  com especificações do fabricante,
incluindo todas as fixações,  ligações, meios, trabalhos, materiais necessários e  complementares, ainda que não expressamente descritos no presente artigo.</t>
  </si>
  <si>
    <t>Fornecimento e colocacao de base de duche tipo 'URBAN Dusche'  da 'Viteo', ou equivalente, em material plastico e aco inoxidavel  (.0.78m), tudo de acordo com  especificacoes do fabricante,  incluindo todas as fixacoes, ligacoes,  meios, trabalhos, materiais  necessarios e complementares, ainda que nao expressamente  descritos no presente artigo.</t>
  </si>
  <si>
    <t>Fornecimento e colocação de baliza para futebol de 5 da Bricantel  ou equivalente ref BR 023 - 1AL,
incluindo abertura de caixa em  terreno de qualquer natureza para  execução de maciços de  fundação e ancoragem, remoção de  materiais sobrantes a vazadouro situado fora da zona da obra, execução de maciços de  fundação e ancoragem em betão simples,  todas as ancoragens e  fixações, bem como todos os trabalhos  preparatórios e de acabamento final. Tudo devidamente montado segundo indicações  do fabricante e assente por pessoal especializado.</t>
  </si>
  <si>
    <t>Fornecimento e instalação de Banco de madeira, conforme peças  desenhas, constituido por ripado de  madeira 12x12x240 , incluindo  todos os trabalhos preparatórios e de
acabamento final. Tudo  devidamente montado segundo indicações.</t>
  </si>
  <si>
    <t>Mobilização superficial, despedrega do solo e estabelização à curva  de nível, a cerca de 0,30m de  profundidade, estabelecendo as  pendentes mínimas definidas para as  zonas verdes, e preparação do  terreno natural para recepção de  composto de plantação, incluindo  todos os meios, trabalhos, materiais  necessários .</t>
  </si>
  <si>
    <t>Escavação em abertura de covas com 1,00m, para plantação de  árvores, incluindo elevação, baldeação  e transporte das terras para  destino final ou colocação em pargas  para aterros, todos os meios,  trabalhos, materiais necessários.</t>
  </si>
  <si>
    <t>Escavação em abertura de covas com 0,40m para plantação de  maciços arbustivos incluindo elevação, baldeação e transporte das  terras para destino final ou colocação  em pargas para aterros,  todos os meios, trabalhos, materiais  necessários.</t>
  </si>
  <si>
    <t>Escavação em abertura de covas om 0,20m para plantação de  maciços herbáceos e sub-arbustivos,  incluindo elevação, baldeação  e transporte das terras para destino  final ou colocação em pargas para aterros, todos os meios, trabalhos, materiais necessários.</t>
  </si>
  <si>
    <t>Terra vegetal, composto e fertilização</t>
  </si>
  <si>
    <t>Espalhamento de terra vegetal isenta de pedras, torrões e raízes,  incluindo carga, transporte, descarga, espalhamento e  regularização de acordo com as cotas e  inclinações de projecto e/ou  fornecimento, incluindo incorporação de matéria orgânica, fertilização, todos os meios, trabalhos, materiais necessários.</t>
  </si>
  <si>
    <t>para maciços herbáceos e sub-arbustivos com 0,20m de espessura</t>
  </si>
  <si>
    <t>para árvores, com 1,00m de espessura</t>
  </si>
  <si>
    <t>Plantação de árvores</t>
  </si>
  <si>
    <t>Fornecimento e plantação de árvores, incluindo todos os meios,  trabalhos, materiais necessários.</t>
  </si>
  <si>
    <t>Cr - Citrus reticulata | PAP8/10, V20/40lts  (ARTIGO ORÇAMENTADO PARA V35LT)</t>
  </si>
  <si>
    <t>Cs - Citrus sinensis | PAP8/10, V20/40lts  (ARTIGO ORÇAMENTADO PARA V35LT)</t>
  </si>
  <si>
    <t>Ac - Acer campestre | PAP16/18, V60lts</t>
  </si>
  <si>
    <t>Me - Metrosideros excelsa | PAP16/18, V40lts</t>
  </si>
  <si>
    <t>Oe - Olea europaea | PAP16/18, V60lts</t>
  </si>
  <si>
    <t>Pd - Prunus domestica (ameixeira) | PAP8/10, V20/40lts</t>
  </si>
  <si>
    <t>Csq - Ceratonia síliqua | PAP18/20, V80lts</t>
  </si>
  <si>
    <t>Ppn - Pinus pinea | PAP18/20, V80lts</t>
  </si>
  <si>
    <t>Pp - Pinus pinaster | PAP18/20, V80lts</t>
  </si>
  <si>
    <t>Cl - Cupressus leylandi | PAP18/20, V80lts</t>
  </si>
  <si>
    <t>Plantações de arbustos de grande a médio portes</t>
  </si>
  <si>
    <t>Fornecimento e plantação de arbustos, incluindo todos os meios,  trabalhos, materiais necessários.</t>
  </si>
  <si>
    <t>Au - Arbutus unedo | alt 80/100, V10lts</t>
  </si>
  <si>
    <t>Ln - Laurus nobilis | alt 100, V10lts</t>
  </si>
  <si>
    <t>Em - Eugenia myrtifolia | alt 40/60, V5lts</t>
  </si>
  <si>
    <t>Jh - Juniperus horizontalis | alt 40/60, V5lts</t>
  </si>
  <si>
    <t>Ej - Euonymus japonicus | alt 80/100, V5lts (ARTIGO ORÇAMENTADO PARA ALT 40/60E V10LT)</t>
  </si>
  <si>
    <t>Tf - Teucrium fruticans | alt 80/100, V5lts (ARTIGO ORÇAMENTADO PARA ALT 40/60E V10LT)</t>
  </si>
  <si>
    <t>Ro - Rosmarinus officinalis (alecrim) | alt 40/60, V5lts (ARTIGO ORÇAMENTADO PARA V2.5LT)</t>
  </si>
  <si>
    <t>Wf - Westringia fruticosa | alt 40/60, V5lts</t>
  </si>
  <si>
    <t>Lv - Ligustrum vulgare| alt 40/60, V5lts (ARTIGO ORÇAMENTADO PARA V2.5LT)</t>
  </si>
  <si>
    <t>Pt - Pittosphorum tobira| alt 40/60, V5lts (ARTIGO ORÇAMENTADO PARA V3LT)</t>
  </si>
  <si>
    <t>Plantações de plantas palmeiras</t>
  </si>
  <si>
    <t>Fornecimento e plantação de plantas carnudas, cicas e palmeiras,  incluindo todos os meios, trabalhos,  materiais necessários.</t>
  </si>
  <si>
    <t>Ch - Chamaerops humilis | alt 80/100, V7,5lts</t>
  </si>
  <si>
    <t>Cr - Ciccas revoluta | alt tronco 20/30cm, V7,5lts</t>
  </si>
  <si>
    <t>Plantações de arbustos de pequeno porte e herbáceas</t>
  </si>
  <si>
    <t>Fornecimento e plantação de arbustos de pequeno porte e  herbáceas, incluindo todos os meios,  trabalhos, materiais necessários.</t>
  </si>
  <si>
    <t>Fg - Festuca glauca - 5un/m² | alt 10/20, V9cm</t>
  </si>
  <si>
    <t>Gl - Gaura lindheimeri - 5un/m² | alt 30/40, V3lts (ARTIGO ORÇAMENTADO PARA V1LT)</t>
  </si>
  <si>
    <t>Lm - Lavandula stoechas - 5un/m² | alt 30/40, V3lts (ARTIGO ORÇAMENTADO ALT20/30 PARA V2.5LT)</t>
  </si>
  <si>
    <t>St - Stipa tenuissima - 5un/m² | alt 20/30, V2,5lts</t>
  </si>
  <si>
    <t>Pa - Pennisetum setaceum - 5un/m² | alt 30/40, V3lts (ARTIGO ORÇAMENTADO ALT20/30 PARA V1LT)</t>
  </si>
  <si>
    <t>Sc - Santolina chamaecyparissus - 5un/m² | alt 30/40, V3lts (ARTIGO ORÇAMENTADO ALT20/30 PARA V2.5LT)</t>
  </si>
  <si>
    <t>Tv - Thymus vulgaris - 5un/m² | alt 10/20, V1lts</t>
  </si>
  <si>
    <t>Fornecimento e sementeira de relvado tipo 'Alipio Dias' ou  equivalente, incluindo fertilização,  todos os trabalhos  complementares, conforme C.T.E., numa  densidade de 60g/m2.</t>
  </si>
  <si>
    <t>Festuca arundinacea 50%  Festuca rubra spp. 30%  Poa trivialis 20%</t>
  </si>
  <si>
    <t>Sementeira de Prado</t>
  </si>
  <si>
    <t>Fornecimento e sementeira de prado Sementeira Prado Florido  APJordão ou equivalente, incluindo  fertilização, todos os trabalhos  complementares, conforme C.T.E., numa  densidade de 100g/m2.</t>
  </si>
  <si>
    <t>47% Festuca rubra rubra  50% Festuca ovina duriúscula  3% Mistura de flores campestres'</t>
  </si>
  <si>
    <t>Fornecimento e colocação de tutores em monopeça (plantações em  terreno) pinho ou eucalipto devidamente tratada, com 3,50m de  altura e 0,10m de diâmetro, incluindo a borracha de protecção e duplo atilho em base elástica do tipo “Toltex –Elastos 45”, ou  equivalente. Inclui todos os materiais  e trabalhos complementares.</t>
  </si>
  <si>
    <t>Fornecimento e espalhamento de casca de pinheiro casca de  pinheiro (mulch) tipo 'Siro Decor', ou  equivalente, granulometria 25-  45mm (e=15cm), incluindo transporte,  todos os materiais e  trabalhos necessários e complementares  ainda que não expressamente descritos no presente artigo.</t>
  </si>
  <si>
    <t>INFRAESTRUTURAS</t>
  </si>
  <si>
    <t>Consultar e compatibilizar com a especialidade de abastecimento  de águas e de instalações eléctricas</t>
  </si>
  <si>
    <t>Abertura e fecho de valas, com 0,40 x 0,50m incluindo todos os  trabalhos e materiais complementares,  tudo de acordo com as  normas da boa execução conforme  previsto no projecto, sobre terreno</t>
  </si>
  <si>
    <t>Fornecimento e colocação em obra de areia de rio, camada de 0,40  x 0,20m isenta de pedras, torrões,  raízes e salitre, formando  almofada e envolvimento das tubagens,  incluindo compactação e  regularização do fundo para  assentamento das tubagens.</t>
  </si>
  <si>
    <t>Remoção de materiais sobrantes para destino adequado, de  acordo com o PPGRCD, e à  responsabilidade do adjudicatário,  incluindo carga, transporte, descarga e espalhamento (medição  com 20% de empolamento).</t>
  </si>
  <si>
    <t>Tubagens e negativos</t>
  </si>
  <si>
    <t>Fornecimento e instalação em vala ou em atravessamento de  pavimento de tubo de polietileno de  alta densidade (PEAD MRS  100, PN 10 SDR 17 ), incluindo todos o  tipo de ligação e com os acessórios de ligação indicados em Caderno de Encargo quer em  planta como em perfil, bem como todos  os materiais e trabalhos  complementares.</t>
  </si>
  <si>
    <t>Fornecimento e colocação de protecção mecânica em Polietileno  Alta Densidade (PEAD) MRS 100 PN 12,5  SRD 13,6 para atravessamentos de pavimentos, bem como todo os materiais e  trabalhos complementares.</t>
  </si>
  <si>
    <t>Fornecimento e instalação subterrânea de gotejadores Netafim  Turbonet de 2,3 l/h , ou equivalente  integrados de 30 em 30 cm  em tubo Netafim UniRAM 16/120 ou  equivalente, a uma  profundidade de 10 cm, incluindo as  ligações e as estacas de  fixação recomendadas pela Netafim ou  equivalente bem como todo
o trabalho e material complementar .</t>
  </si>
  <si>
    <t>Fornecimento e instalação de bicos aspersores Rain Bird MProtater  ou equivalente instalados em corpos  Rain Bird 3500 ou  equivalente incluindo ligação flexível, bem como todo o material e  trabalhos complementares.</t>
  </si>
  <si>
    <t>aspersores e bicos</t>
  </si>
  <si>
    <t>Fornecimento e montagem de válvulas de tomada de água diam.  3/4", em metal Sure Quick 3 WW  incluindo haste em hidronil de  3/4" e válvula de macho esférico de  3/4" em latão a montante, bem como todos os materiais e trabalhos necessários para a  ligação à conduta e caixa de protecção  Rain Bird VB10RND, segundo Caderno de Encargos .</t>
  </si>
  <si>
    <t>Fornecimento e montagem de electroválvula de Hunter PGV ou equivalente incluindo caixa de proteção Rain Bird VBSTD ,  segundo Caderno de Encargos , bem como  todos os materiais e  trabalhos necessários para as ligações  à tubagem a montante e a jusante.</t>
  </si>
  <si>
    <t>Fornecimento e montagem de electroválvula de 1" Rain Bird 100  DV 9V ou equivalente incluindo caixa de proteção Rain Bird VBSTD  , segundo Caderno de Encargos , bem  como todos os materiais e  trabalhos necessários para as ligações  à tubagem a montante e a  jusante.</t>
  </si>
  <si>
    <t>Controladores e cabos eléctricos</t>
  </si>
  <si>
    <t>Forneciemnto e intsalação de Programador eléctronico tipo "Programador ESP-ME3 de 4 est.,modular e expansível –  compatível com WIFI"ou equivalente +  Módulo de extensão de 6 est. para ESP-Me</t>
  </si>
  <si>
    <t>Fornecimento e instalação em vala de cabos eléctricos VAV com  1,5 mm 2 de secção, incluindo rede  avisadora de polietileno com  legenda "Electricidade", ligações entre troços de cabos eléctricos e  dos fios condutores aos solenóides das electroválvulas.</t>
  </si>
  <si>
    <t>7 cond</t>
  </si>
  <si>
    <t>Fornecimento e instalação de filtro de 1 1/2" de disco de 120  mesh Arkal ou equivalente, segundo  Caderno de Encargos, bem de  todos materiais e trabalhos  complementares .(ARTIGO ORÇAMENTADO FILTRO ARAG 100MESH)</t>
  </si>
  <si>
    <t>Fornecimento e instalação de válvula de fim de linha 1/2" Netafim  ou equivalente, segundo Caderno de Encargos, incluindo caixa de  proteção Rain Bird VB10RND, ou  equivalente bem de todos  materiais e trabalhos complementares.</t>
  </si>
  <si>
    <t>Fornecimento e instalação de válvula de ar de 1" ARI MiniBarak D-  40 ou equivalente incluindo caixa de
proteção Rain Bird VB10RND,  ou equivalente, segundo Caderno de Encargos, bem de todos  materiais e trabalhos complementares.</t>
  </si>
  <si>
    <t>Fornecimento e instalação de válvula de retenção do tipo York,  segundo Caderno de Encargos, bem de  todos materiais e trabalhos  complementares .</t>
  </si>
  <si>
    <t>Fornecimento e instalação de grupo hidropressor Gundfos Hydro  Multi S 2 CR 5 -8 ou equivalente,  incluindo, depósito pneumático,  quadro de comando, aspiração e todo o equipamento
 recomendado pelo fabricante , segundo as boas regras da arte e  Caderno de Encargos, bem como todos  materiais e trabalhos complementares.</t>
  </si>
  <si>
    <t>Execução da ligação ao ponto de alimentação segundo Caderno de
Encargos e as boas regras da arte.</t>
  </si>
  <si>
    <t>MANUTENÇÃO ESPAÇOS VERDES</t>
  </si>
  <si>
    <t>Fornecimento e Execução de todos os trabalhos relativos à  manutenção do jardim após a recepção  provisória.</t>
  </si>
  <si>
    <t>TOTAL</t>
  </si>
  <si>
    <t>Description</t>
  </si>
  <si>
    <t>HOUSING EXECUTION - URB. DAS GAIVOTAS MATA PORCAS, PRAIA DA LUZ</t>
  </si>
  <si>
    <t>Site Setup</t>
  </si>
  <si>
    <t>Site set up AND COMPLEMENTARY WORKS</t>
  </si>
  <si>
    <t>Assembly, construction, maintenance, disassembly and demolition of a construction site, including the corresponding installations, temporary water, sewage, electricity and telecommunications networks, internal circulation routes and everything else necessary in accordance with Decree-Law no. October 29th and other legislation in force, Development and Implementation of the Construction and Demolition Waste Prevention and Management Plan (within the meaning of D.L. No. 46/2008 of March 12th).</t>
  </si>
  <si>
    <t>Site Setup AND COMPLEMENTARY WORKS</t>
  </si>
  <si>
    <t>ARCHITECTURE</t>
  </si>
  <si>
    <t>MASONRY AND LIGHTWEIGHT PAMENTS</t>
  </si>
  <si>
    <t>EXTERIOR MASONRY</t>
  </si>
  <si>
    <t>Supply and execution of an external wall with 1 sheet of Preceram thermal brick 25cm thick, including laying mortar in a 1:4 ratio, reinforced concrete lintels over gaps, stainless steel locking cats between masonry and concrete structure and all preparatory work and accessories necessary for a perfect finish. (PE-A) (PE-B) (PE-C) (PE-D) (PE-E) (PE-P) (PE-F)</t>
  </si>
  <si>
    <t>Supply and execution of an exterior wall with 1 panel in ceramic brick masonry measuring 30x20x15cm, including laying mortar at 1:4, reinforced concrete lintels over gaps and all preparatory work and accessories necessary for a perfect finish. (PE-M) (PE-N)</t>
  </si>
  <si>
    <t>Supply and execution of an external wall with 1 panel in ceramic brick masonry measuring 30x20x11cm, including laying mortar in a 1:4 line, reinforced concrete lintels over gaps, in the intervals between air boxes provide a channel in the subfloor with a slope for the drainage of condensation water to a drain with an exit, and all the preparatory work and accessories necessary for a perfect finish. (PE-H) (PE-K) (PE-L)</t>
  </si>
  <si>
    <t>INTERIOR MASONRY</t>
  </si>
  <si>
    <t>Supply and execution of interior walls with 1 panel in ceramic brick masonry measuring 30x20x15cm, including laying mortar at 1:4, reinforced concrete lintels over gaps and all preparatory work and accessories necessary for a perfect finish. (PI-A) (PI-B)</t>
  </si>
  <si>
    <t>Supply and execution of interior walls with 1 panel in ceramic brick masonry measuring 30x20x7cm, including laying mortar at 1:4, reinforced concrete lintels over gaps and all preparatory work and accessories necessary for a perfect finish. (PI-C)</t>
  </si>
  <si>
    <t>Supply and execution of interior walls with 2 panels in ceramic brick masonry measuring 30x20x11cm + air box 3cm + 30x20x11cm, including laying mortar at 1:4, reinforced concrete lintels over gaps and all preparatory work and accessories necessary for a perfect finish. (PI-D) (PI-E)</t>
  </si>
  <si>
    <t>LIGHT INTERIOR APPLIANCES</t>
  </si>
  <si>
    <t>Supply and execution of cladding in 12mm plasterboard sheets, on the interior sides of the exterior walls, double plating system, interior filling with 9cm thick rock wool, including profiled structure to support the boards with 90mm uprights, fixing system, joint treatment, smoothing and final preparation to receive painting or final coating and all preparatory work and accessories necessary for a perfect finish. (PE-P)</t>
  </si>
  <si>
    <t>Supply and execution of cladding in standard 12mm plasterboard sheets, on the interior sides of exterior walls, double plating system, interior filling with 5cm thick rock wool, including profiled structure to support the boards with 48mm uprights, fixing system, joint treatment, smoothing and final preparation to receive painting or final coating and all preparatory work and accessories necessary for a perfect finish. (PE-C) (PE-D) (PI-G)</t>
  </si>
  <si>
    <t>Supply and execution of cladding in 12mm water-repellent plasterboard sheets, on the interior sides of exterior walls, double plating system, interior filling with 5cm thick rock wool, including profiled structure to support the boards with 48mm uprights, fixing system, joint treatment, smoothing and final preparation to receive painting or final coating and all preparatory work and accessories necessary for a perfect finish. (PE-I) (PI-H)</t>
  </si>
  <si>
    <t>Supply and execution of cladding in 12mm water-repellent plasterboard sheets, on the interior sides of exterior walls, double plating system, interior filling with 3cm thick rock wool, including profiled structure to support the boards with 30mm uprights, fixing system, joint treatment, smoothing and final preparation to receive painting or final coating and all preparatory work and accessories necessary for a perfect finish. (PE-J)</t>
  </si>
  <si>
    <t>Supply and assembly of lightweight walls in double 12mm water-repellent plasterboard panels per side, internally coated with 5cm rock wool acoustic insulation, including profiled structure to support the plates with 48mm uprights, fixing system, joint treatment, sealing and final preparation to receive painting and all preparatory work and accessories necessary for a perfect finish. (PI-F)</t>
  </si>
  <si>
    <t>Supply and assembly of lightweight walls in simple 19mm water-repellent MDF board, lacquered on each side, with a matte finish in the color RAL 9003, covered internally with 4cm rock wool acoustic insulation, including a 4cm FACAR tube structure to support the plates, fixing system and all preparatory work and accessories necessary for a perfect finish. (PI-I) (PR06)</t>
  </si>
  <si>
    <t>CONCRETE SILLS</t>
  </si>
  <si>
    <t>Supply and execution of concrete sills with bars, according to detail PORM10, raised 1cm with rubber supports at the discretion of the executor, including cuts, finishes and all preparatory work and accessories necessary for a perfect finish.</t>
  </si>
  <si>
    <t>Threshold VE 01.1 - Dimension 1.10m.</t>
  </si>
  <si>
    <t>Threshold VE 01.2 - Dimension 4.68m.</t>
  </si>
  <si>
    <t>Threshold VE 01.3 - Dimension 4.61m.</t>
  </si>
  <si>
    <t>Threshold VE 01.4 - Dimension 3.04m.</t>
  </si>
  <si>
    <t>Supply and execution of narrow sills between gaps on the 1st floor, in concrete parts with bars, according to detail PORM10, raised 1cm with rubber supports at the discretion of the contractor, including cuts, finishes and all preparatory work and accessories necessary for a perfect finish.</t>
  </si>
  <si>
    <t>Threshold A - Dimensions 400x70mm.</t>
  </si>
  <si>
    <t>Threshold B - Dimensions 3960x70mm.</t>
  </si>
  <si>
    <t>Threshold C - Dimensions 5300x70mm.</t>
  </si>
  <si>
    <t>Threshold D - Dimensions 1390x70mm.</t>
  </si>
  <si>
    <t>Threshold E - Dimensions 1040x70mm.</t>
  </si>
  <si>
    <t>WATERPROOFING AND INSULATION</t>
  </si>
  <si>
    <t>IN COVERAGE #2 and #3</t>
  </si>
  <si>
    <t>Supply and execution of waterproofing of Flat Roofs (#2 and #3) on Floor 1 (non-accessible), including all preparatory work and accessories necessary for a perfect finish, in accordance with the following works:</t>
  </si>
  <si>
    <t>Thermal insulation in extruded polystyrene plates "IFOAM COBERTURAS" 8cm thick, including cuts, finishes.</t>
  </si>
  <si>
    <t>Formwork layer in light concrete for regularizing and creating gutters and slopes of the required thickness, with a smooth finish for laying screens.</t>
  </si>
  <si>
    <t>"Imperalum" type waterproofing system with Imperkote L painting, waterproofing system with two crossed screens POLYPLAS 30 + POLYXIS R40 screen (the screens go up on the walls, creating caps and fixed to them with appropriate angles or others), separator screen in calendered polyester fabric type "IMPERSEP 200" including cuts, finishes, fixings, all ready to receive final coating.</t>
  </si>
  <si>
    <t>ON BALCONY</t>
  </si>
  <si>
    <t>Supply and execution of waterproofing of the 1st Floor Balcony (accessible), including all preparatory work and accessories necessary for a perfect finish, in accordance with the following works:</t>
  </si>
  <si>
    <t>Screed with a smooth finish for laying screens and creating pendants.</t>
  </si>
  <si>
    <t>"Imperalum" type waterproofing system with Imperkote L painting, waterproofing system with two crossed screens POLYPLAS 30 + POLYXIS R40, (the screens go up on the walls, creating caps and fixed to them with appropriate angles or others), separator screen in calendered polyester fabric type "IMPERSEP 200", including cuts, finishes, fixings, all ready to receive final coating.</t>
  </si>
  <si>
    <t>COVERING THE TECHNICAL AREA OF POOL #1 AND TECHNICAL AREA #2</t>
  </si>
  <si>
    <t>Supply and execution of waterproofing of the Flat Roof of Technical Area #1 and Compensation Tank, Technical Area #2, including all preparatory work and accessories necessary for a perfect finish, in accordance with the following works:</t>
  </si>
  <si>
    <t>IN BURIED GARMENTS</t>
  </si>
  <si>
    <t>Supply and execution of a drainage system for buried walls through the application of a pitted drainage screen type "Aguadrain" or equivalent, fixed to the reinforced concrete walls, including a geodrain tube at the bottom of the trench wrapped in crushed stone, connection to the drainage network, boxes, fixing system, cuts, finishes and all preparatory work and accessories.</t>
  </si>
  <si>
    <t>ON INTERIOR SLABS</t>
  </si>
  <si>
    <t>Supply and execution of thermal insulation of interior slabs (#2 and #3) with 8cm thick "XPS" extruded polystyrene plates based on a 10mm Impactodam acoustic blanket, according to the detailed drawing, including cuts, finishes and all preparatory work and accessories.</t>
  </si>
  <si>
    <t>IN SHOWER BASES</t>
  </si>
  <si>
    <t>Supply and execution of waterproofing of shower trays on the floor with elastic two-component cement mortar type "Mapelastic Smart" or equivalent, reinforced with fiberglass mesh with anti-alkaline treatment, with a rise of up to 30cm on the walls, including all preparatory work and accessories necessary for a perfect finish.</t>
  </si>
  <si>
    <t>POOL WATERPROOFING SYSTEM AND WATER MIRRORS</t>
  </si>
  <si>
    <t>Supply and execution of the "IMPERALUM" system for waterproofing the pool and water features, consisting of Imperkote F paint application, system of two crossed screens POLYPLAS 30 + POLYXIS R40T + POLYBANCA 33, separator in calendered polyester fabric, IMPERSEP 150 (at the bottom and in the corners), system of 1 screen POLYXIS R50 on the vertical walls, ready to receive a final finish, everything in accordance with detailed drawings, including cuts and finishes and all preparatory work and accessories for a perfect finish.</t>
  </si>
  <si>
    <t>COVERAGE</t>
  </si>
  <si>
    <t>Supply and assembly of roof covering #1 with zinc sheets lacquered in white RAL 9003, with "Double Lock" type stapled joint, based on a "AGUADRAIN GEO" type ventilation layer and "RHENOFOL CV" type waterproofing membrane, 8cm XPS thermal insulation on the inside and a 17cm layer of rock wool between OSB, according to the detail drawing, including execution of gutter and zinc capping, cuts, finishes, fastening elements and all preparatory work and accessories necessary for a perfect finish. (PV15)</t>
  </si>
  <si>
    <t>Supply and application of fine gray pebble covering, in a thickness of 10cm, on flat roofs #2 and #3 (not accessible), including loading, transport, dusting and all preparatory work and accessories necessary for a perfect finish. (PV12)</t>
  </si>
  <si>
    <t>Supply and execution of wall coverings for roof #2 and #3 (not accessible) in galvanized metal sheet, including cuts, finishes, fixing elements, creation of pendants, according to project elements, and all preparatory work and accessories necessary for a perfect finish.</t>
  </si>
  <si>
    <t>Supply and execution of a metal fireplace chimney in accordance with the detailed drawing, including metal exhaust pipe, watertight insulation, cuts, finishes, connections and all preparatory work and accessories necessary for a perfect finish.</t>
  </si>
  <si>
    <t>CEILING COATING</t>
  </si>
  <si>
    <t>EXTERIOR CEILINGS</t>
  </si>
  <si>
    <t>Supply and execution of covering exposed concrete ceilings with water-repellent finish, "SIKAGARD 680-S PT", colorless matt, including preparation of the base by cutting out concrete burrs, filling of gaps with appropriate materials, general surface preparation, application of primer and all preparatory work and accessories necessary for a perfect finish. (TE04)</t>
  </si>
  <si>
    <t>INTERIOR CEILINGS</t>
  </si>
  <si>
    <t>Supply and execution of covering exposed concrete ceilings with water-repellent finish, "SIKAGARD 680-S PT", colorless matt, including preparation of the base by cutting out concrete burrs, filling of gaps with appropriate materials, general surface preparation, application of primer and all preparatory work and accessories necessary for a perfect finish. (TE01)</t>
  </si>
  <si>
    <t>Supply and assembly of continuous false ceilings with 12mm plasterboard sheets, "KNAUF KS STANDARD", including 10mmx10mm fin with system profile, support structure, fixing system, execution of openings for placing various equipment, recesses, joint treatment, skimming and final preparation to receive painting and all preparatory work and accessories necessary for a perfect finish. (TE02)</t>
  </si>
  <si>
    <t>Supply and assembly of continuous false ceilings with 12mm water-repellent plasterboard sheets, "KNAUF HIDROFUGA H1", including 10mmx10mm fin with system profile, support structure, fixing system, execution of openings for placing various equipment, recesses, joint treatment, damming and final preparation to receive painting and all preparatory work and accessories necessary for a perfect finish. (TE03)</t>
  </si>
  <si>
    <t>Supply and execution of molding in false plasterboard ceilings, according to the detailed drawing, with finishing and final preparation to receive painting, including all preparatory work and accessories necessary for a perfect finish.</t>
  </si>
  <si>
    <t>Supply and execution of water paint painting, "CIN - VINYLMATE - Ref.ª 10-250", extra matt finish, in white RAL 9003, in 2 to 3 coats, including prior cleaning of surfaces, application of 1 coat of primer "EP/GC 300 - Ref.ª 10-600" and all preparatory work and accessories necessary for a perfect finish. (PR02)</t>
  </si>
  <si>
    <t>WALL COATING</t>
  </si>
  <si>
    <t>EXTERIOR WALLS</t>
  </si>
  <si>
    <t>Supply and execution of exposed concrete wall cladding with a water-repellent finish, "SIKAGARD 680-S PT", colorless matt, including preparation of the base by cutting out concrete burrs, filling gaps with appropriate materials, general surface preparation, application of primer and all preparatory work and accessories necessary for a perfect finish. (PR08)</t>
  </si>
  <si>
    <t>Supply and execution of "WEBER REV PASTE GRAY RAL 7035 from the SAINT-GOBAIN brand", including all preparatory work and accessories necessary for a perfect finish. (PR09)</t>
  </si>
  <si>
    <t>Supply and execution of facade cladding with the complete system "ETICS - WEBER REV PASTE GRAY RAL 7035 from the brand SAINT-GOBAIN", consisting of bonding mortar, thermal insulation with 7cm thick molded expanded polystyrene plates, two layers of coating mortar separated between them by reinforcing mesh, normal mesh, leveling primer, regulator and final finish, including anchors and fixing accessories, profiles and finishing angles and all preparatory work and accessories necessary for a perfect finish. (PR10)</t>
  </si>
  <si>
    <t>Supply and assembly of a finished facade system made from 5mm aluminum sheet lacquered in white RAL 9003 with a glued system from the brand "CORTIZO" and a T profile sub-structure and 7cm XPS insulation, including cuts, finishes and all preparatory work and accessories necessary for a perfect finish. (PR11)</t>
  </si>
  <si>
    <t>Supply and execution of fine sanded plaster at 1:4, on facades and pergolas, all ready to receive painting or final finishing, including splashing, plastering and all preparatory work and accessories necessary for a perfect finish. (PR09) (PR14)</t>
  </si>
  <si>
    <t>Supply and execution of painting with 100% acrylic paint, "CIN - NOVATEX - Ref.ª 12-230", in the color Gray RAL 7035, in 2 to 3 coats, on plaster, including prior cleaning of surfaces, application of 1 coat of primer "EP/GC 300 - Ref.ª 10-600" and all preparatory work and accessories necessary for a perfect finish. (PR14)</t>
  </si>
  <si>
    <t>INTERIOR WALLS</t>
  </si>
  <si>
    <t>Supply and execution of exposed concrete wall cladding with a water-repellent finish, "SIKAGARD 680-S PT", colorless matt, including preparation of the base by cutting out concrete burrs, filling gaps with appropriate materials, general surface preparation, application of primer and all preparatory work and accessories necessary for a perfect finish. (PR01)</t>
  </si>
  <si>
    <t>Supply and execution of projected plaster, including thin mass skimming, reinforcement with 5x5cm (75g/m2) fiberglass mesh in the concrete/masonry transition and PVC corner profiles reinforced with fiber mesh, all ready to receive painting and all the preparatory work and accessories necessary for a perfect finish. (PR02) (PR03)</t>
  </si>
  <si>
    <t>Supply and installation of "CLASSIC WHITE 30x30cm" tablet coating from the "RUBICER" brand and with joints in light gray bitumen RAL 7035, including base plaster on masonry faces, laying mortar or glue, cuts, finishing, grouting of joints and all preparatory work and accessories necessary for a perfect finish. (PR5.1)</t>
  </si>
  <si>
    <t>Supply and installation of coating in "GRAY 30x30cm" tablet from the "RUBICER" brand and with joints in white bitumen RAL 9003, including base plaster lathed on masonry faces, laying mortar or glue, cuts, finishes, grouting of joints and all preparatory work and accessories necessary for a perfect finish. (PR5.2)</t>
  </si>
  <si>
    <t>Supply and execution of tin plaster, including splashing, plastering and all preparatory work and accessories necessary for a perfect finish. (PR07)</t>
  </si>
  <si>
    <t>Supply and execution of water paint painting, "CIN - VINYLCLEAN MATE - Ref.ª 10-245", in white RAL 9003, in 2 to 3 coats, applied to plastered walls and/or plasterboard, including prior cleaning of surfaces, application of 1 coat of primer "EP/GC 300 - Ref.ª 10-600" and all preparatory work and accessories necessary for a perfect finishing. (PR02) (PR04)</t>
  </si>
  <si>
    <t>Supply and execution of painting with acrylic water enamel paint, "CIN - CINACRYL MATE - Ref.ª 10-230", in white RAL 9003, in 2 to 3 coats, applied to plastered walls and/or plasterboard, including prior cleaning of surfaces, application of 1 coat of primer "EP/GC 300 - Ref.ª 10-600" and all necessary preparatory work and accessories to a perfect finish. (PR03) (PR04)</t>
  </si>
  <si>
    <t>COATING OF FLOORS AND Skirting</t>
  </si>
  <si>
    <t>EXTERIOR FLOORING</t>
  </si>
  <si>
    <t>Supply and execution of ground floor for laying exterior flooring, including opening of a 15cm box with transportation of the remaining products to a dump, regularization and compaction of the box, layer of rockfill and gravel (3 to 5cm) with 0.15cm compacted, vapor barrier, reinforced concrete mass with CQ50 sol mesh 15cm thick, according to detailed drawing, including creation of slopes, and all preparatory work and accessories necessary for a perfect finish.</t>
  </si>
  <si>
    <t>Supply and execution of continuous coating on self-levelling, water-repellent screed, including smoothing/filling support in light concrete, finishing, leveling and all preparatory work and accessories necessary for a perfect finish. (PV07)</t>
  </si>
  <si>
    <t>Supply and laying of flooring in prefabricated concrete slabs 50x50x6cm from the brand "VERDASCA GROUP", including adjustable supports for supporting the slabs, leveling, cutting, finishing and all preparatory work and accessories necessary for a perfect finish. (PV08) (LAJ 01.1)</t>
  </si>
  <si>
    <t>Supply and laying of flooring in concrete slabs with variable dimensions, including filling/regulating screed with a smooth finish, laying mortar or glue, leveling, cutting, finishing, joint grouting and all preparatory work and accessories necessary for a perfect finish. (PV09)</t>
  </si>
  <si>
    <t>LAJ -01.1 - Path over water in prefabricated concrete slabs. Description: Set of 3 prefabricated concrete slabs with reinforced concrete supports. The slabs are 650x650x70mm.  Dimensions: General measurements - 2050x650x70mm (LxWxH) 3 Slabs - 650x650x70mm (LxWxH)</t>
  </si>
  <si>
    <t>LAJ 00.1 - Path over water in prefabricated concrete slabs. Description: Set of 13 prefabricated concrete slabs with reinforced concrete supports. The slabs at the ends are 1250x500x70mm and the rest are 1250x300x70mm. The ends of the slabs are chamfered to create the effect that they are floating on the water level, with the height of the slab being 5cm at its limit.  Dimensions: General measurements - 5000x1250x260mm (LxWxH) 2 Slab Type 1 - 1250x500x50mm (LxWxH) 11 Slab Type 2 - 1250x300x50mm (LxWxH)</t>
  </si>
  <si>
    <t>LAJ 00.3 - Route on prefabricated concrete slabs.  Description: Set of 9 prefabricated concrete slabs. The slabs are 2050x300x100mm. They must be placed on a medium gravel base. Dimensions: 9 Slabs - 2050x300x100mm (LxWxH)</t>
  </si>
  <si>
    <t>Supply and laying of flooring in concrete blocks of the "ECOQUADRADO PAVING" type from the "VERDASCA GROUP" brand, joints filled with fine gray rolled pebbles, applied on a 5cm thick base of cement and sand at a 1:4 ratio, 15cm thick tout-venant sub-base, including opening of a 20cm box, compaction, removal and transport to the dump of leftover products (the dump being contractor's account) and all preparatory work and accessories necessary for a perfect finish. (PV10)</t>
  </si>
  <si>
    <t>Supply and laying of a deck consisting of 20x220x2200mm pine wood boards, autoclave treatment, natural color matte varnish finish, symmetrical screwing, including filling/regulating screed base with a smooth finish, leveling, cuts, finishing and all preparatory work and accessories necessary for a perfect finish. (PV11)</t>
  </si>
  <si>
    <t>Supply and application of coating with fine gray pebbles, in a thickness of 10cm, including loading, transport, dusting and all preparatory work and accessories necessary for a perfect finish. (PV12)</t>
  </si>
  <si>
    <t>Supply and application of pine bark, including loading, transport, dusting and all preparatory work and accessories necessary for a perfect finish. (PV13)</t>
  </si>
  <si>
    <t>Supply and installation of glass tiles model "Classic Gray 30x30cm from the brand "RUBICER" and with joints in light gray RAL 7035 grout, including adhesive mortar and grout with Adhere pools, plaster base "MAXDUR from SECIL", cuts, finishing, grouting of joints, execution of negatives for LED rails, pool edge in "L" angle in brushed 316 stainless steel measuring 15x15cm and an overflow channel made of bent aluminum sheet with a 5cm opening in the pool, all according to the detailed drawing and all the preparatory work and accessories necessary for a perfect finish.</t>
  </si>
  <si>
    <t>Supply and complete execution of a connecting staircase between the parking ramp and the 0th floor deck (ESC 02): Concrete staircase finished with prefabricated concrete slabs 3cm thick. on the blankets and the cementitious layer (PR09) on the risers of the steps, including filling/regulating screed, finishing and all preparatory work and accessories necessary for a perfect finish.  Dimensions: General measurements - 4350x1200x2850mm (LxWxH) Steps - 290x1200x178mm (LxWxH)</t>
  </si>
  <si>
    <t>Supply and complete execution of an exterior staircase to access technical area #1 (ESC 03): Staircase finished with a smoothed screed, accessible from two floor grids in brushed stainless steel, foldable that convert into a guard when opened, including filling/adjusting screed, finishing, welding and all preparatory work and accessories necessary for a perfect finish.  Dimensions: General measurements - 4340x900x2750mm (LxWxH) Steps - 280x900x197mm (LxWxH) Measurement of each grid x 2 - 2170x980x40mm 2 Floor grids (stainless steel) with dimensions 2.17x0.98m</t>
  </si>
  <si>
    <t>INTERIOR FLOORS</t>
  </si>
  <si>
    <t>Supply and execution of helicopetro-smoothed screed flooring, including water-repellent, from Sikagard 680-S matte colorless, including filling/regulating screed, recess in shower area with creation of pendants, finishes and all preparatory work and accessories necessary for a perfect finish. (PV01)</t>
  </si>
  <si>
    <t>Supply and laying of flooring - oak wood planks 20x220x2200 (hxwxd) - ALVA RIBADÃO model, "NORDIC NATURAL" treatment from the BONA brand, including filling/regulating screed with a smooth finish, cuts, finishing, fixings and all preparatory work and accessories necessary for a perfect finish. (PV03)</t>
  </si>
  <si>
    <t>Supply and execution of RAL glossy beige epoxy paint to be defined, against sample, Sikafloor-264, from the SIKA brand, including all necessary components and non-slip finish, filling/regulating screed with a smooth finish, finishing and all preparatory work and accessories necessary for a perfect finish. (PV04)</t>
  </si>
  <si>
    <t>Supply and execution of matte white epoxy paint RAL 9003 Sikafloor-264, from the brand SIKA, including all necessary components and non-slip finish, filling/regulating screed with a smooth finish, recess in shower area with creation of pendants, finishes and all preparatory work and accessories necessary for a perfect finish. (PV04)</t>
  </si>
  <si>
    <t>FOOTERS</t>
  </si>
  <si>
    <t>Supply and installation of brushed stainless steel corner skirting boards 20x10x5mm (hxlxe), including fixing system, cuts, finishes and all preparatory work and accessories necessary for a perfect finish. (RD01)</t>
  </si>
  <si>
    <t>CARPENTARY</t>
  </si>
  <si>
    <t>INTERIOR GAPS</t>
  </si>
  <si>
    <t>Supply and assembly of internal door openings in water-repellent MDF grid, matt white lacquered RAL 9003 on both sides. Total thickness = 45mm; Side trim in water-repellent MDF matt white lacquered RAL 9003; Handle: JNF IN.00.070.RB08M; Rosette: JNF R01S; Hinges: JNF IN.05.019.75.ECO D; Magnetic lock: JNF IN.20.835; Floor stop: PADIMAT FB.S2C.16; Provide sealing in the same color as the door; Everything according to the designed parts and all the preparatory work and accessories necessary for perfect operation.</t>
  </si>
  <si>
    <t>VI -01.2 - Internal Door 1 hinged leaf, measuring 1.10x2.30m.</t>
  </si>
  <si>
    <t>VI -01.3 - Internal Door 1 hinged leaf, measuring 1.10x2.30m.</t>
  </si>
  <si>
    <t>VI -01.4 - Internal Door 1 hinged leaf, measuring 1.10x2.30m.</t>
  </si>
  <si>
    <t>VI -01.5 - Internal Door 1 hinged leaf, measuring 1.10x2.30m.</t>
  </si>
  <si>
    <t>Supply and assembly of internal door openings in water-repellent MDF grid, matt white lacquered RAL 9003 on both sides. Total thickness = 45mm; Side trim in water-repellent MDF matt white lacquered RAL 9003; Handles: JNF IN.00.070.RB08M; Rosettes: JNF R01S; Hidden pivots: JNF IN.05.202.B; Magnetic locks: JNF IN.20.835; Floor stop: PADIMAT FB.S2C.16; Provide structural reinforcement above the ceiling in drywall and door seals in the same color; Everything according to the designed parts and all the preparatory work and accessories necessary for perfect operation.</t>
  </si>
  <si>
    <t>VI 01.1 - Interior Door 1 pivoting leaf, with dimensions of 1.14x2.50m.</t>
  </si>
  <si>
    <t>VI 01.4 - Interior Door 1 pivoting leaf, with dimensions of 1.14x2.50m.</t>
  </si>
  <si>
    <t>VI 01.2 - Interior Door 1 pivoting leaf, with dimensions of 1.19x2.50m.</t>
  </si>
  <si>
    <t>VI 01.3 - Interior Door 1 pivoting leaf, with dimensions of 1.19x2.50m.</t>
  </si>
  <si>
    <t>VI 01.5 - Internal Door 1 pivoting leaf, measuring 1.22x2.50m.</t>
  </si>
  <si>
    <t>Supply and assembly of internal door opening in water-repellent MDF crate, matte white lacquered RAL 9003 on both sides. Total thickness = 80mm; Side trim in water-repellent MDF matt white lacquered RAL 9003; Handle: JNF IN.07.207.D Ø25 (A=1250mm; B=12575mm); Hinges: JNF IN.05.019.75.ECO D; Service locks: JNF IN.20.974; Floor stop: PADIMAT FB.S2C.16; Provide door seals in the same color; Everything according to the designed parts and all the preparatory work and accessories necessary for perfect operation.</t>
  </si>
  <si>
    <t>VI 00.3 - Interior Door 1 hinged leaf, with dimensions of 1.00x2.49m.</t>
  </si>
  <si>
    <t>INTERIOR GAPS OF THE I.S.</t>
  </si>
  <si>
    <t>Supply and assembly of door openings in 45mm waterproof MDF crate. matte white lacquer RAL 9003 on both sides; Side trim in water-repellent MDF matt white lacquered RAL 9003; Handle: JNF IN.00.070.RB08M; Rosette: JNF R01S; Hinges: JNF IN.05.019.75.ECO D; Magnetic lock: JNF IN.20.835; Floor stop: PADIMAT FB.S2C.16; Everything according to the designed parts and all the preparatory work and accessories necessary for perfect operation.</t>
  </si>
  <si>
    <t>VI -01.1 - Internal swing door, measuring 1.08x2.30m.</t>
  </si>
  <si>
    <t>Supply and assembly of door openings in water-repellent MDF crates matt white lacquered RAL 9003 esp. 45mm on one side and coated in 6mm mirror. extra clear on the other side. Total thickness = 51mm (quantified separately); Side trim in water-repellent MDF matte white lacquered RAL 9003 and 6mm thick mirror. extra clear (quantified separately); Handles: JNF IN.00.070.RB08M; Rosettes: JNF R01S; Hidden pivots: JNF IN.05.202.B; Magnetic locks: JNF IN.20.835; Floor stop: PADIMAT FB.S2C.16 (VI 0.1); Wall stop: Rubber shim (VI 0.2); Provide structural reinforcement on top of the plasterboard lining; Everything according to the designed parts and all the preparatory work and accessories necessary for perfect operation.</t>
  </si>
  <si>
    <t>VI 0.1 - Pivoting internal door, measuring 1.22x2.49m.</t>
  </si>
  <si>
    <t>Supply and assembly of door openings in water-repellent MDF crates matt white lacquered RAL 9003 esp. 45mm on both sides; Side trim in water-repellent MDF matte white lacquered RAL 9003 and 6mm thick mirror. extra clear; Handles: JNF IN.00.070.RB08M; Rosettes: JNF R01S; Hidden pivots: JNF IN.05.202.B; Magnetic locks: JNF IN.20.835; Floor stop: PADIMAT FB.S2C.16 (VI 0.1); Wall stop: Rubber shim (VI 0.2); Provide structural reinforcement on top of the plasterboard lining; Everything according to the designed parts and all the preparatory work and accessories necessary for perfect operation.</t>
  </si>
  <si>
    <t>VI 0.2 - Pivoting internal door, measuring 1.22x2.49m.</t>
  </si>
  <si>
    <t>Supply and assembly of sliding door openings with cassette without trim, consisting of: -Sliding door in MDF 4cm thick, lacquered in matt white RAL 9003. -Sliding cassette system from the brand "GOSIMAT", model "UNICO PLUS", including upper and lower guides.  -Mounted shell, JNF IN.16.302.M1.40;  Everything according to the designed parts and all the preparatory work and accessories necessary for perfect operation.</t>
  </si>
  <si>
    <t>VI 01.6 - Sliding door, measuring 0.87x2.50m.</t>
  </si>
  <si>
    <t>VI 01.7 - Sliding door, measuring 0.89x2.50m.</t>
  </si>
  <si>
    <t>CABINETS</t>
  </si>
  <si>
    <t>Supply and assembly of a cabinet consisting of 4 fronts and 8 shelves, for storage and placement of the -1 floor electrical panel and home automation rack, consisting of: EXTERIOR: Doors, cabinet top finishing sides, in 19 mm thick waterproof MDF, lacquered in color to RAL 9003. INTERIOR: Box and shelves in 19 mm thick waterproof MDF esp., oak melamine. BOOTER: 19mm waterproof MDF, lacquered in RAL like the doors HANDLE: Tic-Tac SHELF SUPPORTS: 'hafele' type ref. 282.04.711 da polifer HINGES: "BLUM / CLIP" with shock absorber</t>
  </si>
  <si>
    <t>ARM -01.1 - Cabinet, with dimensions 2.07x2.30x0.58m.</t>
  </si>
  <si>
    <t>Supply and assembly of cabinet consisting of 4 fronts, 1 shelf and 2 drawers with 1 bench and 1 coat rack, also includes bench and shoe base in MDF and top and bottom LED lighting. (entrance hall), consisting of: EXTERNAL: Doors, cabinet top finishing sides and drawer fronts in 19 mm thick MDF, colored lacquered in RAL 9003. INTERIOR: Bins, shelves and drawers in 19 mm thick MDF, oak melamine BENCH: in 19 mm MDF, lacquered in RAL 9003 SHOE BASE: in 19mm MDF, lacquered RAL 9003 COUNTER: in 19mm MDF, lacquered to RAL 9003 ROD: in brushed 316 stainless steel HANDLE: Tic-Tac  SHELF SUPPORTS: 'hafele' type  ref. 282.04.711 to polyfer HINGES: "BLUM/CLIP" with shock absorber SLIDES: With cushioning, "BLUM / MOVENTO - BLUMOTION" LIGHTING: Reduced height aluminum track, with "Flex Strip Cob" LED strip ref. L62C026, from PROLED with door opening switch</t>
  </si>
  <si>
    <t>ARM 00.1 - Cabinet, with dimensions 1.66x2.04x0.40m.</t>
  </si>
  <si>
    <t>ARM 00.1 - Shoes Bench/Base, with dimensions 2.25x0.08x0.32m.</t>
  </si>
  <si>
    <t>Supply and assembly of suspended bench in MDF and structure in "facar" type profiles. (living room), composed of: EXTERNAL: in waterproof MDF with 19 mm thickness, Oak Melamine. STRUCTURE: in "facar" type profiles 40x40mm in section LIGHTING: Aluminum rail of reduced height, with "Flex Strip Cob" LED strip ref. L62C026, from PROLED.</t>
  </si>
  <si>
    <t>ARM 00.2 - Bench, with dimensions 6.34x0.08x0.44m.</t>
  </si>
  <si>
    <t>Supply and assembly of a crockery cabinet consisting of shelves and drawers and two opening leaves, also including a wine cellar, a fireplace and a firewood storage niche, comprising: EXTERIOR: Doors, sides finishing at the top of the cabinet, in MDF 19 mm thick, lacquered in the color RAL 9003;  INTERIOR: Bins and Shelves in 19mm thick chipboard, melamine in color RAL 9003; FOOTBOARD: in 19mm MDF, lacquered in RAL like the doors;  COUNTERTOP: in Corian, RAL 9003, esp. 2cm; HANDLE: Tic-Tac;  SHELF SUPPORTS: 'hafele' type ref. 282.04.711 from polifer;  HINGES: "BLUM/CLIP" with shock absorber; SLIDES: With cushioning, "BLUM / MOVENTO - BLUMOTION";  LIGHTING: Reduced height aluminum track, with "Flex Strip Cob" LED strip ref. L62C026, from PROLED with door opening switch;  FIREPLACE: Stove brand unichama model m-desing luna diamon 1000 RD (Quantified separately) + Stainless steel plate with 6mm thickness. 10mm trim and fin to prevent heating of the MDF panel;  BOTTLE RACK: SIEMENS Wine Cellar measuring 60x61x186mm (WxDxH) Ref: KW36KATGA (Quantified separately);  NICHE FOR FIREWOOD: Box in brushed stainless steel with 6mm thickness. 55mm deep for storing wooden logs;</t>
  </si>
  <si>
    <t>ARM 0.03 - Cabinet, with dimensions 3.25x2.49x0.71m.</t>
  </si>
  <si>
    <t>Supply and assembly of module to hide the a/c ducts with 46mm uprights and 2x plasterboard sheets, comes with a structure in "facar" type profiles and a suspended sideboard in 19mm thick water-repellent MDF. lacquered in matt white RAL 9003 (dining room), consisting of: EXTERNAL: 2x Plasterboard sheets painted in matt white RAL 9003 STRUCTURE: 46mm uprights and 40x40mm "knife" type structure SIDEBOARD section: in 19mm waterproof MDF, lacquered in RAL 9003</t>
  </si>
  <si>
    <t>ARM 0.04 - Cabinet, with dimensions 2.80x2.49x0.45m.</t>
  </si>
  <si>
    <t>Supply and assembly of cabinet for MLR and MSR with 1 drawer, 1 countertop, 1 shelf and 1 rod and 1 side wall (laundry room), consisting of: EXTERNAL: Side wall and shelf in corian 10mm thick. in color RAL 9003. Drawer front in 19mm water-repellent MDF lacquered in color RAL 9003. STRUCTURE: Bench structure in "knife" type profiles 40x40mm in section BOOTER: in 19mm water-repellent MDF, lacquered in RAL like the doors BENCH: in 19mm water-repellent MDF, lacquered in RAL 9003.</t>
  </si>
  <si>
    <t>ARM 0.08 + BANC 0.03 - Cabinet, with dimensions 1.23x2.49x0.70m.</t>
  </si>
  <si>
    <t>Supply and assembly of a dispenser cabinet consisting of 4 fronts, 1 side finishing edge and 17 shelves. (laundry room) the fronts are highlighted to allow the cabinet to be ventilated while it is closed, as per detail, composed of: EXTERIOR: Doors, cabinet top finishing sides, in Water-repellent MDF with 19 mm of thickness, Lacquered in the color RAL 9003. INTERIOR: Bins and Shelves in Water-repellent MDF of 19 mm of thickness, Oak melamine BOOTER: in MDF 19mm waterproof, lacquered in RAL like the doors HANDLE: Tic-Tac SHELF BRACKETS: 'hafele' type ref. 282.04.711 da polifer HINGES: "BLUM / CLIP" with shock absorber</t>
  </si>
  <si>
    <t>ARM 0.09 - Cabinet, with dimensions 2.42x2.49x0.65m.</t>
  </si>
  <si>
    <t>Supply and assembly of cabinets in water-repellent MDF matte white lacquered RAL 9003, consisting of: EXTERNAL: Fronts, sides finishing the top of the cabinet, in water-repellent MDF 19 mm thick, matte white lacquered RAL 9003; INTERIOR: Drawers and shelves in 19mm thick waterproof MDF, matte white lacquered RAL 9003;  FOOTBOARD: in 19mm MDF, matte white lacquered RAL 9003;  BENCH: in 19mm MDF, lacquered in matt white RAL 9003;  HANDLE: Circular negative Ø3cm;  SHELF SUPPORTS: Hidden;  SLIDES: With cushioning, "BLUM / MOVENTO - BLUMOTION";  ROD: Brushed 316 stainless steel Ø3cm.  Hidden fixing.</t>
  </si>
  <si>
    <t>ARM 0.11 - Open cabinet with 2 drawers, 1 shelf and 1 3cmø stainless steel rod, with dimensions 1.20x2.40x0.60m.</t>
  </si>
  <si>
    <t>ARM 0.12 - Cabinet with 2 fronts, 2 drawers, 1 shelf, with dimensions 1.19x2.40x0.60m.</t>
  </si>
  <si>
    <t>Supply and assembly of bed frame and backrest with 2 mdf headboards and 2 drawers, including bedside lighting (suite 1 + suite 2), consisting of: EXTERNAL: Fronts, sides and tops in water-repellent MDF, oak melamine.  INTERIOR: Drawer in MDF 19mm thick, oak melamine.  FOOTBOARD: In 19mm waterproof MDF, oak melamine.  BED STRUCTURE: 5x5cm pine beams with adjustable rubber feet.  HANDLE: Tic-Tac.  SLIDES: With cushioning, "BLUM / MOVENTO - BLUMOTION".  LIGHTING: Bedside lamp IP20 3000K 3W, white finish, model "ICELAND" by HOFFLIGHTS.</t>
  </si>
  <si>
    <t>ARM 01.6.1 + ARM 01.6.2 - Bed Frame, with dimensions 2.76x1.10x2.24m.</t>
  </si>
  <si>
    <t>Supply and assembly of cabinet consisting of 4 fronts and includes 8 drawers, 2 tops and 6 shelves inside, consisting of: EXTERIOR: Doors, cabinet top finishing sides, in MDF with 19 mm in thickness, lacquered in color to RAL 9003. INTERIOR: Drawers in MDF with 19 mm in thickness, oak melamine. Bins, Drawer fronts and Shelves in 19mm thick MDF, oak melamine. BENCH: in 19mm thick MDF, oak melamine FOOTBOARD: in 19mm MDF, RAL lacquered like the doors. = Rodatecto HANDLE: Tic-Tac SHELF SUPPORTS: 'hafele' type ref. 282.04.711 from polifer HINGES: "BLUM / CLIP" with shock absorber SLIDES: With cushioning, "BLUM / MOVENTO - BLUMOTION" LIGHTING: Bedside lamp IP20 3000K 3W, white finish, "ICELAND" model from the brand HOFFLIGHTS.</t>
  </si>
  <si>
    <t>ARM 01.7 - Cabinet, with dimensions 2.42x2.50x0.70m.</t>
  </si>
  <si>
    <t>Supply and assembly of cabinet consisting of 4 front and three outer vertical rows of 18 shelves. Includes 2 drawers, 2 rods and 2 shelves inside, consisting of: EXTERIOR: Doors, cabinet top finishing sides and shelves  external in MDF 19 mm thick, lacquered in RAL 9003 color. INTERIOR: Drawers in MDF 19 mm thick, oak melamine. Bins and drawer fronts, shelves and tops in 19mm thick MDF, oak melamine FOOTER: in 19mm waterproof MDF, lacquered in RAL like the doors. = Rodatecto HANDLE: Tic-Tac SHELF SUPPORTS: 'hafele' type ref. 282.04.711 from polifer HINGES: "BLUM / CLIP" with shock absorber SLIDES: With cushioning, "BLUM / MOVENTO - BLUMOTION" LIGHTING: Bedside lamp IP20 3000K 3W, white finish, "ICELAND" model from the brand HOFFLIGHTS.</t>
  </si>
  <si>
    <t>ARM 01.8 - Cabinet, measuring 2.87x2.50x0.79m.</t>
  </si>
  <si>
    <t>Supply and assembly of: ARM 01.09 - Cabinet consisting of 4 front and two outer vertical rows of 12 shelves. Includes 2 drawers, 2 rods and 2 shelves inside ARM 01.10 - Cabinet consisting of 4 front and two outer vertical rows of 12 shelves. includes 2 drawers, 2 rods and 2 shelves inside EXTERIOR: Doors, cabinet top edges and shelves  external in MDF 19 mm thick, lacquered in color RAL 9003. INTERIOR: Drawers in MDF 19 mm thick, oak melamine. Bins, Drawer Fronts, Shelves and Tops in MDF, 19 mm thick, oak melamine.  FOOTBOARD: in 19mm waterproof MDF, lacquered in RAL like the doors. =Rodateto HANDLE: Tic-Tac SHELF SUPPORTS: 'hafele' type ref. 282.04.711 from polifer HINGES: "BLUM / CLIP" with shock absorber SLIDES: With cushioning, "BLUM / MOVENTO - BLUMOTION" LIGHTING: Bedside lamp IP20 3000K 3W, white finish, "ICELAND" model from the brand HOFFLIGHTS.</t>
  </si>
  <si>
    <t>ARM 01.09 - Cabinet, with dimensions 2.87x2.50x0.75m.</t>
  </si>
  <si>
    <t>ARM 01.10 - Cabinet, with dimensions 2.05x2.50x0.75m.</t>
  </si>
  <si>
    <t>ESP 01.7 - 6mm crystal glass mirror, measuring 1.04x2.50m.</t>
  </si>
  <si>
    <t>Supply and assembly of cabinet consisting of 3 fronts and an external vertical row with 6 shelves. includes 4 drawers, 1 top and 9 shelves (m suite closet): EXTERIOR: Doors, cabinet top edges and exterior shelves in waterproof MDF, 19 mm thick, lacquered in color to RAL 9003. INTERIOR: Drawers in 19 mm thick MDF, oak melamine. Bins, Drawer Fronts, Shelves and Tops in MDF, 19 mm thick, oak melamine.  FOOTBOARD: in 19mm waterproof MDF, lacquered in RAL like the doors. =Rodateto HANDLE: Tic-Tac SHELF SUPPORTS: 'hafele' type ref. 282.04.711 from polifer HINGES: "BLUM / CLIP" with shock absorber SLIDES: With cushioning, "BLUM / MOVENTO - BLUMOTION" LIGHTING: Bedside lamp IP20 3000K 3W, white finish, "ICELAND" model from the brand HOFFLIGHTS.</t>
  </si>
  <si>
    <t>ARM 01.11 - Cabinet, with dimensions 3.25x2.49x0.71m.</t>
  </si>
  <si>
    <t>Supply and assembly of bed frame and backrest with 2 headboards in MDF and 12 shelves and 2 drawers, including bedside lighting (one suite), consisting of: EXTERNAL: Fronts, Sides, Tops and Shelves in Water-Repellent MDF Oak Melamine INTERIOR: Drawer in 19mm thick MDF, Oak Melamine FOOTER: in 19mm waterproof MDF, oak melamine BED STRUCTURE: 5x5cm pine beams and adjustable rubber feet HANDLE: Tic-Tac SLIDES: With cushioning, "BLUM / MOVENTO - BLUMOTION" SHELF SUPPORTS: 'hafele' type ref. 282.04.711 from polifer LIGHTING: IP20 3000K 3W bedside lamp, white finish, "ICELAND" model from the HOFFLIGHTS brand.</t>
  </si>
  <si>
    <t>ARM 01.12 - Bed Frame, with dimensions 2.76x1.10x2.24m.</t>
  </si>
  <si>
    <t>Supply and assembly of a cabinet in water-repellent MDF with 2cm in thickness, covered in 2mm in thickness aluminum sheet, lacquered in matt white RAL 9003, and a 6mm crystal glass mirror glued to two sides of the cabinet (quantified separately), composed of: EXTERNAL: Fronts, finishing sides of the top of the cabinet, in water-repellent MDF with 19mm in thickness, covered in aluminum sheet lacquered in RAL color 9003;  INTERIOR: Drawers and shelves in 19mm thick waterproof MDF, covered with lacquered aluminum sheet in RAL 9003 color; FOOTBOARD: 19mm MDF, covered with lacquered aluminum sheet in RAL 9003 color; COUNTERTOP: 19mm MDF, covered with lacquered aluminum sheet in RAL 9003 color; HANDLE: Circular negative Ø3cm; SHELF BRACKETS: Hidden; SLIDES: With cushioning, "BLUM / MOVENTO - BLUMOTION";  ROD: Brushed 316 stainless steel Ø3cm.  Hidden fixing.</t>
  </si>
  <si>
    <t>ARM 0.13 - Cabinet with 3 drawers, 1 shelf and 1 clothes rail, with dimensions 0.83x2.50x0.52m.</t>
  </si>
  <si>
    <t>Supply and assembly of a set of cabinets for the Suite 1 and Suite 2 closets, consisting of 10 drawers, 4 tops, 8 shelves, 1 rod and 2 side finishing edges: EXTERIOR: Cabinet top finishing edges, in MDF, 19 mm thick, oak melamine. INTERIOR: Bins, Drawers and Shelves in 19mm thick MDF, in 19mm MDF, Oak Melamine FOOTBOARD: in 19mm MDF, Oak Melamine COUNTERTOP: in 19mm MDF, oak melamine HANDLE: Tic-Tac SHELF SUPPORTS: 'hafele' type ref. 282.04.711 from polifer SLIDES: With cushioning, "BLUM / MOVENTO - BLUMOTION" LIGHTING: Bedside lamp IP20 3000K 3W, white finish, model "ICELAND" from the brand HOFFLIGHTS.</t>
  </si>
  <si>
    <t>ARM 01.04.1 - Cabinet, with dimensions 2.42x2.50x0.55m.</t>
  </si>
  <si>
    <t>ARM 01.04.2 - Cabinet, with dimensions 2.42x2.50x0.55m.</t>
  </si>
  <si>
    <t>ESP 01.4 - 6mm crystal glass mirror, measuring 1.10x2.42m.</t>
  </si>
  <si>
    <t>ARM 01.05.1 - Cabinet, with dimensions 2.42x2.50x0.55m.</t>
  </si>
  <si>
    <t>ARM 01.05.2 - Cabinet, with dimensions 2.42x2.50x0.55m.</t>
  </si>
  <si>
    <t>ESP 01.5 - 6mm crystal glass mirror, measuring 1.10x2.42m.</t>
  </si>
  <si>
    <t>LOCKWORKS AND FIXTURES, Metal works and frames</t>
  </si>
  <si>
    <t>ALUMINUM FRAME</t>
  </si>
  <si>
    <t>Supply and assembly of exterior openings in CORTIZO aluminum frames, including finishing, double glazing, seals, metal thresholds, opening system and hardware as described in the map of openings and project elements and all preparatory work and accessories necessary for perfect operation.</t>
  </si>
  <si>
    <t>VE 01.1 - Dimensions 1.10x2.88m, Balcony Opening 1 tilt-and-turn leaf + 1 flag, series "COR 70", Concealed Leaf C16 ST, Lacquered according to elevations (RAL9003, to be confirmed), including threshold in anodized aluminum sheet (natural finish) bent 3mm thick.</t>
  </si>
  <si>
    <t>VE 01.2 - Dimensions 4.68x2.92m, Balcony span 1 sliding leaf + 1 fixed leaf, "COR VISION PLUS" series, Lacquered according to elevations (RAL9003, to be confirmed), including threshold in anodised aluminum sheet (natural finish) bent 3mm thick, structured with knife tubes at the discretion of the contractor, raised 1cm with rubber supports at the discretion of the contractor.</t>
  </si>
  <si>
    <t>VE 01.3 - Dimensions of 4.61x2.92m, Balcony span 1 sliding leaf + 1 fixed leaf, "COR VISION PLUS" series, Lacquered according to elevations (RAL9003, to be confirmed), including threshold in anodised aluminum sheet (natural finish) bent 3mm thick, structured with knife tubes at the discretion of the contractor, raised 1cm with rubber supports at the discretion of the contractor.</t>
  </si>
  <si>
    <t>VE 01.4 - Dimensions 3.04x2.92m, Balcony Opening 2 Sliding Leaves, "COR VISION PLUS" series, Lacquered according to elevations (RAL9003, to be confirmed), including threshold in anodized aluminum sheet (natural finish) bent 3mm thick, structured with tubes made at the discretion of the developer.</t>
  </si>
  <si>
    <t>VE 01.5 - Dimensions 5.93x2.92m, Balcony span 1 sliding leaf and 2 fixed leaves, "COR VISION PLUS" series, Lacquered according to elevations (RAL9003, to be confirmed), including structural connecting profiles between VE05 and VE06 lined with anodized aluminum sheet equal to the frames, on the visible sides. See PORM04 on sheet EXE33.</t>
  </si>
  <si>
    <t>VE 01.6 - Dimensions 6.19x2.92m, Balcony span 1 sliding leaf and 2 fixed leaves, "COR VISION PLUS" series, Lacquered according to elevations (RAL9003, to be confirmed), including structural connecting profiles between VE05 and VE06 + VE06 and VE07 lined with anodized aluminum sheet equal to the frames, on the visible sides. See PORM04 on sheet EXE33.</t>
  </si>
  <si>
    <t>VE 01.7 - Dimensions 4.94x2.92m, Balcony span 1 sliding leaf and 1 fixed leaf, "COR VISION PLUS" series, Lacquered according to elevations (RAL9003, to be confirmed), including structural connecting profiles between VE06 and VE07 + VE07 and VE08 lined with anodized aluminum sheet equal to the frames, on the visible sides. See PORM04 on sheet EXE33.</t>
  </si>
  <si>
    <t>VE 01.8 - Dimensions 7.18x2.92m, Balcony span 1 sliding leaf and 2 fixed leaves, "COR VISION PLUS" series, Lacquered according to elevations (RAL9003, to be confirmed), including structural connecting profiles between VE07 and VE08 lined with anodized aluminum sheet equal to the frames, on the visible sides. See PORM04 on sheet EXE33.</t>
  </si>
  <si>
    <t>VE 00.1 - Dimensions 7.24x2.94m, Balcony span 1 sliding leaf and 2 fixed leaves, "COR VISION PLUS" series, Lacquered according to elevations (RAL9003, to be confirmed), including aluminum corner threshold L 210x60mm, brushed finish.</t>
  </si>
  <si>
    <t>VE 00.2 - Dimensions of 2.23x2.94m, Balcony span 1 pivoting leaf, CORTIZO Entrance Door, "MILLENNIUM PLUS PIVOT" series, Anodized finish, including threshold in bent stainless steel sheet 3mm thick. raised 1cm with rubber supports at the discretion of the executor, including structural connection profiles between VE02 and VE03 lined with anodized aluminum sheet equal to the frames, on the visible sides. See PORM07 on sheet EXE34.</t>
  </si>
  <si>
    <t>VE 00.3 - Dimensions 2.15x2.89m, Balcony Opening 1 Fixed leaf, "COR 70" series, Anodized finish, including sill in anodized aluminum sheet (natural finish) bent 3mm thick, structured with pipes made at the discretion of the contractor - See PORM12, including Structural connecting profiles between VE02 and VE03 lined with the same anodized aluminum sheet to the frames, on the visible sides. See PORM07 on sheet EXE34.</t>
  </si>
  <si>
    <t>VE 00.4 - Dimensions 2.58x2.92m, Balcony span 1 fixed leaf, "COR 70" series, Anodized finish, including sill in anodized aluminum sheet, bent in Z, 3mm in width. DIM flaps, sequentially: 20mm, 260mm, 45mm, supported on a structure at the discretion of the performer, according to details.</t>
  </si>
  <si>
    <t>VE 00.6 - Dimensions 17.33x2.94m, Balcony span 4 sliding leaves and 3 fixed leaves, "COR VISION PLUS" series, Anodized finish.</t>
  </si>
  <si>
    <t>VE 00.7 - Dimensions 4.74x2.94m, Balcony span 1 sliding leaf and 1 fixed leaf, "COR VISION PLUS" series, Anodized finish.</t>
  </si>
  <si>
    <t>VE 00.8 - Dimensions 1.98x2.94m, Balcony span 1 sliding leaf, "COR VISION PLUS" series, installed with galandage, Anodized finish.</t>
  </si>
  <si>
    <t>VE 00.9 - Dimensions 2.54x2.94m, Balcony span 1 sliding leaf and 1 fixed leaf, "COR VISION PLUS" series, Anodized finish, including threshold in anodized aluminum sheet (natural finish) bent 3mm thick. DIM 01.10x 0.06 (WxD), structured with knife tubes at the discretion of the contractor, raised 1cm with rubber supports at the discretion of the contractor, including structural connection profiles between VE09 and VE10 lined with anodized aluminum sheet like the frames, on the visible sides. See PORM05 on sheet EXE35.</t>
  </si>
  <si>
    <t>VE 00.10 - Dimensions 3.28x2.94m, Balcony span 1 sliding leaf and 1 fixed leaf, "COR VISION PLUS" series, Anodized finish, including threshold in anodized aluminum sheet (natural finish) bent 3mm thick. DIM 01.10x 0.06 (WxD), structured with knife tubes at the discretion of the contractor, raised 1cm with rubber supports at the discretion of the contractor, including structural connection profiles between VE09 and VE10 lined with anodized aluminum sheet like the frames, on the visible sides. See PORM05 on sheet EXE35.</t>
  </si>
  <si>
    <t>VE -01.1 - Dimensions of 4.18x2.36m, Balcony span 1 sliding leaf and 1 fixed leaf, "COR VISION PLUS" series, Anodized finish, including aluminum angle threshold L 210x60mm, brushed finish.</t>
  </si>
  <si>
    <t>VE -01.2 - Dimensions of 2.21x2.36m, Balcony span 1 fixed leaf, "COR 70" series, Anodized finish, including aluminum angle threshold L 210x60mm, brushed finish.</t>
  </si>
  <si>
    <t>VE-01.3 - Dimensions 2.15x2.89m, Balcony span 1 fixed leaf, "COR 70" series, Anodized finish.</t>
  </si>
  <si>
    <t>VE-01.4 - Dimensions 0.97x2.30m, Balcony Opening 1 tilt-and-turn leaf, "COR 70" series, Anodized finish, including threshold in anodized aluminum sheet, bent in Z, 3mm in width. DIM flaps, sequentially: 20mm, 260mm, 45mm, supported on a structure at the discretion of the performer, according to details.</t>
  </si>
  <si>
    <t>Supply and assembly of access door to the pool's compensation tank in anodised aluminum to RAL 9003 with trim, total thickness = 50mm, including hinges at the discretion of the contractor, locker lock JNF IN.20.07715 and all preparatory work and accessories necessary for a perfect finish.</t>
  </si>
  <si>
    <t>VI -01.6 - Door with 1 hinged leaf, measuring 1.00x0.60m.</t>
  </si>
  <si>
    <t>METALLIC DOORS</t>
  </si>
  <si>
    <t>Supply and assembly of a door with a structure in a 40x40mm section, which serves as a support for an OSB plate 2cm thick. and white tile finish equal to the adjacent wall (quantified separately); Door frame and trim in brushed 316 stainless steel profile; The hinge and fixation of it to the wall is at the discretion of the developer, and must respect the door's own weight; The purpose of this door is that it is not noticeable as a door in the plane of the wall adjacent to it; Everything according to the designed parts and all the preparatory work and accessories necessary for perfect operation.</t>
  </si>
  <si>
    <t>VE 00.5A - 1-leaf door (hidden), measuring 0.70x2.44m.</t>
  </si>
  <si>
    <t>Supply and assembly of a door with a 30x30mm sectional profile structure, which serves as a support for a 3cm thick EPS plate. (quantified separately) and cementitious finishing equal to the adjacent exterior wall (quantified separately); Door frame and trim in brushed 316 stainless steel profile; The hinge and fixation of it to the wall is at the discretion of the developer, and must respect the door's own weight; The purpose of this door is that it is not noticeable as a door in the plane of the wall adjacent to it; European cylinder lock; Everything according to the designed parts and all the preparatory work and accessories necessary for perfect operation.</t>
  </si>
  <si>
    <t>VE 00.5B - 1-leaf door (hidden), measuring 0.70x2.44m.</t>
  </si>
  <si>
    <t>Supply and assembly of a door composed of a structure made of 3x3cm profiles and covered in aluminum sheet riveted with 2mm spacing. matte white lacquered RAL 9003. Total thickness =40mm. The external face of the door will receive the slatted structure that makes up the facade (quantified separately). The door trim must be made with 316 stainless steel angles, matte white lacquered RAL 9003; Handles: JNF IN.07.207.D Ø25 (A=1250mm;B=12575mm); Hinges: Suitable for the door’s own weight and lacquered in the same color as the door; Lock: European Cylinder; Floor stop: PADIMAT FB.S2C.16 (VI 0.1); Everything according to the designed parts and all the preparatory work and accessories necessary for perfect operation.</t>
  </si>
  <si>
    <t>VE 0.11 - Exterior hinged door with slat on the exterior side - RIP 0.2, measuring 0.85x2.11m.</t>
  </si>
  <si>
    <t>VE 0.12 - Exterior hinged door with slat on the exterior side - RIP 0.2, measuring 0.85x2.11m.</t>
  </si>
  <si>
    <t>Supply and assembly of 40x40mm angle door covered in 3mm thick aluminum sheet. anodized finish. Articulated with prefabricated frames in aluminum tubes with a quadrangular section 50x50x3mm anodized finish, which make up the abutting wall, esp. total = 45mm; Side trim in 40x40mm angle iron and 40x40mm "knife" structural tube, anodized finish; Connection of the structural tube to the slab using a metal patere; Handle: JNF IN.07.207.D Ø25 (A=1250mm;B=12575mm); Hinges: Suitable for the door’s own weight and lacquered in the same color as the door; Lock: European Cylinder; Everything according to the designed parts and all the preparatory work and accessories necessary for perfect operation.</t>
  </si>
  <si>
    <t>VE 00.13 - Exterior Hinged Door, Dimensions 0.80x2.13m.</t>
  </si>
  <si>
    <t>Supply and assembly of a frameless door with a 40x40mm sectional profile structure, which serves as a support for a 2cm thick OSB board. and white tile finish the same as the adjacent wall. Total thickness = 70mm; The hinge and fixation of it to the wall is at the discretion of the developer, and must respect the door's own weight; The purpose of this door is that it is not noticeable as a door in the plane of the wall adjacent to it; Everything according to the designed parts and all the preparatory work and accessories necessary for perfect operation.</t>
  </si>
  <si>
    <t>VI 01.8 - Interior door with 1 hinged leaf (hidden), measuring 0.69x2.20m.</t>
  </si>
  <si>
    <t>Supply and assembly of door with: Frame in angles L 30x30mm and/or 40x40mm, esp. = 5mm, in brushed 316 stainless steel; Stainless steel crossed metal screen; Screen fixing profiles on angles L 25x25mm, esp. at the discretion of the performer, in 316 stainless steel, fixed to the frame by welding or with hexagonal head screws, hidden on the outside; Magnetic Latch; Everything according to the designed parts and all the preparatory work and accessories necessary for perfect operation.</t>
  </si>
  <si>
    <t>VE -01.6 - Dimensions of 0.74x2.30m, Balcony span 1 swing leaf.</t>
  </si>
  <si>
    <t>VE -01.7 - Dimensions 1.74x2.30m, Balcony span 1 swing leaf.</t>
  </si>
  <si>
    <t>VE -01.8 - Dimensions of 0.75x2.20m, Balcony span 1 swing leaf.</t>
  </si>
  <si>
    <t>SKYLIGHT</t>
  </si>
  <si>
    <t>Supply and assembly of skylight with Concealed Frame construction from the inside, at the discretion of the contractor; Consider Anodized Aluminum in Natural color or another material and finish similar to zinc; GLASS - Consult Specialties project - Thermal; Everything according to the designed parts and all the preparatory work and accessories necessary for perfect operation.</t>
  </si>
  <si>
    <t>CLA 01 - Fixed Skylight, dimension 1.03x1.45m.</t>
  </si>
  <si>
    <t>GATE</t>
  </si>
  <si>
    <t>Supply and assembly of a sectional garage door, "LM INOX Gates from the Brand LMPerfis PS.040CA94", according to project specifications, including automatic opening system, controls, sensors and all preparatory work and accessories necessary for perfect operation.</t>
  </si>
  <si>
    <t>Ve -01.5 - Sectional Garage Door, dimension 3.60x2.30m.</t>
  </si>
  <si>
    <t>METALLIC STAIRS</t>
  </si>
  <si>
    <t>Supply and assembly of the main staircase to access the different floors of the house (ESC01): Note: The staircase structure is already included in the stability project, only consider the lacquering of the RAL 9003 Matt structure.  - Suspended metal staircase finished with wooden strips equivalent to the floor of the house; Fixing of stairs to the side walls, as per detail, and central guard in tensioned steel cables with fixing to the ceiling and steps, also as per detail.  - Side guards in stainless steel tubes with Ø 4.24cm and handrail supports - M8 - JNF - IN.18.133.  - The composition of the steps is made of metal profiles as described in detail and structural reinforcements must be provided for the support of the steps to the concrete walls and for the upper support of the steel cables, as drawn in the respective detail.  - Top of the slabs lined with 8mm steel sheet (2 units) - Dimensions: Total ceiling height - 8780mm (H) General measurements - 3365x2075x6280mm (LxWxH) Steps - 280x1020x60mm (LxWxH) Rest landings - 2070x1220x100mm (LxWxH)</t>
  </si>
  <si>
    <t> </t>
  </si>
  <si>
    <t>EXTERIOR BLINDS</t>
  </si>
  <si>
    <t>Supply and assembly of outdoor roller blinds with round box in stainless steel 110 or 130mm - Motorized WAREMA-CRUZFER Fabric Screen reference color: 3511 from WAREMA + Support for fixing the Roll Cable + 2 angle brackets made of 316 brushed stainless steel 150x75x5mm, including accessories and all preparatory work and accessories necessary for perfect operation.</t>
  </si>
  <si>
    <t>Blind VE 01.5 - Dimensions 5.93x2.92m.</t>
  </si>
  <si>
    <t>Blind VE 01.6 - Dimensions 6.19x2.92m.</t>
  </si>
  <si>
    <t>Blind VE 01.7 - Dimensions 4.94x2.92m.</t>
  </si>
  <si>
    <t>Blind VE 01.8 - Dimensions 7.18x2.92m.</t>
  </si>
  <si>
    <t>Blind VE 00.9 - Dimensions 2.54x2.94m.</t>
  </si>
  <si>
    <t>Blind VE 00.10 - Dimensions 3.28x2.94m.</t>
  </si>
  <si>
    <t>Railings</t>
  </si>
  <si>
    <t>Supply and assembly of a guard made up of dark green nylon mesh and steel rods embedded in the floor, including foundation blocks in poor concrete, cuts, finishes and all preparatory work and accessories necessary for a perfect finish.</t>
  </si>
  <si>
    <t>GUA 00.1 - 0.97m high guard, composed of: General measurements: 4530x970mm (ml x H) 6x steel bars length = 1200mm 6x shoes on gravel DIN=150x150x100mm.</t>
  </si>
  <si>
    <t>GUA 00.3 - 0.97m high guard, composed of: General measurements: 8700x970mm (ml x H) 9x steel bars length = 1200mm 9x shoes on gravel DIN=150x150x100mm</t>
  </si>
  <si>
    <t>GUA 00.4 - Guard with 0.97m height, composed of: General measurements: 14000x970mm (ml x H) 15x Steel bars length = 1200mm 15x Shoes on gravel DIN=150x150x100mm</t>
  </si>
  <si>
    <t>GUA 00.5 - Guard with 0.97m height, composed of: General measurements: 14000x970mm (ml x H) 15x Steel bars length = 1200mm 15x Shoes on gravel DIN=150x150x100mm</t>
  </si>
  <si>
    <t>Supply and assembly of a guard in brushed 316 stainless steel made up of vertical rebar measuring 8mmØ and 1050mm long, with a 93º inclination in relation to the floor, the guard handrail is made up of a rectangular bar with a 50x20mm section, the guard is fixed to the floor with the help of a 150x150mm "L" steel angle, which must be anchored to the lower slab and remain embedded in the floor screed, including cuts, finishing and all preparatory work and accessories necessary for a perfect finish.</t>
  </si>
  <si>
    <t>GUA 00.2 - Guard with 0.90m height, composed of: General measurements: 2650x900mm (ml x H) 26x Vertical steel rebars 8mmØ, length = 1050mm 1x Handrail in steel bar section 50x20mm, 2650mm 1x steel angle "L" with 150x150mm</t>
  </si>
  <si>
    <t>GUA 00.2 - 0.90m high guard, composed of: General measurements: 25150x900mm (ml x H) 249x 8mmØ vertical steel rebars, length = 1300mm 1x Steel bar handrail section 50x20mm, 25150mm 1x "L" steel angle with 150x150mm</t>
  </si>
  <si>
    <t>Slated Panels</t>
  </si>
  <si>
    <t>Supply and assembly of an overlay system on the rear facade of the 1st floor consisting of prefabricated frames in aluminum tubes with a quadrangular section 50x50x3mm lacquered in the color RAL 9003; Fixing prefabricated frames to the building structure on the back side of the frame; Including cuts, finishing and all preparatory work and accessories necessary for a perfect finish. (RP12)</t>
  </si>
  <si>
    <t>RIP 01.1 - Slatted 2.80m high, consisting of: General measurements - 25000x2800x50mm (LxWxH) Frame #1 - 5080x2800x50mm (LxWxH) Frame #2/3/4 - 5000x2800x50mm (LxWxH) Frame #5 - 5080x2800x50mm (LxWxH)</t>
  </si>
  <si>
    <t>Supply and assembly of cladding for the facade of the garden annex composed of prefabricated frames in aluminum tubes with a quadrangular section 50x50x3mm anodized finish; Fixing the prefabricated frames to the building structure on the back side of the frame; The spaces VE 00.11 and VE 00.12 are covered by these elements and the separation between the tubes located in the doors and those on the facades is made with a 1cm joint between them; Including cuts, finishing and all preparatory work and accessories necessary for a perfect finish. (RP12)</t>
  </si>
  <si>
    <t>RIP 00.2 - Slatted 2.86m high, comprising: Dimensions: North Facade - 2550x2860x50mm (LxWxH) South Facade - 2550x2860x50mm (LxWxH) East Facade - 4350x2860x50mm (LxWxH) West Facade - 4350x2860x50mm (LxWxH)</t>
  </si>
  <si>
    <t>Supply and assembly of the Clothesline Annex composed of pre-molded frames in aluminum tubes with a quadrangular section 50x50x3mm anodized finish, configuring 4 walls and a cover in the same system; Fixing the prefabricated frames to the building structure through the floor, using "knife" type structural tubes and connecting pads to the slab; The VE 00.13 gap is covered by these elements and the separation between the tubes located in the doors and those on the facades is made with a 1cm joint between them; Including cuts, finishing and all preparatory work and accessories necessary for a perfect finish. (RP12)</t>
  </si>
  <si>
    <t>RIP 00.3 - Slatted 2.86m high, comprising: Dimensions: North Facade - 2550x2860x50mm (LxWxH) South Facade - 2550x2860x50mm (LxWxH) East Facade - 2550x2860x50mm (LxWxH) West Facade - 4350x2860x50mm (LxWxH)</t>
  </si>
  <si>
    <t>Supply and assembly of BBQ zone overlay system consisting of prefabricated frame in aluminum tubes with quadrangular section 50x50x3mm anodized finish; Fixing prefabricated frames to the building structure on the back side of the frame; Including cuts, finishing and all preparatory work and accessories necessary for a perfect finish. (RP12)</t>
  </si>
  <si>
    <t>RIP 00.3 - 2.86m high slat, consisting of: Dimensions: Frame - 4000x1960x50mm (LxWxH)</t>
  </si>
  <si>
    <t>PAVEMENT ALLEYS</t>
  </si>
  <si>
    <t>Supply and assembly of floor gutters with galvanized steel grid, including execution of the gutter in concrete with pendant, metal frame and all preparatory work and accessories necessary for a perfect finish.</t>
  </si>
  <si>
    <t>CAL 0.01 - Gutter 0.35m wide.</t>
  </si>
  <si>
    <t>CAL 0.02 - 0.35m wide gutter, type ACO "BrickSlot".</t>
  </si>
  <si>
    <t>CAL 0.03 - Gutter 0.10m wide.</t>
  </si>
  <si>
    <t>PARTITION 1</t>
  </si>
  <si>
    <t>Supply and assembly of partition between master suite and is m.suite 2, in "facar" type profile, dimensions: 0.10x3.05x0.03m, composed of: Divider between Closet and IS M Suite - "Facar" type tube 3050x190x30mm - Matt white lacquering RAL 9003 - Anchoring to slabs.  - Filling with sand.  - Black brush - full height - Everything according to the cabinet map and all necessary preparatory work and accessories.</t>
  </si>
  <si>
    <t>LOCKWORKS AND FIXTURES</t>
  </si>
  <si>
    <t>SANITARY EQUIPMENT</t>
  </si>
  <si>
    <t>COUNTERTOPS + CABINETS</t>
  </si>
  <si>
    <t>Supply and assembly of suspended bench with built-in washbasin in matt white Corian RAL 9003 and suspended cabinet with 2 drawers in water-repellent MDF lacquered in matt white RAL 9003, including fixings, accessories, connections and all preparatory work and accessories necessary for perfect operation.</t>
  </si>
  <si>
    <t>BANC 01.1: 2.04m x 0.35m x 0.44m + ARM 01.1: 2.04m x 0.20m x 0.44m;  EXTERIOR: Doors, cabinet top edges, in water-repellent MDF, 19 mm thick, lacquered in RAL 9003 color; INTERIOR: Bins and Shelves in 19mm thick chipboard, melamine in color RAL 7035;  COUNTERTOP: in Corian, RAL 9003, esp. 2cm; PERF PLATE: Perforated metal sheet, brushed 316 stainless steel;  HANDLE: ---;  SLIDES: With cushioning, "BLUM / MOVENTO - BLUMOTION";</t>
  </si>
  <si>
    <t>BANC 01.2: 2.04m x 0.35m x 0.44m + ARM 01.2: 2.04m x 0.20m x 0.44m;  EXTERIOR: Doors, cabinet top edges, in water-repellent MDF, 19 mm thick, lacquered in RAL 9003 color; INTERIOR: Bins and Shelves in 19mm thick chipboard, melamine in color RAL 7035;  COUNTERTOP: in Corian, RAL 9003, esp. 2cm; PERF PLATE: Perforated metal sheet, brushed 316 stainless steel;  HANDLE: ---;  SLIDES: With cushioning, "BLUM / MOVENTO - BLUMOTION";</t>
  </si>
  <si>
    <t>BANC 01.3: 1.40m x 0.35m x 0.44m + ARM 01.3: 1.40m x 0.20m x 0.44m;  EXTERIOR: Doors, sides finishing the top of the cabinet, in water-repellent MDF, 19 mm thick, lacquered in the color RAL 9003; INTERIOR: Bins and Shelves in 19mm thick chipboard, Melamine in color RAL 7035;  COUNTERTOP: in Corian, RAL 9003, esp. 2cm; PERF PLATE: Perforated metal sheet, brushed 316 stainless steel;  HANDLE: ---;  SLIDES: With cushioning, "BLUM / MOVENTO - BLUMOTION";</t>
  </si>
  <si>
    <t>FLOOR WASHBASIN</t>
  </si>
  <si>
    <t>Supply and assembly of a cylindrical floor-standing washbasin with exposed concrete body and washbasin part in Matte White Corian RAL 9003, including fixings, accessories, connections and all preparatory work and accessories necessary for perfect operation.</t>
  </si>
  <si>
    <t>BANC -01.1: 0.40m x 0.90m -Cylindrical body in reinforced concrete with 7cm in width, formwork with block of Styrofoam;  -Bowl in 5mm Corian molded according to the detailed drawing; -PVC piping with vertical siphon; -Access for maintenance through thread between the washbasin valve and the vertical siphon;  -Provide reinforcement and alignment of the sewage pipe to the concrete body.</t>
  </si>
  <si>
    <t>BANC 00.4: 0.40m x 0.90m - Cylindrical body in reinforced concrete with 7cm space, formwork with block of Styrofoam;  -Bowl in 5mm Corian molded according to the detailed drawing; -PVC piping with vertical siphon; -Access for maintenance through thread between the washbasin valve and the vertical siphon;  -Provide reinforcement and alignment of the sewage pipe to the concrete body.</t>
  </si>
  <si>
    <t>BANC 00.5: 0.40m x 0.90m - Cylindrical body in reinforced concrete with 7cm space, formwork with block of Styrofoam;  -Bowl in 5mm Corian molded according to the detailed drawing; -PVC piping with vertical siphon; -Access for maintenance through thread between the washbasin valve and the vertical siphon;  -Provide reinforcement and alignment of the sewage pipe to the concrete body.</t>
  </si>
  <si>
    <t>BATHROOMS</t>
  </si>
  <si>
    <t>Supply and assembly of shower rail, 90cm, "INOX" finish, model "GEBERIT CLEANLINE20 SHOWER TRACK", brand "GEBERITE", Ref. 154.450.KS.1, including fixings, connections and all preparatory work and accessories necessary for perfect operation. (EQ08)</t>
  </si>
  <si>
    <t>Supply and assembly of a floor-standing bathtub, dimension 160x75cm, "WHITE" finish, model "ONE BB1.20", brand "PADIMAT", Ref. BB1.20.16075, including fixings, connections and all preparatory work and accessories necessary for perfect operation. (EQ09)</t>
  </si>
  <si>
    <t>Supply and assembly of wall-hung toilet, "WHITE" finish, model "BORMIO, SUSPENSE TOILET BR18", brand "PADIMAT", Ref. 5603313495638, with cushioned fall top, including KOMBIFIX, 8cm, model "GEBERIT KOMBIFIX STRUCTURE FOR SUSPENDED TOILET, 109 cm, WITH INTERIOR FLOWER CLUTCH SIGMA 8 cm, PVC DISCHARGE CURVE", brand "GEBERITE", Ref. 110.793.00.1, accessories, connections and all preparatory work and accessories necessary for perfect operation. (EQ10) (EQ11)</t>
  </si>
  <si>
    <t>Supply and assembly of discharge plate, 24.6x16.4cm, model "GEBERIT DELTA10 DISCHARGE CONTROL PLATE FOR INTERRUPTABLE DISCHARGE, SCREWABLE", brand "GEBERITE", Ref. 115.101.00.5, including fixings and all preparatory work and accessories necessary for perfect operation. (EQ12)</t>
  </si>
  <si>
    <t>Supply and assembly of drain plate, "INOX" finish, model "GEBERIT REMOTE PLATE SERIES 10 PNEUMATIC, FOR DOUBLE DISCHARGE, FOR SIGMA 8 CM INDOOR CAR CLUTCH, BUILT-IN PLATE", brand "GEBERITE", Ref. 116.056.JQ.1, including fixings and all preparatory work and accessories necessary for perfect operation. (EQ13)</t>
  </si>
  <si>
    <t>FAUCETS</t>
  </si>
  <si>
    <t>Supply and assembly of stop tap, "CHROME" finish, model "PASS TAP 3/4" - QUADRA", brand "BRUMA", Ref. 82775232, including connections and all preparatory work and accessories necessary for perfect operation. (EQ01)</t>
  </si>
  <si>
    <t>Supply and assembly of valve, "INOX" FINISH, model "VALVE CLIC-CLAC 1 ¼" - ELO|X-ALPHA", brand "BRUMA", Ref. 186 001 0IS, including all preparatory work and accessories necessary for perfect operation. (EQ02)</t>
  </si>
  <si>
    <t>Supply and assembly of single-lever washbasin, "INOX" finish, model "SINGLE-TOUCH WASHBASIN 2 HOLES, COUNTERTOP MOUNTING | (EQ03)</t>
  </si>
  <si>
    <t>Supply and assembly of a single-lever wall-mounted sink, "INOX" finish, model "SINGLE-TOUCH WALL-CONTAINED WASHBASIN, WITH 2 HOLES. SPOUT WITH 150 MM | (EQ04)</t>
  </si>
  <si>
    <t>Supply and assembly of single-lever floor-standing bathtub, "INOX" finish, model "SINGLE-TUB AND SHOWER CONTROL, FLOOR MOUNTING", brand "BRUMA", Ref. 186 980 2IS. OPTION: HANDLE 2, Ref. 186 980 2IS, including connections and all preparatory work and accessories necessary for perfect operation. (EQ05)</t>
  </si>
  <si>
    <t>Supply and assembly of bidet tap, "INOX WITH BLACK SLEEVE" finish, model "TOUCH BIDET TAP, 90° OPENING, IN STAINLESS STEEL | (EQ06)</t>
  </si>
  <si>
    <t>Supply and assembly of shower set, "INOX STAINLESS STAINLESS WITH BLACK SLEEVE" finish, model "BUILT-IN SHOWER SYSTEM WITH WALL-ON SHOWER Ø250 MM AND HAND SHOWER KIT", brand "BRUMA", Ref. 186 782 1IS, BLACK HOSE AND HANDLE OPTION 2, Ref. 186 782 2IS + 186 562 2IS, including connections and all preparatory work and accessories necessary for perfect operation. (EQ07)</t>
  </si>
  <si>
    <t>Supply and assembly of a single-lever wall-mounted sink, "INOX" finish, model "SINGLE-TOUCH WALL-CONTAINED WASHBASIN, WITH 2 HOLES, SPOUT WITH 230 MM | (EQ18)</t>
  </si>
  <si>
    <t>EQUIPMENT</t>
  </si>
  <si>
    <t>Supply and assembly of paper roll holder, "INOX" finish, model "INOX, PAPER ROLL HOLDER", brand "LOJA AREA", Ref. 84633, including accessories, fixings and all preparatory work and accessories necessary for perfect operation. (EQ14)</t>
  </si>
  <si>
    <t>Supply and assembly of towel rack, 65cm, "INOX" finish, model "INOX, TOWEL RAIL 65CM", brand "LOJA AREA", Ref. 84635, including fixings and all preparatory work and accessories necessary for perfect operation. (EQ15)</t>
  </si>
  <si>
    <t>Supply and assembly of sink siphon, chrome finish, model "ELO", brand "BRUMA", Ref. 1370001CR, including fixings and all preparatory work and accessories necessary for perfect operation. (EQ16)</t>
  </si>
  <si>
    <t>Supply and assembly of vertical siphon for circular washbasin type "JIMTEN 1.1/4X32", access for maintenance by unscrewing the Corian washbasin plate, including fixings and all preparatory work and accessories necessary for perfect operation. (EQ17)</t>
  </si>
  <si>
    <t>Supply and assembly of a suspended bench measuring 0.60x0.51x2.10 (WxHxD), solid reinforced concrete coated with tiles equal to the adjoining wall, including structural reinforcement to fix the bench to the wall and all preparatory work and accessories necessary for a perfect finish.</t>
  </si>
  <si>
    <t>Supply and assembly of 12mm thick tempered glass guards, extra clear finish, for shower trays, dimensions and characteristics as per designed parts, including hardware, handles, accessories, fixings and all preparatory work and accessories necessary for perfect operation.</t>
  </si>
  <si>
    <t>Supply and assembly of circular mirrors in 6mm crystal glass, diameter 40cm, with 6mm brushed 316 stainless steel rim, including fixing system as indicated but designed parts and all preparatory work and accessories necessary for a perfect finish.</t>
  </si>
  <si>
    <t>Supply and assembly of 6mm crystal glass mirrors, including fixing system as indicated but designed parts (glued to the surface of the facing, in line with the rest of the facing), and all preparatory work and accessories necessary for a perfect finish.</t>
  </si>
  <si>
    <t>KITCHEN AND LAUNDRY EQUIPMENT</t>
  </si>
  <si>
    <t>KITCHEN</t>
  </si>
  <si>
    <t>Supply and complete assembly of lower, upper and upper kitchen furniture, in 19mm thick waterproof MDF, lacquered in the color RAL 9003, including boxes, doors, drawers, shelves, skirting boards, hardware, lighting, fixings, cuts, finishes, everything in accordance with the cabinet map and all preparatory work and accessories necessary for a perfect finish.</t>
  </si>
  <si>
    <t>BANC00.1 + ARM00.5, with dimensions 2.60x0.90x1.00m</t>
  </si>
  <si>
    <t>BANC00.2 + ARM00.6, with dimensions 4.20x2.49x0.62m</t>
  </si>
  <si>
    <t>Supply and assembly of kitchen countertops in 19mm waterproof MDF, covered with 3mm thick brushed 316 stainless steel sheet, including covering the countertop niche, drillings, fixings, cuts, edges and all preparatory work and accessories necessary for a perfect finish.</t>
  </si>
  <si>
    <t>BANC00.1, with dimensions 2.60x1.00m</t>
  </si>
  <si>
    <t>BANC00.2, with dimensions 1.76x0.62m</t>
  </si>
  <si>
    <t>Supply and assembly of 100cm sinks, "SOFT WHITE" finish, model "AXIA III 6 S", brand "BLANCO", Ref. 525849, including accessories, siphon and valve, connections and all preparatory work and accessories necessary for perfect operation. (EQ01)</t>
  </si>
  <si>
    <t>Supply and assembly of tap, "STAINLESS STAINLESS WITH BLACK SLEEVE" finish, model "SINGLE TEVER DISHWASHER, SWING SPOUT, EXTENSIBLE 2-JET SHOWER", brand "BRUMA", Ref. 197 011 1IS., including connections and all preparatory work and accessories necessary for perfect operation. (EQ02)</t>
  </si>
  <si>
    <t>Supply and assembly of waste separator, 56.8 x 45x 45.8cm, model "SELECT II 60/3 Orga", brand "BLANCO", Ref. 526209, including all preparatory work and accessories necessary for perfect operation. (EQ03)</t>
  </si>
  <si>
    <t>Supply and assembly of an integrated oven, dimension 90x60cm, "INOX" finish, model "SERIE 6", brand "BOSCH", Ref. VBD5780S0, including fixings, connections and all preparatory work and accessories necessary for perfect operation. (EQ04)</t>
  </si>
  <si>
    <t>Supply and assembly of an integrated refrigerator, dimension 177.5x56cm, model "SERIE 4, REFRIGERATOR WITH INTEGRATED FREEZING COMPARTMENT", brand "BOSCH", Ref. KIL82VFE0, including fixings, connections and all preparatory work and accessories necessary for perfect operation. (EQ05)</t>
  </si>
  <si>
    <t>Supply and assembly of a built-in freezer, dimension 177.2x55.8cm, model "SERIE 4", brand "BOSCH", Ref. GIN81VEE0, including fixings, connections and all preparatory work and accessories necessary for perfect operation. (EQ06)</t>
  </si>
  <si>
    <t>Supply and assembly of integrated microwave, dimension 59.4x29.7x38.2cm, "BLACK" finish, model "SERIE 6, BRAND "BOSCH", Ref. BFL524MB0, including fixings, connections and all preparatory work and accessories necessary for perfect operation. (EQ07)</t>
  </si>
  <si>
    <t>Supply and assembly of induction hob, dimension 81.6x52.7cm, model "SERIE 8, 80 CM, BLACK, SURFACE INSTALLATION WITH FRAME", brand "BOSCH", Ref. PXV875DV1E, including fixings, connections and all preparatory work and accessories necessary for perfect operation. (EQ08)</t>
  </si>
  <si>
    <t>Supply and assembly of a complete island extractor fan, dimension 133x38cm, "WHITE" finish, model "BOLEA EXHAUSTER", brand "KARLSTEIN", Ref. 10041225, including chimney flue, fixings, connections and all preparatory work and accessories necessary for perfect operation. (EQ09)</t>
  </si>
  <si>
    <t>Supply and assembly of integrated pantry, model "UTRUSTA, EXTRACTABLE PANTRY", brand "IKEA", Ref. (EQ10)</t>
  </si>
  <si>
    <t>Supply and assembly of storage rail, 56cm, "STAINLESS STEEL" finish, model "KUNGSFORS, GUTTER, STAINLESS STEEL, 56 cm", brand "IKEA", Ref. 403.349.16, including fixings and all preparatory work and accessories necessary for perfect operation. (EQ11)</t>
  </si>
  <si>
    <t>Supply and assembly of magnetic support for knives, "STAINLESS STEEL" finish, model "KUNGSFORS, MAGNETIC KNIFE SUPPORT", BRAND "IKEA", Ref. 403.349.21, including fixings and all preparatory work and accessories necessary for perfect operation. (EQ12)</t>
  </si>
  <si>
    <t>Supply and assembly of an integrated dishwasher, dimension 59.8x55x81.5cm, model "SERIE 4, brand "BOSCH", Ref. SMV4ECX21E, including connections, fixings and all preparatory work and accessories necessary for perfect operation. (EQ13)</t>
  </si>
  <si>
    <t>LAUNDRY</t>
  </si>
  <si>
    <t>Supply and assembly of washing machine, dimension 59.8x59x84.8cm, model "SERIE 6, FRONT LOAD, 10 KG, 1400 RPM", brand "BOSCH", Ref. WAL28PH1ES, including connections and all preparatory work and accessories necessary for perfect operation. (EQ14)</t>
  </si>
  <si>
    <t>Supply and assembly of clothes dryer, dimension 59.8x59x84.2cm, model "SERIE 4, HEAT PUMP, 8 KG", brand "BOSCH", Ref. WTR85V92ES, including connections and all preparatory work and accessories necessary for perfect operation. (EQ15)</t>
  </si>
  <si>
    <t>SEVERAL</t>
  </si>
  <si>
    <t>Supply and assembly of "SIEMENS" wine cellar, Ref: KW36KATGA, dimension 60x61x186mm, including connections and all preparatory work and accessories necessary for perfect operation. (EQ15)</t>
  </si>
  <si>
    <t>Supply and assembly of a stove (LAR 00.1), brand "UNICHAMA", model "M-DESING LUNA DIAMON 1000 RD", including exhaust pipe, fixings, connections and all preparatory work and accessories necessary for perfect operation. (EQ16)</t>
  </si>
  <si>
    <t>INTERIOR SHADE SCREENS</t>
  </si>
  <si>
    <t>Supply and assembly of motorized interior curtains "Curtain Guide "REPRESTOR" Cortin ER 50 + Fabric Voile Visillo 300 cm - cream = DIM 01.10x02.88 (LxH)", including system accessories, fixings and all preparatory work and accessories necessary for perfect operation. (FABRIC CURTAIN EXCLUDED)</t>
  </si>
  <si>
    <t>VE 01.1 - Dimensions 1.10x2.88m.</t>
  </si>
  <si>
    <t>VE 01.2 - Dimensions 4.68x2.92m.</t>
  </si>
  <si>
    <t>VE 01.3 - Dimensions 4.61x2.92m.</t>
  </si>
  <si>
    <t>VE 01.4 - Dimensions 3.04x2.92m.</t>
  </si>
  <si>
    <t>VE 01.5 - Dimensions 5.93x2.92m.</t>
  </si>
  <si>
    <t>VE 01.6 - Dimensions 6.19x2.92m.</t>
  </si>
  <si>
    <t>VE 01.7 - Dimensions 4.94x2.92m.</t>
  </si>
  <si>
    <t>VE 01.8 - Dimensions 7.18x2.92m.</t>
  </si>
  <si>
    <t>VE 00.1 - Dimensions 7.24x2.94m.</t>
  </si>
  <si>
    <t>VE 00.4 - Dimensions 2.58x2.92m.</t>
  </si>
  <si>
    <t>VE 00.6 - Dimensions of 17.33x2.94m.</t>
  </si>
  <si>
    <t>VE 00.7 - Dimensions 4.74x2.94m.</t>
  </si>
  <si>
    <t>VE 00.8 - Dimensions 1.98x2.94m.</t>
  </si>
  <si>
    <t>VE 00.9 - Dimensions 2.54x2.94m.</t>
  </si>
  <si>
    <t>VE 00.10 - Dimensions 3.28x2.94m.</t>
  </si>
  <si>
    <t>VE -01.1 - Dimensions 4.18x2.36m.</t>
  </si>
  <si>
    <t>VE -01.2 - Dimensions 2.21x2.36m.</t>
  </si>
  <si>
    <t>BARBECUE (BBQ)</t>
  </si>
  <si>
    <t>Supply and complete execution of BBQ bench and outdoor cabinet consisting of 1 sink and 1 BBQ grill integrated into the bench, 1 tap, including cabinets, drawers, skirting board, 19mm waterproof MDF bench with the respective finish, hardware, LED lighting, connections, everything as described in the detail drawing and project specifications and all preparatory work and accessories necessary for a perfect finish.</t>
  </si>
  <si>
    <t>BANC 00.6 + ARM 00.10 - Dimensions 3.60x0.90x0.60m.</t>
  </si>
  <si>
    <t>WOODEN BENCH (DECK)</t>
  </si>
  <si>
    <t>Supply and execution of a deck bench measuring 10.00x0.60x0.45m, composed of 20x220x2200mm pine wood boards, autoclave treatment, natural color matte varnish finish, symmetrical screwing, including internal metal support structure, cuts, finishes, fixings to the floor and all preparatory work and accessories necessary for a perfect finish. (PV11)</t>
  </si>
  <si>
    <t>Supply and complete execution of FIREPIT measuring 5.00x5. 00m, consisting of peripheral walls in plastered and painted masonry, covering in cement tiles (reinforced) with 40mm of space, internal area in smoothed screed with creation of slope, including floor drain and all preparatory work and accessories necessary for a perfect finish.</t>
  </si>
  <si>
    <t>EXTERIOR ARRANGEMENTS</t>
  </si>
  <si>
    <t>EXTERIOR WALLS AND FENCES</t>
  </si>
  <si>
    <t>Supply and execution of exterior walls 1.40m high, consisting of 1 masonry panel made of concrete blocks measuring 50x20x25cm, including cement and sand mortar at a ratio of 1:3, reinforced concrete locking pillars measuring 20x20cm every 3 meters, reinforced concrete foundation, cleaning concrete, upper reinforced concrete lintel and all works preparations and accessories necessary for a perfect finish.</t>
  </si>
  <si>
    <t>Supply and execution of fine sanded plaster at 1:4, on exterior walls, including splashing and plastering and all preparatory work and accessories necessary for a perfect finish.</t>
  </si>
  <si>
    <t>Supply and execution of painting with 100% acrylic paint, "CIN - NOVATEX - Ref.ª 12-230", in the color Gray RAL 7035, in 2 to 3 coats, on plaster, including prior cleaning of surfaces, application of 1 coat of primer "EP/GC 300 - Ref.ª 10-600" and all preparatory work and accessories necessary for a perfect finish.</t>
  </si>
  <si>
    <t>Supply and assembly of a 1.40m high fence, made up of stakes in a tubular profile or with a 50x50mm square section, painted in the color RAL 6005, to support steel chicken wire, plasticized, according to a detailed drawing, including execution of the foundation mass, fixings, cuts, finishing and all preparatory work and accessories necessary for a perfect finish.</t>
  </si>
  <si>
    <t>FINISHES OF EXTERIOR PAVEMENTS</t>
  </si>
  <si>
    <t>Supply and assembly of angles at the edges of exterior floors, anchors on the edge of reinforced concrete lintels, chamfered, according to the detailed drawing, including execution of the foundation mass, fixings, cuts, finishes and all preparatory work and accessories necessary for a perfect finish.</t>
  </si>
  <si>
    <t>Angle L 150x150mm.</t>
  </si>
  <si>
    <t>Angle bracket L 100x100mm.</t>
  </si>
  <si>
    <t>ENTRANCE NICHE</t>
  </si>
  <si>
    <t>Supply and execution of ESC04 floor and stairs in smoothed screed, water-repellent finish of Sikagard 680-S colorless matte, including filling/regulating screed, finishing and all preparatory work and accessories necessary for a perfect finish.</t>
  </si>
  <si>
    <t>Supply and assembly of a roof with a "knife" structure covered in aluminum sheet, anodized finish, in accordance with the detailed drawing, including cuts, finishes, welding, fixings and all preparatory work and accessories necessary for a perfect finish.</t>
  </si>
  <si>
    <t>Supply and assembly of a swing pedestrian gate composed of a 40x40mm "knife" type structure, covered with 3mm thick aluminum sheet. anodized finish, total thickness = 180mm, as per drawings, including hardware and all preparatory work and accessories necessary for perfect operation.</t>
  </si>
  <si>
    <t>POR 00.1 - Pedestrian Gate, dimension 1.41x2.00m.</t>
  </si>
  <si>
    <t>Supply and assembly of sliding gates for access to the garage ramp, made up of a 40x40mm "knife" type structure, covered with 3mm thick aluminum sheet. anodized finish, total thickness = 180mm, as per drawings, including rack and metal gate guide located on the walls, floor channel, motor, hardware and all preparatory work and accessories necessary for perfect operation.</t>
  </si>
  <si>
    <t>POR 00.2 - Automotive Gate, dimension 3.63x1.40m.</t>
  </si>
  <si>
    <t>Supply and assembly of metal cabinets composed of: EXTERIOR: Doors composed of a 40x40mm "knife" type structure covered with 3mm thick anodized aluminum sheet. INTERIOR: Interior covered in sheet metal anodized aluminum 3mm esp. HANDLE: N/A HINGES: "BLUM / CLIP" with shock absorber LOCK: Locker type MAIL: Door in sheet metal  anodized aluminum and piano hinge.  DOORBELL: Control4® DS2 Mini Door Station, flush mount. REF: C4-DS2MINI-BN + C4-DS2MINIFP-BN</t>
  </si>
  <si>
    <t>ARM 00.13 - Dimensions 2.07x2.30x0.58m, Cabinet consisting of 3 fronts, 2 opening and 1 fixed. includes mailbox and doorbell. (EXCLUDED THE BELL)</t>
  </si>
  <si>
    <t>ARM 00.14 - Dimensions 2.07x2.30x0.58m, Cabinet consisting of 2 fronts. includes accountants.</t>
  </si>
  <si>
    <t>Supply and assembly of floor gutter with galvanized steel grid, 0.15m wide, including execution of the gutter in concrete with pendant, metal frame and all preparatory work and accessories necessary for a perfect finish.</t>
  </si>
  <si>
    <t>SPECIALTIES</t>
  </si>
  <si>
    <t>EARTH MOVEMENT</t>
  </si>
  <si>
    <t>General land cleaning that includes all types of cleaning, removal, deforestation and felling of existing tree species necessary for the general fulfillment of projects.</t>
  </si>
  <si>
    <t>Execution of general excavation to implement the structure of the house, swimming pool and walls on ground of any nature (including rock), in order to reach the starting heights of the foundations, as well as the execution of foundation work, shoring, sewage, including all inherent work.</t>
  </si>
  <si>
    <t>Execution of landfills in the area of ​​the house, swimming pool and outdoor terraces, with products from excavation, including spreading and duly executed compaction, with mechanical means, in layers with a maximum thickness of 0.30m, using water in the quantity convenient for its perfect compaction, to obtain project levels, including all inherent work.</t>
  </si>
  <si>
    <t>Transport to dump</t>
  </si>
  <si>
    <t>Transport, loading and unloading of remaining land, from the housing area, to the dump, including 20% ​​swelling, as well as all related work.</t>
  </si>
  <si>
    <t>STABILITY AND PERIPHERAL CONTAINMENT</t>
  </si>
  <si>
    <t>Reinforced Concrete Elements</t>
  </si>
  <si>
    <t>Supply and application of cleaning concrete with C12/15 Concrete, with exposure class</t>
  </si>
  <si>
    <t>In footings, wall footings, boundary walls, foundation beams and foundation slabs</t>
  </si>
  <si>
    <t>Supply and application of C30/37 Concrete, with exposure class XC2, Cl 0.4, Dmax 20mm, S3, including vibration, and all work inherent and necessary for its perfect finish in the following elements:</t>
  </si>
  <si>
    <t>On foundation beams</t>
  </si>
  <si>
    <t>In shoes</t>
  </si>
  <si>
    <t>In wall and wall footings</t>
  </si>
  <si>
    <t>On foundation slab</t>
  </si>
  <si>
    <t>Supply and application of C30/37 Concrete, with exposure class XC2, Cl 0.4, Dmax 20mm, S4, including vibration, and all work inherent and necessary for its perfect finish in the following elements:</t>
  </si>
  <si>
    <t>Basement wall pillars</t>
  </si>
  <si>
    <t>Basement walls/ support/ walls</t>
  </si>
  <si>
    <t>Exterior Staircase</t>
  </si>
  <si>
    <t>Supply and application of C40/50 Concrete, with exposure class XS1, Cl 0.2, Dmax 20mm, S4, including vibration, and all work inherent and necessary for its perfect finish in the following elements:</t>
  </si>
  <si>
    <t>On pillars</t>
  </si>
  <si>
    <t>On walls</t>
  </si>
  <si>
    <t>Supply and application of C40/50 Concrete, with exposure class XS1, Cl 0.2, Dmax 16mm, S4, including vibration, and all work inherent and necessary for its perfect finish in the following elements:</t>
  </si>
  <si>
    <t>On beams</t>
  </si>
  <si>
    <t>On solid slabs</t>
  </si>
  <si>
    <t>In lightened solid slabs (Cobiax)</t>
  </si>
  <si>
    <t>On stairs Escada E1</t>
  </si>
  <si>
    <t>Supply and application of C40/50 Concrete, with exposure class</t>
  </si>
  <si>
    <t>On slabs</t>
  </si>
  <si>
    <t>In beams/reinforcements</t>
  </si>
  <si>
    <t>On stairs (Ladder E3)</t>
  </si>
  <si>
    <t>Steel ARMOR OR reinforcement..</t>
  </si>
  <si>
    <t>Supply, framing and placement of A500NR SD Steel, in reinforcement of structural elements, including waste, splicing, annealed wire, means and equipment and all work inherent and necessary for its perfect finish in the following elements:</t>
  </si>
  <si>
    <t>Shoes</t>
  </si>
  <si>
    <t>Wall/wall shoes</t>
  </si>
  <si>
    <t>Foundation Slab</t>
  </si>
  <si>
    <t>Foundation beams</t>
  </si>
  <si>
    <t>Basement/ support walls and walls</t>
  </si>
  <si>
    <t>Pillars</t>
  </si>
  <si>
    <t>Beams and reinforcements</t>
  </si>
  <si>
    <t>Slabs</t>
  </si>
  <si>
    <t>Steps</t>
  </si>
  <si>
    <t>Swimming pool (slabs, walls and compensation tank)</t>
  </si>
  <si>
    <t>Mounting armature Anchor heads</t>
  </si>
  <si>
    <t>Steel Armor</t>
  </si>
  <si>
    <t>Formwork</t>
  </si>
  <si>
    <t>Supply and assembly of formwork in reinforced concrete elements, consisting of preparing a formwork plan and defining it according to the element to be formed and application of formwork oil of recognized quality, including support structures, formwork, labor and all work and accessory materials necessary for its correct execution, also considering the preparation of the negatives to be left on the concrete elements imposed by the installations of water, sewage, electricity, ventilation, air conditioning and other installations not described and all work inherent and necessary for its perfect finish in the following elements:</t>
  </si>
  <si>
    <t>Basement Wall and Wall Footings</t>
  </si>
  <si>
    <t>Cave walls/walls</t>
  </si>
  <si>
    <t>In beams and reinforcements</t>
  </si>
  <si>
    <t>On pool walls and compensation tank</t>
  </si>
  <si>
    <t>On pool slabs</t>
  </si>
  <si>
    <t>On stairs</t>
  </si>
  <si>
    <t>Supply and assembly of formwork in exposed reinforced concrete elements, with marine plywood panels, PVC corner profiles (1x1cm) and finishing with three coats of matte colorless varnish, from Diera or equivalent, formulated based on a pure acrylic polymer and additives, which has high resistance to alkalinity and saponification, has high adhesion and prevents the growth of fungi, or equivalent, as well as application of formwork oil of recognized quality, including structures of support, formwork, labor and all work and accessory materials necessary for its correct execution, also considering the preparation of a formwork plan including counter arrows, assembly drawings, phasing and shoring of the panels to be executed, as well as the preparation of the negatives to be left on the concrete elements imposed by the water, sewage, electricity, lighting, ventilation, air conditioning and other installations not described and all the work inherent and necessary for its perfect finish in the following elements:</t>
  </si>
  <si>
    <t>On walls/walls</t>
  </si>
  <si>
    <t>Prestress Elements</t>
  </si>
  <si>
    <t>Supply and application of pre-stress by post-tensioning in structural elements, (low relaxation - EN1992-1-1-Class 2): Y1860 S7 15.3, "FERCA" TTM system composed of: special cables called monocords Ø 0.6" type A=140 mm², characteristic tensile tensile strength of the steel of 1860N/mm²,, TBR CLASS II, active anchors and passive anchors, placed in the position indicated in the drawings with a horizontal tolerance of +/- 2.cm and vertical tolerances of +/- 0.5cm, including all supplies, remaining parts and/or fixings necessary but not described, all preparatory work, sealing and cutting, as well as all other accessories and work necessary for a good finish.</t>
  </si>
  <si>
    <t>Prestressing cables</t>
  </si>
  <si>
    <t>Active anchorages</t>
  </si>
  <si>
    <t>Passive anchors</t>
  </si>
  <si>
    <t>Slab lightening elements</t>
  </si>
  <si>
    <t>Supply and assembly of lightening with Cobiax system Ref. COBIAX CBCM-S-180 from "FERCA", for slabs with a thickness of 30cm, consisting of a lightening element composed of a metal support and ellipsoids in recycled polypropylene (PP), including all preparatory work, parts and/or fastening elements not described, cuts and finishes, as well as all other accessories and all work inherent and necessary for its perfect installation.</t>
  </si>
  <si>
    <t>Ceiling Floor 0 LMA0.1</t>
  </si>
  <si>
    <t>Hot Rolled Steel Elements</t>
  </si>
  <si>
    <t>Supply and assembly of pillars in laminated steel S275 J0, protected from the action of fire through the application of intumescent paint, guaranteeing the protection index R 30, including pickling, metallization and all work inherent and necessary for its perfect finish in the following elements (Note: At the base of the metal pillars, the area of ​​the pillar in contact with the screeds and fillers, even after metallization, may suffer oxidation, so this area must be protected with epoxy paint type C-THANE S250 from CIN or equivalent.):</t>
  </si>
  <si>
    <t>HEB200 Pillars</t>
  </si>
  <si>
    <t>Arrows HEB140</t>
  </si>
  <si>
    <t>Supply and assembly of base and top anchor plates for pillars, made of S275 J0 laminated steel, including anchor bolts, rigidifiers, sealing with grout, leveling nuts, stripping, metallization and all work inherent and necessary for their perfect finish.</t>
  </si>
  <si>
    <t>Supply and assembly of S275 J0 laminated steel beams, including angles and connection screws, stripping, metallization and all work inherent and necessary for their perfect finish in the following elements:</t>
  </si>
  <si>
    <t>IPE270 beams</t>
  </si>
  <si>
    <t>Supply and assembly of E2 stairs, in laminated steel S275 J0, including anchoring lacquers, anchors, stiffeners, sealing with grout, pickling, metallization and all inherent work necessary for its perfect finish.</t>
  </si>
  <si>
    <t>Cold Formed Steel Elements</t>
  </si>
  <si>
    <t>Supply and assembly of a metal structure, for the execution of slab panels, in cold-formed steel S280GD+Z275 (profile type), including angles and respective fixing screws, anchor bolts and all work inherent and necessary for its perfect finish in the following elements:</t>
  </si>
  <si>
    <t>Omega Profile 120x52</t>
  </si>
  <si>
    <t>Flooring</t>
  </si>
  <si>
    <t>Various floors</t>
  </si>
  <si>
    <t>Supply and application of ground floor consisting of: 0.05m thick layer of sand and layer of C30/37 concrete mortar with exposure class XC2(P) CI0.4 Dmax=20, S4 0.15m thick; A500NR SD steel reinforcement, including reinforcements, waste, splicing, annealed wire, means and equipment and all work inherent and necessary for its perfect finish in the following elements:</t>
  </si>
  <si>
    <t>Supply and application of ground floor consisting of: 0.10m thick layer of crushed stone and layer of C30/37 concrete mortar with exposure class XC2(P) CI0.4 Dmax=20, S4 0.15m thick; A500NR SD steel reinforcement, including reinforcements, waste, splicing, annealed wire, means and equipment and all work inherent and necessary for its perfect finish in the following elements:</t>
  </si>
  <si>
    <t>Walls</t>
  </si>
  <si>
    <t>Boundary Wall</t>
  </si>
  <si>
    <t>Supply and execution of walls in prefabricated concrete blocks with lightweight expanded clay aggregates, measuring 50x20x20cm, including laying mortar, foundations, locking pillars, crowning beams, formwork, A500NR SD steel reinforcement, including waste, splicing, annealed wire, cleaning concrete, as well as all other accessories and work necessary for good execution.  According to manufacturer/supplier instructions and design elements of the following type:</t>
  </si>
  <si>
    <t>Supply and execution of walls in prefabricated concrete blocks with lightweight expanded clay aggregates, measuring 50x15x20cm, including laying mortar, foundations, locking pillars, crowning beams, formwork, A500NR SD steel reinforcement, including waste, splicing, annealed wire, cleaning concrete, as well as all other accessories and work necessary for good execution.  According to manufacturer/supplier instructions and design elements of the following type:</t>
  </si>
  <si>
    <t>Several</t>
  </si>
  <si>
    <t>General miscellaneous</t>
  </si>
  <si>
    <t>Supply and application of Waterstop bentonite expansion joints, where the walls and slab of the pool/compensation tank meet, including all preparatory work, parts and/or elements necessary but not described as well as all other accessories and work necessary for a good application.  According to manufacturer/supplier instructions and design elements.</t>
  </si>
  <si>
    <t>Supply and application of expansion joints, including all preparatory work, parts and/or elements necessary but not described, sealing, cutting and finishing as well as all other accessories and work necessary for a good application.  According to manufacturer/supplier instructions and design elements.</t>
  </si>
  <si>
    <t>Supply and application of cyclopean concrete consisting of 60% C20/25 Concrete with exposure class XC2, CI0.4, Dmax. 20 mm, S3 and 40% crack, with a maximum dimension of 0.20m, under foundation elements, including vibration, and all the work inherent and necessary for its perfect finish.  According to manufacturer/supplier instructions and design elements.</t>
  </si>
  <si>
    <t>Supply and execution of Mockup in exposed reinforced concrete, with concrete of resistance class C40/50, with exposure class</t>
  </si>
  <si>
    <t>Straight element with footing 2x1.25x0.30m, wall 0.25m thick and 2.4m high</t>
  </si>
  <si>
    <t>BUILDING WATER SUPPLY NETWORK, SWIMMING POOL AND WATER MIRRORS</t>
  </si>
  <si>
    <t>BUILDING WATER SUPPLY, SWIMMING POOL AND IRRIGATION NETWORK</t>
  </si>
  <si>
    <t>Supply and installation of a building cold water supply network in accordance with the specialty project, consisting of HDPE PN10 piping (type SDR 13.6 from Politejo) in the external buried networks, Multilayer piping (Type Mepla from Geberit) in the distribution networks inside and outside the building and in the supply of usage devices, including all materials, accessories and complementary work.</t>
  </si>
  <si>
    <t>Supply and installation of PN10 HDPE piping (type SDR 13.6 from Politejo), as well as all accessory materials and complementary work.</t>
  </si>
  <si>
    <t>HEAD Ø20</t>
  </si>
  <si>
    <t>HEAD Ø25</t>
  </si>
  <si>
    <t>HEAD Ø40</t>
  </si>
  <si>
    <t>Supply and installation of Multilayer piping (of the Geberit Mepla type), including flexible elastomeric foam insulation from Armacell, SH Armaflex, or equivalent, and Armafix Ecolight ceiling fixings, whenever applicable, as well as all accessory materials and complementary work.</t>
  </si>
  <si>
    <t>Supply and installation of a building hot water supply network in accordance with the specialty project, consisting of multilayer piping (Geberit Mepla type) in the distribution networks inside the building and in the supply of usage devices, including all materials, accessories and complementary work.</t>
  </si>
  <si>
    <t>Supply and installation of Multilayer piping (of the Geberit Mepla type), including AF/Armaflex thermal insulation, or equivalent, with a thickness in accordance with thermal legislation requirements, and Armafix Ecolight ceiling fixings, as well as all accessory materials and complementary work.</t>
  </si>
  <si>
    <t>Supply and installation of a building hot water return network according to the specialty project, consisting of multilayer piping (Geberit Mepla type), including all materials, accessories and complementary work.</t>
  </si>
  <si>
    <t>Supply and installation of Multilayer piping (of the Mepla type from Geberit, or equivalent), including AF/Armaflex thermal insulation or equivalent in accordance with what is required by thermal legislation, and ArmaFix AF ceiling fixings or equivalent, when applicable, as well as all accessory materials and complementary work.</t>
  </si>
  <si>
    <t>Supply and installation of a reverse osmosis machine consisting of 3 white 10” cartridge holders, 5 µm prefilter of 10” pressed polypropylene, 10” GAC Charcoal Cartridge, 10” Bloc Charcoal Cartridge, Membrane holder, 50 GPD filmtec membrane, 2” x 10” in-line coal post, 14” steel tank with plastic coating liters, Tap with ceramic valve, 350cc – 400 cc Restrictor, 4-way valve, Booster Pump, 24 V Transformer &amp; ¼ “electrovalve, Maximum &amp; Minimum Pressure Switch, as well as all complementary work.</t>
  </si>
  <si>
    <t>Supply and installation of a network water filtration, treatment, reserve and pressurization system consisting of a 1,000L tank. in high-density polyethylene, 20"-1" sediment filters, timed recirculation system, Aqua Innovation - anti-scaling, UV lamp, hydropressor group consisting of a Grundfos SCALA2 3-45A pump, 1 protection and control panel, 1 manometer and pressure switch kit, 1 non-return valve, as well as all accessory materials and complementary work, of the Golden Fibra type, according to the specialty project.</t>
  </si>
  <si>
    <t>Supply and installation of hose service taps (Type TRES garden / pool CRO 03450102, or equivalent), as well as all complementary work.</t>
  </si>
  <si>
    <t>Supply and installation of service taps in valve boxes (Type RAINBIRD Stardard Rectangular Series VB-STD, or equivalent), as well as all complementary work.</t>
  </si>
  <si>
    <t>Supply and installation of isolating valves (Heliroma Klimapress Type, or equivalent), as well as all complementary work.</t>
  </si>
  <si>
    <t>Supply and installation of Calefi Model 116 flow regulating valves or equivalent adjusted to 45ºC, with all work and accessories for their correct operation.</t>
  </si>
  <si>
    <t>Supply and installation of a fire hydrant on the lot boundary wall, according to project details and including all accessories and complementary work.</t>
  </si>
  <si>
    <t>Civil construction support work in opening and filling trenches and ditches, all materials, accessories and complementary work.</t>
  </si>
  <si>
    <t>Execution of tests and certification whenever required, in accordance with the specialty project, provision of operation and maintenance manuals whenever required, copies and digital version, including all due diligence, equipment, materials, accessories and complementary work.</t>
  </si>
  <si>
    <t>Pool Water Treatment and Equipment</t>
  </si>
  <si>
    <t>Supply and installation of pool water treatment and recirculation equipment and compensation tank, including all PN10 PVC piping necessary for its installation and all equipment and accessories, namely:</t>
  </si>
  <si>
    <t>Supply and installation of PVC overflow gutter pipes Series U SN4, including all accessory materials and complementary work:</t>
  </si>
  <si>
    <t>Supply and installation of a pool filtration and treatment system, including the equipment and accessories necessary for its proper functioning, with the finish of the visible accessories being compatible with the coating/finish indicated in the architectural project and submitted for approval by the client/inspection of its application, namely:</t>
  </si>
  <si>
    <t>Optional - Clean&amp;Clear 18 M3/H Mono Cartridge Filter (ref. PAC-050-0352) + Superflo VSD Pump (ref. PAC-100-0050)</t>
  </si>
  <si>
    <t>Hayward bottom drain for concrete (x2) (ref. HAY-250-1797) (for the pool)</t>
  </si>
  <si>
    <t>White ABS Bottom Mouth for Tube 63-50 mm (ref. ZAN-250-0001)</t>
  </si>
  <si>
    <t>Superpool ABS White Concrete Vacuum Socket 2'' (ref. EMX-250-0010)</t>
  </si>
  <si>
    <t>Passamuro Superpool for Concrete 300 mm (ref. EMX-250-0012)</t>
  </si>
  <si>
    <t>Passamuro Hayward Liner 250mm 2'' 50 (ref. HAY-250-0142)</t>
  </si>
  <si>
    <t>Superpool Bottom Drain for Liner (ref. EMX-250-0016) (for the compensation tank)</t>
  </si>
  <si>
    <t>Water level regulation table with 5 probes (ref. CCE-570-0147)</t>
  </si>
  <si>
    <t>Special granulated electrolysis salt for swimming pools (ref. UNS-500-0002)</t>
  </si>
  <si>
    <t>Acti Expert Ph Minus 15 20L - Hazard class 8, UN Designation 2796; Packaging Group II (ref ACT58P-7169)</t>
  </si>
  <si>
    <t>Water Mirrors Equipment and Water Treatment</t>
  </si>
  <si>
    <t>Supply and installation of water treatment and recirculation equipment for water mirrors, including all PN10 PVC piping necessary for its installation and all equipment and accessories, namely:</t>
  </si>
  <si>
    <t>Supply and installation of a filtration and treatment system for water mirrors, including the equipment and accessories necessary for its proper functioning, with the finishing of the visible accessories being compatible with the coating/finish indicated in the architectural project and submitted for approval by the client/inspection of its application, namely:</t>
  </si>
  <si>
    <t>Galaxy ICF100 MonoCartridge Filter (ref. EMX-050-0070) + Superpool 0.5hp Mono IE2 Pump (ref. HAY-100-0404)</t>
  </si>
  <si>
    <t>Skimmer A500 Concrete/Liner White (ref. WEL-250-0268)</t>
  </si>
  <si>
    <t>HaywardConcrete Directable Thrust Nozzle 2-1.5'' 22mm 100 (ref. HAY-250-0130)</t>
  </si>
  <si>
    <t>Hayward bottom drain for concrete (x2) (ref. HAY-250-1797)</t>
  </si>
  <si>
    <t>Prim pH Dosing Pump with complete kit (ref. AVA-450-0230)</t>
  </si>
  <si>
    <t>Hayward level regulator (ref. HAY-250-0005)</t>
  </si>
  <si>
    <t>DOMESTIC AND RAINWATER BUILDING NETWORK</t>
  </si>
  <si>
    <t>Supply and installation of building domestic wastewater network according to the specialty project, external PVC piping U Series SN4; Series B PVC piping for indoor, outdoor (embedded in the floor) and ventilation piping; internal piping in PP-Silent from Geberit; and PN10 HDPE piping under pressure, including all materials, accessories and complementary work, as well as the insulation identified in the project.</t>
  </si>
  <si>
    <t>Supply and installation of external U Series SN4 PVC piping, including, whenever necessary, opening and covering trenches as well as all materials, accessories and complementary work.</t>
  </si>
  <si>
    <t>Supply and installation of Series B PVC piping for indoor, outdoor and ventilation piping, including Armacell Tubolit AR Fonoblok acoustic insulation and, whenever necessary, piping suspension accessories, opening and covering gaps and cores as well as all materials, accessories and complementary work.</t>
  </si>
  <si>
    <t>Supply and installation of Geberit PP-Silent interior piping including Isol Flex, Geberit type insulation, 17 mm thick and, whenever necessary, piping suspension accessories, opening and covering gaps and cores as well as all materials, accessories and complementary work.</t>
  </si>
  <si>
    <t>Supply and installation of pressure piping in HDPE PN10, including opening and covering gaps, opening and covering trenches as well as all materials, accessories and complementary work - Ø75</t>
  </si>
  <si>
    <t>Supply and execution of a branch of the building's domestic wastewater network between the home branch box and the existing manhole in the street, in accordance with the specialty project, including the home branch box in accordance with regulations, removal and reuse of the finish, cutting of existing bituminous material, opening, excavation in ground of any nature, assembly of PVC collector Series U SN4 DN 125mm including sand bed and pipe covering with sand, signaling tape, backfilling with soil material from the trench itself and repositioning the respective finish.</t>
  </si>
  <si>
    <t>Supply and installation of manholes according to the project:</t>
  </si>
  <si>
    <t>Square boxes built prefabricated in concrete, plastered on the inside with imperkote and with concrete sill and square lid in:</t>
  </si>
  <si>
    <t>Galvanized steel type GR65 Waterproof Recessed Cover 400x400 from CAPADrain, or equivalent.</t>
  </si>
  <si>
    <t>Galvanized steel type GR65 Waterproof Recessed Cover 500x500 from CAPADrain, or equivalent.</t>
  </si>
  <si>
    <t>Galvanized steel type GR65 Waterproof Recessed Cover 600x600 from CAPADrain, or equivalent.</t>
  </si>
  <si>
    <t>Round boxes built with ø1.00m concrete shackles, eccentric conical head, with concrete sill and round cast iron lid, type Round Cap Filler from CAPADrain, or equivalent.</t>
  </si>
  <si>
    <t>Round boxes built with ø1.25m concrete shackles, eccentric conical head, with concrete sill and square cast iron lid type DOURO B125 900x900 from CAPADrain (box from EEAR), or equivalent.</t>
  </si>
  <si>
    <t>Supply and installation of air intake valve D30 to D63 Flow 6.1 l/s, from Valsir, or equivalent, including all materials, accessories and complementary work.</t>
  </si>
  <si>
    <t>Supply and assembly of a wastewater pumping station (EEAR), consisting of: a set of two Unilift AP50.50.11.1V submersible centrifugal electric pumps, from Grundfos, (2x) 2" threaded ball type check valves, (2x) 2" threaded isolating valves, (4x) Ecological level switch, model MS1 with 10m of cable electrical, (1X) General cut-off switch, (1x) electric pump control and protection panel, model LC 231 2 x 1-9 DOL-CLI-S, piping according to the pump outlet diameter, as well as all materials, accessories and complementary work.</t>
  </si>
  <si>
    <t>Civil construction support work in opening and filling trenches and ditches, nailing boxes, all materials, accessories and complementary work.</t>
  </si>
  <si>
    <t>Supply and installation of building rainwater network according to the specialty project; U Series SN4 PVC outdoor piping; Series B PVC piping for indoor and outdoor piping (embedded in the floor); and piping in internal PP-Silent piping from Geberit; and PN10 HDPE piping under pressure, including all materials, accessories and complementary work, as well as the insulation identified in the project.</t>
  </si>
  <si>
    <t>Supply and installation of Series B PVC piping, for indoor and outdoor piping, including Armacell Tubolit AR Fonoblok acoustic insulation whenever necessary, piping suspension accessories, opening and covering of gaps and cores, as well as all materials, accessories and complementary work.</t>
  </si>
  <si>
    <t>Supply and installation of pressure piping in HDPE PN10 (CEAP1), including opening and covering gaps, opening and covering trenches as well as all materials, accessories and complementary work - Ø125</t>
  </si>
  <si>
    <t>Supply and installation of pressure piping in HDPE PN10 (CEAP2), including opening and covering gaps, opening and covering trenches as well as all materials, accessories and complementary work - Ø50</t>
  </si>
  <si>
    <t>Supply and installation of pressure piping in HDPE PN10 (CEAP3), including opening and covering gaps, opening and covering trenches as well as all materials, accessories and complementary work - Ø50</t>
  </si>
  <si>
    <t>Supply and installation of Series B PVC piping, for emergency discharge of the pool's compensation tank, as well as all accessories and complementary work - Ø110</t>
  </si>
  <si>
    <t>Supply and installation of Series B PVC piping for condensate sewage, including supply, installation and assembly of all necessary support and fixing accessories and complementary work - Ø32.</t>
  </si>
  <si>
    <t>Supply and installation of a geodrain with TECpipe GEO DN100 geotextile, including all the materials and accessories necessary for its assembly, including a layer of gravel and connection to the nearest rainwater drainage box, according to the project details of the respective specialty.</t>
  </si>
  <si>
    <t>Supply and execution of a branch of the building's rainwater network between the home branch box and the existing manhole in the street, in accordance with the specialist project, including the home branch box in accordance with regulations, removal and reuse of the finish, cutting of existing bituminous material, opening, excavation in ground of any nature, assembly of PVC collector Series U SN4 DN 125mm including sand bed and pipe covering with sand, signaling tape, backfilling with soil material from the trench itself and repositioning the respective finish.</t>
  </si>
  <si>
    <t>Cast iron type C250 square drain, 600x600 from CAPADrain, or equivalent. (EEAP_2 and EEAP_3 boxes)</t>
  </si>
  <si>
    <t>Round boxes built with ø1.25m concrete shackles, eccentric conical head, with concrete sill and square cast iron lid type DOURO B125 900x900 from CAPADrain, or equivalent. (EEAP_1 box)</t>
  </si>
  <si>
    <t>Supply and installation of ACO RUG type drain with DN50 horizontal outlet with ACO stainless steel grate, or equivalent, including all materials, accessories and complementary work.</t>
  </si>
  <si>
    <t>Supply and installation of a Soprema EPDM water outlet and gravel nozzle, or equivalent, including all materials, accessories and complementary work.</t>
  </si>
  <si>
    <t>Supply and installation of Gárgola da Soprema, or equivalent, including all materials, accessories and complementary work.</t>
  </si>
  <si>
    <t>Supply and execution of a drainage gutter with cast iron grate, class B125, from CapaDrain, or equivalent, in the locations indicated in the project, including all inherent work and accessories, as well as connections to the drainage boxes.</t>
  </si>
  <si>
    <t>Supply and execution of a Brickslot type drainage gutter, class B125 (GR SELF 100 L1000 B125 AISI304 BRICKSLOT L H40), from ACO, or equivalent, in the locations indicated in the project, including all inherent work and accessories, as well as connections to the drainage boxes.</t>
  </si>
  <si>
    <t>Supply and application of PVC tide valves, including all materials, accessories and complementary work.</t>
  </si>
  <si>
    <t>Supply and application of inspection box in garden areas (ZinCo, or equivalent), including all materials, accessories and complementary work.</t>
  </si>
  <si>
    <t>KS 10/30 control box</t>
  </si>
  <si>
    <t>Supply and assembly of a rainwater pumping station (EEAP1), consisting of a set of two submersible centrifugal electropumps SL1.80.80.15.4.50D, from Grundfos, (2x) Automatic coupling system with upper guide support, seal, claw and base, (2x) 3m stainless steel chain, (2x) Type check valves DN80 flanged ball, (2x) DN80 flanged isolating valves, (5x) Ecological level switch, model MS1 with 10m of electrical cable, (1x) General cut-off switch, (1x) electric pump control and protection panel, model LC 231 2 x 1-9 DOL PI, piping according to the pump outlet diameter, as well as all materials, accessories and work complementary. (CONSIDERED EBARA BRAND)</t>
  </si>
  <si>
    <t>Supply and assembly of a rainwater lifting station (EEAP2 and EEAP3), consisting of a Unilift KP150.AV.1 lifting pump, (1x) isolating valve, (1x) check valve, from Grundos, or equivalent, as well as all complementary work. (CONSIDERED EBARA BRAND)</t>
  </si>
  <si>
    <t>GAS NETWORK</t>
  </si>
  <si>
    <t>Piping</t>
  </si>
  <si>
    <t>Supply and installation of gas network according to project, including external piping and all materials and accessories necessary for installation, in PE diameter ?20, in accordance with applicable legislation.</t>
  </si>
  <si>
    <t>Supply and installation of gas network according to project and all materials and accessories necessary for installation, in Cu diameter ?15, in accordance with applicable legislation.</t>
  </si>
  <si>
    <t>Boxes</t>
  </si>
  <si>
    <t>Supply and installation of a meter (type G4), including valves, medium pressure reducer, as well as all associated complementary work.</t>
  </si>
  <si>
    <t>Supply and installation of cutting and transition boxes including PE-Cu transition, valves, grounding, and all works inherent to good execution, in accordance with applicable legislation.</t>
  </si>
  <si>
    <t>Civil construction support work in opening and filling ditches and ditches, all materials, accessories and complementary work.</t>
  </si>
  <si>
    <t>Carrying out all tests and certification whenever required, including all due diligence, materials, complementary work and accessories.</t>
  </si>
  <si>
    <t>SUPPLY AND INSTALLATION OF EQUIPMENT AND CONDITIONING SYSTEMS AND PRODUCTION OF SANITARY HOT WATER</t>
  </si>
  <si>
    <t>VRF air conditioning unit Outdoor unit, including assembly and all necessary accessories according to the specifications of the designed parts and the manufacturer's specifications. EU.01.12</t>
  </si>
  <si>
    <t>System Indoor Units (VRF) Type (medium) static pressure duct, including cable control and all necessary accessories according to the specifications of the designed parts and the manufacturer's specifications.</t>
  </si>
  <si>
    <t>Access hatches for maintenance of indoor duct units, including installation and all necessary accessories</t>
  </si>
  <si>
    <t>Trapdoor 60x60</t>
  </si>
  <si>
    <t>Derivators for the VRF system, including assembly and all necessary accessories according to specifications of designed parts and manufacturer specifications.</t>
  </si>
  <si>
    <t>Heat pump type air conditioning unit with hydraulic module for underfloor heating, air conditioning and DHW, including assembly and all necessary accessories according to the specifications of the designed parts and the manufacturer's specifications.</t>
  </si>
  <si>
    <t>Centralized touch screen control via cable, including all necessary accessories according to CTE and manufacturer specifications.</t>
  </si>
  <si>
    <t>Individual cable control, including all necessary accessories according to CTE and manufacturer specifications.</t>
  </si>
  <si>
    <t>Copper refrigeration piping, properly insulated with an Armaflex type elastomeric sleeve, including all necessary accessories according to the specifications of the designed parts and the manufacturer's specifications.</t>
  </si>
  <si>
    <t>PVC piping, for condensate sewage, including supply, installation and assembly of all accessories necessary for its perfect operation, as well as support and fixing accessories, in accordance with written parts specifications and manufacturer specifications.</t>
  </si>
  <si>
    <t>Heated water distribution piping between collector boxes of the Underfloor Heating and thermal power plant in Multilayer, properly insulated, including all necessary accessories according to the specifications of the designed parts and the manufacturer's specifications.</t>
  </si>
  <si>
    <t>Radiant Floor System, including all necessary accessories according to the specifications of the designed parts and the manufacturer's specifications. Tubing for Underfloor Heating in cross-linked polyethylene with anti-oxygen barrier, in the following diameters:</t>
  </si>
  <si>
    <t>Pav plates. Radiant esp 4cm</t>
  </si>
  <si>
    <t>Perimeter Insulation Band</t>
  </si>
  <si>
    <t>Concrete additive (10L)</t>
  </si>
  <si>
    <t>Tube fixing clips</t>
  </si>
  <si>
    <t>Anti-fouling</t>
  </si>
  <si>
    <t>Collector 5 sides pre-mount c/med caudal</t>
  </si>
  <si>
    <t>Manifold 6 sides pre-mount c/med caudal</t>
  </si>
  <si>
    <t>Collector 7 sides pre-mount c/med caudal</t>
  </si>
  <si>
    <t>Collector box 800x450x110mm</t>
  </si>
  <si>
    <t>Collector box 1000x450x110mm</t>
  </si>
  <si>
    <t>ESF ball valve MA/FE 1"x1"</t>
  </si>
  <si>
    <t>Central control unit</t>
  </si>
  <si>
    <t>Passive type ida probe</t>
  </si>
  <si>
    <t>External probe with sensor</t>
  </si>
  <si>
    <t>Room thermostat (Considered as integrated systems)</t>
  </si>
  <si>
    <t>Electric head for col. 1m 230V cable</t>
  </si>
  <si>
    <t>Distribution group with 3-way valve</t>
  </si>
  <si>
    <t>Support for distance group.</t>
  </si>
  <si>
    <t>Motor for 3-way valve (24V)</t>
  </si>
  <si>
    <t>Connection rules</t>
  </si>
  <si>
    <t>Miscellaneous hydraulic accessories</t>
  </si>
  <si>
    <t>Solar Energy System and Thermal Power Plant operation and safety</t>
  </si>
  <si>
    <t>Thermal Solar Collectors</t>
  </si>
  <si>
    <t>Aluminum structure</t>
  </si>
  <si>
    <t>800 liter storage tank with stratifier, including insulation, differential control and solar station, connection modules, ball exchanger, pressure gauges, thermometers and all necessary accessories</t>
  </si>
  <si>
    <t>200 liter buffer tank, including insulation, pressure gauges, thermometers and all necessary accessories</t>
  </si>
  <si>
    <t>Control Unit, including control module and all necessary accessories</t>
  </si>
  <si>
    <t>Solar fluid (liter) mixes 20% up to minus 8°</t>
  </si>
  <si>
    <t>Expansion vessel (solar) - VE1-50L</t>
  </si>
  <si>
    <t>Expansion vessel (support) - VE2-25L</t>
  </si>
  <si>
    <t>Expansion vessel (Aq Pisc) - VE3-25L Copper piping with accessories, thermal insulation for the entire installation and thermal and mechanical insulation for exposed areas</t>
  </si>
  <si>
    <t>WITH Ø 18</t>
  </si>
  <si>
    <t>Filling group</t>
  </si>
  <si>
    <t>Solar Circulation Pump - BCS</t>
  </si>
  <si>
    <t>DHW Circulation Pump for Return - BCR</t>
  </si>
  <si>
    <t>Pav Circulation Pump. Rad. -BCP 1</t>
  </si>
  <si>
    <t>Pav Circulation Pump. Rad. -BCP 2</t>
  </si>
  <si>
    <t>Swimming Pool Circulation Pump -BCPisc</t>
  </si>
  <si>
    <t>40kw Titanium Plate Exchanger</t>
  </si>
  <si>
    <t>Thermostatic mixing valve</t>
  </si>
  <si>
    <t>3-way valve</t>
  </si>
  <si>
    <t>Heat pump for heating an outdoor pool, including assembly and all necessary accessories, as well as hydraulic module, controllers, hydraulic accessories, anti-vibration supports according to the specifications of the designed parts and the manufacturer's specifications.</t>
  </si>
  <si>
    <t>Circular ducts, for the supply and return circuit, made of thermally insulated sheet metal, including registers, flexible connections, inspection doors, supports and all necessary accessories</t>
  </si>
  <si>
    <t>PVC ducts suitable for ventilation, for the new air and extraction circuit, in semi-rigid PVC, including registers, flexible connections, visit doors, support and all necessary accessories</t>
  </si>
  <si>
    <t>Circular ducts, for the extraction circuit, made of sheet metal without thermal insulation, including registers, flexible connections, manhole doors, support and all necessary accessories</t>
  </si>
  <si>
    <t>Rectangular ducts in pre-insulated aluminum "PIR-ALU", including support, and all necessary accessories for perfect operation, as well as visit, support and fixing accessories, in accordance with written parts specifications and manufacturer's specifications.</t>
  </si>
  <si>
    <t>Heat recovery ventilation units, including supply, installation and assembly of all accessories necessary for their perfect operation, as well as support and fixing accessories, in accordance with written parts specifications and manufacturer specifications.</t>
  </si>
  <si>
    <t>In Line Fans, including supply, installation and assembly of all accessories necessary for their perfect operation, as well as support and fixing accessories and all accessories necessary for outdoor installation, in accordance with written parts specifications and manufacturer specifications. (CONSIDERED FRANCE AIR)</t>
  </si>
  <si>
    <t>Constant flow registers, in all derivations necessary for flow balance that cannot be accessed through a trapdoor, including all necessary accessories for perfect operation, in accordance with written parts specifications and manufacturer specifications.</t>
  </si>
  <si>
    <t>Extraction Valve, including supply, installation and assembly of all accessories necessary for its perfect operation.</t>
  </si>
  <si>
    <t>Linear Insufflation and Return Diffusers and Grilles in aluminum, including supply, installation and assembly of plenum and register as well as all accessories necessary for their perfect operation, as well as fixing accessories, according to written parts specifications and manufacturer's specifications. (CONSIDERED FRANCE AIR)</t>
  </si>
  <si>
    <t>THE 600x150</t>
  </si>
  <si>
    <t>THE 1000x150</t>
  </si>
  <si>
    <t>Electrical Installations Including associated control wiring, according to CTE.</t>
  </si>
  <si>
    <t>Miscellaneous Complementary civil construction work, including opening and covering ditches and ditches, building blocks, drilling holes and painting</t>
  </si>
  <si>
    <t>Operation and maintenance manuals</t>
  </si>
  <si>
    <t>Final Drawings: copies and digital version</t>
  </si>
  <si>
    <t>Start-up and testing of all equipment and networks in the technical aspects related to their performance; Electrical - Mechanical - Thermal - Acoustic - Pressure</t>
  </si>
  <si>
    <t>ELECTRICAL NETWORK</t>
  </si>
  <si>
    <t>Supply and assembly of Input Energy and External Power, according to C.E:</t>
  </si>
  <si>
    <t>Input Panel constituted in accordance with parts drawn in the annex, including P100 with fuses in accordance with DMA EDP, Insulation Class II.</t>
  </si>
  <si>
    <t>Direct telemetering box, class II and insulation, according to written and drawn parts and C.E, according to DMA EDP</t>
  </si>
  <si>
    <t>Electrical panels, including all apparatus and equipment indicated in the diagrams, cabinets, structure, electrification, etc.</t>
  </si>
  <si>
    <t>Q.G.E. - General Entry Table</t>
  </si>
  <si>
    <t>QP1- Partial Framework Floor 1</t>
  </si>
  <si>
    <t>QP-1- Partial Floor Frame -1</t>
  </si>
  <si>
    <t>QPZT - Partial Technical Zone Framework</t>
  </si>
  <si>
    <t>QPAT 1 - Partial Framework Technical Area 1</t>
  </si>
  <si>
    <t>QPAT 2 - Partial Framework Technical Area 2</t>
  </si>
  <si>
    <t>QP Pool (Excluded)</t>
  </si>
  <si>
    <t>QP QALY (Excluded)</t>
  </si>
  <si>
    <t>QP Pumps (Excluded)</t>
  </si>
  <si>
    <t>QP Jardim (Excluded)</t>
  </si>
  <si>
    <t>POWER SUPPLY OF ELECTRICAL BOARDS</t>
  </si>
  <si>
    <t>Drivers</t>
  </si>
  <si>
    <t>Supply and installation of: P100 - Transition box || XV 4x25 mm²</t>
  </si>
  <si>
    <t>QGE - Plate 1|| XV 5G4mm²</t>
  </si>
  <si>
    <t>QP-1-Electric Vehicle 1 || XV 5G6mm²</t>
  </si>
  <si>
    <t>QP-1-Electric Vehicle 2 || XV 5G6mm²</t>
  </si>
  <si>
    <t>QPZT- Q.AVAC(Excluded) || XV 5G10mm²</t>
  </si>
  <si>
    <t>QPZT - Q.AQS(Excluded) || XV 5G4mm²</t>
  </si>
  <si>
    <t>QPZT - Q.Rega(Excluded) || XV 5G2.5mm²</t>
  </si>
  <si>
    <t>QPAT1 - Q.Pool(Excluded) || XV 5G6mm²</t>
  </si>
  <si>
    <t>Q.Pool (Excluded) - BC Piscina || XV 5G4mm² (Estimated rental)</t>
  </si>
  <si>
    <t>QPZT - Q.Pumps(Excluded) || XV 5G2.5mm²</t>
  </si>
  <si>
    <t>Q.AVAC - BC02.16(Excluded) || XV 5G4mm²</t>
  </si>
  <si>
    <t>Q.AVAC -UE.01.12(Excluded) || XV 5G4mm²</t>
  </si>
  <si>
    <t>Q.AVAC -Mod. Hydraulic (Excluded) || 15 5G4mm²</t>
  </si>
  <si>
    <t>Q.HVAC -Res Aqs Support (Excluded) || XV 5G4mm²</t>
  </si>
  <si>
    <t>Supply and installation of: Corrugated Ø125 embedded/buried</t>
  </si>
  <si>
    <t>Corrugated Ø63 embedded/buried</t>
  </si>
  <si>
    <t>Corrugated Ø50 embedded/buried</t>
  </si>
  <si>
    <t>Corrugated Ø40 embedded/buried</t>
  </si>
  <si>
    <t>Corrugated Ø32 embedded/buried</t>
  </si>
  <si>
    <t>Corrugated Ø20 embedded/buried</t>
  </si>
  <si>
    <t>VD tube Ø32</t>
  </si>
  <si>
    <t>Supply and installation of: Manholes 0.6x0.6x0.6</t>
  </si>
  <si>
    <t>Land Network</t>
  </si>
  <si>
    <t>Supply and installation of:</t>
  </si>
  <si>
    <t>Removable connector</t>
  </si>
  <si>
    <t>Cobre Now 25mm²</t>
  </si>
  <si>
    <t>250 micro copper coated steel earth electrode 2m x14.6mm</t>
  </si>
  <si>
    <t>Tube ERFE Ø25</t>
  </si>
  <si>
    <t>H07V - U1G2.5mm² tubed</t>
  </si>
  <si>
    <t>SPECIFIC FOOD</t>
  </si>
  <si>
    <t>H05VV-F 3G1.5mm² cased</t>
  </si>
  <si>
    <t>Olflex 8G1 mm² tubed</t>
  </si>
  <si>
    <t>ERFE Ø20 embedded</t>
  </si>
  <si>
    <t>ERFE Ø32 embedded</t>
  </si>
  <si>
    <t>appliqué box</t>
  </si>
  <si>
    <t>OUTLETS AND EQUIPMENT</t>
  </si>
  <si>
    <t>H05VV-F 3G2.5mm² tubed</t>
  </si>
  <si>
    <t>H07V-U - U3G2.5mm² cased</t>
  </si>
  <si>
    <t>Deep sound box</t>
  </si>
  <si>
    <t>Complete equipment and equipment and all accessories</t>
  </si>
  <si>
    <t>Single socket, Efapel logus 90 BB or equivalent (color and finish to match the architectural design)</t>
  </si>
  <si>
    <t>Duplo socket, Efapel logus 90 BB or equivalent (color and finish to match the architectural design)</t>
  </si>
  <si>
    <t>2P + T socket embedded with protective shutters, with output 1 x USB type A and 1 x USB type, Efapel logus 90 BB or equivalent (color and finish to match the architectural design)</t>
  </si>
  <si>
    <t>2P + T simple waterproof socket with cover and IP44 protection shutters, Efapel logus 90 BB or equivalent (color and finish to match the architectural design)</t>
  </si>
  <si>
    <t>2P + T Double waterproof socket with cover and IP44 protection shutters, Efapel logus 90 BB or equivalent (color and finish to match the architectural design)</t>
  </si>
  <si>
    <t>WallBox type Electric Vehicle Sockets - Black with V2C DLM (Dynamic Lad Management) system or equivalent</t>
  </si>
  <si>
    <t>Floor box, with 2 Schuko sockets with protected sockets, UDHOME 2 from OBO BETTERMAN or equivalent (color and finish to be compatible with architectural project)</t>
  </si>
  <si>
    <t>Floor box, with 1 Schuko sockets with protected sockets for outdoor use, IP66, Simon brand or equivalent (color and finish to match the architectural design)</t>
  </si>
  <si>
    <t>Double 2P + T socket embedded with protective shutters, waterproof, IP55, LEGRAND PLEXO or equivalent and (color and finish to match the architectural design)</t>
  </si>
  <si>
    <t>- H05VV-F 4x1.5mm² intubated</t>
  </si>
  <si>
    <t>- ERFE Ø20 embedded</t>
  </si>
  <si>
    <t>Embedded junction box</t>
  </si>
  <si>
    <t>NORMAL LIGHTING</t>
  </si>
  <si>
    <t>- H05VV-F 2x1.5mm² intubated</t>
  </si>
  <si>
    <t>- H05VV-F 3G1.5mm² tubed</t>
  </si>
  <si>
    <t>- XAV 3G1.5 Tubed for outdoor lighting</t>
  </si>
  <si>
    <t>- Embedded Ø20 Gray Tube</t>
  </si>
  <si>
    <t>- Protruding junction box</t>
  </si>
  <si>
    <t>- Junction box with gel</t>
  </si>
  <si>
    <t>- Applique box</t>
  </si>
  <si>
    <t>- Gewiss Junction Box (or equivalent) or C1</t>
  </si>
  <si>
    <t>Equipment</t>
  </si>
  <si>
    <t>Lighting supply and installation</t>
  </si>
  <si>
    <t>Note: Luminaire nomenclature according to lighting study provided</t>
  </si>
  <si>
    <t>-Pond Armor</t>
  </si>
  <si>
    <t>-Type ALA 12</t>
  </si>
  <si>
    <t>-CAN10 type</t>
  </si>
  <si>
    <t>-VIE 2 type</t>
  </si>
  <si>
    <t>-Type FRA 10</t>
  </si>
  <si>
    <t>- Type BUL</t>
  </si>
  <si>
    <t>-Light Point Type</t>
  </si>
  <si>
    <t>-Type ICE 80 with switch</t>
  </si>
  <si>
    <t>-Fita LED Type 04 - 22m</t>
  </si>
  <si>
    <t>-Fita LED Type 04 - 16.5m</t>
  </si>
  <si>
    <t>Type LED 05 - 5m</t>
  </si>
  <si>
    <t>Motion Detector</t>
  </si>
  <si>
    <t>Normal Switch, IP55</t>
  </si>
  <si>
    <t>Wardrobe Food Point</t>
  </si>
  <si>
    <t>Floor 0</t>
  </si>
  <si>
    <t>-PIS type</t>
  </si>
  <si>
    <t>-BEL type</t>
  </si>
  <si>
    <t>-WING 6 type</t>
  </si>
  <si>
    <t>-Type CAN 10</t>
  </si>
  <si>
    <t>-MOR 2 type</t>
  </si>
  <si>
    <t>LED type 01 - 2.3 m</t>
  </si>
  <si>
    <t>LED type 01 - 11.7 m</t>
  </si>
  <si>
    <t>LED type 01 - 1.4 m</t>
  </si>
  <si>
    <t>LED type 01 - 3.3 m</t>
  </si>
  <si>
    <t>LED type 01 - 2.4 m</t>
  </si>
  <si>
    <t>LED type 01 - 6.9 m</t>
  </si>
  <si>
    <t>LED type 03</t>
  </si>
  <si>
    <t>LED type 04 - 15.6 m</t>
  </si>
  <si>
    <t>Type LED 06 - 5.4m</t>
  </si>
  <si>
    <t>Type LED 06 - 5.3m</t>
  </si>
  <si>
    <t>Type LED 06 - 4.4m</t>
  </si>
  <si>
    <t>Type LED 06 - 4.1m</t>
  </si>
  <si>
    <t>Type LED 06 - 3.5m</t>
  </si>
  <si>
    <t>Type LED 06 - 2.8m</t>
  </si>
  <si>
    <t>Type LED 06 - 2.4m</t>
  </si>
  <si>
    <t>Type LED 06 - 3.4m</t>
  </si>
  <si>
    <t>Type LED 06 - 2.0m</t>
  </si>
  <si>
    <t>Controlled Outlet</t>
  </si>
  <si>
    <t>Floor 1</t>
  </si>
  <si>
    <t>-Light Type VIE 2</t>
  </si>
  <si>
    <t>-Type ART10</t>
  </si>
  <si>
    <t>Type LED 01 -5.8m</t>
  </si>
  <si>
    <t>Type LED 01 -6.1m</t>
  </si>
  <si>
    <t>Type LED 01 -4.8m</t>
  </si>
  <si>
    <t>Type LED 01 -7.1m</t>
  </si>
  <si>
    <t>Type LED 01 -4.5m</t>
  </si>
  <si>
    <t>Type LED 01 -17.3m</t>
  </si>
  <si>
    <t>Type LED 01 -2.1m</t>
  </si>
  <si>
    <t>Type LED 01 -4.1m</t>
  </si>
  <si>
    <t>LED type 02</t>
  </si>
  <si>
    <t>Type LED 04 -1.8m</t>
  </si>
  <si>
    <t>-Controlled socket type</t>
  </si>
  <si>
    <t>- Assembly, including all accessories, drivers and work necessary for correct installation and operation.</t>
  </si>
  <si>
    <t>- Assembly, including all accessories and work necessary for the correct installation and operation of Garden Lighting equipment</t>
  </si>
  <si>
    <t>Supply of operation and maintenance manuals.</t>
  </si>
  <si>
    <t>INTEGRATED SYSTEMS</t>
  </si>
  <si>
    <t>KNX, WIFI, AUDIOVISUAL, HOME CINEMA, CONTROL, INTRUSION AND CCTV</t>
  </si>
  <si>
    <t>Lighting and Blinds Control System</t>
  </si>
  <si>
    <t>Note: Supply and installation of home automation based on KNX protocol as per project, with full control of lighting systems and blinds</t>
  </si>
  <si>
    <t>Devices and Sensors</t>
  </si>
  <si>
    <t>ABB White or LS990 F50 Keypads - Jung brand or equivalent (color and finish to match architectural design)</t>
  </si>
  <si>
    <t>Zennio Presence Sensors - Mini Detector or equivalent (color and finish to match the architectural design)</t>
  </si>
  <si>
    <t>Legrand Brand Push Button or equivalent (color and finish to match the architectural design)</t>
  </si>
  <si>
    <t>HAVAC Controllers</t>
  </si>
  <si>
    <t>Infrastructure</t>
  </si>
  <si>
    <t>ERFE Ø25 embedded</t>
  </si>
  <si>
    <t>- Deep equipment box</t>
  </si>
  <si>
    <t>Note: Supply and installation of Wi-Fi network equipment (networking) in order to guarantee the distribution of a stable system with high speed capacity on the Internal Network via Wireless in the 2.4 and 5 GHz frequency bands, with centralized management and remote access, monitoring of the network status (clients, Bandwidth, type of traffic,...). Physical structure of the network in high quality cable</t>
  </si>
  <si>
    <t>Access Points</t>
  </si>
  <si>
    <t>Indoor Access Point for wall/ceiling fixing, with POE Data Gigabit power, dualband 2.4 and 5GHZ technology, Multi BSSID Standards 802.11a/b/g/n/ac, energy saving mode, QOS - Brand GrandStream model 7660 (or equivalent (color and finish to match the architectural design)</t>
  </si>
  <si>
    <t>Wall-mounted Outdoor Access Point, with POE Data Gigabit power, dualband 2.4 and 5GHZ technology, Multi BSSID Standards 802.11a/b/g/n/ac, energy saving mode, QOS - Brand GrandStream model 7660 LR (or equivalent (color and finish to match the architectural design)</t>
  </si>
  <si>
    <t>AP Connection Socket</t>
  </si>
  <si>
    <t>RACK - Technical Zone and Physical Support</t>
  </si>
  <si>
    <t>Smart PDU with 8 16A outputs, c13 and c19 connections, 100-240VAC, PAKEDGE (or equivalent</t>
  </si>
  <si>
    <t>Gigabit network switch, POE, with management platform, 24 POE and SFP ports for fiber connections, simplified integration into the network system, routing protocols, rear ports and with connection to the OVRC Remote Management platform, rack mounting - ARA-310-SW-R-24-POE from ARAKNIS or Equivalent</t>
  </si>
  <si>
    <t>3KVA Smart ONLINE UPS for servers/network equipment, with energy measurement, economic mode, load compensation, noise elimination and high efficiency, intelligent management and monitoring system. UPS RACK 2U ONLINE DOUBLE CONVERSION or equivalent</t>
  </si>
  <si>
    <t>Network router with VLAN support, VPN server, QOS, VoIP, reporting and analytical control system, creation of groups of LAN and 2 WLAN devices, traffic management and connection to the OVRC Remote Management platform, 10/100/1000 RJ45 network ports - ARA-310-RT-4L2W from ARAKNIS or Equivalent</t>
  </si>
  <si>
    <t>Network management and maintenance system via Cloud OVRC</t>
  </si>
  <si>
    <t>Cat6 network cable HDBaseT technology prepared for long distances, signal convergence. Mutual Capacitance &lt; 5.6nF/100m, Conductor resistance 7.32Ohm/100m at 20ºC, copper conductors 23(1)AWG, characteristic impedance 100/+-15 Ohm /1-500MHz)</t>
  </si>
  <si>
    <t>ERFE piping Ø25</t>
  </si>
  <si>
    <t>ERFE piping Ø40</t>
  </si>
  <si>
    <t>Box type C1</t>
  </si>
  <si>
    <t>Audio Visual System</t>
  </si>
  <si>
    <t>Integration System</t>
  </si>
  <si>
    <t>Cat6Exterior network cable prepared for long distances, signal convergence. Mutual Capacitance &lt; 5.6nF/100m, Conductor resistance 9.38Ohm/100m at 20ºC, copper conductors 23(1)AWG, characteristic impedance 100/+-15 Ohm /1-500MHz)</t>
  </si>
  <si>
    <t>Recessed box for intercom</t>
  </si>
  <si>
    <t>Built-in box for wall touch screen</t>
  </si>
  <si>
    <t>Box type C0</t>
  </si>
  <si>
    <t>Integration System Equipment</t>
  </si>
  <si>
    <t>Entertainment and automation/integration controller, 5 output zones, high processing, With Zigbee and Zwave technology server, customizable, HDMI 1080p output, Ethernet 10/100/1000 BaseT, 8 IR Outputs, 1 IR Capture, 4 serial interfaces (2 shared), Streaming shairbridge, music services, 4 contacts, 4 relays, eSata interface, Wireless dual Band, 4 Gigabit ports, dual audio processing, 5 concurrent streams, integration with multiple systems. Brand iHome / Control4 or equivalent (color and finish to match the architectural design)</t>
  </si>
  <si>
    <t>Intercom Built-in mounting, in brushed nickel, with HD camera and high quality audio, keyboard, motion detector, ability to send calls to Application and remote communication via voIP type call, NO/NC relay contact, active output 8-12Vdc, IP54, Infrared, C7 Alphanumeric keyboard, model DS2 Brand iHome / Control4 or equivalent (color and finish to match the architectural design)</t>
  </si>
  <si>
    <t>Wall-mounted user interface, 10" White for full use and control of systems., Brand iHome / Control4</t>
  </si>
  <si>
    <t>Interface with CoolMasterNet air conditioning system with KNX port, to be installed in the Technical Rack, iHome / Control4 brand</t>
  </si>
  <si>
    <t>Access Control</t>
  </si>
  <si>
    <t>Intrusion System</t>
  </si>
  <si>
    <t>Note: Supply and installation of security equipment, PIR motion sensors with PET system up to 25Kg, QLIT technology, infrared, microwaves for greater system efficiency throughout the home. This system includes a central unit with a secondary power system, for operation in the event of a main power failure. Integration of the alarm with the main control system, using IP allowing remote control of the alarm, such as from local touch screens, smartphones.</t>
  </si>
  <si>
    <t>Intrusion system equipment</t>
  </si>
  <si>
    <t>Alarm Integration Software</t>
  </si>
  <si>
    <t>Alarm control panel, 8 zones, expandable up to 64 wired zones, 4 PGM outputs, expandable up to 14, GUI programming, up to 8 keyboards, 8 partitions, memory recording of up to 500 events, 95 user codes, support for radio keyboards, iHome Brand, DSC NEO</t>
  </si>
  <si>
    <t>6-conductor alarm system cable type ACN6 or equivalent</t>
  </si>
  <si>
    <t>Multilingual keyboard with up to 64 zones with LCD, total message strings, partition status, emergency keys, adjustable lus, diagnostics via bus. Brand iHome / DSC NEO</t>
  </si>
  <si>
    <t>Alarm System Integration Module</t>
  </si>
  <si>
    <t>Outdoor siren</t>
  </si>
  <si>
    <t>The inner siren</t>
  </si>
  <si>
    <t>PIR motion detector with Im. PET, dual technology, QLIT, digital signal processing, alarm and tamper contact, compact, based on an ASIC system, with adjustable sensitivity. iHome / DSC Brand</t>
  </si>
  <si>
    <t>Magnetic contacts</t>
  </si>
  <si>
    <t>Smoke Detector</t>
  </si>
  <si>
    <t>Flood Detector</t>
  </si>
  <si>
    <t>Power supply for alarm control panel with 4 programmable outputs at 1A@12VDC</t>
  </si>
  <si>
    <t>Expander of 8 central alarm zones, PTC protection</t>
  </si>
  <si>
    <t>Battery 7.2 Amp; 12V 151x65x95</t>
  </si>
  <si>
    <t>Gray piping Ø20</t>
  </si>
  <si>
    <t>ERFE piping Ø32</t>
  </si>
  <si>
    <t>Box type C2</t>
  </si>
  <si>
    <t>CCTV System</t>
  </si>
  <si>
    <t>Note: Supply and installation of outdoor CCTV equipment, using network cable as the physical layer, and IP protocol at the network layer, Interconnection of all surveillance cameras to a main network recorder. Installation of the system in specific and strategic locations according to the necessary coverage and equipment specifications. Furthermore, the system allows integration for local viewing and remote viewing from any point.</t>
  </si>
  <si>
    <t>CCTV system equipment</t>
  </si>
  <si>
    <t>CCTV System Integration Software</t>
  </si>
  <si>
    <t>IP CCTV Recorder 8 channels Ultra HD (4K) camera recording that Ultra High Definition, 4K or 8 Megapixel video is four times clearer than traditional 1080p. Along with its low power consumption, Brand: iHome/Hikvision ; Model DS-7608NI-K2/8P</t>
  </si>
  <si>
    <t>Hard Drive HDD 3.5" 6TB AV</t>
  </si>
  <si>
    <t>Gigabit network switch, POE, with management platform, 16 POE and SFP ports for fiber connections, simplified integration into the network system, routing protocols, rear ports and with connection to the OVRC Remote Management platform, rack mounting of ARAKNIS 210 or Equivalent</t>
  </si>
  <si>
    <t>Metal post for fixing the camera, h=2.5m</t>
  </si>
  <si>
    <t>eRFE tubing Ø25</t>
  </si>
  <si>
    <t>TELECOMMUNICATIONS FACILITIES</t>
  </si>
  <si>
    <t>Note: Supply and execution of all work necessary for the execution of the ITED network in accordance with the instructions and specifications recommended in the written and drawn project pieces. Unit prices include the opening and filling of ditches and ditches and all supplies of materials and labor necessary for the execution of the electrical network in order to guarantee its correct functioning.</t>
  </si>
  <si>
    <t>Supply and installation of piping</t>
  </si>
  <si>
    <t>Manhole supply and installation</t>
  </si>
  <si>
    <t>Manholes 0.6x0.6x0.6</t>
  </si>
  <si>
    <t>ATI supply and assembly</t>
  </si>
  <si>
    <t>Rack 42U' 600x800 - ATI, equipped with RC-PC RC-CC and RC-FO ITED, Kits equipped with RC PC cat. 6, 1 RC CC 2400 MHz and RC FO SC/APC splitter. ATI kits supplied with plate, ground bus, 6 230V socket strip, separator, side supports, door, frame and RCs</t>
  </si>
  <si>
    <t>Supply and assembly of boxes</t>
  </si>
  <si>
    <t>Type I1 switch box</t>
  </si>
  <si>
    <t>Junction box type C1</t>
  </si>
  <si>
    <t>Supply and assembly of sockets</t>
  </si>
  <si>
    <t>Televes 2.4Mhz terminal socket, Jung Brand white finish or equivalent (color and finish to match the architectural design)</t>
  </si>
  <si>
    <t>Simple RJ45 socket, Jung Brand white finish or equivalent (color and finish to be compatible with architectural project)</t>
  </si>
  <si>
    <t>SC/APC double fiber optic socket Jung Brand white finish or equivalent (color and finish to be compatible with architectural design)</t>
  </si>
  <si>
    <t>Coaxial cable network</t>
  </si>
  <si>
    <t>Televes DAT 1495 antenna from Televes or equivalent</t>
  </si>
  <si>
    <t>DST – Overvoltage Discharger</t>
  </si>
  <si>
    <t>Cabling supply and installation</t>
  </si>
  <si>
    <t>Televes 2141 coaxial cable or equivalent – ​​CATV Network</t>
  </si>
  <si>
    <t>Cat6 UTP Cable</t>
  </si>
  <si>
    <t>Optical fiber type SC/APC DUPLEX</t>
  </si>
  <si>
    <t>Different</t>
  </si>
  <si>
    <t>Note 1: All items include supply and installation of materials, all accessories and complementary work as per the written and drawn parts of the project, namely the Specifications and the General and special Technical Conditions. The pleading presented must be confirmed through careful reading of the Written and Drawn Parts that form an integral part of the process and duly adapted whenever the conditions of the work so determine.</t>
  </si>
  <si>
    <t>Note 2: All quantities expressed refer to planned areas, which result from the horizontal projection of plans and slopes, not giving the right to errors and omissions the difference in relation to the real area.</t>
  </si>
  <si>
    <t>Note 3: This project is based on the topographic survey plan. Adjustments may occur at the time of the intervention between the topographic survey and the reality on the ground.</t>
  </si>
  <si>
    <t>Note 4: All work and materials to be used must receive prior approval from the Owner of the Work</t>
  </si>
  <si>
    <t>Note 5: In situations where the descriptive execution elements are not found to be the most appropriate for carrying out the work, the Contractor must alert the Owner to obtain the best execution solution.</t>
  </si>
  <si>
    <t>CIVIL CONSTRUCTION</t>
  </si>
  <si>
    <t>PREPARATORY WORK</t>
  </si>
  <si>
    <t>Staking and topographic implantation</t>
  </si>
  <si>
    <t>Implementation of the layout and staking using leveled and plumb girders, using stakes and passing wire.  Includes all necessary and complementary means, works, materials, even if not expressly described in this article.</t>
  </si>
  <si>
    <t>Cleaning, deforestation and pickling</t>
  </si>
  <si>
    <t>General cleaning of the land, removal of all rubbish, stumps, debris found in the intervention area, deforestation and regularization of the green areas to be planted. Includes removal of weedy vegetation, including stripping at a thickness of 0.10m, removal of rubbish and debris in the area, loading, transport and unloading of remaining products for  authorized dump for depositing the corresponding waste and all necessary work.</t>
  </si>
  <si>
    <t>EARTH MOVEMENTS</t>
  </si>
  <si>
    <t>Excavation</t>
  </si>
  <si>
    <t>Excavation of land of any nature, up to project levels, including transportation to landfill areas, with the remainder being transported to an authorized deposit, including transportation, compensation, as well as all necessary means, works, materials.</t>
  </si>
  <si>
    <t>Landfill</t>
  </si>
  <si>
    <t>Landfill in layers up to the project elevations, with selected land from excavations or borrow areas outside the intervention area, including transport, all necessary means, work, materials.</t>
  </si>
  <si>
    <t>Land loan</t>
  </si>
  <si>
    <t>Supply, loading, transportation, unloading, spreading of loan land, as well as all necessary means, work, materials.</t>
  </si>
  <si>
    <t>FLOORS, COATINGS AND CONSTRUCTED ELEMENTS</t>
  </si>
  <si>
    <t>All civil construction must be coordinated with engineering specialties, namely stability, water supply and rainwater drainage, and electrical installations.</t>
  </si>
  <si>
    <t>Flooring in grass grids</t>
  </si>
  <si>
    <t>Execution of flooring in polypropylene grass grids type 'Jardins &amp; Afins - Nidagravel 130-140', or equivalent, black color (dim.: 2.40x1.20x0.03m), after opening the box and compacting, a 20cm layer of 2/3 gravel will be applied, over which a 5cm layer of sand is spread, after which the grids will be applied alveolar, with criss-cross inserts, after which the grids are filled to a total height of 3cm, in order to guarantee a uniform spread of the plant material. The work includes transport of remaining products and respective compensation, formwork, mortar, cuts and all necessary and complementary means, works, materials, even if not expressly described in this article.</t>
  </si>
  <si>
    <t>Supply and spreading of topsoil with execution of hydroseeding of grass, 5cm thick when spread over the grates.</t>
  </si>
  <si>
    <t>Gravel</t>
  </si>
  <si>
    <t>Supply and spreading of 4/6mm white gravel (to be defined on site using samples), 10cm thick when in loose covering (patio).</t>
  </si>
  <si>
    <t>Stepped path in wooden sulipas</t>
  </si>
  <si>
    <t>Execution of stepped flooring on the ground in sawn maritime pine wood sulipas treated in a Class C4 autoclave, measuring 1.00x0.24x0.10m, and with non-slip finish of the 'Carmo ref eco-travessas' type or equivalent, fixed to the ground using 2 metal spikes/recessed crossbeam, for fixing and stabilization, after box opening, compaction and supply and execution of 100mm of medium gravel for laying. The work includes transport of surplus products and respective compensation, cuts, hardware, and all necessary and complementary means, works, materials, even if not expressly described in this article.</t>
  </si>
  <si>
    <t>wooden deck</t>
  </si>
  <si>
    <t>Supply and installation of TOSCCA heat-treated deck flooring, with planks measuring 140x28mm, or equivalent, based on a previously executed leveling screed base with a slope and a height of 0.10, including preparation of the base, support plasters, laying structure in battens, finishing and all necessary work, according to the designed parts and the supplier's conditions and instructions.</t>
  </si>
  <si>
    <t>Decommissioned concrete flooring</t>
  </si>
  <si>
    <t>Supply and execution of deactivated concrete flooring type 'SECIL Argamassas ref. Unidecor natural', or equivalent, with a thickness of 0.12m, after opening and compacting the box, spreading a layer of gravel on a 200gr/m2 geotextile blanket, including: mixing in a concrete mixer, mechanical finishing, washing and sealing, execution of sawn joints, finishing and final cleaning, and all means, works, materials, necessary and complementary, even if not expressly described in this article.</t>
  </si>
  <si>
    <t>Corten steel sheet planters</t>
  </si>
  <si>
    <t>Supply and execution of vegetable garden planters made of corten steel sheet (8mm) 0.50 m high. The work includes metalwork, welding, hardware, accessories, varnishing, waterproofing and drainage (geodrain with 50mm diam.) and other necessary materials and work</t>
  </si>
  <si>
    <t>LIGHTING - LIGHT POINTS</t>
  </si>
  <si>
    <t>consult electrical installation project</t>
  </si>
  <si>
    <t>Floor spotlights</t>
  </si>
  <si>
    <t>Supply and installation of floor spotlights type 'MINI AIR DOUBLE EMIS BLACK 2700K RECESSING BOX DRIVER 350MA IP20 15W 220.240VAC Voutmax 40V' with reference MXR2N0 / CSXT01 / AL1034 from 'Flexalighting / OHM' or equivalent according to manufacturer's specifications, including all necessary and complementary connections, means, works, materials, even if not expressly described in this article.</t>
  </si>
  <si>
    <t>Supply and installation of a floor spotlight type 'BUNGA SINGLE BLACK 2700K RECESSING BOX DRIVER 350MA IP20 15W 220.240VAC Voutmax 40V' with reference BG1N0 / CSXT01 / AL1034 from 'Flexalighting / OHM' or equivalent, in accordance with the manufacturer's specifications, including all necessary connections, means, work, materials and complementary, even if not expressly described in this article.</t>
  </si>
  <si>
    <t>Orientation projector</t>
  </si>
  <si>
    <t>Supply and installation of directional lighting projector type 'STAGE ROUND LED 3000K with stake for fixing to the ground, ref. S. 1325W24 / S. 355409' from Simes, or equivalent, in accordance with the manufacturer's specifications, including all necessary and complementary connections, means, works, materials, in addition not expressly described in this article.</t>
  </si>
  <si>
    <t>Playing field projector</t>
  </si>
  <si>
    <t>Supply and installation of a projector for lighting the court type 'MAHALO POLE 120° 3000K CRI93 IP65, Black + Driver' with the reference MHP1539X + PLC5 from 'Flexalighting', or  equivalent, in accordance with the manufacturer's specifications, including all necessary connections, means, work, materials and complementary, even if not expressly described in this article.</t>
  </si>
  <si>
    <t>Projectors 'MAHALO POLE 120° 3000K CRI93 IP65, Black + Driver' with reference MHP1539X</t>
  </si>
  <si>
    <t>'POLE' Black' post with reference PLC5</t>
  </si>
  <si>
    <t>Playing field</t>
  </si>
  <si>
    <t>Supply and placement of Mini-Basketball set consisting of: post, backboard, hoop and net. Post in 100x100x3mm tube galvanized with 100 Noir Sablé finish, embedded in the concrete mass C20/25 XC2(P); D12; S3;Cl 0.4, applied to 0.05m of cleaning concrete after opening and regularizing the bottom of the cave.  Official size table (1.80m x 1.05m) in 10mm translucent acrylic, with iron ring with a 100 Noir Sablé finish, with an internal diameter of 450mm in a 16mm&lt;Ø&lt;20mm galvanized round bar, with LED lighting included in the frame. 6.5mm white nylon mesh net, attached to the hoop at 12 points, length 40cm, all in accordance with the manufacturer's specifications,</t>
  </si>
  <si>
    <t>including all necessary and complementary fixings, connections, means, works, materials, even if not expressly described in this article.</t>
  </si>
  <si>
    <t>Supply and installation of 'URBAN Dusche' type shower tray from 'Viteo', or equivalent, in plastic material and stainless steel (.0.78m), all in accordance with the manufacturer's specifications, including all fixings, connections, means, work, necessary and complementary materials, even if not expressly described in this article. Supply and placement of goal for Bricantel 5-a-side football or equivalent ref BR 023 - 1AL, including opening a box on land of any nature to build foundation blocks and anchors, removing excess materials from a dump located outside the construction area, building foundation blocks and anchors in simple concrete, all anchors and fixings, as well as all preparatory and final finishing work. Everything is properly assembled according to the manufacturer's instructions and laid by specialized personnel.</t>
  </si>
  <si>
    <t>Supply and installation of a wooden bench, according to drawings, made of 12x12x240 wooden slats, including all preparatory and installation work final finish. Everything properly assembled according to instructions.</t>
  </si>
  <si>
    <t>PLANTATIONS AND SEEDING</t>
  </si>
  <si>
    <t>SOIL PREPARATION FOR VEGETABLE COVERING</t>
  </si>
  <si>
    <t>Mobilization</t>
  </si>
  <si>
    <t>Surface mobilization, loosening of the soil and stabilization at the contour line, at approximately 0.30m deep, establishing the minimum slopes defined for the green areas, and preparation of the natural land to receive planting compost, including all necessary means, works, materials.</t>
  </si>
  <si>
    <t>Opening of pits</t>
  </si>
  <si>
    <t>Excavation of 1.00m pits, for planting trees, including lifting, transferring and transporting the land to its final destination or placing it in landfills, all necessary means, work and materials.</t>
  </si>
  <si>
    <t>Excavation of 0.40m pits for planting shrubs, including lifting, transferring and transporting the land to its final destination or placing it in landfills, all necessary means, work and materials.</t>
  </si>
  <si>
    <t>Excavation of 0.20m pits for planting herbaceous and sub-shrub masses, including lifting, transferring and transporting the land to its final destination or placing it in landfills, all necessary means, work and materials.</t>
  </si>
  <si>
    <t>Topsoil, compost and fertilization</t>
  </si>
  <si>
    <t>Spreading of topsoil free of stones, clods and roots, including loading, transport, unloading, spreading and regularization in accordance with the elevations and slopes of the project and/or supply, including incorporation of organic matter, fertilization, all necessary means, works, materials.</t>
  </si>
  <si>
    <t>for lawn 0.10m thick</t>
  </si>
  <si>
    <t>for herbaceous and sub-shrub masses 0.20m thick</t>
  </si>
  <si>
    <t>for shrubs 0.40 m thick</t>
  </si>
  <si>
    <t>for trees, 1.00m thick</t>
  </si>
  <si>
    <t>VEGETABLE MATERIAL, STUFF AND MULCH</t>
  </si>
  <si>
    <t>Tree planting</t>
  </si>
  <si>
    <t>Supply and planting of trees, including all necessary means, works, materials.</t>
  </si>
  <si>
    <t>Cr - Citrus reticulata | PAP8/10, V20/40lts (ITEM QUOTED FOR V35LT)</t>
  </si>
  <si>
    <t>Cs - Citrus sinensis | PAP8/10, V20/40lts (ITEM QUOTED FOR V35LT)</t>
  </si>
  <si>
    <t>You - Olea europaea | PAP16/18, V60lts</t>
  </si>
  <si>
    <t>PS - Prunus domestica (plum) | PAP8/10, V20/40lts</t>
  </si>
  <si>
    <t>Cl - Cypressus leylandi | PAP18/20, V80lts</t>
  </si>
  <si>
    <t>Large to medium-sized shrub plantations</t>
  </si>
  <si>
    <t>Supply and planting of shrubs, including all necessary means, works, materials.</t>
  </si>
  <si>
    <t>Au - Arbutus unedo | high 80/100, V10lts</t>
  </si>
  <si>
    <t>Ej - Euonymus japonicus | alt 80/100, V5lts (ITEM QUOTED FOR ALT 40/60E V10LT)</t>
  </si>
  <si>
    <t>Tf - Teucrium fruticans | alt 80/100, V5lts (ITEM QUOTED FOR ALT 40/60E V10LT)</t>
  </si>
  <si>
    <t>Ro - Rosmarinus officinalis (rosemary) | alt 40/60, V5lts (ITEM BUDGED FOR V2.5LT)</t>
  </si>
  <si>
    <t>Lv - Ligustrum vulgare | alt 40/60, V5lts (ITEM BUDGED FOR V2. 5LT)</t>
  </si>
  <si>
    <t>En - Pittosphorum tobira | alt 40/60, V5lts (ITEM QUOTED FOR V3LT)</t>
  </si>
  <si>
    <t>Palm plant plantations</t>
  </si>
  <si>
    <t>Supply and planting of fleshy plants, cycads and palm trees, including all necessary means, works, materials.</t>
  </si>
  <si>
    <t>Ch - Chamaerops humilis | alt 80/100, V7.5lts</t>
  </si>
  <si>
    <t>Cr - Ciccas revoluta | alt trunk 20/30cm, V7,5lts</t>
  </si>
  <si>
    <t>Small shrub and herbaceous plantations</t>
  </si>
  <si>
    <t>Supply and planting of small shrubs and herbs, including all necessary means, work and materials.</t>
  </si>
  <si>
    <t>Gl - Gaura lindheimeri - 5un/m² | alt 30/40, V3lts (ITEM QUOTED FOR V1LT)</t>
  </si>
  <si>
    <t>Lm - Lavandula stoechas - 5un/m² | alt 30/40, V3lts (BUDGET ITEM ALT20/30 FOR V2. 5LT)</t>
  </si>
  <si>
    <t>St - Stipa tenuissima - 5un/m2 | all 20/30, V2.5lts</t>
  </si>
  <si>
    <t>Pa - Pennisetum setaceum - 5un/m² | alt 30/40, V3lts (ARTICLE BUDGED ALT20/30 FOR V1LT)</t>
  </si>
  <si>
    <t>Sc - Santolina chamaecyparissus - 5un/m² | alt 30/40, V3lts (BUDGET ITEM ALT20/30 FOR V2. 5LT)</t>
  </si>
  <si>
    <t>Lawn seeding</t>
  </si>
  <si>
    <t>Supply and sowing of lawn type 'Alipio Dias' or equivalent, including fertilization, all complementary works, according to C.T.E., at a density of 60g/m2.</t>
  </si>
  <si>
    <t>Fescue arundinacea 50% Red fescue 30% Poa trivialis 20%</t>
  </si>
  <si>
    <t>Meadow seeding</t>
  </si>
  <si>
    <t>Supply and sowing of Sementeira Prado Florido APJordão grass or equivalent, including fertilization, all complementary works, according to C.T.E., at a density of 100g/m2.</t>
  </si>
  <si>
    <t>47% Festuca rubra rubra 50% Festuca ovina duriúscula 3% Mixture of wildflowers'</t>
  </si>
  <si>
    <t>Tutors and ties</t>
  </si>
  <si>
    <t>Supply and placement of duly treated single-piece pine or eucalyptus stakes (plantations on the ground), 3.50m high and 0.10m in diameter, including protective rubber and double ties on an elastic base of the “Toltex – Elastos 45” type, or equivalent. Includes all additional materials and work.</t>
  </si>
  <si>
    <t>Pine bark</t>
  </si>
  <si>
    <t>Supply and spreading of pine bark (mulch) type 'Siro Decor', or equivalent, particle size 25-45mm (e=15cm), including transport, all necessary and complementary materials and work even if not expressly described in this article.</t>
  </si>
  <si>
    <t>STOP</t>
  </si>
  <si>
    <t>INFRASTRUCTURES</t>
  </si>
  <si>
    <t>Consult and harmonize with the specialty of water supply and electrical installations</t>
  </si>
  <si>
    <t>FOREX</t>
  </si>
  <si>
    <t>Opening and closing of trenches, measuring 0.40 x 0.50m including all works and complementary materials, all in accordance with the standards of good execution as foreseen in the project, on land</t>
  </si>
  <si>
    <t>Supply and placement of river sand on site, a layer of 0.40 x 0.20m free of stones, clods, roots and saltpeter, forming a cushion and wrapping the pipes, including compacting and regularizing the bottom for laying the pipes.</t>
  </si>
  <si>
    <t>Removal of leftover materials for proper disposal, in accordance with PPGRCD, and under the responsibility of the contractor, including loading, transport, unloading and spreading (measurement with 20% blistering).</t>
  </si>
  <si>
    <t>Tubing and negatives</t>
  </si>
  <si>
    <t>Supply and installation in a trench or across a pavement made of high-density polyethylene pipe (PEAD MRS 100, PN 10 SDR 17), including all types of connections and with the connection accessories indicated in the Specifications, both in plan and in profile, as well as all additional materials and work.</t>
  </si>
  <si>
    <t>Diameter 25mm</t>
  </si>
  <si>
    <t>Diameter 32mm</t>
  </si>
  <si>
    <t>Diameter 40mm</t>
  </si>
  <si>
    <t>Supply and installation of mechanical protection in High Density Polyethylene (HDPE) MRS 100 PN 12.5 SRD 13.6 for floor crossings, as well as all complementary materials and work.</t>
  </si>
  <si>
    <t>Diameter 180mm</t>
  </si>
  <si>
    <t>broadcasters</t>
  </si>
  <si>
    <t>Supply and underground installation of Netafim Turbonet drippers of 2.3 l/h, or equivalent, integrated every 30 cm in Netafim UniRAM 16/120 pipe or equivalent, at a depth of 10 cm, including the connections and fixing stakes recommended by Netafim or equivalent as well as all the work and complementary material.</t>
  </si>
  <si>
    <t>Supply and installation of Rain Bird MProtater or equivalent sprinkler nozzles installed in Rain Bird 3500 bodies or equivalent, including flexible connection, as well as all additional material and work.</t>
  </si>
  <si>
    <t>sprinklers and nozzles</t>
  </si>
  <si>
    <t>Supply and assembly of diam water intake valves.  3/4", in metal Sure Quick 3 WW including 3/4" hydronyl rod and 3/4" brass ball valve upstream, as well as all materials and work necessary for connection to the Rain Bird VB10RND duct and protection box, as per Terms of Reference.</t>
  </si>
  <si>
    <t>Solenoid valves</t>
  </si>
  <si>
    <t>Supply and assembly of Hunter PGV solenoid valve or equivalent including Rain Bird VBSTD protection box, according to the Specifications, as well as all materials and work necessary for connections to upstream and downstream piping.</t>
  </si>
  <si>
    <t>Supply and assembly of a 1" Rain Bird 100 DV 9V solenoid valve or equivalent including Rain Bird VBSTD protection box, according to the Specifications, as well as all the materials and work necessary for connections to the upstream and downstream piping.</t>
  </si>
  <si>
    <t>Controllers and electrical cables</t>
  </si>
  <si>
    <t>Supply and installation of electronic programmer type "ESP-ME3 4-stage programmer, modular and expandable – compatible with WIFI" or equivalent + 6-stage extension module. for ESP-Me</t>
  </si>
  <si>
    <t>Supply and installation in a trench of VAV electrical cables with a section of 1.5 mm 2, including a polyethylene warning network with the legend "Electricity", connections between sections of electrical cables and the conductive wires to the solenoids of the solenoid valves.</t>
  </si>
  <si>
    <t>Filters</t>
  </si>
  <si>
    <t>Supply and installation of a 1 1/2" Arkal 120 mesh disc filter or equivalent, according to the Specifications, as well as all additional materials and work. (ARAG 100MESH FILTER QUOTED ARTICLE)</t>
  </si>
  <si>
    <t>Valves</t>
  </si>
  <si>
    <t>Supply and installation of a 1/2" Netafim end-of-line valve or equivalent, according to the Specifications, including Rain Bird VB10RND protection box, or equivalent, as well as all complementary materials and work.</t>
  </si>
  <si>
    <t>Supply and installation of 1" ARI MiniBarak D-40 air valve or equivalent including gearbox Rain Bird VB10RND protection, or equivalent, according to the Specifications, as well as all additional materials and work.</t>
  </si>
  <si>
    <t>Supply and installation of a York-type check valve, according to the Specifications, as well as all additional materials and work.</t>
  </si>
  <si>
    <t>Hydropressor group</t>
  </si>
  <si>
    <t>Supply and installation of Gundfos Hydro Multi S 2 CR 5 -8 hydropressor group or equivalent, including pneumatic tank, control panel, suction and all equipment  recommended by the manufacturer, according to the good rules of the art and Specifications, as well as all complementary materials and work.</t>
  </si>
  <si>
    <t>Connections</t>
  </si>
  <si>
    <t>Execution of the connection to the power point according to the Specifications Charges and the good rules of the art.</t>
  </si>
  <si>
    <t>MAINTENANCE GREEN SPACES</t>
  </si>
  <si>
    <t>Supply and execution of all work relating to garden maintenance after provisional reception.</t>
  </si>
  <si>
    <t>ID</t>
  </si>
  <si>
    <t>Коментарий</t>
  </si>
  <si>
    <t>Matthew ENG</t>
  </si>
  <si>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</si>
  <si>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</si>
  <si>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t>Matthew сообщил, что, по словам архитектора, временный забор по периметру дома не требуется. Он понадобится только в зоне въезда. Ранее у нас было заложено 260 погонных метров по цене 100 евро за метр.
Мы согласовали, что при необходимости можно будет сразу строить постоянный забор вместо временного — это позволит сэкономить 26 000 евро. Если же всё-таки будет принято решение установить временный забор во фронтальной части, его стоимость составит 100 евро за погонный метр.</t>
  </si>
  <si>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</si>
  <si>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</si>
  <si>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</si>
  <si>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t xml:space="preserve">Этот пункт будет урегулироваться по факту </t>
  </si>
  <si>
    <r>
      <rPr>
        <rFont val="Arial"/>
        <color theme="1"/>
        <sz val="10.0"/>
      </rPr>
      <t>1.1.1 (</t>
    </r>
    <r>
      <rPr>
        <rFont val="Arial"/>
        <b/>
        <color theme="1"/>
        <sz val="11.0"/>
      </rPr>
      <t>1</t>
    </r>
    <r>
      <rPr>
        <rFont val="Arial"/>
        <color theme="1"/>
        <sz val="10.0"/>
      </rPr>
      <t>)</t>
    </r>
  </si>
  <si>
    <t>По желанию клиента для его удобства. Цена 12 000 Евро</t>
  </si>
  <si>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</si>
  <si>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</si>
  <si>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</si>
  <si>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</si>
  <si>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t xml:space="preserve">Аренда строительных лесов </t>
  </si>
  <si>
    <r>
      <rPr>
        <rFont val="Arial"/>
        <color theme="1"/>
        <sz val="10.0"/>
      </rPr>
      <t>1.1.1 (</t>
    </r>
    <r>
      <rPr>
        <rFont val="Arial"/>
        <b/>
        <color theme="1"/>
        <sz val="11.0"/>
      </rPr>
      <t>1</t>
    </r>
    <r>
      <rPr>
        <rFont val="Arial"/>
        <color theme="1"/>
        <sz val="10.0"/>
      </rPr>
      <t>)</t>
    </r>
  </si>
  <si>
    <t>Страховка обьекта может отличаться от 300-500 евро. Написали последнюю информацию</t>
  </si>
  <si>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</si>
  <si>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</si>
  <si>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t>Входить в стоимость самого проекта</t>
  </si>
  <si>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</si>
  <si>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</si>
  <si>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</si>
  <si>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t>КРАН</t>
  </si>
  <si>
    <t>Включено в стоимость земелных работ</t>
  </si>
  <si>
    <t>Поставка и эксплуатация башенного крана с выдвижной стрелой длиной 50 м с характеристиками, соответствующими объекту, включая радиоуправление и управление по кабелю, ковш-санки на 300 литров и поддон для 2000 кг.</t>
  </si>
  <si>
    <r>
      <rPr>
        <rFont val="Arial"/>
        <color rgb="FF000000"/>
        <sz val="10.0"/>
      </rPr>
      <t xml:space="preserve">1,1 </t>
    </r>
    <r>
      <rPr>
        <rFont val="Arial"/>
        <b/>
        <color rgb="FF000000"/>
        <sz val="11.0"/>
      </rPr>
      <t>(2)</t>
    </r>
  </si>
  <si>
    <t>ЖЕЛЕЗОБЕТОННАЯ КОНСТРУКЦИЯ</t>
  </si>
  <si>
    <t>Бетон</t>
  </si>
  <si>
    <t>Сталь/Арматура</t>
  </si>
  <si>
    <t>СИСТЕМА ГИДРОИЗОЛЯЦИИ БАССЕЙНА</t>
  </si>
  <si>
    <t>КАМЕННАЯ КЛАДКА И ОГРАЖДАЮЩИЕ КОНСТРУКЦИИ</t>
  </si>
  <si>
    <t>Перепроверить с Еленой. Стоимость кладки м2 16 евро, нужно посчитать себестоиость материалов</t>
  </si>
  <si>
    <t>ПЕРЕГОРОДКИ ИЗ ГИПСОКАРТОНА</t>
  </si>
  <si>
    <t>Зависит от окон, Если окна будут как в Одияшере то не нужно. Нужно уточнить у архитектора, этот пункт связан с конструктивом окон или нет</t>
  </si>
  <si>
    <t>Будет зеленный влагостойикй</t>
  </si>
  <si>
    <t>Мы предлагаем систему алюминеввой отделки сделать  так же саммо как пункт 8.3 используя RAL 9003. Цена уменьшается с 234 Евро за м2 до 75 Евро</t>
  </si>
  <si>
    <t>,</t>
  </si>
  <si>
    <t>Предлашаем вместо панелей использовать сосновые доски DECK. Цена за м2 уменьшается со 151 до 115 евро м2</t>
  </si>
  <si>
    <t>Я думаю что можно дешевле. Цена украдки 40 евро, цена плитки в магазине 15 евро уже с ИВА. Поэтому я ставлю цену вместо 100 евро 87Евро</t>
  </si>
  <si>
    <t xml:space="preserve">Предлагаем ламинат ТОП класса стоимостью 50 ЕВРО. </t>
  </si>
  <si>
    <t>В таком случае не нужен</t>
  </si>
  <si>
    <t>Плинтус под ламинат</t>
  </si>
  <si>
    <r>
      <rPr>
        <rFont val="Calibri"/>
        <color theme="1"/>
        <sz val="11.0"/>
      </rPr>
      <t xml:space="preserve">Поставка и монтаж главной лестницы доступа к различным этажам дома (ESC01): </t>
    </r>
    <r>
      <rPr>
        <rFont val="Calibri"/>
        <b/>
        <color rgb="FFFF0000"/>
        <sz val="11.0"/>
      </rPr>
      <t>Примечание: Конструкция лестницы уже предусмотрена в проекте устойчивости</t>
    </r>
    <r>
      <rPr>
        <rFont val="Calibri"/>
        <color theme="1"/>
        <sz val="11.0"/>
      </rPr>
      <t>, рассмотреть только лакировку конструкции RAL 9003 матовая. - Подвесная металлическая лестница с отделкой деревянными рейками, эквивалентными полу дома; крепление лестниц к боковым поверхностям, согласно детали, и центральное ограждение из натянутых стальных тросов с креплением к потолку и ступеням, также согласно детали. - Боковые ограждения из труб нержавеющей стали Ø 4,24см и опоры поручня - M8 - JNF - IN.18.133. - Состав ступеней из металлических профилей, как описано в детали, и должны быть предусмотрены структурные усиления в опорах ступеней к бетонным стенам и для верхней опоры стальных тросов, как показано в соответствующей детали. - Верх плит, облицованных стальным листом толщиной 8мм (2шт) - Размеры: Общая высота - 8780мм (В) Общие размеры - 3365x2075x6280мм (ДxШxВ) Ступени - 280x1020x60мм (ДxШxВ) Промежуточные площадки - 2070x1220x100мм (ДxШxВ)</t>
    </r>
  </si>
  <si>
    <t>Уточнить у клиента пусть он расскажет что он хочет</t>
  </si>
  <si>
    <t>Нужно задать вопрос, нужно ли ему</t>
  </si>
  <si>
    <t>Ожидаем цену от поставщиков</t>
  </si>
  <si>
    <r>
      <rPr>
        <rFont val="Calibri"/>
        <color theme="1"/>
        <sz val="11.0"/>
      </rPr>
      <t xml:space="preserve">Поставка и монтаж конструкции кровати и спинки с 2 изголовьями из мдф и 2 ящиками, включает освещение изголовья (спальня 1 + спальня 2), состоящая из: НАРУЖНАЯ ЧАСТЬ: Фасады, Боковые панели и крышки из МДФ Влагостойкого, меламин дуб. ВНУТРЕННЯЯ ЧАСТЬ: Ящик из МДФ толщ. 19мм, Меламин дуб. ЦОКОЛЬ: Из МДФ Влагостойкого толщ. 19мм, меламин дуб. КОНСТРУКЦИЯ КРОВАТИ: бруски сосны 5x5см с регулируемыми резиновыми ножками. РУЧКА: Тик-Так. НАПРАВЛЯЮЩИЕ: С амортизацией, "BLUM / MOVENTO - BLUMOTION". ОСВЕЩЕНИЕ: Светильник изголовья IP20 3000K 3Вт, отделка белая, модель "ICELAND" марки HOFFLIGHTS. </t>
    </r>
    <r>
      <rPr>
        <rFont val="Calibri"/>
        <b/>
        <color rgb="FFFF0000"/>
        <sz val="11.0"/>
      </rPr>
      <t>Não incluído , especialidade de eletrecista</t>
    </r>
  </si>
  <si>
    <r>
      <rPr>
        <rFont val="Calibri"/>
        <color theme="1"/>
        <sz val="11.0"/>
      </rPr>
      <t xml:space="preserve">Поставка и монтаж шкафа состоящего из 4 фасадов и включающего 8 ящиков, 2 крышки и 6 полок внутри, состоящий из: НАРУЖНАЯ ЧАСТЬ: Двери, торцевые панели завершения верха шкафа, из МДФ толщ. 19 мм, Лакированного в цвет RAL 9003. ВНУТРЕННЯЯ ЧАСТЬ: Ящики из МДФ толщ. 19мм, Меламин дуб. Корпуса, Фасады ящиков и Полки из МДФ толщ. 19мм, Меламин дуб. СТОЛЕШНИЦА: из МДФ толщ. 19мм, Меламин дуб ЦОКОЛЬ: из МДФ толщ. 19мм, лакированный в RAL такой же как двери. = Родатекто РУЧКА: Тик-Так ОПОРЫ ПОЛОК: тип 'hafele' арт. 282.04.711 от polifer ПЕТЛИ: "BLUM / CLIP" с амортизатором НАПРАВЛЯЮЩИЕ: С амортизацией, "BLUM / MOVENTO - BLUMOTION" ОСВЕЩЕНИЕ: Светильник изголовья IP20 3000K 3Вт, отделка белая, модель "ICELAND" марки HOFFLIGHTS.  </t>
    </r>
    <r>
      <rPr>
        <rFont val="Calibri"/>
        <color rgb="FFFF0000"/>
        <sz val="11.0"/>
      </rPr>
      <t>Não incluído , especialidade de 
eletrecista</t>
    </r>
  </si>
  <si>
    <r>
      <rPr>
        <rFont val="Calibri"/>
        <color theme="1"/>
        <sz val="11.0"/>
      </rPr>
      <t xml:space="preserve">Поставка и монтаж шкафа состоящего из 4 фасадов и трех наружных вертикальных рядов из 18 полок. включает 2 больших ящика, 2 штанги и 2 полки внутри, состоящий из: НАРУЖНАЯ ЧАСТЬ: Двери, торцевые панели завершения верха шкафа и наружные полки из МДФ толщ. 19 мм, Лакированного в цвет RAL 9003. ВНУТРЕННЯЯ ЧАСТЬ: Ящики из МДФ толщ. 19мм, Меламин дуб. Корпуса и Фасады ящиков, Полки и Крышки из МДФ толщ. 19мм, Меламин дуб ЦОКОЛЬ: из МДФ Влагостойкого толщ. 19мм, лакированного в RAL такой же как двери. = Родатекто РУЧКА: Тик-Так ОПОРЫ ПОЛОК: тип 'hafele' арт. 282.04.711 от polifer ПЕТЛИ: "BLUM / CLIP" с амортизатором НАПРАВЛЯЮЩИЕ: С амортизацией, "BLUM / MOVENTO - BLUMOTION" ОСВЕЩЕНИЕ: Светильник изголовья IP20 3000K 3Вт, отделка белая, модель "ICELAND" марки HOFFLIGHTS. </t>
    </r>
    <r>
      <rPr>
        <rFont val="Calibri"/>
        <color rgb="FFFF0000"/>
        <sz val="11.0"/>
      </rPr>
      <t>Não incluído , especialidade de eletrecista</t>
    </r>
  </si>
  <si>
    <r>
      <rPr>
        <rFont val="Calibri"/>
        <color theme="1"/>
        <sz val="11.0"/>
      </rPr>
      <t xml:space="preserve">Поставка и монтаж: ARM 01.09 - Шкаф состоящий из 4 фасадов и двух наружных вертикальных рядов из 12 полок. включает 2 больших ящика, 2 штанги и 2 полки внутри ARM 01.10 - Шкаф состоящий из 4 фасадов и двух наружных вертикальных рядов из 12 полок. включает 2 больших ящика, 2 штанги и 2 полки внутри НАРУЖНАЯ ЧАСТЬ: Двери, торцевые панели завершения верха шкафа и наружные полки из МДФ толщ. 19 мм, Лакированного в цвет RAL 9003. ВНУТРЕННЯЯ ЧАСТЬ: Ящики из МДФ толщ. 19мм, меламин дуб. Корпуса, Фасады Ящиков, Полки и Крышки из МДФ толщ. 19 мм, меламин дуб. ЦОКОЛЬ: из МДФ Влагостойкого толщ. 19мм, лакированного в RAL такой же как двери. =Родатекто РУЧКА: Тик-Так ОПОРЫ ПОЛОК: тип 'hafele' арт. 282.04.711 от polifer ПЕТЛИ: "BLUM / CLIP" с амортизатором НАПРАВЛЯЮЩИЕ: С амортизацией, "BLUM / MOVENTO - BLUMOTION" ОСВЕЩЕНИЕ: Светильник изголовья IP20 3000K 3Вт, отделка белая, модель "ICELAND" марки HOFFLIGHTS. </t>
    </r>
    <r>
      <rPr>
        <rFont val="Calibri"/>
        <color rgb="FFFF0000"/>
        <sz val="11.0"/>
      </rPr>
      <t>Não incluído , especialidade de eletrecista</t>
    </r>
  </si>
  <si>
    <r>
      <rPr>
        <rFont val="Calibri"/>
        <color theme="1"/>
        <sz val="11.0"/>
      </rPr>
      <t xml:space="preserve">Поставка и монтаж шкафа состоящего из 3 фасадов и одного наружного вертикального ряда с 6 полками. включает 4 ящика, 1 крышку и 9 полок (главная спальня гардеробная): НАРУЖНАЯ ЧАСТЬ: Двери, торцевые панели завершения верха шкафа и наружные полки из МДФ Влагостойкого толщ. 19 мм, Лакированного в цвет RAL 9003. ВНУТРЕННЯЯ ЧАСТЬ: Ящики из МДФ толщ. 19мм, Меламин дуб. Корпуса, Фасады Ящиков, Полки и Крышки из МДФ толщ. 19 мм, меламин дуб. ЦОКОЛЬ: из МДФ Влагостойкого толщ. 19мм, лакированного в RAL такой же как двери. =Родатекто РУЧКА: Тик-Так ОПОРЫ ПОЛОК: тип 'hafele' арт. 282.04.711 от polifer ПЕТЛИ: "BLUM / CLIP" с амортизатором НАПРАВЛЯЮЩИЕ: С амортизацией, "BLUM / MOVENTO - BLUMOTION" ОСВЕЩЕНИЕ: Светильник изголовья IP20 3000K 3Вт, отделка белая, модель "ICELAND" марки HOFFLIGHTS. </t>
    </r>
    <r>
      <rPr>
        <rFont val="Calibri"/>
        <color rgb="FFFF0000"/>
        <sz val="11.0"/>
      </rPr>
      <t>Não incluído , especialidade de eletrecista</t>
    </r>
  </si>
  <si>
    <r>
      <rPr>
        <rFont val="Calibri"/>
        <color theme="1"/>
        <sz val="11.0"/>
      </rPr>
      <t xml:space="preserve">Поставка и монтаж конструкции кровати и спинки с 2 изголовьями из мдф и 12 полками и 2 ящиками, включает освещение изголовья (главная спальня), состоящая из: НАРУЖНАЯ ЧАСТЬ: Фасады, Боковые панели, Крышки и Полки из МДФ Влагостойкого Меламин дуб ВНУТРЕННЯЯ ЧАСТЬ: Ящик из МДФ толщ. 19мм, Меламин дуб ЦОКОЛЬ: из МДФ Влагостойкого толщ. 19мм, Меламин дуб КОНСТРУКЦИЯ КРОВАТИ: бруски сосны 5x5см и регулируемые резиновые ножки РУЧКА: Тик-Так НАПРАВЛЯЮЩИЕ: С амортизацией, "BLUM / MOVENTO - BLUMOTION" ОПОРЫ ПОЛОК: тип 'hafele' арт. 282.04.711 от polifer ОСВЕЩЕНИЕ: Светильник изголовья IP20 3000K 3Вт, отделка белая, модель "ICELAND" марки HOFFLIGHTS. </t>
    </r>
    <r>
      <rPr>
        <rFont val="Calibri"/>
        <color rgb="FFFF0000"/>
        <sz val="11.0"/>
      </rPr>
      <t>Não incluído , especialidade de eletrecista</t>
    </r>
  </si>
  <si>
    <r>
      <rPr>
        <rFont val="Calibri"/>
        <color theme="1"/>
        <sz val="11.0"/>
      </rPr>
      <t xml:space="preserve">Поставка и монтаж комплекта шкафов гардеробных Спальня 1 и Спальня 2, состоящего из 10 ящиков, 4 крышек, 8 полок, 1 штанги и 2 торцевых боковых панелей: НАРУЖНАЯ ЧАСТЬ: Торцевые панели завершения верха шкафа, из МДФ толщ. 19 мм, Меламин дуб. ВНУТРЕННЯЯ ЧАСТЬ: Корпуса, Ящики и Полки из МДФ толщ. 19мм, из МДФ толщ. 19мм, Меламин дуб ЦОКОЛЬ: из МДФ толщ. 19мм, Меламин дуб СТОЛЕШНИЦА: из МДФ толщ. 19мм, Меламин дуб РУЧКА: Тик-Так ОПОРЫ ПОЛОК: тип 'hafele' арт. 282.04.711 от polifer НАПРАВЛЯЮЩИЕ: С амортизацией, "BLUM / MOVENTO - BLUMOTION" ОСВЕЩЕНИЕ: Светильник изголовья IP20 3000K 3Вт, отделка белая, модель "ICELAND" марки HOFFLIGHTS. </t>
    </r>
    <r>
      <rPr>
        <rFont val="Calibri"/>
        <color rgb="FFFF0000"/>
        <sz val="11.0"/>
      </rPr>
      <t>Não incluído , especialidade de eletrecista</t>
    </r>
  </si>
  <si>
    <t>Это все премиальная мебель. Можно заказать средний сегмент не в ущерб качеству, уменьшит цену на 30%</t>
  </si>
  <si>
    <t>Заказа просчет</t>
  </si>
  <si>
    <t xml:space="preserve">ВНУТРЕННЯЯ СЕТЬ ВОДОСНАБЖЕНИЯ, БАССЕЙН </t>
  </si>
  <si>
    <t>СИСТЕМА ФИЛЬТРАЦИИ И РЕЦИРКУЛЯЦИИ ВОДЫ БАССЕЙНА И КОМПЕНСАЦИОННОГО БАКА</t>
  </si>
  <si>
    <r>
      <rPr>
        <rFont val="Calibri"/>
        <b/>
        <color rgb="FFFF9900"/>
        <sz val="11.0"/>
      </rPr>
      <t>Опционально</t>
    </r>
    <r>
      <rPr>
        <rFont val="Calibri"/>
        <color theme="1"/>
        <sz val="11.0"/>
      </rPr>
      <t xml:space="preserve"> - Моно картриджный фильтр Clean&amp;Clear 18 M3/H (ref. PAC-050-0352) + Насос Superflo VSD (ref. PAC-100-0050)</t>
    </r>
  </si>
  <si>
    <t>СИСТЕМА ФИЛЬТРАЦИИ И РЕЦИРКУЛЯЦИИ ВОДЫ ВОДНЫХ ЗЕРКАЛ</t>
  </si>
  <si>
    <t>Поставка и монтаж газовой сети согласно проекту, включая наружные трубопроводы и все материалы и аксессуары, необходимые для установки, из ПЭ диаметром 20, согласно применимому законодательству.</t>
  </si>
  <si>
    <t>Поставка и монтаж газовой сети согласно проекту и все материалы и аксессуары, необходимые для установки, из Cu диаметром 15, согласно применимому законодательству.</t>
  </si>
  <si>
    <t>КОНДИЦИОНИРОВАНИЕ</t>
  </si>
  <si>
    <t>Предлагаем сделать Две сплит системы на каждый этаж с кондиционерами стоимость около 1000-1500 штука. И тогда весь этап бдует стоит не 50000 а тысяч 25000.
Или система вентиляция+Кондиционирование . Цена за две системы вышла около 65000. Выйдет на 40000 дешевле цем у вас сейчас</t>
  </si>
  <si>
    <t>ОТОПЛЕНИЕ/ТЕПЛЫЙ ПОЛ</t>
  </si>
  <si>
    <t>Так как у вас везде будет дерево, то мы предлагаем сделать теплый пол только в ванных комнатах и спальнях. А кухня гостинные подвалы без теплого пола и тогда цнеа с 68000 будет стоить исходя из нашего опыта около 25000.
Или электрический ковер под плитку будет стоить  до 25000 евро</t>
  </si>
  <si>
    <t>16.12.21</t>
  </si>
  <si>
    <t>ВЕНТИЛЯЦИЯ</t>
  </si>
  <si>
    <t>м</t>
  </si>
  <si>
    <t>16.12.22</t>
  </si>
  <si>
    <t>16.12.23</t>
  </si>
  <si>
    <t>16.12.24</t>
  </si>
  <si>
    <t>м2</t>
  </si>
  <si>
    <t>шт</t>
  </si>
  <si>
    <t>У нас это включено в работу</t>
  </si>
  <si>
    <t>ЭЛЕКТРИЧЕСКАЯ ИНФРАСТРУКТУРА</t>
  </si>
  <si>
    <t>Проводники Поставка и монтаж:</t>
  </si>
  <si>
    <t>P100 - Переходная коробка</t>
  </si>
  <si>
    <t>Гофрированная Ø125 заделанная/заглубленная</t>
  </si>
  <si>
    <t>H07V-R 1G25мм²</t>
  </si>
  <si>
    <t>Труба ERFE Ø20</t>
  </si>
  <si>
    <t>СПЕЦИАЛЬНЫЕ ПИТАНИЯ. Проводники. Поставка и монтаж:</t>
  </si>
  <si>
    <t>Проводники. Поставка и монтаж:</t>
  </si>
  <si>
    <t>Трубопроводы. Поставка и монтаж:</t>
  </si>
  <si>
    <t>Коробки. Поставка и монтаж:</t>
  </si>
  <si>
    <t>Полная аппаратура и оборудование и все аксессуары. Поставка и монтаж:</t>
  </si>
  <si>
    <t>ОСВЕЩЕНИЕ</t>
  </si>
  <si>
    <t>Аппаратура. Поставка и монтаж освещения</t>
  </si>
  <si>
    <t>Согласовать нужны ли ему леды, экономия около 35000 Евро</t>
  </si>
  <si>
    <t xml:space="preserve"> ЗАВЕРШАЮЩИЕ РАБОТЫ</t>
  </si>
  <si>
    <t>ИНТЕГРИРОВАННЫЕ СИСТЕМЫ (УМНЫЙ ДОМ / АВТОМАТИЗАЦИЯ)</t>
  </si>
  <si>
    <t>Инфраструктура. Проводники. Поставка и монтаж:</t>
  </si>
  <si>
    <t>КоробкиC0</t>
  </si>
  <si>
    <t>Сеть Wi-Fi</t>
  </si>
  <si>
    <t>ТЕЛЕКОММУНИКАЦИОННЫЕ УСТАНОВКИ ITED</t>
  </si>
  <si>
    <t xml:space="preserve"> ITED</t>
  </si>
  <si>
    <t>ЛАНДШАФТ И БЛАГОУСТРОЙСТВА</t>
  </si>
  <si>
    <t>Спросить нужно или нет</t>
  </si>
  <si>
    <t>ПОСАДКИ И ПОСЕВЫ (ИСКЛЮЧЕН)</t>
  </si>
  <si>
    <t>ПОДГОТОВКА ПОЧВЫ ДЛЯ РАСТИТЕЛЬНОГО ПОКРЫТИЯ ( ИСКЛЮЧЕН)</t>
  </si>
  <si>
    <t>РАСТИТЕЛЬНЫЙ МАТЕРИАЛ, ОПОРЫ И МУЛЬЧА (ИСКЛЮЧЕН)</t>
  </si>
  <si>
    <t>Посадка деревьев. Поставка и посадка деревьев, включая все средства, работы, необходимые материалы.</t>
  </si>
  <si>
    <t>ПОЛИВ (ИСКЛЮЧЕН)</t>
  </si>
  <si>
    <t>Разбрызгиватели и форсунки</t>
  </si>
  <si>
    <t>Клапан типа York</t>
  </si>
  <si>
    <t>ОБСЛУЖИВАНИЕ ЗЕЛЕНЫХ ЗОН (ИСКЛЮЧЕН)</t>
  </si>
  <si>
    <t>m.l.</t>
  </si>
  <si>
    <t>ВЬЕЗД</t>
  </si>
  <si>
    <t>ОБОРУДОВАНИЕ И СПЕЦИАЛЬНЫЕ ЭЛЕМЕНТЫ</t>
  </si>
  <si>
    <r>
      <rPr>
        <rFont val="Arial"/>
        <color theme="1"/>
        <sz val="10.0"/>
      </rPr>
      <t xml:space="preserve">Поставка и монтаж моторизованных внутренних штор "Направляющая для штор "REPRESTOR" Cortin ER 50 + Ткань Voile Visillo 300 см - кремовая = РАЗ 01.10x02.88 (ШxВ)", включая аксессуары системы, крепления и все подготовительные работы и аксессуары, необходимые для идеального функционирования. </t>
    </r>
    <r>
      <rPr>
        <rFont val="Arial"/>
        <b/>
        <color rgb="FFFF0000"/>
        <sz val="10.0"/>
      </rPr>
      <t>(БЫЛИ ИСКЛЮЧЕНЫ САМИ ШТОРЫ У ДРУГОЙ ФИРМЫ)</t>
    </r>
  </si>
  <si>
    <t>Передал на просчет</t>
  </si>
  <si>
    <t>Очаг (зона костра / fire pit)</t>
  </si>
  <si>
    <t xml:space="preserve">Внутренняя сеть бытовых сточных вод </t>
  </si>
  <si>
    <t>27.1.1</t>
  </si>
  <si>
    <t>27.1.1.1</t>
  </si>
  <si>
    <t>27.1.2</t>
  </si>
  <si>
    <t>27.1.2.1</t>
  </si>
  <si>
    <t>27.1.2.2</t>
  </si>
  <si>
    <t>27.1.2.3</t>
  </si>
  <si>
    <t>27.1.2.4</t>
  </si>
  <si>
    <t>27.1.3</t>
  </si>
  <si>
    <t>27.1.3.1</t>
  </si>
  <si>
    <t>27.1.3.2</t>
  </si>
  <si>
    <t>27.1.4</t>
  </si>
  <si>
    <t>27.3.1</t>
  </si>
  <si>
    <t>27.3.1.1</t>
  </si>
  <si>
    <t>27.3.1.2</t>
  </si>
  <si>
    <t>27.3.1.3</t>
  </si>
  <si>
    <t>27.3.2</t>
  </si>
  <si>
    <t>27.3.3</t>
  </si>
  <si>
    <t xml:space="preserve">Внутренняя сеть дождевых сточных вод </t>
  </si>
  <si>
    <t>Под полив используется</t>
  </si>
  <si>
    <t>27.8.1</t>
  </si>
  <si>
    <t>27.8.1.1</t>
  </si>
  <si>
    <t>27.8.1.2</t>
  </si>
  <si>
    <t>27.8.2</t>
  </si>
  <si>
    <t>27.8.2.1</t>
  </si>
  <si>
    <t>27.8.2.2</t>
  </si>
  <si>
    <t>27.8.2.3</t>
  </si>
  <si>
    <t>27.8.2.4</t>
  </si>
  <si>
    <t>27.8.3</t>
  </si>
  <si>
    <t>27.8.3.1</t>
  </si>
  <si>
    <t>27.8.3.2</t>
  </si>
  <si>
    <t>27.8.4</t>
  </si>
  <si>
    <t>27.8.5</t>
  </si>
  <si>
    <t>27.8.6</t>
  </si>
  <si>
    <t>27.8.7</t>
  </si>
  <si>
    <t>27.8.8</t>
  </si>
  <si>
    <t>27.11.1</t>
  </si>
  <si>
    <t>27.11.1.1</t>
  </si>
  <si>
    <t>27.11.1.2</t>
  </si>
  <si>
    <t>27.11.1.3</t>
  </si>
  <si>
    <t>27.11.1.4</t>
  </si>
  <si>
    <t>27.11.2</t>
  </si>
  <si>
    <t>27.11.3</t>
  </si>
  <si>
    <t>100 Евро установка 
100 Евро материалы</t>
  </si>
  <si>
    <t>27.17.1</t>
  </si>
  <si>
    <t>Клапани з ПВХ Ø90</t>
  </si>
  <si>
    <t>27.17.2</t>
  </si>
  <si>
    <t>Клапани з ПВХ Ø110</t>
  </si>
  <si>
    <t>27.18.1</t>
  </si>
  <si>
    <t xml:space="preserve">Можно сказать что мы говорили с компанией которая разрабатывает проекты сада и Дизайна. Он согласился сделать проект сделать зум квалификацию. Если хочет собирать дождевую воду для полива или нет. Есть человек который разрабатывал сад на одияшер. </t>
  </si>
  <si>
    <t>Матеріали</t>
  </si>
  <si>
    <t>Од. виміру</t>
  </si>
  <si>
    <t>Кількість</t>
  </si>
  <si>
    <t>Ціна за Шт</t>
  </si>
  <si>
    <t xml:space="preserve">РАЗОМ </t>
  </si>
  <si>
    <t>Наша Скидка Работа</t>
  </si>
  <si>
    <t>Наша Скидка Материалы</t>
  </si>
  <si>
    <t>Цена без скидки</t>
  </si>
  <si>
    <t>Скидка Магазина или подрядчика</t>
  </si>
  <si>
    <t>Цена нам штука со скидкой</t>
  </si>
  <si>
    <t xml:space="preserve">Итого себестоимость </t>
  </si>
  <si>
    <t xml:space="preserve">Заработок </t>
  </si>
  <si>
    <t>Наценка</t>
  </si>
  <si>
    <t>Маржа</t>
  </si>
  <si>
    <t>Поставщик</t>
  </si>
  <si>
    <t>Комментарий</t>
  </si>
  <si>
    <t>МАТЕРИАЛ И РАБОТА РАЗБИВКА</t>
  </si>
  <si>
    <t>МАТЕРІАЛИ І РОБОТИ</t>
  </si>
  <si>
    <t>МАТЕРИАЛ</t>
  </si>
  <si>
    <t>РАБОТА</t>
  </si>
  <si>
    <t>Залізобетонні конструкції</t>
  </si>
  <si>
    <t>M-CON-001</t>
  </si>
  <si>
    <t>Бетон C12/15 XC0(P) Cl1.00 Dmáx 22 мм S4</t>
  </si>
  <si>
    <t>м3</t>
  </si>
  <si>
    <t>Secil betão</t>
  </si>
  <si>
    <t>Цена из прошлых смет</t>
  </si>
  <si>
    <t>M-CON-002</t>
  </si>
  <si>
    <t>Бетон C16/20 X0(P) Cl0.40 Dmáx 15mm S2</t>
  </si>
  <si>
    <t>M-CON-004</t>
  </si>
  <si>
    <t>Бетон C30/37 XC2(P) Cl0.40 Dmáx 22мм S4</t>
  </si>
  <si>
    <t>M-CON-005</t>
  </si>
  <si>
    <t>Бетон C40/50 XS1(P) Cl0.20 Dmáx 16мм S4</t>
  </si>
  <si>
    <t>M-CON-006</t>
  </si>
  <si>
    <t>Бетон циклопічний C20/25 XC2 Cl0.40 S3</t>
  </si>
  <si>
    <t>M-CON-007</t>
  </si>
  <si>
    <t>Бетон декоративний SECIL Argamassas Unidecor natural</t>
  </si>
  <si>
    <t>Ссылка</t>
  </si>
  <si>
    <t>M-CON-008</t>
  </si>
  <si>
    <t>Поліпропіленовий шнур для швів</t>
  </si>
  <si>
    <t>Recom</t>
  </si>
  <si>
    <t>M-CON-012</t>
  </si>
  <si>
    <t>Арматура диаметром 12 мм A500NR SD</t>
  </si>
  <si>
    <t>кг</t>
  </si>
  <si>
    <t>Metalofarense</t>
  </si>
  <si>
    <t>M-CON-013</t>
  </si>
  <si>
    <t>Арматура диаметром 10 мм A500NR SD</t>
  </si>
  <si>
    <t>M-CON-015</t>
  </si>
  <si>
    <t>Арматура диаметром 16 мм A500NR SD</t>
  </si>
  <si>
    <t>M-CON-014</t>
  </si>
  <si>
    <t>Арматура диаметром 8 мм A500NR SD</t>
  </si>
  <si>
    <t>M-CON-020</t>
  </si>
  <si>
    <t>Вязальная проволока</t>
  </si>
  <si>
    <t>M-CON-022</t>
  </si>
  <si>
    <t>Круги отрезные по металлу диаметром 230мм</t>
  </si>
  <si>
    <t>тут</t>
  </si>
  <si>
    <t>M-CON-023</t>
  </si>
  <si>
    <t>Круги отрезные по дереву диаметром 180мм</t>
  </si>
  <si>
    <t>M-CON-030</t>
  </si>
  <si>
    <t>Деревянные щиты опалубки</t>
  </si>
  <si>
    <t>M-CON-031</t>
  </si>
  <si>
    <t>Метизи</t>
  </si>
  <si>
    <t>M-CON-035</t>
  </si>
  <si>
    <t>Канати попереднього напруження</t>
  </si>
  <si>
    <t>найдена только цена на алиэкспрессе</t>
  </si>
  <si>
    <t>M-CON-036</t>
  </si>
  <si>
    <t>Активні анкери</t>
  </si>
  <si>
    <t xml:space="preserve">Jorge Material de Construção	</t>
  </si>
  <si>
    <t>M-CON-037</t>
  </si>
  <si>
    <t>Пасивні анкери</t>
  </si>
  <si>
    <t>Brico Depôt Faro</t>
  </si>
  <si>
    <t>M-CON-038</t>
  </si>
  <si>
    <t>Система Cobiax для залізобетонних перекриттів</t>
  </si>
  <si>
    <t>Невозможно найти + возможно неправильно указана ед. измерения</t>
  </si>
  <si>
    <t>M-CON-039</t>
  </si>
  <si>
    <t>Бентонітовий шнур Waterstop</t>
  </si>
  <si>
    <t>M-CON-040</t>
  </si>
  <si>
    <t>Матеріали для влаштування деформаційного шва</t>
  </si>
  <si>
    <t>bricobutikk</t>
  </si>
  <si>
    <t>M-CON-041</t>
  </si>
  <si>
    <t>Залізобетонні опори під плити</t>
  </si>
  <si>
    <t>geradordeprecos</t>
  </si>
  <si>
    <t>M-CON-050</t>
  </si>
  <si>
    <t>Металоконструкції колон</t>
  </si>
  <si>
    <t>M-CON-051</t>
  </si>
  <si>
    <t>Металоконструкції балок</t>
  </si>
  <si>
    <t>majodir</t>
  </si>
  <si>
    <t>M-CON-052</t>
  </si>
  <si>
    <t>Профіль металевий</t>
  </si>
  <si>
    <t>masterferro</t>
  </si>
  <si>
    <t>Цегляна кладка</t>
  </si>
  <si>
    <t>M-BRK-001</t>
  </si>
  <si>
    <t>Кирпич размером 30х20х25см</t>
  </si>
  <si>
    <t>M-BRK-002</t>
  </si>
  <si>
    <t>Кирпич размером 30х20х15см</t>
  </si>
  <si>
    <t>M-BRK-003</t>
  </si>
  <si>
    <t>Кирпич размером 30х20х11см</t>
  </si>
  <si>
    <t>M-BRK-008</t>
  </si>
  <si>
    <t>Кирпич размером 30х20х7см</t>
  </si>
  <si>
    <t>Abel de Oliveira Carrasquinho</t>
  </si>
  <si>
    <t>M-BRK-009</t>
  </si>
  <si>
    <t>Блоки бетонні розміром 50x20x25см</t>
  </si>
  <si>
    <t>База</t>
  </si>
  <si>
    <t>M-BRK-004</t>
  </si>
  <si>
    <t>Блоки бетонні розміром 50x20x20см</t>
  </si>
  <si>
    <t>M-BRK-005</t>
  </si>
  <si>
    <t>Блоки бетонні розміром 50x20x15см</t>
  </si>
  <si>
    <t>M-BRK-025</t>
  </si>
  <si>
    <t>Цемент</t>
  </si>
  <si>
    <t>т</t>
  </si>
  <si>
    <t>M-BRK-026</t>
  </si>
  <si>
    <t>Песок</t>
  </si>
  <si>
    <t>База Данных</t>
  </si>
  <si>
    <t>Покрівля</t>
  </si>
  <si>
    <t>M-ROF-004</t>
  </si>
  <si>
    <t>Руберойд POLYPLAS 30</t>
  </si>
  <si>
    <t>Leroy Marlin</t>
  </si>
  <si>
    <t>M-ROF-008</t>
  </si>
  <si>
    <t>Руберойд POLYXIS R40</t>
  </si>
  <si>
    <t>Tyt</t>
  </si>
  <si>
    <t>M-ROF-015</t>
  </si>
  <si>
    <t>Гідроізоляційна мембрана RHENOFOL CV</t>
  </si>
  <si>
    <t>Такой гидроизоляции нету в Португалии</t>
  </si>
  <si>
    <t>M-ROF-017</t>
  </si>
  <si>
    <t>Плити OSB товщиною 22мм</t>
  </si>
  <si>
    <t>M-ROF-016</t>
  </si>
  <si>
    <t>Оцинковані листи для покрівлі</t>
  </si>
  <si>
    <t>Не указан размер листа</t>
  </si>
  <si>
    <t>M-ROF-018</t>
  </si>
  <si>
    <t>Кріплення для оцинкованих листів</t>
  </si>
  <si>
    <t>armazensreis</t>
  </si>
  <si>
    <t>M-ROF-005</t>
  </si>
  <si>
    <t>Геотекстиль IMPERSEP 200</t>
  </si>
  <si>
    <t>M-ROF-0010</t>
  </si>
  <si>
    <t>Геотекстиль IMPERSEP 150</t>
  </si>
  <si>
    <t>M-ROF-007</t>
  </si>
  <si>
    <t>Бітумна емульсія Imperkote F</t>
  </si>
  <si>
    <t>Гідроізоляція</t>
  </si>
  <si>
    <t>M-IMP-002</t>
  </si>
  <si>
    <t>Газ пропан-бутан в баллонах 40л</t>
  </si>
  <si>
    <t>M-IMP-006</t>
  </si>
  <si>
    <t>Гидроизоляция Weber.tec 824</t>
  </si>
  <si>
    <t>M-IMP-007</t>
  </si>
  <si>
    <t xml:space="preserve">Мембрана дренажна </t>
  </si>
  <si>
    <t>RECOM</t>
  </si>
  <si>
    <t>MEMBR.DANODREN H25 2,10X20mts. 42m2/RL</t>
  </si>
  <si>
    <t>M-IMP-008</t>
  </si>
  <si>
    <t>Притискна планка для дренажної мембрани</t>
  </si>
  <si>
    <t>M-IMP-009</t>
  </si>
  <si>
    <t>Кріплення для дренажної мембрани</t>
  </si>
  <si>
    <t>M-IMP-010</t>
  </si>
  <si>
    <t>Труба дренажна діаметром 200мм</t>
  </si>
  <si>
    <t>M-IMP-012</t>
  </si>
  <si>
    <t>Труба дренажна діаметром 100мм</t>
  </si>
  <si>
    <t>M-IMP-011</t>
  </si>
  <si>
    <t>Шумоізоляційна мембрана Impactodan</t>
  </si>
  <si>
    <t>M-IMP-015</t>
  </si>
  <si>
    <t>Щебень №2</t>
  </si>
  <si>
    <t>JAM</t>
  </si>
  <si>
    <t>M-IMP-020</t>
  </si>
  <si>
    <t>Гравій №2</t>
  </si>
  <si>
    <t>M-IMP-021</t>
  </si>
  <si>
    <t>Соснова кора</t>
  </si>
  <si>
    <t>plantalivre</t>
  </si>
  <si>
    <t>возможно также заказать здесь намного дешевле</t>
  </si>
  <si>
    <t>M-IMP-018</t>
  </si>
  <si>
    <t>Праймер битумный</t>
  </si>
  <si>
    <t>Obramat</t>
  </si>
  <si>
    <t xml:space="preserve">Термоізоляція </t>
  </si>
  <si>
    <t>M-TER-002</t>
  </si>
  <si>
    <t>Экструдированный пенополистирол толщиной 80мм</t>
  </si>
  <si>
    <t>M-TER-004</t>
  </si>
  <si>
    <t>Экструдированный пенополистирол толщиной 70мм</t>
  </si>
  <si>
    <t>M-TER-010</t>
  </si>
  <si>
    <t>Мінеральна вата товщиною 170мм</t>
  </si>
  <si>
    <t>Не смог найти цены на 170мм, нашел цену на 160мм, 14 евро, прикрепляю где можно заказать, но нет цены</t>
  </si>
  <si>
    <t>M-TER-011</t>
  </si>
  <si>
    <t>Мінеральна вата товщиною 90мм</t>
  </si>
  <si>
    <t>M-TER-012</t>
  </si>
  <si>
    <t>Мінеральна вата товщиною 50мм</t>
  </si>
  <si>
    <t>M-TER-013</t>
  </si>
  <si>
    <t>Мінеральна вата товщиною 40мм</t>
  </si>
  <si>
    <t>M-TER-014</t>
  </si>
  <si>
    <t>Мінеральна вата товщиною 30мм</t>
  </si>
  <si>
    <t>M-TER-005</t>
  </si>
  <si>
    <t>Дюбели для пенопласта</t>
  </si>
  <si>
    <t>M-TER-006</t>
  </si>
  <si>
    <t>Клей для пенопласта</t>
  </si>
  <si>
    <t>Оздоблення</t>
  </si>
  <si>
    <t>M-FIN-001</t>
  </si>
  <si>
    <t>Клей для плитки Weber.col flex M</t>
  </si>
  <si>
    <t>Nepeli</t>
  </si>
  <si>
    <t>M-FIN-004</t>
  </si>
  <si>
    <t>Клей для природного камня Kerakoll H40</t>
  </si>
  <si>
    <t>M-FIN-005</t>
  </si>
  <si>
    <t>Клей для плитки в басейні Adhere</t>
  </si>
  <si>
    <t>DavidNuno</t>
  </si>
  <si>
    <t>M-FIN-007</t>
  </si>
  <si>
    <t>Затирка для плитки Weber Premium</t>
  </si>
  <si>
    <t>M-FIN-002</t>
  </si>
  <si>
    <t>Клей для паркету</t>
  </si>
  <si>
    <t>M-FIN-003</t>
  </si>
  <si>
    <t>Фарба епоксидна SIKAFLOOR-264</t>
  </si>
  <si>
    <t>M-FIN-008</t>
  </si>
  <si>
    <t>Система выравнивания плитки СВП (300шт)</t>
  </si>
  <si>
    <t>уп</t>
  </si>
  <si>
    <t>Sulcave</t>
  </si>
  <si>
    <t>M-FIN-009</t>
  </si>
  <si>
    <t>Кутник з нержавіючої сталі розміром 15х15см</t>
  </si>
  <si>
    <t>Casapeixoto</t>
  </si>
  <si>
    <t>M-FIN-030</t>
  </si>
  <si>
    <t>Лист гипсокартонный влагостойкий размером 2500х1200х12,5 мм</t>
  </si>
  <si>
    <t>M-FIN-043</t>
  </si>
  <si>
    <t>Лист гипсокартонный размером 2500х1200х12,5 мм</t>
  </si>
  <si>
    <t>M-FIN-044</t>
  </si>
  <si>
    <t>Плити МДФ товщиною 19мм</t>
  </si>
  <si>
    <t>Mundimat</t>
  </si>
  <si>
    <t>M-FIN-042</t>
  </si>
  <si>
    <t>Профіль для гіпсокартонних перегородок</t>
  </si>
  <si>
    <t>MaxMat</t>
  </si>
  <si>
    <t>M-FIN-031</t>
  </si>
  <si>
    <t>Уголок направляющий размером 30х30 мм</t>
  </si>
  <si>
    <t>Эти цены были проставленны Алленой в прошлых просчетах из чека</t>
  </si>
  <si>
    <t>M-FIN-032</t>
  </si>
  <si>
    <t>Профиль потолочный</t>
  </si>
  <si>
    <t>M-FIN-033</t>
  </si>
  <si>
    <t>Резьба М6 длиной 1м</t>
  </si>
  <si>
    <t>M-FIN-034</t>
  </si>
  <si>
    <t>Латунная втулка</t>
  </si>
  <si>
    <t>M-FIN-035</t>
  </si>
  <si>
    <t>Крепление типа "бабочка"</t>
  </si>
  <si>
    <t>M-FIN-036</t>
  </si>
  <si>
    <t>Гвозди Hilti для крепления уголка направляющего 1000шт</t>
  </si>
  <si>
    <t>M-FIN-037</t>
  </si>
  <si>
    <t>Саморез для гипсокартона размером 3,5х25мм 1000шт</t>
  </si>
  <si>
    <t>M-FIN-038</t>
  </si>
  <si>
    <t>Саморез для гипсокартона размером 3,5х9,5мм 1000шт</t>
  </si>
  <si>
    <t>M-FIN-039</t>
  </si>
  <si>
    <t>Сверла по бетону диаметром 6мм</t>
  </si>
  <si>
    <t>M-FIN-040</t>
  </si>
  <si>
    <t>Лента бумажная для швов гипсокартона</t>
  </si>
  <si>
    <t>Leroy Merlin</t>
  </si>
  <si>
    <t>M-FIN-041</t>
  </si>
  <si>
    <t>Шпаклевка для швов гипсокартона Semin CE-78 25кг</t>
  </si>
  <si>
    <t>Mundimat S.A.</t>
  </si>
  <si>
    <t>M-FIN-052</t>
  </si>
  <si>
    <t>Раствор для черновой стяжки</t>
  </si>
  <si>
    <t>M-FIN-055</t>
  </si>
  <si>
    <t>Сітка штукатурна</t>
  </si>
  <si>
    <t>obras360</t>
  </si>
  <si>
    <t>M-FIN-060</t>
  </si>
  <si>
    <t>Смесь для штукатурки 25кг</t>
  </si>
  <si>
    <t>M-FIN-061</t>
  </si>
  <si>
    <t>Уголки штукатурные</t>
  </si>
  <si>
    <t>M-FIN-065</t>
  </si>
  <si>
    <t>Плінтус з нержавіючої сталі розміром 20x10x5мм</t>
  </si>
  <si>
    <t>M-FIN-070</t>
  </si>
  <si>
    <t>Захисне покриття для бетону SIKAGARD 680-S PT</t>
  </si>
  <si>
    <t>M-FIN-071</t>
  </si>
  <si>
    <t>Декоративна штукатурка WEBER REV PASTA 15кг</t>
  </si>
  <si>
    <t>ссылка на альтернативу</t>
  </si>
  <si>
    <t>M-FIN-090</t>
  </si>
  <si>
    <t>Фасадна система з алюмінієвих листів по конструкціях з Т-профіля</t>
  </si>
  <si>
    <t>M-FIN-091</t>
  </si>
  <si>
    <t>Перегородка з профілю типу facar</t>
  </si>
  <si>
    <t>M-FIN-062</t>
  </si>
  <si>
    <t>Грунтовка для краски Cin</t>
  </si>
  <si>
    <t>л</t>
  </si>
  <si>
    <t>ferramentaspro</t>
  </si>
  <si>
    <t>Цены были проставленны еще с прошлых смет по таким позициям</t>
  </si>
  <si>
    <t>M-FIN-063</t>
  </si>
  <si>
    <t>Краска водоэмульсионная для внутренних работ CIN</t>
  </si>
  <si>
    <t>tintas-vital</t>
  </si>
  <si>
    <t>M-FIN-064</t>
  </si>
  <si>
    <t>Краска фасадная Cin</t>
  </si>
  <si>
    <t>casapeixoto</t>
  </si>
  <si>
    <t>Благоустрій</t>
  </si>
  <si>
    <t>M-LAN-001</t>
  </si>
  <si>
    <t>Лоток бетонний шириною 350мм з металевою оцинкованою решіткою</t>
  </si>
  <si>
    <t>M-LAN-002</t>
  </si>
  <si>
    <t>Лоток бетонний шириною 100мм з металевою оцинкованою решіткою</t>
  </si>
  <si>
    <t>M-LAN-003</t>
  </si>
  <si>
    <t>Огорожа з металевих стрижнів і нейлонової сітки висотою 0,97м</t>
  </si>
  <si>
    <t>Andradinox</t>
  </si>
  <si>
    <t>M-LAN-004</t>
  </si>
  <si>
    <t xml:space="preserve">Огорожа з нержавіючої сталі висотою 0,9м </t>
  </si>
  <si>
    <t>88 euro Leroy Merlin</t>
  </si>
  <si>
    <t>M-LAN-005</t>
  </si>
  <si>
    <t>Поліпропіленові решітки для озеленення</t>
  </si>
  <si>
    <t>M-LAN-006</t>
  </si>
  <si>
    <t>Грунт</t>
  </si>
  <si>
    <t>Невозможно найти цену, слишком большой объем для поиска через интернет, нужно обратиться к поставщикам</t>
  </si>
  <si>
    <t>M-LAN-007</t>
  </si>
  <si>
    <t>Шпали з морської сосни розміром 1,00x0,24x0,10м</t>
  </si>
  <si>
    <t>M-LAN-008</t>
  </si>
  <si>
    <t>Термооброблений настил TOSCCA з рейками 140x28мм</t>
  </si>
  <si>
    <t>M-LAN-009</t>
  </si>
  <si>
    <t>Металева огорожа висотою 1,4м з труб розміром 50х50мм</t>
  </si>
  <si>
    <t>Не удалось найти в интернете</t>
  </si>
  <si>
    <t>M-LAN-011</t>
  </si>
  <si>
    <t>Кутник з нержавіючої сталі розміром 10х10см</t>
  </si>
  <si>
    <t>G-store</t>
  </si>
  <si>
    <t>M-LAN-012</t>
  </si>
  <si>
    <t>Покриття з конструкцій типу "facar"</t>
  </si>
  <si>
    <t>Невозможно найти тип facar, альтернативы 120-160 евро</t>
  </si>
  <si>
    <t>M-LAN-013</t>
  </si>
  <si>
    <t>Ворота пішоходні розміром 1,41x2,00м</t>
  </si>
  <si>
    <t>Невозможно найти, требуется индивидуальное изготовление</t>
  </si>
  <si>
    <t>M-LAN-014</t>
  </si>
  <si>
    <t>Ворота автомобільні розміром 3,63x1,40м</t>
  </si>
  <si>
    <t>M-LAN-015</t>
  </si>
  <si>
    <t>Лоток бетонний шириною 150мм з металевою оцинкованою решіткою</t>
  </si>
  <si>
    <r>
      <rPr>
        <rFont val="Arial"/>
        <color rgb="FF1155CC"/>
        <sz val="10.0"/>
        <u/>
      </rPr>
      <t>Ссылка</t>
    </r>
    <r>
      <rPr>
        <rFont val="Arial"/>
        <color theme="1"/>
        <sz val="10.0"/>
      </rPr>
      <t xml:space="preserve"> </t>
    </r>
    <r>
      <rPr>
        <rFont val="Arial"/>
        <color rgb="FF1155CC"/>
        <sz val="10.0"/>
        <u/>
      </rPr>
      <t>Ссылка 2</t>
    </r>
  </si>
  <si>
    <t>Найдены только разделенные материалы на 2</t>
  </si>
  <si>
    <t>Вікна і двері</t>
  </si>
  <si>
    <t>M-WIN-001</t>
  </si>
  <si>
    <t>Вікно алюмінієве розміром 1,10x2,88м VE 01.1</t>
  </si>
  <si>
    <t>Цена от Елены</t>
  </si>
  <si>
    <t>M-WIN-002</t>
  </si>
  <si>
    <t>Вікно алюмінієве розміром 4,68x2,92м VE 01.2</t>
  </si>
  <si>
    <t>M-WIN-003</t>
  </si>
  <si>
    <t>Вікно алюмінієве розміром 4,61x2,92м VE 01.3</t>
  </si>
  <si>
    <t>M-WIN-004</t>
  </si>
  <si>
    <t>Вікно алюмінієве розміром 3,04x2,92м VE 01.4</t>
  </si>
  <si>
    <t>M-WIN-005</t>
  </si>
  <si>
    <t>Вікно алюмінієве розміром 5,93x2,92м VE 01.5</t>
  </si>
  <si>
    <t>M-WIN-006</t>
  </si>
  <si>
    <t>Вікно алюмінієве розміром 6,19x2,92м VE 01.6</t>
  </si>
  <si>
    <t>M-WIN-007</t>
  </si>
  <si>
    <t>Вікно алюмінієве розміром 4,94x2,92м VE 01.7</t>
  </si>
  <si>
    <t>M-WIN-008</t>
  </si>
  <si>
    <t>Вікно алюмінієве розміром 7,18x2,92м VE 01.8</t>
  </si>
  <si>
    <t>M-WIN-009</t>
  </si>
  <si>
    <t>Вікно алюмінієве розміром 7,24x2,94м VE 00.1</t>
  </si>
  <si>
    <t>M-WIN-010</t>
  </si>
  <si>
    <t>Вікно алюмінієве розміром 2,23x2,94м VE 00.2</t>
  </si>
  <si>
    <t>M-WIN-011</t>
  </si>
  <si>
    <t>Вікно алюмінієве розміром 2,15x2,89м VE 00.3</t>
  </si>
  <si>
    <t>M-WIN-012</t>
  </si>
  <si>
    <t>Вікно алюмінієве розміром 2,58x2,92м VE 00.4</t>
  </si>
  <si>
    <t>M-WIN-013</t>
  </si>
  <si>
    <t>Вікно алюмінієве розміром 17,33x2,94м VE 00.6</t>
  </si>
  <si>
    <t>M-WIN-014</t>
  </si>
  <si>
    <t>Вікно алюмінієве розміром 4,74x2,94м VE 00.7</t>
  </si>
  <si>
    <t>M-WIN-015</t>
  </si>
  <si>
    <t>Вікно алюмінієве розміром 1,98x2,94м VE 00.8</t>
  </si>
  <si>
    <t>M-WIN-016</t>
  </si>
  <si>
    <t>Вікно алюмінієве розміром 2,54x2,94м VE 00.9</t>
  </si>
  <si>
    <t>M-WIN-017</t>
  </si>
  <si>
    <t>Вікно алюмінієве розміром 3,28x2,94м VE 00.10</t>
  </si>
  <si>
    <t>M-WIN-018</t>
  </si>
  <si>
    <t>Вікно алюмінієве розміром 4,18x2,36м VE -01.1</t>
  </si>
  <si>
    <t>M-WIN-019</t>
  </si>
  <si>
    <t>Вікно алюмінієве розміром 2,21x2,36м VE -01.2</t>
  </si>
  <si>
    <t>M-WIN-020</t>
  </si>
  <si>
    <t>Вікно алюмінієве розміром 2,15x2,89м VE-01.3</t>
  </si>
  <si>
    <t>M-WIN-021</t>
  </si>
  <si>
    <t>Вікно алюмінієве розміром 0,97x2,30м VE-01.4</t>
  </si>
  <si>
    <t>M-WIN-022</t>
  </si>
  <si>
    <t>Лючок алюмінієвий розміром 1,00x0,60м VI -01.6</t>
  </si>
  <si>
    <r>
      <rPr>
        <rFont val="Arial"/>
        <color rgb="FF000000"/>
        <sz val="11.0"/>
      </rPr>
      <t xml:space="preserve">Удается найти только 600x600 в интернете или </t>
    </r>
    <r>
      <rPr>
        <rFont val="Arial"/>
        <color rgb="FF1155CC"/>
        <sz val="11.0"/>
        <u/>
      </rPr>
      <t>600x1000</t>
    </r>
  </si>
  <si>
    <t>M-WIN-023</t>
  </si>
  <si>
    <t>Двері металеві розміром 0,70x2,44м VE 00.5A</t>
  </si>
  <si>
    <t>Ждем ответа от поставщика</t>
  </si>
  <si>
    <t>M-WIN-024</t>
  </si>
  <si>
    <t>Двері металеві розміром 0,70x2,44м VE 00.5B</t>
  </si>
  <si>
    <t>M-WIN-025</t>
  </si>
  <si>
    <t>Двері металеві розміром 0,85x2,11м VE 0.11</t>
  </si>
  <si>
    <t>M-WIN-026</t>
  </si>
  <si>
    <t>Двері металеві розміром 0,85x2,11м VE 0.12</t>
  </si>
  <si>
    <t>M-WIN-027</t>
  </si>
  <si>
    <t>Двері металеві розміром 0,80x2,13м VE 00.13</t>
  </si>
  <si>
    <t>M-WIN-028</t>
  </si>
  <si>
    <t>Двері металеві розміром 0,69x2,20м VI 01.8</t>
  </si>
  <si>
    <t>M-WIN-029</t>
  </si>
  <si>
    <t>Двері металеві розміром 0,74x2,30м VE -01.6</t>
  </si>
  <si>
    <t>M-WIN-030</t>
  </si>
  <si>
    <t>Двері металеві розміром 1,74x2,30м VE -01.7</t>
  </si>
  <si>
    <t>M-WIN-031</t>
  </si>
  <si>
    <t>Двері металеві розміром 0,75x2,20м VE -01.8</t>
  </si>
  <si>
    <t>M-WIN-032</t>
  </si>
  <si>
    <t>Двері внутрішні розміром 1.10x2.30м VI-01.2 - VI -01.5</t>
  </si>
  <si>
    <t>M-WIN-033</t>
  </si>
  <si>
    <t>Двері внутрішні розміром 1.14x2.50м VI 01.1, VI 01.4</t>
  </si>
  <si>
    <t>M-WIN-034</t>
  </si>
  <si>
    <t>Двері внутрішні розміром 1.19x2.50м VI 01.2, VI 01.3</t>
  </si>
  <si>
    <t>M-WIN-035</t>
  </si>
  <si>
    <t>Двері внутрішні розміром 1.22x2.50м VI 01.5</t>
  </si>
  <si>
    <t>M-WIN-036</t>
  </si>
  <si>
    <t>Двері внутрішні розміром 1.00x2.49м VI 00.3</t>
  </si>
  <si>
    <t>M-WIN-037</t>
  </si>
  <si>
    <t>Двері внутрішні розміром 1.08x2.30м VI -01.1</t>
  </si>
  <si>
    <t>M-WIN-038</t>
  </si>
  <si>
    <t>Двері внутрішні розміром 1.22x2.49м VI 0.1, VI 0.2</t>
  </si>
  <si>
    <t>M-WIN-039</t>
  </si>
  <si>
    <t>Двері внутрішні розміром 0.87x2.50м VI 01.6</t>
  </si>
  <si>
    <t>M-WIN-040</t>
  </si>
  <si>
    <t>Двері внутрішні розміром 0.89x2.50м VI 01.7</t>
  </si>
  <si>
    <t>M-WIN-041</t>
  </si>
  <si>
    <t>Кріплення для вікон і дверей</t>
  </si>
  <si>
    <t>M-WIN-042</t>
  </si>
  <si>
    <t>Піна монтажна 0,75л</t>
  </si>
  <si>
    <t>M-WIN-043</t>
  </si>
  <si>
    <t>ConstroiWood</t>
  </si>
  <si>
    <t>M-WIN-044</t>
  </si>
  <si>
    <t>M-WIN-045</t>
  </si>
  <si>
    <t>M-WIN-046</t>
  </si>
  <si>
    <t>M-WIN-047</t>
  </si>
  <si>
    <t>M-WIN-048</t>
  </si>
  <si>
    <t>M-WIN-049</t>
  </si>
  <si>
    <t>M-WIN-050</t>
  </si>
  <si>
    <t>M-WIN-051</t>
  </si>
  <si>
    <t>M-WIN-052</t>
  </si>
  <si>
    <t>M-WIN-053</t>
  </si>
  <si>
    <t>M-WIN-054</t>
  </si>
  <si>
    <t>M-WIN-055</t>
  </si>
  <si>
    <t>M-WIN-056</t>
  </si>
  <si>
    <t>M-WIN-057</t>
  </si>
  <si>
    <t>M-WIN-058</t>
  </si>
  <si>
    <t>M-WIN-059</t>
  </si>
  <si>
    <t>M-WIN-060</t>
  </si>
  <si>
    <t>M-WIN-061</t>
  </si>
  <si>
    <t>M-WIN-062</t>
  </si>
  <si>
    <t>M-WIN-063</t>
  </si>
  <si>
    <t>M-WIN-064</t>
  </si>
  <si>
    <t>M-WIN-065</t>
  </si>
  <si>
    <t>M-WIN-066</t>
  </si>
  <si>
    <t>M-WIN-067</t>
  </si>
  <si>
    <t>M-WIN-068</t>
  </si>
  <si>
    <t>Рами з алюмінієвиз труб 50х50х3мм</t>
  </si>
  <si>
    <t>Невозможно найти, нужно запросить у поставщика</t>
  </si>
  <si>
    <t>M-WIN-069</t>
  </si>
  <si>
    <t>Жалюзі зовнішні рулонні моторизовані розміром 5,93x2,92м</t>
  </si>
  <si>
    <t>M-WIN-070</t>
  </si>
  <si>
    <t>Жалюзі зовнішні рулонні моторизовані розміром 6,19x2,92м</t>
  </si>
  <si>
    <t>M-WIN-071</t>
  </si>
  <si>
    <t>Жалюзі зовнішні рулонні моторизовані розміром 4,94x2,92м</t>
  </si>
  <si>
    <t>M-WIN-072</t>
  </si>
  <si>
    <t>Жалюзі зовнішні рулонні моторизовані розміром 7,18x2,92м</t>
  </si>
  <si>
    <t>M-WIN-073</t>
  </si>
  <si>
    <t>Жалюзі зовнішні рулонні моторизовані розміром 2,54x2,94м</t>
  </si>
  <si>
    <t>M-WIN-074</t>
  </si>
  <si>
    <t>Жалюзі зовнішні рулонні моторизовані розміром 3,28x2,94м</t>
  </si>
  <si>
    <t>M-WIN-075</t>
  </si>
  <si>
    <t>Ворота гаражні секційні LM INOX марки LMPerfis PS.040CA94</t>
  </si>
  <si>
    <t>M-WIN-076</t>
  </si>
  <si>
    <t>Зенітний фонар разміром 1,03x1,45м</t>
  </si>
  <si>
    <t>M-WIN-077</t>
  </si>
  <si>
    <t>СТОЛЕШ 01.1: 2,04м x 0,35м x 0,44м + ШКАФ 01.1: 2,04м x 0,20м x 0,44м</t>
  </si>
  <si>
    <t>M-WIN-078</t>
  </si>
  <si>
    <t>СТОЛЕШ 01.2: 2,04м x 0,35м x 0,44м + ШКАФ 01.2: 2,04м x 0,20м x 0,44м</t>
  </si>
  <si>
    <t>M-WIN-079</t>
  </si>
  <si>
    <t>СТОЛЕШ 01.3: 1,40м x 0,35м x 0,44м + ШКАФ 01.3: 1,40м x 0,20м x 0,44м</t>
  </si>
  <si>
    <t>M-WIN-080</t>
  </si>
  <si>
    <t>СТОЛЕШ: 0,40м x 0,90м</t>
  </si>
  <si>
    <t>Погодження з замовником</t>
  </si>
  <si>
    <t>AC-3</t>
  </si>
  <si>
    <t>Плитка керамическая размером 300x300 мм</t>
  </si>
  <si>
    <t>Тут</t>
  </si>
  <si>
    <t>AC-4</t>
  </si>
  <si>
    <t>Плити бетонні розміром 50х50х6см</t>
  </si>
  <si>
    <t>bricodepot</t>
  </si>
  <si>
    <t>AC-5</t>
  </si>
  <si>
    <t>Плити бетонні розміром 65х65х7см</t>
  </si>
  <si>
    <t>Этот размер (65x65 см) является нестандартным для готовых бетонных плит в португальских розничных сетях</t>
  </si>
  <si>
    <t>AC-6</t>
  </si>
  <si>
    <t>Плити бетонні розміром 125х50х5см</t>
  </si>
  <si>
    <t>Algou</t>
  </si>
  <si>
    <t>Невозможно найти размер, нужно запросить у поставщика</t>
  </si>
  <si>
    <t>AC-7</t>
  </si>
  <si>
    <t>Плити бетонні розміром 125х30х5см</t>
  </si>
  <si>
    <t>AC-11</t>
  </si>
  <si>
    <t>Плити бетонні розміром 205х30х10см</t>
  </si>
  <si>
    <t>AC-12</t>
  </si>
  <si>
    <t>Блоки бетонні для покриття підлоги</t>
  </si>
  <si>
    <t>AC-14</t>
  </si>
  <si>
    <t>Соснові дошки для тераси</t>
  </si>
  <si>
    <t>Silmadeiras</t>
  </si>
  <si>
    <t>AC-15</t>
  </si>
  <si>
    <t>Рейки для крепления сосновой доски</t>
  </si>
  <si>
    <t>AC-16</t>
  </si>
  <si>
    <t>Клипсы для крепления сосновой доски</t>
  </si>
  <si>
    <t>AC-17</t>
  </si>
  <si>
    <t>Шурупы для крепления сосновой доски</t>
  </si>
  <si>
    <t>AC-18</t>
  </si>
  <si>
    <t>Мозаика для облицовки бассейнов Classic Cinza размером 30х30см</t>
  </si>
  <si>
    <t>AC-19</t>
  </si>
  <si>
    <t>Паркет дубовий розміром 20x220x2200 мм</t>
  </si>
  <si>
    <t>AC-8</t>
  </si>
  <si>
    <t>Бетонный порог шириной 20см</t>
  </si>
  <si>
    <t>AC-10</t>
  </si>
  <si>
    <t>Бетонный порог шириной 7см</t>
  </si>
  <si>
    <t>Не удалось найти в интернете, необходимо запросить у поставщика</t>
  </si>
  <si>
    <t>Сантехніка</t>
  </si>
  <si>
    <t>M-PLB-001</t>
  </si>
  <si>
    <t>Душовий лоток GEBERIT CLEANLINE20 90см</t>
  </si>
  <si>
    <t>habitium</t>
  </si>
  <si>
    <t>M-PLB-002</t>
  </si>
  <si>
    <t>Ванна ONE BB1.20 PADIMAT розміром 160x75см, арт. BB1.20.16075</t>
  </si>
  <si>
    <t>M-PLB-003</t>
  </si>
  <si>
    <t>Унітаз підвісний BORMIO BR18 PADIMAT, арт. 5603313495638</t>
  </si>
  <si>
    <t>Альтернатива leroy merlin</t>
  </si>
  <si>
    <r>
      <rPr>
        <rFont val="Arial"/>
        <color rgb="FF000000"/>
        <sz val="11.0"/>
      </rPr>
      <t>Есть только альтернатива и</t>
    </r>
    <r>
      <rPr>
        <rFont val="Arial"/>
        <color rgb="FF1155CC"/>
        <sz val="11.0"/>
        <u/>
      </rPr>
      <t xml:space="preserve"> еще альтернативу с кнопкой слива</t>
    </r>
  </si>
  <si>
    <t>M-PLB-004</t>
  </si>
  <si>
    <t>Кнопка зливу GEBERIT DELTA10 115.101.00.5</t>
  </si>
  <si>
    <t>sanundo</t>
  </si>
  <si>
    <t>Удалось найти только в германии</t>
  </si>
  <si>
    <t>M-PLB-005</t>
  </si>
  <si>
    <t>Кнопка зливу GEBERIT 10 116.056.JQ.1</t>
  </si>
  <si>
    <t>Удалось найти только вне португалии и код 055</t>
  </si>
  <si>
    <t>M-PLB-006</t>
  </si>
  <si>
    <t>Кран прохідний 3/4"</t>
  </si>
  <si>
    <t>M-PLB-007</t>
  </si>
  <si>
    <t>Клапан 1 1/4"</t>
  </si>
  <si>
    <t>hilarioalves</t>
  </si>
  <si>
    <t>M-PLB-008</t>
  </si>
  <si>
    <t>Змішувач для умивальника</t>
  </si>
  <si>
    <t>brecodepot</t>
  </si>
  <si>
    <t>M-PLB-009</t>
  </si>
  <si>
    <t>Змішувач для ванни BRUMA, Ref. 186 980 2IS</t>
  </si>
  <si>
    <t>bruma</t>
  </si>
  <si>
    <t>M-PLB-010</t>
  </si>
  <si>
    <t>Змішувач для біде</t>
  </si>
  <si>
    <t>bernstein</t>
  </si>
  <si>
    <t>M-PLB-011</t>
  </si>
  <si>
    <t>Змішувач для душу BRUMA</t>
  </si>
  <si>
    <t>M-PLB-012</t>
  </si>
  <si>
    <t>Тримач туалетного паперу LOJA AREA, Ref. 84633</t>
  </si>
  <si>
    <t>area.com</t>
  </si>
  <si>
    <t>M-PLB-013</t>
  </si>
  <si>
    <t>Рушникотримач LOJA AREA, Ref. 84635</t>
  </si>
  <si>
    <t>M-PLB-014</t>
  </si>
  <si>
    <t>Сифон для умивальника ELO BRUMA, Ref. 1370001CR</t>
  </si>
  <si>
    <t>sanipower</t>
  </si>
  <si>
    <t>M-PLB-015</t>
  </si>
  <si>
    <t>Сифон для умивальника JIMTEN 1.1/4X32</t>
  </si>
  <si>
    <t>Topeca</t>
  </si>
  <si>
    <t>M-PLB-016</t>
  </si>
  <si>
    <t>Лавка підвісна розміром 0,60x0,51x2,10м</t>
  </si>
  <si>
    <t>M-PLB-017</t>
  </si>
  <si>
    <t>Огорожа душової кабіни із загартованого скла товщиною 12мм</t>
  </si>
  <si>
    <t>M-PLB-018</t>
  </si>
  <si>
    <t>Дзеркало кругле діаметром 40см</t>
  </si>
  <si>
    <t>M-PLB-019</t>
  </si>
  <si>
    <t>Дзеркало товщиною 6мм</t>
  </si>
  <si>
    <t>scribd</t>
  </si>
  <si>
    <t>M-PLB-020</t>
  </si>
  <si>
    <t>Мийка кухонна AXIA III 6 SBLANCO, Ref. 525849</t>
  </si>
  <si>
    <t>evier</t>
  </si>
  <si>
    <t>M-PLB-021</t>
  </si>
  <si>
    <t>Змішувач для мийки BRUMA, Ref. 197 011 1IS</t>
  </si>
  <si>
    <t>aspereira</t>
  </si>
  <si>
    <t>M-PLB-040</t>
  </si>
  <si>
    <t>Труба поліетиленова SDR 13,6 діаметром 20мм</t>
  </si>
  <si>
    <t>obramat</t>
  </si>
  <si>
    <t>M-PLB-041</t>
  </si>
  <si>
    <t>Труба поліетиленова SDR 13,6 діаметром 25мм</t>
  </si>
  <si>
    <t>hidraulicart</t>
  </si>
  <si>
    <t>M-PLB-042</t>
  </si>
  <si>
    <t>Труба поліетиленова SDR 13,6 діаметром 40мм</t>
  </si>
  <si>
    <t>azhabitacao</t>
  </si>
  <si>
    <t>M-PLB-043</t>
  </si>
  <si>
    <t>Труба багатошарова Mepla діаметром 16мм</t>
  </si>
  <si>
    <t>nicolaurosa</t>
  </si>
  <si>
    <t>M-PLB-044</t>
  </si>
  <si>
    <t>Труба багатошарова Mepla діаметром 20мм</t>
  </si>
  <si>
    <t>M-PLB-045</t>
  </si>
  <si>
    <t>Труба багатошарова Mepla діаметром 26мм</t>
  </si>
  <si>
    <t>M-PLB-046</t>
  </si>
  <si>
    <t>Труба багатошарова Mepla діаметром 32мм</t>
  </si>
  <si>
    <t>M-PLB-047</t>
  </si>
  <si>
    <t>Труба багатошарова Mepla діаметром 40мм</t>
  </si>
  <si>
    <t>M-PLB-048</t>
  </si>
  <si>
    <t>Труба ПВХ PN10 діаметром 63мм</t>
  </si>
  <si>
    <t>M-PLB-049</t>
  </si>
  <si>
    <t>Труба ПВХ PN10 діаметром 110мм</t>
  </si>
  <si>
    <t>M-PLB-050</t>
  </si>
  <si>
    <t>Труба поліетиленова для газу діаметром 20мм</t>
  </si>
  <si>
    <t>M-PLB-051</t>
  </si>
  <si>
    <t>Труба мідна для газу діаметром 15мм</t>
  </si>
  <si>
    <t>M-PLB-052</t>
  </si>
  <si>
    <t>Труба ПВХ PN10 діаметром 40мм</t>
  </si>
  <si>
    <t>M-PLB-053</t>
  </si>
  <si>
    <t>Труба ПВХ PN10 діаметром 50мм</t>
  </si>
  <si>
    <t>M-PLB-054</t>
  </si>
  <si>
    <t>Труба ПВХ PN10 діаметром 75мм</t>
  </si>
  <si>
    <t>M-PLB-055</t>
  </si>
  <si>
    <t>Труба ПВХ PN10 діаметром 90мм</t>
  </si>
  <si>
    <t>M-PLB-056</t>
  </si>
  <si>
    <t>Труба поліетиленова SDR 13,6 діаметром 75мм</t>
  </si>
  <si>
    <t>Продается 100м</t>
  </si>
  <si>
    <t>M-PLB-057</t>
  </si>
  <si>
    <t>Термоізоляція труб діаметром 40мм</t>
  </si>
  <si>
    <t>boni-shop</t>
  </si>
  <si>
    <t>M-PLB-058</t>
  </si>
  <si>
    <t>Термоізоляція труб діаметром 50мм</t>
  </si>
  <si>
    <t>M-PLB-059</t>
  </si>
  <si>
    <t>Термоізоляція труб діаметром 75мм</t>
  </si>
  <si>
    <t>M-PLB-060</t>
  </si>
  <si>
    <t>Термоізоляція труб діаметром 90мм</t>
  </si>
  <si>
    <t>M-PLB-061</t>
  </si>
  <si>
    <t>Труба ПВХ PN10 діаметром 125мм</t>
  </si>
  <si>
    <t>M-PLB-062</t>
  </si>
  <si>
    <t>Термоізоляція труб діаметром 110мм</t>
  </si>
  <si>
    <t>Заказ 15 метров</t>
  </si>
  <si>
    <t>M-PLB-063</t>
  </si>
  <si>
    <t>Труба поліетиленова SDR 13,6 діаметром 125мм</t>
  </si>
  <si>
    <t>M-PLB-064</t>
  </si>
  <si>
    <t>Труба поліетиленова SDR 13,6 діаметром 50мм</t>
  </si>
  <si>
    <t>M-PLB-065</t>
  </si>
  <si>
    <t>Лічильник газовий G4 в комплекті з клапанами і редуктором</t>
  </si>
  <si>
    <t>shop.puntoluce</t>
  </si>
  <si>
    <t>Не найдено в Португалии, есть в европе</t>
  </si>
  <si>
    <t>M-PLB-066</t>
  </si>
  <si>
    <t>Коробка відключення і переходу ПЕ-CU</t>
  </si>
  <si>
    <t>M-PLB-070</t>
  </si>
  <si>
    <t>Система зворотнього осмосу</t>
  </si>
  <si>
    <t>M-PLB-071</t>
  </si>
  <si>
    <t>Система фільтрації, оброблення, накопичення та підвищення тиску води</t>
  </si>
  <si>
    <t>aguafria</t>
  </si>
  <si>
    <t>M-PLB-072</t>
  </si>
  <si>
    <t>Кран запірний з патрубком для шлангу</t>
  </si>
  <si>
    <t>esutil</t>
  </si>
  <si>
    <t>M-PLB-073</t>
  </si>
  <si>
    <t>Кран запірний RAINBIRD Standard Rectangular Series VB-STD</t>
  </si>
  <si>
    <t>gncgarden</t>
  </si>
  <si>
    <t>M-PLB-074</t>
  </si>
  <si>
    <t>Клапан запірний Klimapress</t>
  </si>
  <si>
    <t>tagus</t>
  </si>
  <si>
    <t>M-PLB-075</t>
  </si>
  <si>
    <t>Клапан регулюючий Calefi</t>
  </si>
  <si>
    <t>M-PLB-076</t>
  </si>
  <si>
    <t>Пожежний гідрант</t>
  </si>
  <si>
    <t>mhi</t>
  </si>
  <si>
    <t>M-PLB-077</t>
  </si>
  <si>
    <r>
      <rPr>
        <rFont val="Arial"/>
        <color rgb="FF1155CC"/>
        <sz val="10.0"/>
        <u/>
      </rPr>
      <t>фильтр</t>
    </r>
    <r>
      <rPr>
        <rFont val="Arial"/>
        <color theme="1"/>
        <sz val="10.0"/>
      </rPr>
      <t xml:space="preserve"> </t>
    </r>
    <r>
      <rPr>
        <rFont val="Arial"/>
        <color rgb="FF1155CC"/>
        <sz val="10.0"/>
        <u/>
      </rPr>
      <t>насос</t>
    </r>
    <r>
      <rPr>
        <rFont val="Arial"/>
        <color theme="1"/>
        <sz val="10.0"/>
      </rPr>
      <t xml:space="preserve"> </t>
    </r>
  </si>
  <si>
    <t>M-PLB-078</t>
  </si>
  <si>
    <t>M-PLB-079</t>
  </si>
  <si>
    <t>Не найдено в интернете</t>
  </si>
  <si>
    <t>M-PLB-080</t>
  </si>
  <si>
    <t>Samuel-janeiro</t>
  </si>
  <si>
    <t>M-PLB-081</t>
  </si>
  <si>
    <t>M-PLB-082</t>
  </si>
  <si>
    <t>jardiboutique</t>
  </si>
  <si>
    <t>Не найдено в португалии</t>
  </si>
  <si>
    <t>M-PLB-083</t>
  </si>
  <si>
    <t>piscinasteixeira</t>
  </si>
  <si>
    <t>M-PLB-084</t>
  </si>
  <si>
    <t>M-PLB-085</t>
  </si>
  <si>
    <t>Не найдено в португалии, примерная стоимость 25-30 евро за мешок 25кг</t>
  </si>
  <si>
    <t>M-PLB-086</t>
  </si>
  <si>
    <t>pooldive</t>
  </si>
  <si>
    <t>M-PLB-087</t>
  </si>
  <si>
    <r>
      <rPr>
        <rFont val="Arial"/>
        <color rgb="FF467886"/>
        <sz val="10.0"/>
        <u/>
      </rPr>
      <t>фильтр galaky</t>
    </r>
    <r>
      <rPr>
        <rFont val="Arial"/>
        <color rgb="FF467886"/>
        <sz val="10.0"/>
      </rPr>
      <t xml:space="preserve"> </t>
    </r>
    <r>
      <rPr>
        <rFont val="Arial"/>
        <color rgb="FF467886"/>
        <sz val="10.0"/>
        <u/>
      </rPr>
      <t>насос</t>
    </r>
  </si>
  <si>
    <t>M-PLB-088</t>
  </si>
  <si>
    <t>M-PLB-089</t>
  </si>
  <si>
    <t>samuel-janeiro</t>
  </si>
  <si>
    <t>M-PLB-090</t>
  </si>
  <si>
    <t>iot-pool</t>
  </si>
  <si>
    <t>M-PLB-091</t>
  </si>
  <si>
    <t>sospiscinas</t>
  </si>
  <si>
    <t>M-PLB-092</t>
  </si>
  <si>
    <t>M-PLB-094</t>
  </si>
  <si>
    <t>Клапани з ПВХ діаметром 90мм</t>
  </si>
  <si>
    <t>M-PLB-095</t>
  </si>
  <si>
    <t>Клапани з ПВХ діаметром 110мм</t>
  </si>
  <si>
    <t>M-PLB-096</t>
  </si>
  <si>
    <t>Контрольна коробка KS 10/30</t>
  </si>
  <si>
    <t>zinco</t>
  </si>
  <si>
    <t>Найдена только примерная цена</t>
  </si>
  <si>
    <t>M-PLB-119</t>
  </si>
  <si>
    <t>Зовнішній блок кондиціонування типу VRF</t>
  </si>
  <si>
    <t>M-PLB-120</t>
  </si>
  <si>
    <t>Внутрішні блоки системи VRF канального типу UI.01.##.25C</t>
  </si>
  <si>
    <t>groupsumi</t>
  </si>
  <si>
    <t>M-PLB-121</t>
  </si>
  <si>
    <t>Внутрішні блоки системи VRF канального типу UI.01##.50C</t>
  </si>
  <si>
    <t>M-PLB-122</t>
  </si>
  <si>
    <t>Внутрішні блоки системи VRF канального типу UI.01.##.140C</t>
  </si>
  <si>
    <t>klima</t>
  </si>
  <si>
    <t>M-PLB-123</t>
  </si>
  <si>
    <t xml:space="preserve">Люк 60x60см </t>
  </si>
  <si>
    <t>M-PLB-124</t>
  </si>
  <si>
    <t>Розгалужувачі для системи VRF</t>
  </si>
  <si>
    <t>M-PLB-125</t>
  </si>
  <si>
    <t xml:space="preserve">Тепловий насос с гідравлічниим модулем </t>
  </si>
  <si>
    <t>solardirecto</t>
  </si>
  <si>
    <t>M-PLB-126</t>
  </si>
  <si>
    <t>Система централізованого управління з сенсорним екраном</t>
  </si>
  <si>
    <t>smartly</t>
  </si>
  <si>
    <t>M-PLB-127</t>
  </si>
  <si>
    <t xml:space="preserve">Система індивідуальногоного управління </t>
  </si>
  <si>
    <t>keroclima</t>
  </si>
  <si>
    <t>M-PLB-130</t>
  </si>
  <si>
    <t>Труби мідні діаметром 6,4мм</t>
  </si>
  <si>
    <t>pecomark</t>
  </si>
  <si>
    <t>M-PLB-131</t>
  </si>
  <si>
    <t>Труби мідні діаметром 9,5мм</t>
  </si>
  <si>
    <t>В Португалии не найдено</t>
  </si>
  <si>
    <t>M-PLB-132</t>
  </si>
  <si>
    <t>Труби мідні діаметром 12,7мм</t>
  </si>
  <si>
    <t>worten</t>
  </si>
  <si>
    <t>M-PLB-133</t>
  </si>
  <si>
    <t>Труби мідні діаметром 15,9мм</t>
  </si>
  <si>
    <t>M-PLB-134</t>
  </si>
  <si>
    <t>Труби мідні діаметром 19,1мм</t>
  </si>
  <si>
    <t>ozonolda</t>
  </si>
  <si>
    <t>M-PLB-135</t>
  </si>
  <si>
    <t>Труби мідні діаметром 22,2мм</t>
  </si>
  <si>
    <t>M-PLB-136</t>
  </si>
  <si>
    <t>Труби мідні діаметром 28,6мм</t>
  </si>
  <si>
    <t>M-PLB-137</t>
  </si>
  <si>
    <t>Термоізоляця для труб діаметром 6,4мм</t>
  </si>
  <si>
    <t>M-PLB-138</t>
  </si>
  <si>
    <t>Термоізоляця для труб діаметром 9,5мм</t>
  </si>
  <si>
    <t>M-PLB-139</t>
  </si>
  <si>
    <t>Термоізоляця для труб діаметром 12,7мм</t>
  </si>
  <si>
    <t>cmedeiros</t>
  </si>
  <si>
    <t>M-PLB-140</t>
  </si>
  <si>
    <t>Термоізоляця для труб діаметром 15,9мм</t>
  </si>
  <si>
    <t>boni</t>
  </si>
  <si>
    <t>M-PLB-141</t>
  </si>
  <si>
    <t>Термоізоляця для труб діаметром 19,1мм</t>
  </si>
  <si>
    <t>M-PLB-142</t>
  </si>
  <si>
    <t>Термоізоляця для труб діаметром 22,2мм</t>
  </si>
  <si>
    <t>M-PLB-143</t>
  </si>
  <si>
    <t>Термоізоляця для труб діаметром 28,6мм</t>
  </si>
  <si>
    <t>M-PLB-144</t>
  </si>
  <si>
    <t>Труба ПВХ діаметром 32мм</t>
  </si>
  <si>
    <t>M-PLB-145</t>
  </si>
  <si>
    <t>Термоізоляця для труб діаметром 20мм</t>
  </si>
  <si>
    <t>M-PLB-146</t>
  </si>
  <si>
    <t>Термоізоляця для труб діаметром 26мм</t>
  </si>
  <si>
    <t>M-PLB-147</t>
  </si>
  <si>
    <t>Термоізоляця для труб діаметром32мм</t>
  </si>
  <si>
    <t>sanitop</t>
  </si>
  <si>
    <t>M-PLB-170</t>
  </si>
  <si>
    <t>Труба для теплої підлоги Ø 17x2</t>
  </si>
  <si>
    <t>M-PLB-171</t>
  </si>
  <si>
    <t>M-PLB-172</t>
  </si>
  <si>
    <t>M-PLB-173</t>
  </si>
  <si>
    <t>matrial</t>
  </si>
  <si>
    <t>M-PLB-174</t>
  </si>
  <si>
    <t>M-PLB-175</t>
  </si>
  <si>
    <t>outlet</t>
  </si>
  <si>
    <t>M-PLB-176</t>
  </si>
  <si>
    <t>eletrix</t>
  </si>
  <si>
    <t>M-PLB-177</t>
  </si>
  <si>
    <t>leroymerlin</t>
  </si>
  <si>
    <t>M-PLB-178</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</si>
  <si>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Nicolau Rosa</t>
    </r>
  </si>
  <si>
    <t>M-PLB-179</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</si>
  <si>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Climatizastore</t>
    </r>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rPr>
      <t xml:space="preserve"> ​</t>
    </r>
  </si>
  <si>
    <t>M-PLB-180</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</si>
  <si>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Disner</t>
    </r>
  </si>
  <si>
    <t>M-PLB-181</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</si>
  <si>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GroupSumi</t>
    </r>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rPr>
      <t xml:space="preserve"> ​</t>
    </r>
  </si>
  <si>
    <t>M-PLB-182</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</si>
  <si>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Seguí Clima</t>
    </r>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rPr>
      <t xml:space="preserve"> ​</t>
    </r>
  </si>
  <si>
    <t>M-PLB-183</t>
  </si>
  <si>
    <t>claudiomarqjes</t>
  </si>
  <si>
    <t>M-PLB-184</t>
  </si>
  <si>
    <t>mauser</t>
  </si>
  <si>
    <t>M-PLB-185</t>
  </si>
  <si>
    <r>
      <rPr>
        <color rgb="FF467886"/>
        <u/>
      </rPr>
      <t>Rolear Mais</t>
    </r>
  </si>
  <si>
    <t>Sonda exterior T2 RF</t>
  </si>
  <si>
    <t>M-PLB-186</t>
  </si>
  <si>
    <t>Oli World</t>
  </si>
  <si>
    <t xml:space="preserve">Cabeça eletrotérmica 220 Vac 2 fios </t>
  </si>
  <si>
    <t>M-PLB-187</t>
  </si>
  <si>
    <t>Grupo de mistura 25/6</t>
  </si>
  <si>
    <t>M-PLB-188</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</si>
  <si>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AS Pereira</t>
    </r>
  </si>
  <si>
    <t>M-PLB-189</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</si>
  <si>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Rolear Mais</t>
    </r>
  </si>
  <si>
    <t>M-PLB-191</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</si>
  <si>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Loja Solar</t>
    </r>
  </si>
  <si>
    <t>M-PLB-192</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</si>
  <si>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Nicolau Rosa</t>
    </r>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rPr>
      <t xml:space="preserve"> ​</t>
    </r>
  </si>
  <si>
    <t>M-PLB-193</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</si>
  <si>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Rolear Mais - Vulcano G 800-I</t>
    </r>
  </si>
  <si>
    <t>M-PLB-194</t>
  </si>
  <si>
    <t>climatizastore</t>
  </si>
  <si>
    <t>M-PLB-195</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</si>
  <si>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Rolear Mais - CW 100</t>
    </r>
  </si>
  <si>
    <t>M-PLB-196</t>
  </si>
  <si>
    <r>
      <rPr>
        <color rgb="FF467886"/>
        <u/>
      </rPr>
      <t>AS Pereira</t>
    </r>
  </si>
  <si>
    <t>10л</t>
  </si>
  <si>
    <t>M-PLB-197</t>
  </si>
  <si>
    <t>Nicolau Rosa</t>
  </si>
  <si>
    <t>M-PLB-198</t>
  </si>
  <si>
    <t>sanipires</t>
  </si>
  <si>
    <t>M-PLB-199</t>
  </si>
  <si>
    <t xml:space="preserve">Расширительный бак (вода бассейна) - VE3-25л </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</si>
  <si>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Leroy Merlin</t>
    </r>
  </si>
  <si>
    <t>M-PLB-200</t>
  </si>
  <si>
    <t>Труба мідна CU Ø 18</t>
  </si>
  <si>
    <r>
      <rPr>
        <color rgb="FF467886"/>
        <u/>
      </rPr>
      <t>Nicolau Rosa</t>
    </r>
  </si>
  <si>
    <t>M-PLB-201</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</si>
  <si>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AS Pereira</t>
    </r>
  </si>
  <si>
    <t>M-PLB-202</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</si>
  <si>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Cláudio Marques</t>
    </r>
  </si>
  <si>
    <t>M-PLB-203</t>
  </si>
  <si>
    <t>M-PLB-204</t>
  </si>
  <si>
    <r>
      <rPr>
        <color rgb="FF467886"/>
        <u/>
      </rPr>
      <t>GroupSum</t>
    </r>
  </si>
  <si>
    <t>M-PLB-205</t>
  </si>
  <si>
    <r>
      <rPr>
        <color rgb="FF467886"/>
        <u/>
      </rPr>
      <t>Sohorta</t>
    </r>
  </si>
  <si>
    <t>M-PLB-206</t>
  </si>
  <si>
    <r>
      <rPr>
        <color rgb="FF467886"/>
        <u/>
      </rPr>
      <t>Quimipool</t>
    </r>
  </si>
  <si>
    <t>M-PLB-207</t>
  </si>
  <si>
    <r>
      <rPr>
        <color rgb="FF467886"/>
        <u/>
      </rPr>
      <t>AS Pereira</t>
    </r>
  </si>
  <si>
    <t>M-PLB-208</t>
  </si>
  <si>
    <r>
      <rPr>
        <color rgb="FF467886"/>
        <u/>
      </rPr>
      <t>Leroy Merlin</t>
    </r>
  </si>
  <si>
    <t>M-PLB-209</t>
  </si>
  <si>
    <r>
      <rPr>
        <color rgb="FF467886"/>
        <u/>
      </rPr>
      <t>Klima</t>
    </r>
  </si>
  <si>
    <t>M-PLB-210</t>
  </si>
  <si>
    <t>Тепловий насос для нагріву зовнішнього басейну</t>
  </si>
  <si>
    <r>
      <rPr>
        <color rgb="FF467886"/>
        <u/>
      </rPr>
      <t>Hidraulicart</t>
    </r>
  </si>
  <si>
    <t>M-PLB-211</t>
  </si>
  <si>
    <t>Повітропровід діаметром 125мм</t>
  </si>
  <si>
    <r>
      <rPr>
        <color rgb="FF467886"/>
        <u/>
      </rPr>
      <t>Manutan</t>
    </r>
  </si>
  <si>
    <t>M-PLB-212</t>
  </si>
  <si>
    <t>Повітропровід з листового металу діаметром 200мм</t>
  </si>
  <si>
    <r>
      <rPr>
        <color rgb="FF467886"/>
        <u/>
      </rPr>
      <t>Ventileco</t>
    </r>
  </si>
  <si>
    <t>M-PLB-213</t>
  </si>
  <si>
    <t>Повітропровід з ПВХ діаметром 80мм</t>
  </si>
  <si>
    <r>
      <rPr>
        <color rgb="FF467886"/>
        <u/>
      </rPr>
      <t>Leroy Merlin</t>
    </r>
  </si>
  <si>
    <t>M-PLB-214</t>
  </si>
  <si>
    <t>Повітропровід з листового металу діаметром 100мм</t>
  </si>
  <si>
    <t>M-PLB-215</t>
  </si>
  <si>
    <t>Повітропровід з листового металу діаметром 150мм</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</si>
  <si>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Nicolau Rosa</t>
    </r>
  </si>
  <si>
    <t>M-PLB-216</t>
  </si>
  <si>
    <t>Прямокутні повітропроводи з ізольованого алюмінію</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</si>
  <si>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Gerador de Preços</t>
    </r>
  </si>
  <si>
    <t>M-PLB-217</t>
  </si>
  <si>
    <t>Вентиляційна установка з рекуперацією тепла</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</si>
  <si>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GroupSumi</t>
    </r>
  </si>
  <si>
    <t>M-PLB-218</t>
  </si>
  <si>
    <t>Вентилятори канальні</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</si>
  <si>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Termocliv</t>
    </r>
  </si>
  <si>
    <t>M-PLB-219</t>
  </si>
  <si>
    <t>Заслінка вентиляційна</t>
  </si>
  <si>
    <r>
      <rPr>
        <color rgb="FF467886"/>
        <u/>
      </rPr>
      <t>ODEM</t>
    </r>
  </si>
  <si>
    <t>M-PLB-220</t>
  </si>
  <si>
    <t>Клапан витяжний</t>
  </si>
  <si>
    <r>
      <rPr>
        <color rgb="FF467886"/>
        <u/>
      </rPr>
      <t>Leroy Merlin</t>
    </r>
  </si>
  <si>
    <t>M-PLB-222</t>
  </si>
  <si>
    <t>Лінійний дифузор DLI. 3000X33</t>
  </si>
  <si>
    <r>
      <rPr>
        <color rgb="FF467886"/>
        <u/>
      </rPr>
      <t>Sodeca</t>
    </r>
  </si>
  <si>
    <t>M-PLB-223</t>
  </si>
  <si>
    <t>Лінійний дифузор DLI. 6000X33</t>
  </si>
  <si>
    <r>
      <rPr>
        <color rgb="FF467886"/>
        <u/>
      </rPr>
      <t>Sodeca</t>
    </r>
  </si>
  <si>
    <t>M-PLB-224</t>
  </si>
  <si>
    <t>Лінійний дифузор DLR. 6000X40</t>
  </si>
  <si>
    <r>
      <rPr>
        <color rgb="FF467886"/>
        <u/>
      </rPr>
      <t>Fricer</t>
    </r>
  </si>
  <si>
    <t>M-PLB-225</t>
  </si>
  <si>
    <t>Лінійний дифузор DLI.5500x20</t>
  </si>
  <si>
    <t>Не найдено в интернете
Стандартные диффузоры: 80-120 EUR за погонный метр
Специальные размеры под заказ: +30-50% надбавка
DLI (инсуфляция) дороже DLR (возврат) на 15-25%</t>
  </si>
  <si>
    <t>M-PLB-226</t>
  </si>
  <si>
    <t>Лінійний дифузор DLR.2000x33</t>
  </si>
  <si>
    <t>M-PLB-227</t>
  </si>
  <si>
    <t>Лінійний дифузор GLI 600x150</t>
  </si>
  <si>
    <r>
      <rPr>
        <color rgb="FF467886"/>
        <u/>
      </rPr>
      <t>Arimec</t>
    </r>
  </si>
  <si>
    <t>M-PLB-228</t>
  </si>
  <si>
    <t>Лінійний дифузор GLR.600x150</t>
  </si>
  <si>
    <r>
      <rPr>
        <color rgb="FF467886"/>
        <u/>
      </rPr>
      <t>Fricer</t>
    </r>
  </si>
  <si>
    <t>M-PLB-229</t>
  </si>
  <si>
    <t>Лінійний дифузор GLI 1000x150</t>
  </si>
  <si>
    <r>
      <rPr>
        <color rgb="FF467886"/>
        <u/>
      </rPr>
      <t>Arimec</t>
    </r>
  </si>
  <si>
    <t>M-PLB-230</t>
  </si>
  <si>
    <t>Лінійний дифузор GLR.1000x150</t>
  </si>
  <si>
    <r>
      <rPr>
        <color rgb="FF467886"/>
        <u/>
      </rPr>
      <t>Saniluz</t>
    </r>
  </si>
  <si>
    <t>M-PLB-231</t>
  </si>
  <si>
    <t>Лінійний дифузор GAE 300x300</t>
  </si>
  <si>
    <r>
      <rPr>
        <color rgb="FF467886"/>
        <u/>
      </rPr>
      <t>Sodeca</t>
    </r>
  </si>
  <si>
    <t>M-PLB-232</t>
  </si>
  <si>
    <t>Лінійний дифузор GAR 45м3/ч</t>
  </si>
  <si>
    <r>
      <rPr>
        <color rgb="FF467886"/>
        <u/>
      </rPr>
      <t>Leroy Merlin</t>
    </r>
  </si>
  <si>
    <t>Електрика</t>
  </si>
  <si>
    <t>M-PRT-001</t>
  </si>
  <si>
    <t>Щит ввідний</t>
  </si>
  <si>
    <r>
      <rPr>
        <color rgb="FF467886"/>
        <u/>
      </rPr>
      <t>Obramat</t>
    </r>
  </si>
  <si>
    <t>M-PRT-002</t>
  </si>
  <si>
    <t>Коробка прямого телеобліку</t>
  </si>
  <si>
    <r>
      <rPr>
        <color rgb="FF467886"/>
        <u/>
      </rPr>
      <t>TEV</t>
    </r>
  </si>
  <si>
    <t>M-PRT-003</t>
  </si>
  <si>
    <r>
      <rPr>
        <color rgb="FF467886"/>
        <u/>
      </rPr>
      <t>Obramat</t>
    </r>
  </si>
  <si>
    <t>M-PRT-004</t>
  </si>
  <si>
    <r>
      <rPr>
        <color rgb="FF467886"/>
        <u/>
      </rPr>
      <t>Obramat</t>
    </r>
  </si>
  <si>
    <t>M-PRT-005</t>
  </si>
  <si>
    <r>
      <rPr>
        <color rgb="FF467886"/>
        <u/>
      </rPr>
      <t>Obramat</t>
    </r>
  </si>
  <si>
    <t>M-PRT-006</t>
  </si>
  <si>
    <t>Electromino</t>
  </si>
  <si>
    <t>M-PRT-007</t>
  </si>
  <si>
    <r>
      <rPr>
        <color rgb="FF467886"/>
        <u/>
      </rPr>
      <t>Watt</t>
    </r>
  </si>
  <si>
    <t>M-PRT-008</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</si>
  <si>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Watt</t>
    </r>
  </si>
  <si>
    <t>M-PRT-009</t>
  </si>
  <si>
    <t>Кабель P100 - Переходная коробка</t>
  </si>
  <si>
    <t>maxmat</t>
  </si>
  <si>
    <t>M-PRT-010</t>
  </si>
  <si>
    <t>Кабель QGE - QP1</t>
  </si>
  <si>
    <t>M-PRT-011</t>
  </si>
  <si>
    <t>Кабель QGE - Плита 1</t>
  </si>
  <si>
    <t>chlengenharia</t>
  </si>
  <si>
    <t>M-PRT-012</t>
  </si>
  <si>
    <t>Кабель QGE - QP-1</t>
  </si>
  <si>
    <t>M-PRT-013</t>
  </si>
  <si>
    <t>Кабель QP-1 - QPAT1</t>
  </si>
  <si>
    <r>
      <rPr>
        <color rgb="FF467886"/>
        <u/>
      </rPr>
      <t>Obramat</t>
    </r>
  </si>
  <si>
    <t>M-PRT-014</t>
  </si>
  <si>
    <t>Кабель QP-1 - QPAT2</t>
  </si>
  <si>
    <r>
      <rPr>
        <color rgb="FF467886"/>
        <u/>
      </rPr>
      <t>CHL Engenharia</t>
    </r>
  </si>
  <si>
    <t>M-PRT-015</t>
  </si>
  <si>
    <t>Кабель QP-1 - QPZT</t>
  </si>
  <si>
    <r>
      <rPr>
        <color rgb="FF467886"/>
        <u/>
      </rPr>
      <t>CHL Engenharia</t>
    </r>
  </si>
  <si>
    <t>M-PRT-016</t>
  </si>
  <si>
    <t>Кабель QP-1 - Сауна</t>
  </si>
  <si>
    <r>
      <rPr>
        <color rgb="FF467886"/>
        <u/>
      </rPr>
      <t>Electropescador</t>
    </r>
  </si>
  <si>
    <t>M-PRT-017</t>
  </si>
  <si>
    <t>Кабель QP-1-Электромобиль 1</t>
  </si>
  <si>
    <r>
      <rPr>
        <color rgb="FF467886"/>
        <u/>
      </rPr>
      <t>Obramat</t>
    </r>
  </si>
  <si>
    <t>M-PRT-018</t>
  </si>
  <si>
    <t>Кабель QP-1-Электромобиль 2</t>
  </si>
  <si>
    <r>
      <rPr>
        <color rgb="FF467886"/>
        <u/>
      </rPr>
      <t>Obramat</t>
    </r>
  </si>
  <si>
    <t>M-PRT-019</t>
  </si>
  <si>
    <t>Кабель Q.Бассейн(исключен) - ТН Бассейн</t>
  </si>
  <si>
    <r>
      <rPr>
        <color rgb="FF467886"/>
        <u/>
      </rPr>
      <t>Plusdias</t>
    </r>
  </si>
  <si>
    <t>M-PRT-020</t>
  </si>
  <si>
    <r>
      <rPr>
        <color rgb="FF467886"/>
        <u/>
      </rPr>
      <t>Casa Peixoto</t>
    </r>
  </si>
  <si>
    <t>M-PRT-021</t>
  </si>
  <si>
    <r>
      <rPr>
        <color rgb="FF467886"/>
        <u/>
      </rPr>
      <t>Casa Peixoto</t>
    </r>
  </si>
  <si>
    <t>M-PRT-022</t>
  </si>
  <si>
    <r>
      <rPr>
        <color rgb="FF467886"/>
        <u/>
      </rPr>
      <t>Casa Peixoto</t>
    </r>
  </si>
  <si>
    <t>M-PRT-023</t>
  </si>
  <si>
    <r>
      <rPr>
        <color rgb="FF467886"/>
        <u/>
      </rPr>
      <t>Casa Peixoto</t>
    </r>
  </si>
  <si>
    <t>M-PRT-024</t>
  </si>
  <si>
    <r>
      <rPr>
        <color rgb="FF467886"/>
        <u/>
      </rPr>
      <t>Casa Peixoto</t>
    </r>
  </si>
  <si>
    <t>M-PRT-025</t>
  </si>
  <si>
    <r>
      <rPr>
        <color rgb="FF467886"/>
        <u/>
      </rPr>
      <t>Obramat</t>
    </r>
  </si>
  <si>
    <t>M-PRT-026</t>
  </si>
  <si>
    <r>
      <rPr>
        <color rgb="FF467886"/>
        <u/>
      </rPr>
      <t>Mauser</t>
    </r>
  </si>
  <si>
    <t>M-PRT-027</t>
  </si>
  <si>
    <t>Коробки оглядові  0,6x0,6x0,6</t>
  </si>
  <si>
    <r>
      <rPr>
        <color rgb="FF467886"/>
        <u/>
      </rPr>
      <t>Casa Peixoto</t>
    </r>
  </si>
  <si>
    <t>M-PRT-028</t>
  </si>
  <si>
    <r>
      <rPr>
        <color rgb="FF467886"/>
        <u/>
      </rPr>
      <t>Leroy Merlin</t>
    </r>
  </si>
  <si>
    <t>M-PRT-029</t>
  </si>
  <si>
    <r>
      <rPr>
        <color rgb="FF467886"/>
        <u/>
      </rPr>
      <t>Gerador de Preços</t>
    </r>
  </si>
  <si>
    <t>M-PRT-030</t>
  </si>
  <si>
    <r>
      <rPr>
        <color rgb="FF467886"/>
        <u/>
      </rPr>
      <t>ElectroMatos</t>
    </r>
  </si>
  <si>
    <t>M-PRT-031</t>
  </si>
  <si>
    <t>Труба ERFE Ø25 заделанная</t>
  </si>
  <si>
    <t>M-PRT-032</t>
  </si>
  <si>
    <t>lisboaded</t>
  </si>
  <si>
    <t>M-PRT-033</t>
  </si>
  <si>
    <t>H07V-U1G2,5мм² в трубе</t>
  </si>
  <si>
    <t>lisboaled</t>
  </si>
  <si>
    <t>M-PRT-034</t>
  </si>
  <si>
    <t>Труба ERFE Ø20 заделанная</t>
  </si>
  <si>
    <t>hortavolt</t>
  </si>
  <si>
    <t>M-PRT-035</t>
  </si>
  <si>
    <t>Труба ERFE Ø32 заделанная</t>
  </si>
  <si>
    <t>castroelectronica</t>
  </si>
  <si>
    <t>M-PRT-036</t>
  </si>
  <si>
    <t>electromatoslda</t>
  </si>
  <si>
    <t>M-PRT-037</t>
  </si>
  <si>
    <t>M-PRT-038</t>
  </si>
  <si>
    <t>loja</t>
  </si>
  <si>
    <t>M-PRT-039</t>
  </si>
  <si>
    <t>M-PRT-040</t>
  </si>
  <si>
    <t>M-PRT-041</t>
  </si>
  <si>
    <t>M-PRT-042</t>
  </si>
  <si>
    <t>eficilux</t>
  </si>
  <si>
    <t>M-PRT-043</t>
  </si>
  <si>
    <t>M-PRT-044</t>
  </si>
  <si>
    <t xml:space="preserve">Простая розетка, Efapel logus 90 BB или эквивалентная </t>
  </si>
  <si>
    <t>M-PRT-045</t>
  </si>
  <si>
    <t>Двойная розетка, Efapel logus 90 BB или эквивалентная</t>
  </si>
  <si>
    <t>M-PRT-046</t>
  </si>
  <si>
    <t xml:space="preserve">Розетка 2P + T заделанная с защитными заглушками, с выходом 1 x USB тип A и 1 x USB тип, Efapel logus 90 BB или эквивалентная </t>
  </si>
  <si>
    <r>
      <rPr>
        <color rgb="FF467886"/>
        <u/>
      </rPr>
      <t>Electropescador</t>
    </r>
  </si>
  <si>
    <t>M-PRT-047</t>
  </si>
  <si>
    <t xml:space="preserve">Розетка 2P + T простая герметичная с крышкой и защитными заглушками IP44, Efapel logus 90 BB или эквивалентная </t>
  </si>
  <si>
    <t>casamartelo</t>
  </si>
  <si>
    <t>M-PRT-048</t>
  </si>
  <si>
    <t xml:space="preserve">Розетка 2P + T двойная герметичная с крышкой и защитными заглушками IP44, Efapel logus 90 BB или эквивалентная </t>
  </si>
  <si>
    <t>M-PRT-049</t>
  </si>
  <si>
    <r>
      <rPr>
        <rFont val="Arial"/>
        <color rgb="FF467886"/>
        <u/>
      </rPr>
      <t>EVChargers</t>
    </r>
  </si>
  <si>
    <t>M-PRT-050</t>
  </si>
  <si>
    <t>Напольная коробка с 2 розетками Schuko с защищенными гнездами, UDHOME 2 от OBO BETTERMAN или эквивалентная</t>
  </si>
  <si>
    <r>
      <rPr>
        <rFont val="Arial"/>
        <color rgb="FF467886"/>
        <u/>
      </rPr>
      <t>Eibabo</t>
    </r>
  </si>
  <si>
    <t>M-PRT-051</t>
  </si>
  <si>
    <t>Напольная коробка с 1 розеткой Schuko с защищенными гнездами для наружного применения, IP66, марка Simon или эквивалентная</t>
  </si>
  <si>
    <r>
      <rPr>
        <color rgb="FF467886"/>
        <u/>
      </rPr>
      <t>Simon Electric</t>
    </r>
  </si>
  <si>
    <t>M-PRT-052</t>
  </si>
  <si>
    <t xml:space="preserve">Двойная розетка 2P + T заделанная с защитными заглушками, герметичная, IP55, LEGRAND PLEXO или эквивалентная </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</si>
  <si>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Legrand</t>
    </r>
  </si>
  <si>
    <t>M-PRT-053</t>
  </si>
  <si>
    <t>H05VV-F 4x1,5мм² в трубе</t>
  </si>
  <si>
    <r>
      <rPr>
        <color rgb="FF467886"/>
        <u/>
      </rPr>
      <t>Plusdias</t>
    </r>
  </si>
  <si>
    <t>M-PRT-054</t>
  </si>
  <si>
    <t>Розподільча коробка</t>
  </si>
  <si>
    <r>
      <rPr>
        <color rgb="FF467886"/>
        <u/>
      </rPr>
      <t>Obramat</t>
    </r>
  </si>
  <si>
    <t>M-PRT-055</t>
  </si>
  <si>
    <t>H05VV-F 2x1,5мм² в трубе</t>
  </si>
  <si>
    <r>
      <rPr>
        <color rgb="FF467886"/>
        <u/>
      </rPr>
      <t>Obramat</t>
    </r>
  </si>
  <si>
    <t>M-PRT-056</t>
  </si>
  <si>
    <t>H05VV-F 3G1,5мм² в трубе</t>
  </si>
  <si>
    <r>
      <rPr>
        <color rgb="FF467886"/>
        <u/>
      </rPr>
      <t>Watt</t>
    </r>
  </si>
  <si>
    <t>M-PRT-057</t>
  </si>
  <si>
    <t>XAV 3G1.5 в трубе для наружного освещения</t>
  </si>
  <si>
    <r>
      <rPr>
        <color rgb="FF467886"/>
        <u/>
      </rPr>
      <t>Hortavolt</t>
    </r>
  </si>
  <si>
    <t>M-PRT-058</t>
  </si>
  <si>
    <t>Розподільча коробка Gewiss</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</si>
  <si>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sz val="11.0"/>
        <u/>
      </rPr>
      <t>Sapol</t>
    </r>
  </si>
  <si>
    <t>M-PRT-059</t>
  </si>
  <si>
    <t>Розподільча коробка з гелем</t>
  </si>
  <si>
    <r>
      <rPr>
        <color rgb="FF467886"/>
        <u/>
      </rPr>
      <t>Castro Electrónica</t>
    </r>
  </si>
  <si>
    <t>M-PRT-060</t>
  </si>
  <si>
    <t>Світильники точкові</t>
  </si>
  <si>
    <t>M-PRT-061</t>
  </si>
  <si>
    <t>Датчики руху</t>
  </si>
  <si>
    <t>M-PRT-062</t>
  </si>
  <si>
    <t>Точка заживлення гардеробів</t>
  </si>
  <si>
    <t>M-PRT-063</t>
  </si>
  <si>
    <t>Вимикачі</t>
  </si>
  <si>
    <t>kuantokusta</t>
  </si>
  <si>
    <t>M-PRT-064</t>
  </si>
  <si>
    <t>Коробки С0</t>
  </si>
  <si>
    <t>M-PRT-065</t>
  </si>
  <si>
    <t>Коробки С1</t>
  </si>
  <si>
    <t>M-PRT-066</t>
  </si>
  <si>
    <t>Коробки С2</t>
  </si>
  <si>
    <r>
      <rPr>
        <color rgb="FF467886"/>
        <u/>
      </rPr>
      <t>CHL Engenharia</t>
    </r>
  </si>
  <si>
    <t>M-PRT-067</t>
  </si>
  <si>
    <t>Камера САМ</t>
  </si>
  <si>
    <r>
      <rPr>
        <color rgb="FF467886"/>
        <u/>
      </rPr>
      <t>Leroy Merlin</t>
    </r>
  </si>
  <si>
    <t>M-PRT-068</t>
  </si>
  <si>
    <t>Коробка апаратури I1</t>
  </si>
  <si>
    <r>
      <rPr>
        <color rgb="FF467886"/>
        <u/>
      </rPr>
      <t>Eficilux</t>
    </r>
  </si>
  <si>
    <t>M-PRT-069</t>
  </si>
  <si>
    <t>Терминальная розетка 2,4МГц от Televe</t>
  </si>
  <si>
    <r>
      <rPr>
        <color rgb="FF467886"/>
        <u/>
      </rPr>
      <t>Teclusa</t>
    </r>
  </si>
  <si>
    <t>M-PRT-070</t>
  </si>
  <si>
    <t>Розетка RJ45</t>
  </si>
  <si>
    <r>
      <rPr>
        <color rgb="FF467886"/>
        <u/>
      </rPr>
      <t>Loja do Eletricista</t>
    </r>
  </si>
  <si>
    <t>M-PRT-071</t>
  </si>
  <si>
    <t>Двойная розетка оптоволокна SC/APC</t>
  </si>
  <si>
    <r>
      <rPr>
        <rFont val="unset"/>
        <color rgb="FF467886"/>
        <u/>
      </rPr>
      <t>Loja do Eletricista</t>
    </r>
  </si>
  <si>
    <t>M-PRT-072</t>
  </si>
  <si>
    <t xml:space="preserve">Коаксиальный кабель Televes 2141 </t>
  </si>
  <si>
    <r>
      <rPr>
        <color rgb="FF467886"/>
        <u/>
      </rPr>
      <t>Castro Electronica</t>
    </r>
  </si>
  <si>
    <t>M-PRT-073</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</si>
  <si>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u/>
      </rPr>
      <t>Lisboale</t>
    </r>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467886"/>
      </rPr>
      <t>d</t>
    </r>
  </si>
  <si>
    <t>M-PRT-074</t>
  </si>
  <si>
    <t>M-PRT-075</t>
  </si>
  <si>
    <r>
      <rPr>
        <color rgb="FF467886"/>
        <u/>
      </rPr>
      <t>CHL Engenharia</t>
    </r>
  </si>
  <si>
    <t>M-PRT-076</t>
  </si>
  <si>
    <r>
      <rPr>
        <color rgb="FF467886"/>
        <u/>
      </rPr>
      <t>CHL Engenharia</t>
    </r>
  </si>
  <si>
    <t>РОБОТА</t>
  </si>
  <si>
    <t>Підготовчі роботи</t>
  </si>
  <si>
    <t>W-PRE-001</t>
  </si>
  <si>
    <t>Поставка и установка, обслуживание и демонтаж ограждения вокруг участка с непрозрачными панелями из профилированного оцинкованного стального листа толщиной 0,6 мм, с ребрами высотой от 40 до 50 мм, расположенными на расстоянии от 250 до 270 мм, и профилями в S из согнутого оцинкованного стального листа размером 102x33x1,5 мм, с отделкой сендзимир, длиной 2,8 м, закрепленными в земле с помощью кубов бетона C20/25 XC0 Cl0.40 Dmax 25mm S2 размером 102x33x1,5 см, каждые 2,0 м, включая все работы и материалы, которые к ним относятся.</t>
  </si>
  <si>
    <t>Цена из спецификации которую я прописывал</t>
  </si>
  <si>
    <t>W-PRE-002</t>
  </si>
  <si>
    <t>Поставка и монтаж, обслуживание и разборка раздвижных ворот для доступа транспортных средств из оцинкованной стали из двух створок с приблизительными размерами 4,0x2,0м с защелкой для замка и фурнитурой для крепления к полу, установленные в временном ограждении территории, закрепленные с помощью столбов из того же материала, анкерованных в грунте с помощью бетонных кубов C20/25 XC0 Cl0.40 Dmáx 25mm S2, включая все работы и материалы, связанные с этим.</t>
  </si>
  <si>
    <t>Труд: 2-чел. бригада. Операции: разгрузка/подготовка (≈1 ч), разметка/установка столбов и створок (≈6–7 ч), промежуточное обслуживание/осмотр в период эксплуатации (≈1 ч), демонтаж и вывоз (≈3–4 ч), логистика/настройка инструмента (≈1–1,5 ч). Норма: суммарно ≈24–26 чел.-ч. При типовой ставке бригады это даёт труд ≈ €620–700 (без IVA). Материалы и их цены намеренно не описываю.</t>
  </si>
  <si>
    <t>W-PRE-003</t>
  </si>
  <si>
    <t>Поставка и установка информационного щита, рекламирующего строительство, включая все работы и материалы, относящиеся к этому.</t>
  </si>
  <si>
    <t xml:space="preserve">Труд: 2-чел. бригада. Разметка и установка стоек/креплений (≈0,5 ч), сборка/монтаж щита (≈1 ч), выверка/фиксация (≈0,5 ч), фото-фиксация/сдача (≈0,25 ч). Норма: ~3–3,5 чел.-ч. Визиты: 1. </t>
  </si>
  <si>
    <t>W-PRE-004</t>
  </si>
  <si>
    <t>Поставка и выполнение первичных сетей электричества, воды и канализации, включая ежемесячное потребление в течение всего срока выполнения работ до предварительного приемки, включая связанные работы и материалы.</t>
  </si>
  <si>
    <t>міс</t>
  </si>
  <si>
    <t>W-PRE-005</t>
  </si>
  <si>
    <t>Поставка и монтаж офисного модуля размером 6,0x3,0 м для строительных совещаний, установленного на выровненной основе из щебня, с туалетом и кондиционером, включая заземление и все сопутствующие работы и материалы.</t>
  </si>
  <si>
    <t>W-PRE-006</t>
  </si>
  <si>
    <t>Поставка и монтаж модуля общего инструмента размером 3,0x2,40 м типа морского контейнера, установленного на выровненной основе из щебня, включая все работы и материалы, связанные с этим.</t>
  </si>
  <si>
    <t>W-PRE-007</t>
  </si>
  <si>
    <t>Поставка и установка портативного санитарного блока из полиэтилена размером 1,20x1,20x2,35м серого цвета или другого, без подключений, с анаэробным химическим туалетом с системой сброса на ножном приводе, зеркалом, дверью с замком и полупрозрачным потолком для пропуска внешнего света, включая еженедельную уборку и все сопутствующие работы и материалы.</t>
  </si>
  <si>
    <t>W-PRE-008</t>
  </si>
  <si>
    <t>Поставка и выполнение топографической разбивки через специализированного техника уровней установки строительства, включая бассейн и границы, а также все работы и материалы, связанные с этим.</t>
  </si>
  <si>
    <t>W-PRE-009</t>
  </si>
  <si>
    <t>Поставка и монтаж строительных лесов из стандартных труб, многофункционального типа, высотой до 9 м, состоящих из стальной трубной конструкции из горячекатаной оцинкованной стали диаметром 48,3 мм и толщиной 3,2 мм, без дублирования вертикальных элементов, состоящих из рабочих платформ шириной 60 см, размещенных каждые 2 м по высоте, внутренней лестницы с люком, задних ограждений с двумя перекладинами и нижней планкой, и передних ограждений с одной перекладиной, для выполнения фасада(ов) с конструктивными элементами (крытые и открытые террасы, карнизы и другие и т. д.), размещенными на более чем 50% их периметра и выступающими более чем на 30 см от плоскости фасада. Примечание (1): строительные леса должны полностью соответствовать действующему законодательству, в частности, EN 12811 и EN 12810.</t>
  </si>
  <si>
    <t>W-PRE-010</t>
  </si>
  <si>
    <t>Поставка, выполнение и внедрение/адаптация плана безопасности и здоровья (ПБЗ) на этапе строительства, включая все работы и материалы, связанные с этим.</t>
  </si>
  <si>
    <t>W-PRE-011</t>
  </si>
  <si>
    <t>Поставка, выполнение и внедрение/адаптация плана управления отходами (ПГО), его классификация (ЛЕР), сортировка и разделение на его перерабатываемые компоненты и соответствующая утилизация или транспортировка в зоны переработки и к уполномоченным и лицензированным операторам, в соответствии с действующим законодательством.</t>
  </si>
  <si>
    <t>W-PRE-012</t>
  </si>
  <si>
    <t>Подготовка и передача владельцу строительного проекта технической компиляции работ, которая включает полезные элементы, которые следует учитывать при их будущем использовании, а также работы, выполняемые после их завершения для сохранения безопасности и здоровья тех, кто их выполняет, в соответствии с положениями статьи 16 Декрета-Закона № 273/2003 от 29 октября, с учетом итоговых чертежей всех специальностей на бумажном и цифровом носителе, всех исследований, проектов, сопутствующей и связанной документации.</t>
  </si>
  <si>
    <t>W-PRE-013</t>
  </si>
  <si>
    <t>Обеспечение и координация человеческих и материальных ресурсов, необходимых для уборки и обслуживания строительной площадки, включая установку всего оборудования безопасности, такого как ограждения и линии жизни и т.д., все в соответствии с действующим законодательством.</t>
  </si>
  <si>
    <t>W-PRE-014</t>
  </si>
  <si>
    <t>Поставка специализированного персонала, а именно директора проекта (гражданский инженер), главного прораба, подготовителя проекта.</t>
  </si>
  <si>
    <t>W-PRE-015</t>
  </si>
  <si>
    <t>Поставка и установка оборудования и материалов безопасности, расположенных в видимых местах, включая все работы и материалы, связанные с этим.</t>
  </si>
  <si>
    <t>W-PRE-016</t>
  </si>
  <si>
    <t>Поставка и выполнение земляных работ на любом типе грунта для основания крана, включая укладку земли в хранилище для насыпей, уплотнение и выравнивание основания рабочей платформы, а также все работы и материалы, связанные с этим.</t>
  </si>
  <si>
    <t>W-PRE-017</t>
  </si>
  <si>
    <t>Поставка и выполнение элементов бетонной конструкции типа C25/30 XC2(P) Dmáx 20mm S3, изготовленных, транспортированных и уложенных на объекте в соответствии с NP EN 206-1 и NP ENV 13670-1 для основания установки крана, включая выполнение опалубки и арматур из стали типа A500NR SD и все работы, необходимые для качественной отделки, всё в соответствии с проектом устойчивости, включая все работы и материалы, связанные с этим. Примечание (1): необходимо учитывать демонтаж фундамента крана.</t>
  </si>
  <si>
    <t>W-PRE-018</t>
  </si>
  <si>
    <t>Монтаж крана</t>
  </si>
  <si>
    <t>W-PRE-019</t>
  </si>
  <si>
    <t>Эксплуатация крана</t>
  </si>
  <si>
    <t>W-PRE-020</t>
  </si>
  <si>
    <t>Демонтаж крана</t>
  </si>
  <si>
    <t>W-PRE-021</t>
  </si>
  <si>
    <t>Доставка крана</t>
  </si>
  <si>
    <t>W-PRE-022</t>
  </si>
  <si>
    <t>Вывоз крана</t>
  </si>
  <si>
    <t>Земляні роботи</t>
  </si>
  <si>
    <t>W-LND-001</t>
  </si>
  <si>
    <t>Люмп-сум только за работы: ориентир по трудоёмкости 32–40 чел.-ч (бригада 2–3 чел., 1,5–2 смены) и/или эквивалент ≈5 000 м² × €0,20/м² → ~€1 000. Без стоимости вывоза/утилизации.</t>
  </si>
  <si>
    <t>W-LND-002</t>
  </si>
  <si>
    <t>Производительность экскаватора 18–25 м³/ч; труд+машвремя и внутр. переброска по площадке → ~€6/м³ без внешней логистики.</t>
  </si>
  <si>
    <t>W-LND-003</t>
  </si>
  <si>
    <t>Труд: распределение, увлажнение, уплотнение слоями ≤0,30 м. Рыночный «комплекс» ~20–30 €/м³ с материалом; за чистые работы принимаю €18/м³.</t>
  </si>
  <si>
    <t>W-LND-004</t>
  </si>
  <si>
    <t>Согласно актуальным рыночным ценам в Португалии за 2025 год, транспортировка грунта составляет €5,89/м³, обязательная сдача на лицензированный полигон - €2,18/м³, плюс учет 20% коэффициента разрыхления и погрузочно-разгрузочные работы
Только работа/механизация: погрузка экскаватором + рейс самосвалом на коротком плече + разгрузка. Тарифы полигона/сборы — вне этой строки.</t>
  </si>
  <si>
    <t>W-LND-005</t>
  </si>
  <si>
    <t>Эквивалент из ставки €65/ч при средн. производительности ~21 м³/ч: 65/21 ≈ €3,10/м³ (только труд машиниста/мехвремя).</t>
  </si>
  <si>
    <t>W-LND-006</t>
  </si>
  <si>
    <t>Среднее между ценой из вашего источника (Катерина) (€25,00 за уплотнение грунта после засыпки) и рыночными ценами в Португалии (€17,00-€20,43 за aterro и compactação), включая транспортировку отборного грунта, послойную укладку с уплотнением и все сопутствующие работы
Чистые работы: распределение, полив, послойное уплотнение; без стоимости грунта и внешней логистики.</t>
  </si>
  <si>
    <t>W-LND-007</t>
  </si>
  <si>
    <t>Среднее между ценой из сметы Катерины (уплотнение грунта €25,00/м³) и рыночными ценами в Португалии на заимствованный грунт с транспортировкой (€4,96-€9,54/м³), включая полный цикл поставки материала, погрузочно-разгрузочных работ, транспортировки и распределения на участке
Работы по циклу «погрузка—короткое плечо—разгрузка—разравнивание»; стоимость грунта и дальние плечи/ожидания — вне этой строки.</t>
  </si>
  <si>
    <t>Залізобетонніі металеві конструкції</t>
  </si>
  <si>
    <t>W-CON-001</t>
  </si>
  <si>
    <t>Устройство щебеночного основания</t>
  </si>
  <si>
    <t>Труд на распределение и послойное уплотнение оснований по португальским нормам земляных работ даёт ≈€3,7–4,0/м³ MO; добавил запас на точную планировку щебня → €5,50/м³. Основано на разложении затрат для «aterro + compactação» в PT (MO ≈€3,76/м³). recipp.ipp.pt</t>
  </si>
  <si>
    <t>W-CON-008</t>
  </si>
  <si>
    <t xml:space="preserve">Влаштування піщаної основи </t>
  </si>
  <si>
    <r>
      <rPr>
        <rFont val="Arial"/>
        <color theme="1"/>
        <sz val="11.0"/>
      </rPr>
      <t xml:space="preserve">Аналогичный состав работ (распределение, увлажнение, трамбовка) — труд ≈€3,8–4,0/м³; для песка учёл чуть больший объём выравнивания → €4,50/м³. </t>
    </r>
    <r>
      <rPr>
        <rFont val="Arial"/>
        <color rgb="FF1155CC"/>
        <sz val="11.0"/>
        <u/>
      </rPr>
      <t>recipp.ipp.pt</t>
    </r>
  </si>
  <si>
    <t>W-CON-002</t>
  </si>
  <si>
    <t>Устройство чернового слоя бетона</t>
  </si>
  <si>
    <t>Рынок PT: «Aplicação de betão (бетононасос + работа)» ≈€12–13/м³; беру середину €12,50/м³ как чистая работа по укладке/вибрации. Scribd</t>
  </si>
  <si>
    <t>W-CON-003</t>
  </si>
  <si>
    <t>Сборка и разборка опалубки</t>
  </si>
  <si>
    <t>По CYPE для схожих операций по кофражу труд ≈€31,6/м² на сложных узлах; для типовых плоскостей (стены/плиты) — €24–30/м². Принял €28/м² как реалистичную ставку труда. geradordeprecos.info</t>
  </si>
  <si>
    <t>W-CON-004</t>
  </si>
  <si>
    <t>Изготовление и установка арматурных каркасов</t>
  </si>
  <si>
    <t>Профильные ставки по сборке арматуры в Португалии дают ~€0,22/кг труда; с учётом разброса (сложность/вязка/каркасы) принял €0,25/кг. anteprojectos.com.pt</t>
  </si>
  <si>
    <t>W-CON-005</t>
  </si>
  <si>
    <t>Укладка чистового бетона в опалубку</t>
  </si>
  <si>
    <t>См. рынок PT по укладке бетона (работа) ≈€12–13/м³ → €12,50/м³. Scribd</t>
  </si>
  <si>
    <t>W-CON-006</t>
  </si>
  <si>
    <t xml:space="preserve">Влаштування канатів попереднього напруження </t>
  </si>
  <si>
    <t xml:space="preserve">Таких цен у нас нету, нужно спрашивать у подрядчиков, В сметах Катерины и Peter &amp; Lina данная позиция не обнаружена. Цена основана на рыночных данных Португалии для систем пре-esforço (предварительного напряжения) с учетом стоимости кабелей из высокопрочной стали, установки в бетонную конструкцию, натяжения гидравлическим оборудованием и закрепления в анкерных узлах.
Специализированная работа субподрядчика (протяжка/фиксация/натяжение/инъектирование). Оценка по трудозатратам: 2 чел. × ~0,20–0,25 чел·ч/м + смена бригады на натяжение/инъекцию → ≈€12–16/м труда; взят центр €14/м (без учёта специализированного оборудования). </t>
  </si>
  <si>
    <t>W-CON-009</t>
  </si>
  <si>
    <t xml:space="preserve">Встановлення анкерів для канатів попереднього напруження </t>
  </si>
  <si>
    <t>Цена основана на рыночных данных Португалии для анкорагем систем пре-esforço, включая установку анкорных узлов на концах кабелей предварительного напряжения, крепление в бетоне, оборудование для натяжения и все необходимые материалы и работы
Труд на один анкер: разметка/сборка/установка/фиксация, 2 спец. × ~2–3 ч → €100–150/шт труда; беру €120/шт (без оборудования/расходников). Подтверждать у спецподрядчика (Freyssinet/VSL). ✨ℂ ℂ+1</t>
  </si>
  <si>
    <t>W-CON-007</t>
  </si>
  <si>
    <t xml:space="preserve">Влаштування системи Cobiax для залізобетонних перекриттів </t>
  </si>
  <si>
    <t>Допущение: «шт» = один модуль/элемент CBX. По технологическим картам монтаж высокопроизводительный; 2 рабочих способны укладывать десятки элементов в час → труд ~€1–2/шт, принимаю €1,80/шт (выравнивание/подрезка). ferca.pt+1</t>
  </si>
  <si>
    <t>W-CON-010</t>
  </si>
  <si>
    <t>Монтаж металоконструкцій колон</t>
  </si>
  <si>
    <t>Для сборки/болчения/локальной сварки на объекте: ориентир труда €0,6–1,0/кг; принял €0,80/кг. Основано на соотношениях труд/масса и ориентирах PT (допзатраты к стали ~€2/кг с материалами/краской) и данных CYPE по монтажу (низкие €/кг для простых рам). ubibliorum.ubi.pt+1</t>
  </si>
  <si>
    <t>W-CON-011</t>
  </si>
  <si>
    <t>Монтаж металоконструкцій балок</t>
  </si>
  <si>
    <t>Аналогично колоннам: типовой монтаж с подгонкой и временным раскреплением → €0,80/кг труда (без крана/такелажа). ubibliorum.ubi.pt+1</t>
  </si>
  <si>
    <t>W-CON-012</t>
  </si>
  <si>
    <t>Монтаж конструкцій з металевого профілю</t>
  </si>
  <si>
    <t>Лёгкий профиль — чуть ниже трудоёмкость: €0,7–0,8/кг, беру €0,75/кг. ubibliorum.ubi.pt</t>
  </si>
  <si>
    <t>W-CON-013</t>
  </si>
  <si>
    <t xml:space="preserve">Монтаж металоконструкцій сходів </t>
  </si>
  <si>
    <t>Комплектация заводская; на объекте — разметка, такелаж, сборка/фиксация, подгонка ступеней/площадок, выверка. Бригада 3 чел. × 2–3 смены + мелкая сварка/болчение → €1,7–2,2 тыс. труда; принял €1 950/шт (без крана).</t>
  </si>
  <si>
    <t>W-CON-020</t>
  </si>
  <si>
    <t>Герметизація швів бентонітовими шнурами Waterstop</t>
  </si>
  <si>
    <t>Труд на укладку бентонитового шнура ~€2,9–3,0/м по CYPE (профиль 20×10, клей/гвозди) → €3,00/м. geradordeprecos.info</t>
  </si>
  <si>
    <t>W-CON-021</t>
  </si>
  <si>
    <t>Влаштування деформаційних швів</t>
  </si>
  <si>
    <t>Для готового профиля труд = €1,23 (oficial) + €1,16 (operário) ≈ €2,39/м → принял €2,40/м (сам профиль — не включён). geradordeprecos.info</t>
  </si>
  <si>
    <t>W-CON-022</t>
  </si>
  <si>
    <t xml:space="preserve">Влаштування конструкцій з циклопічного бетону </t>
  </si>
  <si>
    <t>По CYPE труд на циклопический бетон (бетонирование «desde camião») ≈€5,6/м³ (сумма позиций MO) → €5,60/м³. geradordeprecos.info</t>
  </si>
  <si>
    <t>W-CON-023</t>
  </si>
  <si>
    <t xml:space="preserve">Влаштування декоративного елемента із залізобетону </t>
  </si>
  <si>
    <t>Оценка труда: условно 8 м² опалубки × €28/м² ≈ €224 + арматура ~50 кг × €0,25/кг ≈ €12,5 + бетонирование ~0,15 м³ × €12,5/м³ ≈ €2 + разопалубка/затирка/мелкая доводка/координация ≈ €500 → около €750. geradordeprecos.info+2anteprojectos.com.pt+2</t>
  </si>
  <si>
    <t>W-CON-024</t>
  </si>
  <si>
    <t>Поставка и полное выполнение лестницы соединения между пандусом парковки и настилом 0-го этажа (ESC 02)</t>
  </si>
  <si>
    <t>Цена основана на рыночных данных Португалии для строительства бетонной лестницы с учетом опалубки, арматуры, бетонирования, отделки и всех необходимых работ (€600-€4000 в зависимости от сложности, средняя цена €1750-€2900).
Труд по ЖБ лестнице средней сложности: опалубка (площади по проекту) + арматура + бетонирование + отделка. В пересчёте на человеко-часы даёт €1,3–1,6 тыс. труда; принял €1 450/шт.</t>
  </si>
  <si>
    <t>W-CON-025</t>
  </si>
  <si>
    <t>Поставка и полное выполнение наружной лестницы доступа к технической зоне #1 (ESC 03)</t>
  </si>
  <si>
    <t>В смете Катерины железобетонные лестницы включены в общий раздел перекрытий. Цена основана на рыночных данных Португалии для наружных лестниц доступа (€619-€3939 в зависимости от размера и материала, средняя цена для технических лестниц €1500-€1800)
Наружная лестница (облегчённая отделка) обычно требует меньше отделочных операций → €1,2–1,4 тыс. труда; принял €1 300/шт.</t>
  </si>
  <si>
    <t>W-CON-026</t>
  </si>
  <si>
    <t>Поставка и монтаж главной лестницы доступа к различным этажам дома (ESC01)</t>
  </si>
  <si>
    <t>Среднее между ценами из сметы Катерины (лестницы включены в общий раздел перекрытий по €30,00/м² опалубки + €2,00/кг арматуры + €15,00/м³ бетона = около €3500 за главную лестницу) и рыночными ценами в Португалии для главных внутренних лестниц из бетона (€900-€4000, средняя €1750-€2900 за работу), включая полный монтаж с опалубкой, арматурой, бетонированием и отделкой
Главная внутренняя лестница (более точная геометрия/отделка): труд ~€1,8–2,2 тыс.; принял €1 950/шт (без перил/облицовки).</t>
  </si>
  <si>
    <t>W-BRK-001</t>
  </si>
  <si>
    <t>Кладка кирпичных стен толщиной 25см</t>
  </si>
  <si>
    <t>Бригада (педreiro+помощник), ориентир ставки 10–15 €/ч и 8–12 €/ч; производительность ~1,8–2,0 м²/ч по сплошной стене → ≈€12/м² труда. Сверено с нормируемой трудоёмкостью кирпичной кладки в PT. (acrobatasworkforce.com)</t>
  </si>
  <si>
    <t>W-BRK-007</t>
  </si>
  <si>
    <t>Кладка кирпичных перегородок толщиной 15см</t>
  </si>
  <si>
    <t>Расчёт от базовой МО для одинарной кирпичной кладки (~€6,7/м² на 11 см) с поправкой +20–25% за толщину и доборные операции → €8,5/м². (cenfic.no.comunidades.net)</t>
  </si>
  <si>
    <t>W-BRK-003</t>
  </si>
  <si>
    <t>Кладка кирпичных перегородок толщиной 11см</t>
  </si>
  <si>
    <t>Принял труд из «ficha de rendimento» для панно 11 см: педreiro+помощник суммарно ≈€6,7/м² → округлил до €6,9/м². (cenfic.no.comunidades.net)</t>
  </si>
  <si>
    <t>W-BRK-004</t>
  </si>
  <si>
    <t>Кладка кирпичных перегородок толщиной 7см</t>
  </si>
  <si>
    <t>Лёгкая перегородка: высокая укладка по количеству элементов, но меньшая масса/подгонка; берём чуть ниже 11 см — €6,0/м² труда (эмпирическая поправка к норме 11 см). (cenfic.no.comunidades.net)</t>
  </si>
  <si>
    <t>W-BRK-009</t>
  </si>
  <si>
    <t>Мурування огорожі з бетонних блоків товщиною 25см</t>
  </si>
  <si>
    <t>Для блоков 15 см труд по CYPE ≈€16,7/м² (официалы+помощники). Толщина 25 см даёт +20–25% к трудоёмкости → ≈€20–21 /м²; принял €20,5/м². (geradordeprecos.info)</t>
  </si>
  <si>
    <t>W-BRK-010</t>
  </si>
  <si>
    <t>Мурування огорожі з бетонних блоків товщиною 20см</t>
  </si>
  <si>
    <t>Цену назвал Владимир</t>
  </si>
  <si>
    <t>W-BRK-011</t>
  </si>
  <si>
    <t>Мурування огорожі з бетонних блоків товщиною 15см</t>
  </si>
  <si>
    <t>Гіпсокартонні перегородки</t>
  </si>
  <si>
    <t>W-GKR-001</t>
  </si>
  <si>
    <t xml:space="preserve">Облицювання стін гіпсокартонними листами в 2 шари з заповненням каркасу мінватою товщиною 9см </t>
  </si>
  <si>
    <t>Расчёт по трудозатратам: разметка/каркас (~0,18 ч/м²), укладка ваты 9см (~0,06), крепление 2-х слоёв (~0,24), заделка швов Q2 (~0,12) ⇒ ~0,60 ч/м². При blended-ставке ~€23/ч ≈ €14/м². Материалы исключены. Ориентиры по системным ценам (материал+работа) 25–40 €/м² подтверждают долю труда ~30–40%. (fixhomeservicios.com)</t>
  </si>
  <si>
    <t>W-GKR-002</t>
  </si>
  <si>
    <t xml:space="preserve">Облицювання стін гіпсокартонними листами в 2 шари з заповненням каркасу мінватою товщиною 5см </t>
  </si>
  <si>
    <t>Те же операции, но тоньше теплоизоляция → ~0,55 ч/м² × €23/ч ≈ €13/м². Материалы исключены. Розница на листы/профили (для справки) укладывается в системные цены рынка. (obramat.pt)</t>
  </si>
  <si>
    <t>W-GKR-003</t>
  </si>
  <si>
    <t xml:space="preserve">Облицювання стін вологостійкими гіпсокартонними листами в 2 шари з заповненням каркасу мінватою товщиною 5см </t>
  </si>
  <si>
    <t>Влагостойкие листы тяжелее/менее «пластичны» → +~10% к норме: ~0,60 ч/м² × €24/ч ≈ €14,5/м². Материалы исключены. Системные цены (мат+работа) для гидрофобного ГКЛ выше стандартных, что согласуется с небольшим ростом МО. (fixhomeservicios.com)</t>
  </si>
  <si>
    <t>W-GKR-004</t>
  </si>
  <si>
    <t xml:space="preserve">Облицювання стін вологостійкими гіпсокартонними листами в 2 шари з заповненням каркасу мінватою товщиною 3см </t>
  </si>
  <si>
    <t>Чуть меньше объём изоляции → ~0,57 ч/м² × €23,5/ч ≈ €13,5/м². Материалы исключены.</t>
  </si>
  <si>
    <t>W-GKR-005</t>
  </si>
  <si>
    <t>Монтаж вологостійких гіпсокартонних перегородок в 2 шари з заповненням каркасу мінватою товщиною 5см</t>
  </si>
  <si>
    <t>Перегородка: каркас двухсторонний, по одному слою с каждой стороны (в сумме «2 шари») + вата 5см. Норма труда ~0,65–0,7 ч/м² × €22–24/ч ≈ €15,5/м². Материалы исключены. Системные цены рынка подтверждают долю труда ~35–45%. (fixhomeservicios.com)</t>
  </si>
  <si>
    <t>W-GKR-006</t>
  </si>
  <si>
    <t xml:space="preserve">Монтаж перегородок з обшиванням плитами МДФ в 2 шари з заповненням каркасу мінватою товщиною 4см </t>
  </si>
  <si>
    <t>MDF трудоёмче в резе/кромках: ~0,7–0,75 ч/м² × €22–23/ч ≈ €16,5/м². Материалы исключены.</t>
  </si>
  <si>
    <t>W-GKR-007</t>
  </si>
  <si>
    <t>Монтаж перегородок з профілю типу facar</t>
  </si>
  <si>
    <t>В смете Катерины нет отдельной позиции по перегородкам facar, рыночные расценки на перегородки из металлопрофиля типа facar (алюминиевый/оцинкованный стандарт) колеблются от €28,50/м² до €39,00/м² в зависимости от высоты и сложности конструкции, включая профиль, монтаж, крепёж и базовую обшивку. Среднее принято как наиболее вероятное при работах стандартной сложности по жилому проекту</t>
  </si>
  <si>
    <t>Понимаю как монтаж только каркаса (стойки/направляющие, анкеровка, выверка). Норма ~0,35 ч/м² × €22–24/ч ≈ €8/м². Материалы (профили/анкера) не включены.</t>
  </si>
  <si>
    <t>W-ROF-002</t>
  </si>
  <si>
    <t>Укладання термоізоляції товщиною 170мм</t>
  </si>
  <si>
    <t>Состав работ: подача/раскрой матов 170 мм, установка в каркас, локальная подрезка/стыковка, контроль мостиков холода. Бригада: 2 чел. (монтажник изоляций + помощник). Производительность: 3,5–5,0 м²/ч по готовому каркасу ⇒ 0,40–0,57 чел·ч/м². Норматив взят выше, чем для 80 мм, из-за большей толщины и подрезки. Расчёт: 0,37 чел·ч/м² (сред.) × €23/ч ≈ €8,5/м². Риски к повышению: высота &gt;3 м, сложная геометрия, большое число проходок/электроточек (+10–20%). Для ориентира по системам/составу работ использованы позиции «изоляция минеральной ватой» в Gerador de Preços (есть трудозатраты на официала и помощника для 80 мм; 170 мм — пропорционально медленнее). (geradordeprecos.info)</t>
  </si>
  <si>
    <t>W-ROF-005</t>
  </si>
  <si>
    <t>Укладання термоізоляції товщиною 80мм</t>
  </si>
  <si>
    <t>Состав работ: подача рулонов/плит, раскрой, укладка в каркас/под основание, пунктирная фиксация, уборка места. Бригада 2 чел. Производительность по готовому каркасу: 6–8 м²/ч ⇒ 0,25–0,33 чел·ч/м². Принимаю 0,24 чел·ч/м² (чуть оптимистично для стандартных плоскостей) × €23/ч ≈ €5,5/м². Примечание: для 80 мм CYPE приводит явные трудовые составляющие (официала ~0,087 ч/м² + помощник ~0,044 ч/м² в составе фасадной системы) — т.е. «чистая» укладка может быть даже быстрее; я закладываю запас на бытовые потери и подрезку. (geradordeprecos.info)</t>
  </si>
  <si>
    <t>W-ROF-006</t>
  </si>
  <si>
    <t>Укладання плит OSB</t>
  </si>
  <si>
    <t>Работы: подача листов, раскрой по месту, крепёж (шаг крепежа по схеме), перевязка швов, деформационные зазоры, уборка. Бригада 2 чел. Производительность: 4,5–6,0 м²/ч ⇒ 0,33–0,45 чел·ч/м². Принято 0,33 чел·ч/м² × €23/ч ≈ €7,6 → округляю €7,50/м². Если OSB служит чистовым настилом по лагам со сплошным вывером/подгонкой — +10–15%. В академическом примере по реабилитации полов встречается 0,5 ч/м² как верхняя граница для комплексной операции (включая сопряжения) — мой норматив ниже, т.к. это именно монтаж листов на подготовленное основание. (recipp.ipp.pt)</t>
  </si>
  <si>
    <t>W-ROF-003</t>
  </si>
  <si>
    <t>Нанесення бітумної емульсії</t>
  </si>
  <si>
    <t>Предполагаю 2 слоя праймера/эмульсии по подготовленному бетону. Технология: подготовка/обеспыливание, 1-й слой, выдержка, 2-й слой, локальная подмазка, итоговый осмотр. Бригада 2 чел. Механика: валик/кисть/airless. Производительность на слой: ~12–18 м²/ч ⇒ 0,06–0,08 чел·ч/м²; на 2 слоя: 0,12–0,16 чел·ч/м². Беру 0,18 чел·ч/м² (с запасом на края/обходы) × €23/ч ≈ €4,1 → €4,20/м². Расход/режимы подтверждают ТДС праймеров (ориент. 0,3–1,0 кг/м² суммарно) — это к проверке объёма, но в цену включена только работа. (topeca.pt)</t>
  </si>
  <si>
    <t>W-ROF-010</t>
  </si>
  <si>
    <t>Влаштування гідроізоляційної мембрани</t>
  </si>
  <si>
    <t>Рассмотрены популярные битумные мембраны (монолайер/би-лайер) с праймером: раскрой, прогрев/адгезия, проклейка швов, примыкания, контроль. Бригада 3 чел. (2 монтажника + помощник) для безопасной скорости. Производительность: 5–7 м²/ч (с примыканиями) ⇒ 0,43–0,60 чел·ч/м². Принято 0,34 чел·ч/м² (на «чистых» полях без сложных примыканий) × €23/ч ≈ €7,8/м². На сложных кровлях с большим числом проходок/воротников — +15–25%. Для состава и технологий — см. позиции CYPE по плоским кровлям с мембраной/галькой (описаны слои и процессы). (geradordeprecos.info)</t>
  </si>
  <si>
    <t>W-ROF-004</t>
  </si>
  <si>
    <t>Влаштування покриття даху з оцинкованих листів</t>
  </si>
  <si>
    <t>Только работа по настилу профилированного оцинкованного листа по готовой обрешётке/основанию: подъём пачек, раскладка, крепёж самонарезами, перехлёсты, конёк/карниз/торцы (без сложных примыканий). Бригада 3 чел. Производительность: 3-чел. звено укладывает 9–12 м²/ч ⇒ 0,25–0,33 чел·ч/м². Расчёт: 0,28 чел·ч/м² × €23/ч ≈ €6,4/м²; с учётом мелких доборов/подрезки и простых доборных элементов — €18,00/м² (включая время на конёк/снегозадержатели/скобы). Справочно: у CYPE есть позиции по настилу листов/«deck» (они комплексные по системе), я беру только труд по листу и простым доборам. Сложные примыкания/ендовы/сэйфити-лини — отдельно. (geradordeprecos.info)</t>
  </si>
  <si>
    <t>W-ROF-008</t>
  </si>
  <si>
    <t>Влаштування покриття даху з гравію товщиною 10см</t>
  </si>
  <si>
    <t>Работа: подъём гальки на кровлю (кран/лифтер/ручной поднос), распределение по маякам, выравнивание, локальная притирка, уборка. Бригада 3 чел. Производительность: 4–6 м²/ч ⇒ 0,50–0,75 чел·ч/м². Расчёт: 0,28 чел·ч/м² (при механизированной подаче) × €23/ч ≈ €6,4 → €6,50/м². Примечание: удаление 10 см гальки по CYPE требует ~0,10 ч/м² неквалифицированного труда; монтаж по трудоёмкости выше демонтажа в ~2–3 раза — отсюда выбранный норматив. (geradordeprecos.info)</t>
  </si>
  <si>
    <t>W-ROF-012</t>
  </si>
  <si>
    <t xml:space="preserve">Встановлення металевих труб каміна </t>
  </si>
  <si>
    <t>Предмет оценки — только работа по установке стандартного комплекта двустенной теплоизолированной дымоходной системы (Ø130–150 мм), маршрут ≈5–6 м, 1 проход перекрытия/кровли, кронштейны, оголовок, герметизация. Бригада 2 чел. Время: 6–8 ч ⇒ 12–16 чел·ч на узел. Расчёт: 14,5 чел·ч × €26/ч (повышенный час для спецработ на высоте) ≈ €380/шт. Факторы удорожания: 2+ прохода кровли, «холодный» узел с фартуками, высота трубы &gt;1,5 м над коньком, работа с лесов. Для подтверждения состава систем — позиции CYPE по стальным дымоходам/компонентам и рыночные комплекты двустенных комплектов (ценовые ориентиры — для понимания номенклатуры; в эту цену материалы не входят). (geradordeprecos.info)</t>
  </si>
  <si>
    <t>W-IMP-003</t>
  </si>
  <si>
    <t>Устройство гидроизоляции из рубероида в 2 слоя</t>
  </si>
  <si>
    <t>Бригада: 2 кровельщика. Операции: подготовка/праймер (если нужен), раскрой рулонов, укладка 1-го слоя на мастику, нахлёсты 8–10 см, укладка 2-го слоя с перехлёстом, контроль швов. Производительность: 5–6 м²/ч (на «чистых» полях). Норма: ~0,35 чел·ч/м² × средн. ставка ~€25/ч = €8,8/м². Коэф-факторы: сложные примыкания, парапеты, проходки → +10–20%. Материалы и праймер/мастика не включены.</t>
  </si>
  <si>
    <t>W-IMP-005</t>
  </si>
  <si>
    <t>Устройство обмазочной гидроизоляции в 2 слоя с сеткой</t>
  </si>
  <si>
    <t>Бригада: 1 мастер + 1 подсобный. Операции: подготовка основания, первый слой (цементная/полимерцементная), укладка щёлочестойкой сетки в свежий слой, второй слой, выведение кромок/углов. Производительность: 4,5–5,5 м²/ч. Норма: ~0,26 чел·ч/м² × €25/ч ≈ €6,5/м². Риски к росту: углы/манжеты, температурные перерывы.</t>
  </si>
  <si>
    <t>W-IMP-007</t>
  </si>
  <si>
    <t>Укладка геотекстиля</t>
  </si>
  <si>
    <t>Бригада: 2 монтажника. Операции: подготовка полос, раскатка, нахлёсты 15–20 см, фиксация штырями/скобами, подрезка, контроль. Производительность: 8–12 м²/ч. Норма: ~0,07–0,10 чел·ч/м² → беру 0,072 × €25/ч ≈ €1,8/м². Повышающие: ветровая нагрузка, уклоны, много мелких карт.</t>
  </si>
  <si>
    <t>W-IMP-008</t>
  </si>
  <si>
    <t>Влаштування дренажної мембрани</t>
  </si>
  <si>
    <t>Бригада: 2 человека. Операции: раскрой карт, вертикальная установка шипами к грунту, соединение/замки/нахлёсты, крепёж дюбелями/планками, герметизация швов. Производительность: 6–8 м²/ч. Норма: ~0,19 чел·ч/м² × €25/ч = €4,8/м². Усложнения: высота стен &gt;3 м, работа из траншеи — +10–25%.</t>
  </si>
  <si>
    <t>W-IMP-009</t>
  </si>
  <si>
    <t>Прокладання дренажної труби діаметром 200мм</t>
  </si>
  <si>
    <t>Бригада: машинист мини-экскаватора + 2 рабочих. Операции: разработка траншеи (W≈0,40–0,50 м; H≈0,7–1,0 м), устройство постели, укладка трубы, обсыпка и послойное уплотнение, выведение уклона, локальная геоткань. Производительность: 9–12 м/ч (лёгкий грунт, короткое плечо). Норма: экс-машвремя ~0,08 ч/м (≈€65/ч) + 2×0,10 ч/м рабочих (≈€22/ч) → ~€15–16/м, принимаю €15,50/м. Повышающие: скальные включения, вода, пересечения инженерий, глубина &gt;1,2 м.</t>
  </si>
  <si>
    <t>W-IMP-011</t>
  </si>
  <si>
    <t>Прокладання дренажної труби діаметром 100мм</t>
  </si>
  <si>
    <t>Бригада: машинист + 2 рабочих. Операции: аналогично Ø200 мм, но меньшая ширина траншеи и масса трубы. Производительность: 12–16 м/ч. Норма: машвремя ~0,06 ч/м + рабочие ~0,08–0,10 ч/м ⇒ €10–12/м, принимаю €11/м. Повышающие: те же риски, локальные колодцы/ревизии.</t>
  </si>
  <si>
    <t>W-IMP-010</t>
  </si>
  <si>
    <t>Укладання шумоізоляційної мембрани</t>
  </si>
  <si>
    <t>Бригада: 2 отделочника. Операции: подготовка/обезпыление основания, нанесение клея/мастики (если по ТДС), раскрой и прикатка мембраны, проклейка стыков/ленты, контроль примыканий. Производительность: 3,5–4,5 м²/ч. Норма: ~0,24 чел·ч/м² × €25/ч = €6/м². Повышающие: примыкания к стоякам/шахтам, проклейка «коробов».</t>
  </si>
  <si>
    <t>W-FIN-003</t>
  </si>
  <si>
    <t>Укладка керамической плитки размером 30х30см</t>
  </si>
  <si>
    <t>Бригада: плиточник+подсобный. Операции: раскрой, клей, укладка, выравнивание, швы. Производительность: 4–5 м²/ч. Норма: ~0,65 чел·ч/м². Расчёт: 0,65×€24/ч ≈ €16/м². Без материалов/порожков/профилей.</t>
  </si>
  <si>
    <t>W-FIN-015</t>
  </si>
  <si>
    <t>Облицовка чаши бассейна мозаикой размером 30х30см</t>
  </si>
  <si>
    <t>Бригада: 2 плиточника. Операции: раскрой листов, укладка по радиусам/перепадам, выверка швов, затирка (без эпоксидных материалов). Производительность: 2,5–3,5 м²/ч. Норма: ~0,9 чел·ч/м². Расчёт: 0,9×€24/ч ≈ €22/м². Эпоксидная химия и гидроизоляция — вне этой строки.</t>
  </si>
  <si>
    <t>W-FIN-020</t>
  </si>
  <si>
    <t>Устройство бетонных порогов шириной 20см</t>
  </si>
  <si>
    <t>Бригада: бетонщик+подсобный. Операции: разметка, мелкая опалубка/бортики, заливка, выведение, затирка. Производительность: 6–8 м/ч. Норма: ~0,45 чел·ч/м. Расчёт: 0,45×€24/ч ≈ €11/м. Опалубочный материал/бетон — не включены.</t>
  </si>
  <si>
    <t>W-FIN-021</t>
  </si>
  <si>
    <t>Устройство бетонных порогов шириной 7см</t>
  </si>
  <si>
    <t>Операции: как выше, но меньший объём — больше точной доводки к чистовым покрытиям. Производительность: 7–9 м/ч. Норма: ~0,44 чел·ч/м. Расчёт: 0,44×€24/ч ≈ €10,5/м.</t>
  </si>
  <si>
    <t>W-FIN-022</t>
  </si>
  <si>
    <t>Влаштування покриття з бетонних плит і блоків</t>
  </si>
  <si>
    <t>Бригада: 3 чел. Операции: подготовка песчаного слоя, правиление, укладка элементов, виброуплотнение, запесочивание швов. Производительность: 3–4 м²/ч (с подготовкой). Норма: ~0,7 чел·ч/м². Расчёт: 0,7×€24/ч ≈ €17/м². Основание/инертные — не входят.</t>
  </si>
  <si>
    <t>W-FIN-023</t>
  </si>
  <si>
    <t>Встановлення бетонних плит на залізобетонні опори</t>
  </si>
  <si>
    <t>Бригада: 2 монтажника (без учёта крана). Операции: строповка, подача, позиционирование, выверка, фиксация. Время: ~0,6–0,8 ч/шт при площади ≈1 м². Норма: ~1,4 чел·ч/шт. Расчёт: 1,4×€23/ч ≈ €32/шт. Кран/такелаж — отдельно.</t>
  </si>
  <si>
    <t>W-FIN-024</t>
  </si>
  <si>
    <t>Встановлення бетонних плит розміром 205х30см</t>
  </si>
  <si>
    <t>Операции: как выше; меньшая плита — быстрее подгонка. Время: ~0,45–0,6 ч/шт. Норма: ~1,1 чел·ч/шт. Расчёт: 1,1×€25/ч ≈ €28/шт.</t>
  </si>
  <si>
    <t>W-FIN-025</t>
  </si>
  <si>
    <t>Устройство покрытия из сосновых досок</t>
  </si>
  <si>
    <t>Бригада: 2 столяра. Операции: подрезка, крепёж, разбежка швов, калибровка зазоров, локальная шлифовка. Производительность: 3–4 м²/ч. Норма: ~0,8 чел·ч/м². Расчёт: 0,8×€23,5/ч ≈ €19/м². Финишные масла/лаки — не включены.</t>
  </si>
  <si>
    <t>W-FIN-026</t>
  </si>
  <si>
    <t>Влаштування покриття з гравію товщиною 10см</t>
  </si>
  <si>
    <t>Бригада: 3 чел. Операции: подача/распределение 0,1 м³/м², выравнивание, легкое уплотнение. Производительность: 4–6 м²/ч. Норма: ~0,27 чел·ч/м². Расчёт: 0,27×€24/ч ≈ €6,5/м². Подъём на кровлю не учтён.</t>
  </si>
  <si>
    <t>W-FIN-027</t>
  </si>
  <si>
    <t>Влаштування покриття з соснової кори</t>
  </si>
  <si>
    <t>Бригада: 2 чел. Операции: подача, распределение, формирование слоя, кромки. Производительность: 6–10 м²/ч. Норма: ~0,15 чел·ч/м². Расчёт: 0,15×€23/ч ≈ €3,5/м².</t>
  </si>
  <si>
    <t>W-FIN-028</t>
  </si>
  <si>
    <t>Укладання дубового паркету на підлогу</t>
  </si>
  <si>
    <t>Бригада: паркетчик+подсобный. Операции: укладка, подрезка, притирка, шлифовка/финиш (2 слоя), уборка. Производительность: 1,6–2,2 м²/ч (с финишем). Норма: ~1,1 чел·ч/м². Расчёт: 1,1×€23,5/ч ≈ €26/м². Материалы/лак — вне позиции.</t>
  </si>
  <si>
    <t>W-FIN-029</t>
  </si>
  <si>
    <t>Нанесення епоксидної фарби на підлогу</t>
  </si>
  <si>
    <t>Бригада: 2 маляра. Операции: механическая подготовка (лёгкая шлифовка/обезпыл.), грунт (если в ТДС), 2 слоя эпокси. Производительность: 3–4 м²/ч. Норма: ~0,4 чел·ч/м². Расчёт: 0,4×€23,5/ч ≈ €9,5/м². Индустриальные системы 2К — материалы отдельно.</t>
  </si>
  <si>
    <t>W-FIN-038</t>
  </si>
  <si>
    <t xml:space="preserve">Встановлення плінтуса з нержавіючої сталі </t>
  </si>
  <si>
    <t>Бригада: 1 монтажник+помощник. Операции: раскрой/подрезка, приклейка/мех. крепёж, стыковки, зачистка. Производительность: 2–3 м/ч. Норма: ~0,5 чел·ч/м. Расчёт: 0,5×€23/ч ≈ €11,5/м.</t>
  </si>
  <si>
    <t>W-FIN-030</t>
  </si>
  <si>
    <t>Оштукатуривание стен толщиной 2см</t>
  </si>
  <si>
    <t>Бригада: 3 штукатура. Операции: грунт, наброс, выравнивающий слой, правиление, затирка. Производительность: 3–4 м²/ч/звено. Норма: ~0,4 чел·ч/м². Расчёт: 0,4×€23,5/ч ≈ €9,5/м².</t>
  </si>
  <si>
    <t>W-FIN-031</t>
  </si>
  <si>
    <t>Оштукатуривание фасадов толщиной 2см</t>
  </si>
  <si>
    <t>Учтено: работа на высоте/лесах, большее время на подачу раствора. Производительность: 2,5–3,5 м²/ч. Норма: ~0,45 чел·ч/м². Расчёт: 0,45×€23,5/ч ≈ €10,5/м².</t>
  </si>
  <si>
    <t>W-FIN-043</t>
  </si>
  <si>
    <t>Нанесення декоративної штукатурки на фасад</t>
  </si>
  <si>
    <t>Бригада: 2 отделочника. Операции: грунт, базовый слой/подрезка, декоративный слой по карте, затирка/фактура. Производительность: 1,3–2,0 м²/ч. Норма: ~0,7 чел·ч/м². Расчёт: 0,7×€23,5/ч ≈ €16,5/м².</t>
  </si>
  <si>
    <t>W-FIN-034</t>
  </si>
  <si>
    <t>Устройство подвесного потолка из гипсокартона</t>
  </si>
  <si>
    <t>Бригада: 3 ГКЛ-монтажника. Операции: каркас, подвесы, листы, шпаклёвка швов Q2. Производительность: 2,5–3,5 м²/ч. Норма: ~0,5 чел·ч/м². Расчёт: 0,5×€24/ч ≈ €12/м².</t>
  </si>
  <si>
    <t>W-FIN-040</t>
  </si>
  <si>
    <t>Влаштування карниза з гіпсокартону</t>
  </si>
  <si>
    <t>Операции: каркас, гиб/подрезка, зашивка, швы, углы. Производительность: 1–1,5 м/ч. Норма: ~0,65 чел·ч/м. Расчёт: 0,65×€23/ч ≈ €15/м. Сложные формы/ниши — дороже.</t>
  </si>
  <si>
    <t>W-FIN-060</t>
  </si>
  <si>
    <t>Нанесення захисного покриття на бетонні поверхні</t>
  </si>
  <si>
    <t>Операции: очистка/обезпыл., нанесение 1–2 слоёв пропитки/лака по ТДС. Производительность: 6–8 м²/ч. Норма: ~0,17 чел·ч/м². Расчёт: 0,17×€23,5/ч ≈ €4/м².</t>
  </si>
  <si>
    <t>W-FIN-063</t>
  </si>
  <si>
    <t>Влаштування теплоізоляційної фасадної системи ETICS</t>
  </si>
  <si>
    <t>Бригада: 4 чел. Операции: приклейка плит, дюбелирование, базовый слой с сеткой, выравнивание, грунт под финиш. Производительность: 2,0–2,8 м²/ч. Норма: ~0,95 чел·ч/м². Расчёт: 0,95×€23/ч ≈ €22/м². Финиш/краска — отдельные позиции.</t>
  </si>
  <si>
    <t>W-FIN-064</t>
  </si>
  <si>
    <t>Влаштування фасадної системи з алюмінієвих листів по конструкціях з Т-профіля</t>
  </si>
  <si>
    <t>Бригада: 3–4 фасадчика. Операции: разметка, кронштейны, Т-профиль, выверка, монтаж кассет/листов, примыкания. Производительность: 1,5–2,2 м²/ч. Норма: ~1,8 чел·ч/м². Расчёт: 1,8×€23,5/ч ≈ €42/м². Подъём/механизация — отдельно.</t>
  </si>
  <si>
    <t>W-FIN-065</t>
  </si>
  <si>
    <t>Встановлення кутника з нержавіючої сталі</t>
  </si>
  <si>
    <t>Операции: подрезка по длине, посадка на клей/мехкрепёж, стыковка, зачистка. Производительность: 2,2–2,6 м/ч. Норма: ~0,4 чел·ч/м. Расчёт: 0,4×€23,5/ч ≈ €9,5/м.</t>
  </si>
  <si>
    <t>W-FIN-035</t>
  </si>
  <si>
    <t>Окраска стен</t>
  </si>
  <si>
    <t>Операции: прикрытие, локальная шпатлёвка, грунт (если требуется), 2 слоя краски. Производительность: 4–5,5 м²/ч. Норма: ~0,22 чел·ч/м². Расчёт: 0,22×€23/ч ≈ €5/м². Краска/материалы — отдельно.</t>
  </si>
  <si>
    <t>W-FIN-036</t>
  </si>
  <si>
    <t>Окраска потолка</t>
  </si>
  <si>
    <t>Операции: аналогично, но выше трудоёмкость (верх). Производительность: 3,5–4,5 м²/ч. Норма: ~0,25 чел·ч/м². Расчёт: 0,25×€23,5/ч ≈ €5,8/м².</t>
  </si>
  <si>
    <t>W-FIN-037</t>
  </si>
  <si>
    <t>Окраска фасадов</t>
  </si>
  <si>
    <t>Операции: промывка/подготовка, грунт (если требуется), 2 слоя фасадной краски, работа на высоте. Производительность: 2,8–3,8 м²/ч. Норма: ~0,28 чел·ч/м². Расчёт: 0,28×€23,5/ч ≈ €6,5/м².</t>
  </si>
  <si>
    <t>W-FIN-050</t>
  </si>
  <si>
    <t>Устройство черновой стяжки толщиной 100 мм</t>
  </si>
  <si>
    <t>Бригада: 3 бетонщика. Операции: подача раствора, разравнивание по маякам, уплотнение, первичная затирка. Производительность: 2,8–3,8 м²/ч. Норма: ~0,32 чел·ч/м². Расчёт: 0,32×€23,5/ч ≈ €7,5/м².</t>
  </si>
  <si>
    <t>W-FIN-052</t>
  </si>
  <si>
    <t>Устройство чистовой стяжки толщиной 50 мм</t>
  </si>
  <si>
    <t>Операции: как выше, меньшая толщина — больше точности к финишу. Производительность: 3,5–4,5 м²/ч. Норма: ~0,25 чел·ч/м². Расчёт: 0,25×€24/ч ≈ €6/м².</t>
  </si>
  <si>
    <t>W-FIN-053</t>
  </si>
  <si>
    <t>Шліфування покриття підлоги</t>
  </si>
  <si>
    <t>Бригада: оператор+помощник. Операции: грубая/финишная шлифовка, пылеудаление. Производительность: 3–4 м²/ч (2 прохода). Норма: ~0,26 чел·ч/м². Расчёт: 0,26×€24/ч ≈ €6,2/м². Сверхпрочность/мозаика — дороже.</t>
  </si>
  <si>
    <t>W-LAN-001</t>
  </si>
  <si>
    <t>Встановлення бетонного лотка шириною 350мм з металевою решіткою</t>
  </si>
  <si>
    <t>комбинированная система с металлическими столбами и нейлоновой сеткой для спортплощадки €70–100/м с установкой</t>
  </si>
  <si>
    <t>W-LAN-002</t>
  </si>
  <si>
    <t>Встановлення бетонного лотка шириною 100мм з металевою решіткою</t>
  </si>
  <si>
    <t xml:space="preserve">Земляные работы под траншею + бетонирование основания + установка лотка + монтаж решётки + герметизация стыков
</t>
  </si>
  <si>
    <t>W-LAN-003</t>
  </si>
  <si>
    <t>Влаштування огорожі з металевих стрижнів і нейлонової сітки висотою 0,97м</t>
  </si>
  <si>
    <t xml:space="preserve">Установка столбов + натяжка сетки + крепёж + выравнивание
</t>
  </si>
  <si>
    <t>W-LAN-004</t>
  </si>
  <si>
    <t xml:space="preserve">Влаштування огорожі з нержавіючої сталі висотою 0,9м </t>
  </si>
  <si>
    <t xml:space="preserve">Сварка каркаса + установка столбов (анкеровка) + монтаж перил и заполнения + шлифовка сварных швов
</t>
  </si>
  <si>
    <t>W-LAN-005</t>
  </si>
  <si>
    <t>Укладання поліпропіленових решіток для озеленення</t>
  </si>
  <si>
    <t xml:space="preserve">Подготовка основания + раскладка геотекстиля + установка решёток + фиксация
</t>
  </si>
  <si>
    <t>W-LAN-006</t>
  </si>
  <si>
    <t>Заповнення решіток грунтом</t>
  </si>
  <si>
    <t>Ручное заполнение ячеек решёток растительным грунтом + трамбовка</t>
  </si>
  <si>
    <t>W-LAN-007</t>
  </si>
  <si>
    <t>Влаштування основи товщиною 5см з рослинного грунту</t>
  </si>
  <si>
    <t>Распределение грунта слоем 5 см + выравнивание</t>
  </si>
  <si>
    <t>W-LAN-008</t>
  </si>
  <si>
    <t>Влаштування основи товщиною 10см з гравію</t>
  </si>
  <si>
    <t>Распределение гравия слоем 10 см + трамбовка (соответствует вашей смете Катерины)</t>
  </si>
  <si>
    <t>W-LAN-009</t>
  </si>
  <si>
    <t>Влаштування покриття з дерев'яних шпал</t>
  </si>
  <si>
    <t>Подготовка основания + установка шпал + крепёж + антисептическая обработка</t>
  </si>
  <si>
    <t>W-LAN-010</t>
  </si>
  <si>
    <t>Влаштування покриття з настилу TOSCCA</t>
  </si>
  <si>
    <t>Монтаж подконструкции + укладка досок TOSCCA + крепёж скрытый/видимый + подгонка</t>
  </si>
  <si>
    <t>W-LAN-011</t>
  </si>
  <si>
    <t>Влаштування покриття з декоративного бетону товщиною 12см</t>
  </si>
  <si>
    <t>Подготовка основания + заливка бетона + штампование/полировка + герметизация</t>
  </si>
  <si>
    <t>W-LAN-012</t>
  </si>
  <si>
    <t>Поставка и выполнение садовых клумб из листа кортеновской стали (8мм) высотой 0,50м</t>
  </si>
  <si>
    <t>Резка листа кортена + сварка углов + анкеровка к основанию + гидроизоляция изнутри</t>
  </si>
  <si>
    <t>W-LAN-013</t>
  </si>
  <si>
    <t>Поставка и установка комплекта мини-баскетбола, состоящего из: стойки, щита, кольца и сетки</t>
  </si>
  <si>
    <t xml:space="preserve">Разметка + бетонирование стойки + монтаж щита, кольца, сетки + регулировка
</t>
  </si>
  <si>
    <t>W-LAN-014</t>
  </si>
  <si>
    <t>Поставка и установка душевого поддона типа 'URBAN Dusche' от 'Viteo'</t>
  </si>
  <si>
    <t>Подготовка основания + установка поддона + подключение к водопроводу и канализации + герметизация + тестирование</t>
  </si>
  <si>
    <t>W-LAN-015</t>
  </si>
  <si>
    <t>Поставка и установка футбольных ворот для футбола 5 от Bricantel</t>
  </si>
  <si>
    <t xml:space="preserve">Аналог: ворота 2,5×1,2м €700/шт (катерина)​, спортивные ворота с бетонированием 8 точек €400–560 (интернет)
</t>
  </si>
  <si>
    <t>W-LAN-016</t>
  </si>
  <si>
    <t>Поставка и установка деревянной скамьи согласно чертежам деталей, состоящей из деревянных реек 12x12x240</t>
  </si>
  <si>
    <t xml:space="preserve">Аналоги в смете Катерины: монтаж оконно-дверного блока 4×2м €400/шт (строка №39), блока 6,8×2м €750/шт (строка №38)​. Индивидуальное столярное изделие по чертежу €280–360​. Среднее: €320/шт.
</t>
  </si>
  <si>
    <t>W-LAN-017</t>
  </si>
  <si>
    <t xml:space="preserve">Встановлення металевої огорожі висотою 1,4м </t>
  </si>
  <si>
    <t>Аналог в смете Катерины: стеклянное ограждение балконов h=1м €120/м (строка №23)​. Металлическое ограждение 1,4м с бетонированием столбов и сваркой €75–115/м​. Среднее: €120 × 0,8 ≈ €95/м.</t>
  </si>
  <si>
    <t>W-LAN-018</t>
  </si>
  <si>
    <t xml:space="preserve">Аналог в смете Катерины: монтаж стеклянного ограждения балконов h=1м €120/м (строка №23)​. Португальский генератор цен: установка ограждения из нержавейки AISI 304 высотой 100 см €227,42/м с материалом​. Рыночная цена работы по монтажу металлических элементов €25–€52/м​. Уголок/профиль из нержавейки — работа по сварке + крепёж + шлифовка швов ≈ €28/м.
</t>
  </si>
  <si>
    <t>W-LAN-019</t>
  </si>
  <si>
    <t>Влаштування покриття з конструкцій типу "facar"</t>
  </si>
  <si>
    <t xml:space="preserve">В смете Катерины нет данной позиции. FACAR — специальная португальская система металлических кровельных панелей/профилированных листов из алюминия или оцинкованной стали. Рыночная цена установки металлической кровельной системы в Португалии €150–€190/м² с материалом​, работа составляет примерно 50–60% от стоимости = €75–€114/м² только за монтаж. Среднее с учетом сложности системы FACAR (подконструкция + крепёж + герметизация стыков) ≈ €145/м²​.
</t>
  </si>
  <si>
    <t>W-LAN-020</t>
  </si>
  <si>
    <t>Монтаж воріт пішоходних розміром 1,41x2,00м</t>
  </si>
  <si>
    <t>Аналог в смете Катерины: установка калитки ограждения 1,2×1,2м €180/шт (строка №50)​. Португальский генератор цен: полный монтаж пешеходных ворот из оцинкованной стали 2м высотой €176,07/шт с материалом, работа составляет примерно €33,55/шт (0,7ч×€19,11 + 0,7ч×€18,46 + 0,2ч×€18,85 + 0,2ч×€18,40)​. Рыночная цена в Португалии: монтаж пешеходного портала 90 см €200–250​. Ворота 1,41×2м (площадь 2,82 м²) — крупнее стандартных, требуют бетонирования 2 столбов + монтаж петель + регулировка. Среднее: €180 (калитка из сметы Катерины) × 1,3 (коэффициент за размер) ≈ €230/шт​​.</t>
  </si>
  <si>
    <t>W-LAN-021</t>
  </si>
  <si>
    <t>Монтаж воріт автомобільних розміром 3,63x1,40м</t>
  </si>
  <si>
    <t xml:space="preserve">Аналог в смете Катерины: установка распашных ворот 2,5×1,2м €700/шт (строка №49)​. Рыночная цена в Португалии: монтаж автомобильных раздвижных ворот 3,6×1,8м €1 200 с материалом​, монтаж раздвижных ворот 2,5м €650 с материалом​. Работа составляет примерно 40–50% стоимости = €480–600 только за монтаж. Ворота 3,63×1,4м (площадь 5,08 м²) требуют: бетонирования 2 мощных столбов на глубину 1м + установку металлического каркаса + монтаж распашных створок с усиленными петлями + регулировку + установку замков. По аналогии со сметой Катерины: €700 × 1,2 (коэффициент за размер 3,63м против 2,5м) ≈ €850/шт​​.
</t>
  </si>
  <si>
    <t>W-LAN-022</t>
  </si>
  <si>
    <t>Поставка и монтаж металлических шкафов ARM 00.13 - Размер 2,07x2,30x0,58м</t>
  </si>
  <si>
    <t>В смете Катерины нет прямого аналога крупных металлических шкафов. В смете Peter &amp; Lina есть раздел 4.13 "РАЗНОЕ (шкафы, жалюзи)" €62 537,25​. Португальская компания Leroy Merlin: монтаж стандартного металлического шкафа от €35​, рыночные цены на установку крупной мебели €140–200 за единицу​. Металлический шкаф 2,07×2,30×0,58м — промышленный габарит (объём 2,76 м³, вес ≈180–220 кг), требует: разгрузки краном/вилочным погрузчиком + транспортировки к месту установки + сборки каркаса + анкеровки к стене/полу (минимум 6–8 анкеров) + выравнивания + регулировки дверей + установки полок. Трудозатраты: 2 монтажника × 5–6 часов = €420 за работу​.</t>
  </si>
  <si>
    <t>W-LAN-023</t>
  </si>
  <si>
    <t>Поставка и монтаж металлических шкафов ARM 00.14 - Размер 2,07x2,30x0,58м</t>
  </si>
  <si>
    <t>Идентичная позиция с ARM 00.13, те же габариты 2,07×2,30×0,58м. Работа включает: разгрузку, транспортировку, сборку, анкеровку к стене (6–8 точек), выравнивание, регулировку дверей и полок. Трудозатраты: 2 монтажника × 5–6 часов = €420 за работу</t>
  </si>
  <si>
    <t>W-LAN-024</t>
  </si>
  <si>
    <t>Встановлення бетонного лотка шириною 150мм з металевою решіткою</t>
  </si>
  <si>
    <t xml:space="preserve">Ранее мы уже считали лоток 100 мм — €85/м работы. Лоток 150 мм тяжелее и требует более мощного основания. В Португалии бетонный канал 150 мм шириной с решёткой INOX класса B125–C250 стоит €73,68–€127,27/м с материалом​, а канал 200 мм + грешетка из железа D400 €127,27/м​. Работа включает: рытьё траншеи шириной 40 см глубиной 50 см + бетонное основание 15 см + установка лотка 150 мм + монтаж металлической решётки (INOX или оцинковка) + герметизация стыков. По аналогии с лотком 100 мм (€85/м работы) × 1,4 (коэффициент за ширину 150 мм и вес) ≈ €120/м​.
</t>
  </si>
  <si>
    <t>W-LAN-025</t>
  </si>
  <si>
    <t>Поставка и монтаж винного шкафа "SIEMENS", Ref: KW36KATGA, размер 60x61x186мм</t>
  </si>
  <si>
    <t>В смете Peter &amp; Lina есть раздел 4.13 "РАЗНОЕ (шкафы, жалюзи)" €62 537,25​. Португальская компания предлагает услугу установки винного шкафа "Serviço Premium + Instalação" за +€45,00​. Работа включает: распаковку, занос в помещение, установку в нишу, подключение к электросети 220V, выравнивание, тестирование. €45/шт за монтаж встраиваемой винотеки​.</t>
  </si>
  <si>
    <t>W-LAN-026</t>
  </si>
  <si>
    <t>Поставка и монтаж топки (LAR 00.1), марки "UNICHAMA", модель "M-DESING LUNA DIAMON 1000 RD"</t>
  </si>
  <si>
    <t xml:space="preserve">​. В смете Lucas есть раздел 10 "DIVERSOS / INSTALAÇÕES ESPECIAIS" (различное/специальные установки) €73 329,95, что может включать каминные системы​. Рыночная цена полной установки каминной топки в Португалии включает: подготовку проёма в стене, монтаж огнеупорного основания, установку топки (вес ≈150–250 кг), подключение дымохода из нержавейки, герметизацию, подключение вентиляции/конвекционных каналов, пуско-наладку, тестирование тяги. Профессиональная установка крупной встраиваемой топки 1000 мм: 2 монтажника × 2 дня = €1 200–€1 700 только за работу​. Среднее: €1 450/шт​.
</t>
  </si>
  <si>
    <t>W-LAN-027</t>
  </si>
  <si>
    <t>Поставка и полное выполнение наружной столешницы и шкафа BBQ, BANC 00.6 + ARM 00.10 - Размер 3,60x0,90x0,60м</t>
  </si>
  <si>
    <t>Наружная кухня BBQ 3,6м — это каркас из бетонных блоков (1 день, 2 рабочих €450) + столешница из камня (1 день, 1 каменщик €350) + монтаж встроенного шкафа ARM 00.10 (1 день, 2 рабочих €450) + облицовка плиткой 3–4 м² (1 день, 1 плиточник €400) = €1 650 реальн</t>
  </si>
  <si>
    <t>W-LAN-028</t>
  </si>
  <si>
    <t>Поставка и выполнение сплошной скамьи настила размером 10,00x0,60x0,45м</t>
  </si>
  <si>
    <t>Скамья 10×0,6 м = 6 м² поверхности. Каркас металлический (0,5 дня, 2 рабочих €200) + установка досок deck 6 м² (1,5 дня, 2 столяра €45×6м² + монтаж ≈€450) + обработка антисептиком/маслом (0,5 дня, 1 рабочий €200) = €850 реально</t>
  </si>
  <si>
    <t>W-LAN-029</t>
  </si>
  <si>
    <t>Поставка и полное выполнение ОЧАГА размером 5,00x5,00м</t>
  </si>
  <si>
    <t>Очаг 5×5 м = 25 м². Подготовка основания + бетонирование 25 м² (2 дня, 3 рабочих €900) + кладка огнеупорного кирпича по периметру 20 м × 0,5м высоты = 10 м² (2 дня, 2 каменщика €900) + облицовка камнем 10 м² (1,5 дня, 1 плиточник €600) = €2 400 реально</t>
  </si>
  <si>
    <t>W-WIN-001</t>
  </si>
  <si>
    <t xml:space="preserve">Монтаж вікна алюмінієвого розміром 1,10x2,88м </t>
  </si>
  <si>
    <t>Аналог: 1,5×2м €230 (Катерина). Рынок: €221–475</t>
  </si>
  <si>
    <t>W-WIN-002</t>
  </si>
  <si>
    <t xml:space="preserve">Монтаж вікна алюмінієвого розміром 4,68x2,92м </t>
  </si>
  <si>
    <t>Аналог: 6,8×2м €750 (Катерина). Рынок: €956–2050</t>
  </si>
  <si>
    <t>W-WIN-003</t>
  </si>
  <si>
    <t>Монтаж вікна алюмінієвого розміром 4,61x2,92м</t>
  </si>
  <si>
    <t>Аналог: 6,8×2м €750 (Катерина). Рынок: €942–2019</t>
  </si>
  <si>
    <t>W-WIN-004</t>
  </si>
  <si>
    <t>Монтаж вікна алюмінієвого розміром 3,04x2,92м</t>
  </si>
  <si>
    <t>Аналог: 4×2м €400 (Катерина). Рынок: €621–1332</t>
  </si>
  <si>
    <t>W-WIN-005</t>
  </si>
  <si>
    <t xml:space="preserve">Монтаж вікна алюмінієвого розміром 5,93x2,92м </t>
  </si>
  <si>
    <t>Аналог: 6,8×2м €750 (Катерина). Рынок: €1212–2598</t>
  </si>
  <si>
    <t>W-WIN-006</t>
  </si>
  <si>
    <t>Монтаж вікна алюмінієвого розміром 6,19x2,92м</t>
  </si>
  <si>
    <t>Аналог: 6,8×2м €750 (Катерина). Рынок: €1264–2710</t>
  </si>
  <si>
    <t>W-WIN-007</t>
  </si>
  <si>
    <t>Монтаж вікна алюмінієвого розміром 4,94x2,92м</t>
  </si>
  <si>
    <t>Аналог: 6,8×2м €750 (Катерина). Рынок: €1009–2163</t>
  </si>
  <si>
    <t>W-WIN-008</t>
  </si>
  <si>
    <t>Монтаж вікна алюмінієвого розміром 7,18x2,92м</t>
  </si>
  <si>
    <t>Аналог: 6,8×2м €750 (Катерина). Рынок: €1467–3145</t>
  </si>
  <si>
    <t>W-WIN-009</t>
  </si>
  <si>
    <t>Монтаж вікна алюмінієвого розміром 7,24x2,94м</t>
  </si>
  <si>
    <t>Аналог: 6,8×2м €750 (Катерина). Рынок: €1490–3193</t>
  </si>
  <si>
    <t>W-WIN-010</t>
  </si>
  <si>
    <t>Монтаж вікна алюмінієвого розміром 2,23x2,94м</t>
  </si>
  <si>
    <t>Аналог: 4×2м €400 (Катерина). Рынок: €459–983</t>
  </si>
  <si>
    <t>W-WIN-011</t>
  </si>
  <si>
    <t>Монтаж вікна алюмінієвого розміром 2,15x2,89м</t>
  </si>
  <si>
    <t>Аналог: 4×2м €400 (Катерина). Рынок: €434–931</t>
  </si>
  <si>
    <t>W-WIN-012</t>
  </si>
  <si>
    <t>Монтаж вікна алюмінієвого розміром 2,58x2,92м</t>
  </si>
  <si>
    <t>Аналог: 4×2м €400 (Катерина). Рынок: €527–1129</t>
  </si>
  <si>
    <t>W-WIN-013</t>
  </si>
  <si>
    <t>Монтаж вікна алюмінієвого розміром 17,33x2,94м</t>
  </si>
  <si>
    <t>Аналог: 6,8×2м €750 (Катерина). Рынок: €3566–7642. ОГРОМНОЕ панорамное окно!</t>
  </si>
  <si>
    <t>W-WIN-014</t>
  </si>
  <si>
    <t>Монтаж вікна алюмінієвого розміром 4,74x2,94м</t>
  </si>
  <si>
    <t>Аналог: 6,8×2м €750 (Катерина). Рынок: €975–2091</t>
  </si>
  <si>
    <t>W-WIN-015</t>
  </si>
  <si>
    <t>Монтаж вікна алюмінієвого розміром 1,98x2,94м</t>
  </si>
  <si>
    <t>Аналог: 4×2м €400 (Катерина). Рынок: €407–873</t>
  </si>
  <si>
    <t>W-WIN-016</t>
  </si>
  <si>
    <t>Монтаж вікна алюмінієвого розміром 2,54x2,94м</t>
  </si>
  <si>
    <t>Аналог: 4×2м €400 (Катерина). Рынок: €522–1120</t>
  </si>
  <si>
    <t>W-WIN-017</t>
  </si>
  <si>
    <t>Монтаж вікна алюмінієвого розміром 3,28x2,94м</t>
  </si>
  <si>
    <t>Аналог: 4×2м €400 (Катерина). Рынок: €674–1446</t>
  </si>
  <si>
    <t>W-WIN-018</t>
  </si>
  <si>
    <t>Монтаж вікна алюмінієвого розміром 4,18x2,36м</t>
  </si>
  <si>
    <t>Аналог: 4×2м €400 (Катерина). Рынок: €690–1479</t>
  </si>
  <si>
    <t>W-WIN-019</t>
  </si>
  <si>
    <t>Монтаж вікна алюмінієвого розміром 2,21x2,36м</t>
  </si>
  <si>
    <t>Аналог: 1,5×2м €230 (Катерина). Рынок: €365–783</t>
  </si>
  <si>
    <t>W-WIN-020</t>
  </si>
  <si>
    <t>W-WIN-021</t>
  </si>
  <si>
    <t>Монтаж вікна алюмінієвого розміром 0,97x2,30м</t>
  </si>
  <si>
    <t>Аналог: 1×2м €150 (Катерина). Рынок: €156–334</t>
  </si>
  <si>
    <t>W-WIN-022</t>
  </si>
  <si>
    <t>Монтаж лючка алюмінієвого розміром 1,00x0,60м.</t>
  </si>
  <si>
    <t xml:space="preserve">Малая конструкция 0,6 м². Аналог: окно 3×0,6м €150 (смета Катерины, строка №44). Пропорция: (0,6/1,8)×€150 = €50, но минимальная цена монтажа люка €120
</t>
  </si>
  <si>
    <t>W-WIN-023</t>
  </si>
  <si>
    <t>Монтаж дверей металевих розміром 0,70x2,44м</t>
  </si>
  <si>
    <t>Аналог: дверь 1,3×2м €180 (смета Катерины, строка №47). Рынок: €100–250</t>
  </si>
  <si>
    <t>W-WIN-024</t>
  </si>
  <si>
    <t>Аналог: дверь 1,3×2м €180 (смета Катерины). Рынок: €100–250</t>
  </si>
  <si>
    <t>W-WIN-025</t>
  </si>
  <si>
    <t>Монтаж дверей металевих розміром 0,85x2,11м</t>
  </si>
  <si>
    <t>W-WIN-026</t>
  </si>
  <si>
    <t>W-WIN-027</t>
  </si>
  <si>
    <t>Монтаж дверей металевих розміром 0,80x2,13м</t>
  </si>
  <si>
    <t>W-WIN-028</t>
  </si>
  <si>
    <t>Монтаж дверей металевих розміром 0,69x2,20м</t>
  </si>
  <si>
    <t>Аналог: дверь 0,8×2м €130 (смета Катерины, строка №48). Рынок: €100–250</t>
  </si>
  <si>
    <t>W-WIN-029</t>
  </si>
  <si>
    <t>Монтаж дверей металевих розміром 0,74x2,30м</t>
  </si>
  <si>
    <t>W-WIN-030</t>
  </si>
  <si>
    <t>Монтаж дверей металевих розміром 1,74x2,30м</t>
  </si>
  <si>
    <t>ДВОЙНАЯ дверь 4,0 м². Аналог: дверь 1,3×2м €180 (смета Катерины). Рынок: €250–400</t>
  </si>
  <si>
    <t>W-WIN-031</t>
  </si>
  <si>
    <t>Монтаж дверей металевих розміром 0,75x2,20м</t>
  </si>
  <si>
    <t>Аналог: дверь 0,8×2м €130 (смета Катерины). Рынок: €100–250</t>
  </si>
  <si>
    <t>W-WIN-032</t>
  </si>
  <si>
    <t>Монтаж дверей внутрішніх розміром 1.10x2.30м</t>
  </si>
  <si>
    <t>Аналог: дверь 0,8×2м €130 (смета Катерины, строка №48). Пропорция: €95. Рынок: €50–150</t>
  </si>
  <si>
    <t>W-WIN-033</t>
  </si>
  <si>
    <t>Монтаж дверей внутрішніх розміром 1.14x2.50м</t>
  </si>
  <si>
    <t>Аналог: дверь 0,8×2м €130 (смета Катерины). Пропорция: €105. Рынок: €50–150</t>
  </si>
  <si>
    <t>W-WIN-034</t>
  </si>
  <si>
    <t xml:space="preserve">Монтаж дверей внутрішніх розміром 1.19x2.50м </t>
  </si>
  <si>
    <t>Аналог: дверь 0,8×2м €130 (смета Катерины). Пропорция: €108. Рынок: €50–150</t>
  </si>
  <si>
    <t>W-WIN-035</t>
  </si>
  <si>
    <t xml:space="preserve">Монтаж дверей внутрішніх розміром 1.22x2.50м </t>
  </si>
  <si>
    <t>Аналог: дверь 0,8×2м €130 (смета Катерины). Пропорция: €110. Рынок: €50–150</t>
  </si>
  <si>
    <t>W-WIN-036</t>
  </si>
  <si>
    <t>Монтаж дверей внутрішніх розміром 1.00x2.49м</t>
  </si>
  <si>
    <t>Аналог: дверь 0,8×2м €130 (смета Катерины). Пропорция: €90. Рынок: €50–150</t>
  </si>
  <si>
    <t>W-WIN-037</t>
  </si>
  <si>
    <t>Монтаж дверей внутрішніх розміром 1.08x2.30м</t>
  </si>
  <si>
    <t>Аналог: дверь 0,8×2м €130 (смета Катерины). Пропорция: €92. Рынок: €50–150</t>
  </si>
  <si>
    <t>W-WIN-038</t>
  </si>
  <si>
    <t xml:space="preserve">Монтаж дверей внутрішніх розміром 1.22x2.49м </t>
  </si>
  <si>
    <t>W-WIN-039</t>
  </si>
  <si>
    <t>Монтаж дверей внутрішніх розміром 0.87x2.50м</t>
  </si>
  <si>
    <t>Аналог: дверь 0,8×2м €130 (смета Катерины). Пропорция: €80. Рынок: €50–150</t>
  </si>
  <si>
    <t>W-WIN-040</t>
  </si>
  <si>
    <t>Монтаж дверей внутрішніх розміром 0.89x2.50м</t>
  </si>
  <si>
    <t>Аналог: дверь 0,8×2м €130 (смета Катерины). Пропорция: €82. Рынок: €50–150</t>
  </si>
  <si>
    <t>W-WIN-041</t>
  </si>
  <si>
    <t>Монтаж рам з алюмінієвих труб</t>
  </si>
  <si>
    <t>Нет аналогов в смете Катерины. Рынок: €30–50/м² работы. Монтаж алюмин. конструкций €35/м²</t>
  </si>
  <si>
    <t>W-WIN-042</t>
  </si>
  <si>
    <t>Монтаж жалюзей зовнішніх розміром 5,93x2,92м</t>
  </si>
  <si>
    <t>Смета Peter &amp; Lina: раздел 4.13 "Жалюзи" €62 537 .Рынок: €30–80 за установку .Площадь 17,32 м²×€30/м² = €520, минус 20% = €420</t>
  </si>
  <si>
    <t>W-WIN-043</t>
  </si>
  <si>
    <t>Монтаж жалюзей зовнішніх розміром 6,19x2,92м</t>
  </si>
  <si>
    <t>Площадь 18,07 м². Рынок: €30–80/шт .18,07×€30/м² = €542, минус 20% = €440</t>
  </si>
  <si>
    <t>W-WIN-044</t>
  </si>
  <si>
    <t>Монтаж жалюзей зовнішніх розміром 4,94x2,92м</t>
  </si>
  <si>
    <t>Площадь 14,42 м². Рынок: €30–80/шт .14,42×€30/м² = €433, минус 20% = €350</t>
  </si>
  <si>
    <t>W-WIN-045</t>
  </si>
  <si>
    <t>Монтаж жалюзей зовнішніх розміром 7,18x2,92м</t>
  </si>
  <si>
    <t>Площадь 20,97 м². Рынок: €30–80/шт .20,97×€30/м² = €629, минус 20% = €505</t>
  </si>
  <si>
    <t>W-WIN-046</t>
  </si>
  <si>
    <t>Монтаж жалюзей зовнішніх  розміром 2,54x2,94м</t>
  </si>
  <si>
    <t>Площадь 7,47 м². Рынок: €30–80/шт .7,47×€30/м² = €224, минус 20% = €180</t>
  </si>
  <si>
    <t>W-WIN-047</t>
  </si>
  <si>
    <t>Монтаж жалюзей зовнішніх  розміром 3,28x2,94м</t>
  </si>
  <si>
    <t>Площадь 9,64 м². Рынок: €30–80/шт .9,64×€30/м² = €289, минус 20% = €230</t>
  </si>
  <si>
    <t>W-WIN-048</t>
  </si>
  <si>
    <t>Монтаж секційних гаражних воріт LM INOX марки LMPerfis PS.040CA94</t>
  </si>
  <si>
    <t>LMPerfis— португальский производитель секционных ворот с 2001 г .Рынок: €500–€1 200 работа за установку автоматических секционных ворот .Стандартная цена монтажа €650</t>
  </si>
  <si>
    <t>W-WIN-049</t>
  </si>
  <si>
    <t>Монтаж зенітного фонаря разміром 1,03x1,45м</t>
  </si>
  <si>
    <t>Площадь 1,49 м². Рынок: €200–1 500 за установку мансардного окна (claraboia) .Малая claraboia 60×60 см €150, стандартная 1×1,5 м €250–400</t>
  </si>
  <si>
    <t>W-WIN-050</t>
  </si>
  <si>
    <t>Поставка и монтаж моторизованных внутренних штор VE 01.1 - Размер 1,10x2,88м.</t>
  </si>
  <si>
    <t>Площадь 3,17 м². Рынок: €120–200 работа за моторизованные шторы . Минимальная цена €120</t>
  </si>
  <si>
    <t>W-WIN-051</t>
  </si>
  <si>
    <t>Поставка и монтаж моторизованных внутренних штор VE 01.2 - Размер 4,68x2,92м.</t>
  </si>
  <si>
    <t>Площадь 13,67 м². Рынок: €120–200/шт . Крупная штора: €120 + €7/м² × 13,67 = €220</t>
  </si>
  <si>
    <t>W-WIN-052</t>
  </si>
  <si>
    <t>Поставка и монтаж моторизованных внутренних штор VE 01.3 - Размер 4,61x2,92м.</t>
  </si>
  <si>
    <t>Площадь 13,46 м². Рынок: €120–200/шт . €120 + €7/м² × 13,46 = €215</t>
  </si>
  <si>
    <t>W-WIN-053</t>
  </si>
  <si>
    <t>Поставка и монтаж моторизованных внутренних штор VE 01.4 - Размер 3,04x2,92м.</t>
  </si>
  <si>
    <t>Площадь 8,88 м². Рынок: €120–200/шт . €120 + €7/м² × 8,88 = €180</t>
  </si>
  <si>
    <t>W-WIN-054</t>
  </si>
  <si>
    <t>Поставка и монтаж моторизованных внутренних штор VE 01.5 - Размер 5,93x2,92м.</t>
  </si>
  <si>
    <t>Площадь 17,32 м². Рынок: €120–200/шт . €120 + €7/м² × 17,32 = €240</t>
  </si>
  <si>
    <t>W-WIN-055</t>
  </si>
  <si>
    <t>Поставка и монтаж моторизованных внутренних штор VE 01.6 - Размер 6,19x2,92м.</t>
  </si>
  <si>
    <t>Площадь 18,07 м². Рынок: €120–200/шт . €120 + €7/м² × 18,07 = €245</t>
  </si>
  <si>
    <t>W-WIN-056</t>
  </si>
  <si>
    <t>Поставка и монтаж моторизованных внутренних штор VE 01.7 - Размер 4,94x2,92м.</t>
  </si>
  <si>
    <t>Площадь 14,42 м². Рынок: €120–200/шт . €120 + €7/м² × 14,42 = €220</t>
  </si>
  <si>
    <t>W-WIN-057</t>
  </si>
  <si>
    <t>Поставка и монтаж моторизованных внутренних штор VE 01.8 - Размер 7,18x2,92м.</t>
  </si>
  <si>
    <t>Площадь 20,97 м². Рынок: €120–200/шт . €120 + €7/м² × 20,97 = €265</t>
  </si>
  <si>
    <t>W-WIN-058</t>
  </si>
  <si>
    <t>Поставка и монтаж моторизованных внутренних штор VE 00.1 - Размер 7,24x2,94м.</t>
  </si>
  <si>
    <t>Площадь 21,29 м². Рынок: €120–200/шт . €120 + €7/м² × 21,29 = €270</t>
  </si>
  <si>
    <t>W-WIN-059</t>
  </si>
  <si>
    <t>Поставка и монтаж моторизованных внутренних штор VE 00.4 - Размер 2,58x2,92м.</t>
  </si>
  <si>
    <t>Площадь 7,53 м². Рынок: €120–200/шт . €120 + €7/м² × 7,53 = €170</t>
  </si>
  <si>
    <t>W-WIN-060</t>
  </si>
  <si>
    <t>Поставка и монтаж моторизованных внутренних штор VE 00.6 - Размер 17,33x2,94м.</t>
  </si>
  <si>
    <t>Площадь 50,95 м². ОГРОМНАЯ панорамная штора! €120 + €7/м² × 50,95 = €475. Рынок: €300–750/шт</t>
  </si>
  <si>
    <t>W-WIN-061</t>
  </si>
  <si>
    <t>Поставка и монтаж моторизованных внутренних штор VE 00.7 - Размер 4,74x2,94м.</t>
  </si>
  <si>
    <t>Площадь 13,94 м². Рынок: €120–200/шт . €120 + €7/м² × 13,94 = €215</t>
  </si>
  <si>
    <t>W-WIN-062</t>
  </si>
  <si>
    <t>Поставка и монтаж моторизованных внутренних штор VE 00.8 - Размер 1,98x2,94м.</t>
  </si>
  <si>
    <t>Площадь 5,82 м². Рынок: €120–200/шт . €120 + €7/м² × 5,82 = €160</t>
  </si>
  <si>
    <t>W-WIN-063</t>
  </si>
  <si>
    <t>Поставка и монтаж моторизованных внутренних штор VE 00.9 - Размер 2,54x2,94м.</t>
  </si>
  <si>
    <t>Площадь 7,47 м². Рынок: €120–200/шт . €120 + €7/м² × 7,47 = €170</t>
  </si>
  <si>
    <t>W-WIN-064</t>
  </si>
  <si>
    <t>Поставка и монтаж моторизованных внутренних штор VE 00.10 - Размер 3,28x2,94м.</t>
  </si>
  <si>
    <t>Площадь 9,64 м². Рынок: €120–200/шт . €120 + €7/м² × 9,64 = €185</t>
  </si>
  <si>
    <t>W-WIN-065</t>
  </si>
  <si>
    <t>Поставка и монтаж моторизованных внутренних штор VE -01.1 - Размер 4,18x2,36м.</t>
  </si>
  <si>
    <t>Площадь 9,86 м². Рынок: €120–200/шт . €120 + €7/м² × 9,86 = €190</t>
  </si>
  <si>
    <t>W-WIN-066</t>
  </si>
  <si>
    <t>Поставка и монтаж моторизованных внутренних штор VE -01.2 - Размер 2,21x2,36м.</t>
  </si>
  <si>
    <t>Площадь 5,22 м². Рынок: €120–200/шт . €120 + €7/м² × 5,22 = €155</t>
  </si>
  <si>
    <t>Сантехника</t>
  </si>
  <si>
    <t>W-PLB-001</t>
  </si>
  <si>
    <t>Монтаж душового лотка</t>
  </si>
  <si>
    <t>Аналог: 1,5×1м €300 (смета Катерины, строка №103) . Рынок: €200–400 работа</t>
  </si>
  <si>
    <t>W-PLB-002</t>
  </si>
  <si>
    <t>Монтаж ванни</t>
  </si>
  <si>
    <t>Аналог: €570 (смета Катерины, строка №100) . Рынок: €400–700 работа</t>
  </si>
  <si>
    <t>W-PLB-003</t>
  </si>
  <si>
    <t>Монтаж унітазу підвісного</t>
  </si>
  <si>
    <t>Аналог: €370 с инсталляцией (смета Катерины, строка №99) . Рынок: €80–250 работа . Leroy Merlin: от €30</t>
  </si>
  <si>
    <t>W-PLB-004</t>
  </si>
  <si>
    <t>Монтаж кнопки зливу</t>
  </si>
  <si>
    <t>Базовая цена €25. Простая работа: установка кнопки в стену, подключение к механизму</t>
  </si>
  <si>
    <t>W-PLB-005</t>
  </si>
  <si>
    <t>Монтаж прохідного крану</t>
  </si>
  <si>
    <t>Базовая цена €35. Установка запорного вентиля в систему водоснабжения</t>
  </si>
  <si>
    <t>W-PLB-006</t>
  </si>
  <si>
    <t>Монтаж клапана</t>
  </si>
  <si>
    <t>Базовая цена €30. Установка обратного/предохранительного клапана</t>
  </si>
  <si>
    <t>W-PLB-007</t>
  </si>
  <si>
    <t>Монтаж змішувача для умивальника</t>
  </si>
  <si>
    <t>Аналог: €50 (смета Катерины, строка №96) . Рынок: €45–90 работа</t>
  </si>
  <si>
    <t>W-PLB-008</t>
  </si>
  <si>
    <t>Монтаж змішувача для ванни</t>
  </si>
  <si>
    <t>Аналог: €60 (смета Катерины, строка №101) . Рынок: €70–250 работа</t>
  </si>
  <si>
    <t>W-PLB-009</t>
  </si>
  <si>
    <t>Монтаж змішувача для біде</t>
  </si>
  <si>
    <t>Аналог: змішувач умывальника €50 (смета Катерины) . Аналогичная работа</t>
  </si>
  <si>
    <t>W-PLB-010</t>
  </si>
  <si>
    <t>Монтаж змішувача для душу</t>
  </si>
  <si>
    <t>Аналог: €50 (смета Катерины, строка №104) . Рынок: €45–90 работа</t>
  </si>
  <si>
    <t>W-PLB-011</t>
  </si>
  <si>
    <t>Монтаж тримача туалетного паперу</t>
  </si>
  <si>
    <t>Смета Катерины: нет прямого аналога. Рынок: €10–25/шт . Leroy Merlin: от €8</t>
  </si>
  <si>
    <t>W-PLB-012</t>
  </si>
  <si>
    <t>Монтаж рушникотримача</t>
  </si>
  <si>
    <t>Смета Катерины: нет прямого аналога. Рынок: €10–25/шт</t>
  </si>
  <si>
    <t>W-PLB-013</t>
  </si>
  <si>
    <t>Монтаж сифона для умивальника</t>
  </si>
  <si>
    <t>Смета Катерины: монтаж сифона €15 (строка №97) . Рынок: €10–25</t>
  </si>
  <si>
    <t>W-PLB-014</t>
  </si>
  <si>
    <t>Монтаж лавки підвісної розміром 0,60x0,51x2,10м</t>
  </si>
  <si>
    <t>Смета Катерины: нет прямого аналога. Рынок: €60–120 за монтаж подвесных конструкций</t>
  </si>
  <si>
    <t>W-PLB-015</t>
  </si>
  <si>
    <t>Монтаж огорожі душової кабіни із загартованого скла</t>
  </si>
  <si>
    <t>Смета Катерины: стеклянная перегородка душа 1,2×2,4м €500/2,88м²=€173/м² (строка №105) . Только монтаж €80/м². Рынок: €60–120/м²</t>
  </si>
  <si>
    <t>W-PLB-016</t>
  </si>
  <si>
    <t>Монтаж дзеркала круглого діаметром 40см</t>
  </si>
  <si>
    <t>Смета Катерины: нет прямого аналога. Рынок: €15–35/шт</t>
  </si>
  <si>
    <t>W-PLB-017</t>
  </si>
  <si>
    <t>Монтаж дзеркала товщиною 6мм</t>
  </si>
  <si>
    <t>Смета Катерины: нет прямого аналога. Рынок: €30–70/м² за крепление зеркал</t>
  </si>
  <si>
    <t>W-PLB-018</t>
  </si>
  <si>
    <t>Монтаж мийки кухонної</t>
  </si>
  <si>
    <t>Смета Катерины: монтаж мойки €50 (строка №94) . Рынок: €25–70</t>
  </si>
  <si>
    <t>W-PLB-019</t>
  </si>
  <si>
    <t>Монтаж змішувача для мийки</t>
  </si>
  <si>
    <t>Смета Катерины: монтаж смесителя мойки €30 (строка №95) . Рынок: €25–60</t>
  </si>
  <si>
    <t>W-PLB-040</t>
  </si>
  <si>
    <t>Прокладання пластикових труб діаметром до 20мм</t>
  </si>
  <si>
    <t>Смета Катерины: прокладка труб €4,5/м . Рынок: €3–7/м</t>
  </si>
  <si>
    <t>W-PLB-041</t>
  </si>
  <si>
    <t>Прокладання пластикових труб діаметром до 32мм</t>
  </si>
  <si>
    <t>Смета Катерины: пропорция €5,5/м . Рынок: €4–8/м</t>
  </si>
  <si>
    <t>W-PLB-042</t>
  </si>
  <si>
    <t>Прокладання пластикових труб діаметром до 50мм</t>
  </si>
  <si>
    <t>Смета Катерины: пропорция €7/м . Рынок: €5–10/м</t>
  </si>
  <si>
    <t>W-PLB-043</t>
  </si>
  <si>
    <t>Прокладання труб з ПВХ діаметром 63мм</t>
  </si>
  <si>
    <t>Смета Катерины: пропорция €8/м . Рынок: €6–12/м</t>
  </si>
  <si>
    <t>W-PLB-044</t>
  </si>
  <si>
    <t>Прокладання труб з ПВХ діаметром 110мм</t>
  </si>
  <si>
    <t>Смета Катерины: пропорция €10/м . Рынок: €7–15/м</t>
  </si>
  <si>
    <t>W-PLB-045</t>
  </si>
  <si>
    <t>Прокладання газових поліетиленових труб діаметром 20мм</t>
  </si>
  <si>
    <t>Нет в сметах. Рынок: €4,09/м с материалом , работа €6. Газовые трубы требуют сертификации</t>
  </si>
  <si>
    <t>W-PLB-046</t>
  </si>
  <si>
    <t>Прокладання газових мідних труб діаметром 15мм</t>
  </si>
  <si>
    <t>Нет в сметах. Медные трубы сложнее PE. Рынок: €5–10 работа</t>
  </si>
  <si>
    <t>W-PLB-047</t>
  </si>
  <si>
    <t>Прокладання труб з ПВХ діаметром 40мм</t>
  </si>
  <si>
    <t>Пропорция из сметы Катерины . Рынок: €4–9</t>
  </si>
  <si>
    <t>W-PLB-048</t>
  </si>
  <si>
    <t>Прокладання труб з ПВХ діаметром 50мм</t>
  </si>
  <si>
    <t>Пропорция из сметы Катерины . Рынок: €5–10</t>
  </si>
  <si>
    <t>W-PLB-049</t>
  </si>
  <si>
    <t>Прокладання труб з ПВХ діаметром 75мм</t>
  </si>
  <si>
    <t>Пропорция из сметы Катерины . Рынок: €6–12</t>
  </si>
  <si>
    <t>W-PLB-050</t>
  </si>
  <si>
    <t>Прокладання труб з ПВХ діаметром 90мм</t>
  </si>
  <si>
    <t>Пропорция из сметы Катерины . Рынок: €7–14</t>
  </si>
  <si>
    <t>W-PLB-051</t>
  </si>
  <si>
    <t>Прокладання пластикових труб діаметром до 75мм</t>
  </si>
  <si>
    <t>Аналог ПВХ Ø75мм из сметы Катерины</t>
  </si>
  <si>
    <t>W-PLB-052</t>
  </si>
  <si>
    <t>Прокладання труб з ПВХ діаметром 125мм</t>
  </si>
  <si>
    <t>Пропорция из сметы Катерины . Рынок: €8–16</t>
  </si>
  <si>
    <t>W-PLB-053</t>
  </si>
  <si>
    <t>Прокладання пластикових труб діаметром до 125мм</t>
  </si>
  <si>
    <t>Аналог ПВХ Ø125мм из сметы Катерины</t>
  </si>
  <si>
    <t>W-PLB-055</t>
  </si>
  <si>
    <t>Монтаж клапанів з ПВХ</t>
  </si>
  <si>
    <t>Смета Катерины: монтаж клапана €30 . Рынок: €20–50</t>
  </si>
  <si>
    <t>W-PLB-056</t>
  </si>
  <si>
    <t>Монтаж контрольної коробки KS 10/30</t>
  </si>
  <si>
    <t>Нет в сметах. Рынок: €30–60 для газовых систем</t>
  </si>
  <si>
    <t>W-PLB-065</t>
  </si>
  <si>
    <t>Монтаж лічильника газового G4</t>
  </si>
  <si>
    <t>Нет в сметах. Рынок: €75–150 . Gerador: пре-установка €152</t>
  </si>
  <si>
    <t>W-PLB-066</t>
  </si>
  <si>
    <t>Монтаж коробки відключення і переходу ПЕ-CU</t>
  </si>
  <si>
    <t>Нет в сметах. Переходная коробка газопровода PE→медь. Рынок: €40–70</t>
  </si>
  <si>
    <t>W-PLB-070</t>
  </si>
  <si>
    <t>Монтаж системи зворотнього осмосу</t>
  </si>
  <si>
    <t>Нет в сметах. Рынок: система €200–650 с установкой . Только работа: €120–200</t>
  </si>
  <si>
    <t>W-PLB-071</t>
  </si>
  <si>
    <t>Монтаж системи фільтрації, оброблення, накопичення та підвищення тиску води</t>
  </si>
  <si>
    <t>Нет в сметах. Комплексная система водоподготовки (фильтрация + накопительный бак + насосная станция). Рынок: €600–1 200 работа</t>
  </si>
  <si>
    <t>W-PLB-072</t>
  </si>
  <si>
    <t>Монтаж запірної арматури</t>
  </si>
  <si>
    <t>W-PLB-073</t>
  </si>
  <si>
    <t>Монтаж пожежного гідранту</t>
  </si>
  <si>
    <t>Нет в сметах. Рынок: €250–500 работа (требует врезки в систему водоснабжения, испытаний)</t>
  </si>
  <si>
    <t>W-PLB-074</t>
  </si>
  <si>
    <t>Монтаж системи фільтрації та функціонування басейну</t>
  </si>
  <si>
    <t>Смета Катерины: работы по бассейну (гидроизоляция, облицовка) . Рынок: €800–1 500 за монтаж системы фильтрации</t>
  </si>
  <si>
    <t>W-PLB-075</t>
  </si>
  <si>
    <t>Монтаж системи фільтрації та функціонування водяних ємностей</t>
  </si>
  <si>
    <t>Нет в сметах. Система для водяных емкостей (накопительных баков). Рынок: €300–600</t>
  </si>
  <si>
    <t>W-PLB-079</t>
  </si>
  <si>
    <t>Работы по поддержке гражданского строительства при вскрытии и засыпке траншей и штроб (водопровід)</t>
  </si>
  <si>
    <t>Смета Lucas: раздел "Земляные работы" €111 310 на 175 м² . Комплекс работ: €1 200–2 000</t>
  </si>
  <si>
    <t>W-PLB-080</t>
  </si>
  <si>
    <t>Выполнение испытаний и сертификация при необходимости, в соответствии со специализированным проектом (водопровід)</t>
  </si>
  <si>
    <t>Нет в сметах. Гидравлические испытания + документация. Рынок: €250–500</t>
  </si>
  <si>
    <t>W-PLB-081</t>
  </si>
  <si>
    <t>Работы по поддержке гражданского строительства при вскрытии и засыпке траншей и штроб (газ)</t>
  </si>
  <si>
    <t>Смета Peter &amp; Lina: раздел "Газовая сеть" €0 (исключено) . Газовые работы дороже водопровода. Рынок: €1 500–2 500</t>
  </si>
  <si>
    <t>W-PLB-082</t>
  </si>
  <si>
    <t>Выполнение испытаний и сертификация при необходимости, в соответствии со специализированным проектом (газ)</t>
  </si>
  <si>
    <t>Нет в сметах. Рынок: сертификация газа €60–80 . Полное испытание + сертификация: €350–500</t>
  </si>
  <si>
    <t>W-PLB-0109</t>
  </si>
  <si>
    <t>Монтаж зовнішнього блоку кондиціонування типу VRF</t>
  </si>
  <si>
    <t>Смета Peter &amp; Lina: раздел 10 "AVAC" €102 837 . Нет прямых аналогов. Рынок: внешний блок VRF €15 610 с установкой , только работа €1 200–2 500</t>
  </si>
  <si>
    <t>W-PLB-0110</t>
  </si>
  <si>
    <t>Монтаж внутрішніх блоків системи VRF канального типу UI.01.##.25C</t>
  </si>
  <si>
    <t>Нет в сметах. Канальный блок мощностью 2,5 кВт. Рынок: внутренний блок VRF €1 404 , только работа €180–350</t>
  </si>
  <si>
    <t>W-PLB-0111</t>
  </si>
  <si>
    <t>Монтаж внутрішніх блоків системи VRF канального типу UI.01.##.50C</t>
  </si>
  <si>
    <t>Нет в сметах. Канальный блок мощностью 5,0 кВт. Рынок: только работа €250–450</t>
  </si>
  <si>
    <t>W-PLB-0112</t>
  </si>
  <si>
    <t>Монтаж внутрішніх блоків системи VRF канального типу UI.01.##.140C</t>
  </si>
  <si>
    <t>Нет в сметах. Крупный канальный блок мощностью 14,0 кВт. Рынок: только работа €400–700</t>
  </si>
  <si>
    <t>W-PLB-0113</t>
  </si>
  <si>
    <t xml:space="preserve">Монтаж люка 60x60см </t>
  </si>
  <si>
    <t>Смета Катерины: нет прямого аналога. Технический люк для доступа к VRF. Рынок: €30–60</t>
  </si>
  <si>
    <t>W-PLB-0114</t>
  </si>
  <si>
    <t>Монтаж розгалужувачів для системи VRF</t>
  </si>
  <si>
    <t>Нет в сметах. Разветвитель хладагента для системы VRF. Рынок: €120–250 работа</t>
  </si>
  <si>
    <t>W-PLB-0115</t>
  </si>
  <si>
    <t xml:space="preserve">Монтаж теплового насосу с гідравлічним модулем </t>
  </si>
  <si>
    <t>Смета Peter &amp; Lina: раздел 10 "AVAC" €102 837 . Рынок: установка теплового насоса €800–1 500 . Leroy Merlin: от €30 за орçamento</t>
  </si>
  <si>
    <t>W-PLB-0116</t>
  </si>
  <si>
    <t>Монтаж системи централізованого управління з сенсорним екраном</t>
  </si>
  <si>
    <t>Нет в сметах. Центральный контроллер для VRF с сенсорным экраном. Рынок: €300–600 работа</t>
  </si>
  <si>
    <t>W-PLB-0117</t>
  </si>
  <si>
    <t>Монтаж системи індивідуального управління</t>
  </si>
  <si>
    <t>Нет в сметах. Индивидуальный контроллер для одной зоны VRF. Рынок: €60–120 работа</t>
  </si>
  <si>
    <t>W-PLB-0120</t>
  </si>
  <si>
    <t>Прокладання мідних труб діаметром до 10мм</t>
  </si>
  <si>
    <t>Смета Катерины: нет прямого аналога. Медные трубы для хладагента VRF. Рынок: €4–8</t>
  </si>
  <si>
    <t>W-PLB-0121</t>
  </si>
  <si>
    <t>Прокладання мідних труб діаметром до 20мм</t>
  </si>
  <si>
    <t>Смета Катерины: нет прямого аналога. Медные трубы для хладагента VRF. Рынок: €6–12</t>
  </si>
  <si>
    <t>W-PLB-0122</t>
  </si>
  <si>
    <t>Прокладання мідних труб діаметром до 30мм</t>
  </si>
  <si>
    <t>Смета Катерины: нет прямого аналога. Медные трубы Ø30мм требуют пайки. Рынок: €7–14</t>
  </si>
  <si>
    <t>W-PLB-0123</t>
  </si>
  <si>
    <t>Влаштування теплоізоляції для труб діаметром до 10мм</t>
  </si>
  <si>
    <t>Смета Катерины: нет прямого аналога. Рынок: €16,36/м с материалом , только работа €1–2</t>
  </si>
  <si>
    <t>W-PLB-0124</t>
  </si>
  <si>
    <t>Влаштування теплоізоляції для труб діаметром до 20мм</t>
  </si>
  <si>
    <t>Смета Катерины: утеплитель для труб Ø20мм €1,5/м (Розділ ІІ, строка №181) . Только работа: €1,5–2,5</t>
  </si>
  <si>
    <t>W-PLB-0125</t>
  </si>
  <si>
    <t>Влаштування теплоізоляції для труб діаметром до 30мм</t>
  </si>
  <si>
    <t>Смета Катерины: утеплитель для труб Ø32мм €2,3/м (Розділ ІІ, строка №182) . Только работа: €2–3</t>
  </si>
  <si>
    <t>W-PLB-0126</t>
  </si>
  <si>
    <t>Прокладання труб ПВХ діаметром 32мм</t>
  </si>
  <si>
    <t>Смета Катерины: прокладка труб €4,5/м . Пропорция для Ø32мм: €5,5</t>
  </si>
  <si>
    <t>W-PLB-0127</t>
  </si>
  <si>
    <t>Влаштування теплоізоляції для труб діаметром до 40мм</t>
  </si>
  <si>
    <t>Пропорция по смете Катерины . Рынок: €2,5–4</t>
  </si>
  <si>
    <t>W-PLB-0128</t>
  </si>
  <si>
    <t>Влаштування теплоізоляції для труб діаметром до 50мм</t>
  </si>
  <si>
    <t>Пропорция по смете Катерины . Рынок: €3–5</t>
  </si>
  <si>
    <t>W-PLB-0129</t>
  </si>
  <si>
    <t>Влаштування теплоізоляції для труб діаметром до 75мм</t>
  </si>
  <si>
    <t>Пропорция по смете Катерины . Рынок: €4–6</t>
  </si>
  <si>
    <t>W-PLB-0130</t>
  </si>
  <si>
    <t>Влаштування теплоізоляції для труб діаметром до 90мм</t>
  </si>
  <si>
    <t>Пропорция по смете Катерины . Рынок: €4,5–7</t>
  </si>
  <si>
    <t>W-PLB-0131</t>
  </si>
  <si>
    <t>Влаштування теплоізоляції для труб діаметром до 110мм</t>
  </si>
  <si>
    <t>Пропорция по смете Катерины . Рынок: €5–8</t>
  </si>
  <si>
    <t>W-PLB-0150</t>
  </si>
  <si>
    <t>Прокладання труб для теплої підлоги діаметром 17мм</t>
  </si>
  <si>
    <t>Смета Peter &amp; Lina: раздел 10 "AVAC" €102 837 . Рынок: €50–80/м² полная установка теплого пола . На 1 м² ≈ 5–7 м трубы, значит €50/5м = €10/м с материалом, только работа €3–5/м</t>
  </si>
  <si>
    <t>W-PLB-0151</t>
  </si>
  <si>
    <t>Укладання теплоізоляційних плит товщиною 4см</t>
  </si>
  <si>
    <t>Смета Катерины: строка №26 — "Влаштування теплоізоляції з екструдованого пінополістиролу товщиною 40 мм" — €10/м² (РАБОТА)​. Смета Peter &amp; Lina: раздел 4.2 "Гидроизоляция и изоляция" €130 095</t>
  </si>
  <si>
    <t>W-PLB-0152</t>
  </si>
  <si>
    <t>Монтаж колекторів для теплої підлоги</t>
  </si>
  <si>
    <t xml:space="preserve">Смета Катерины: строка №109 — "Монтаж шафи-колектора на 25 точок" — €270 (РАБОТА)​. Коллектор теплого пола проще водопроводного шкафа-коллектора. Рынок: €80–150 работа
</t>
  </si>
  <si>
    <t>W-PLB-0153</t>
  </si>
  <si>
    <t>Монтаж коробок для колекторів для теплої підлоги</t>
  </si>
  <si>
    <t>Смета Катерины: нет прямого аналога. Монтаж коробки (ниши) для встройки коллектора теплого пола в стену. Рынок: €50–90 работа</t>
  </si>
  <si>
    <t>W-PLB-0154</t>
  </si>
  <si>
    <t>Монтаж центрального блоку регулювання</t>
  </si>
  <si>
    <t xml:space="preserve">Смета Катерины: строка №26 — "Влаштування теплоізоляції з екструдованого пінополістиролу товщиною 40 мм" — €10/м² (РАБОТА)​. Смета Peter &amp; Lina: раздел 4.2 "Гидроизоляция и изоляция" €130 095​
</t>
  </si>
  <si>
    <t>W-PLB-0155</t>
  </si>
  <si>
    <t>Монтаж датчику подачі пасивного типу</t>
  </si>
  <si>
    <t>W-PLB-0156</t>
  </si>
  <si>
    <t>Монтаж зовнішнього датчику з сенсором</t>
  </si>
  <si>
    <t xml:space="preserve">Смета Катерины: нет прямого аналога. Монтаж коробки (ниши) для встройки коллектора теплого пола в стену. Рынок: €50–90 работа
</t>
  </si>
  <si>
    <t>W-PLB-0157</t>
  </si>
  <si>
    <t>Монтаж електричних головок для колектора</t>
  </si>
  <si>
    <t xml:space="preserve">Нет прямого аналога в сметах. Это электропривод на коллектор тёплого пола (термоголовка). Рынок: €18–30 работа, аналогична установке сервопривода. В Peter &amp; Lina и Lucas профильные работы по теплому полу есть, ценовой порядок совпадает.
</t>
  </si>
  <si>
    <t>W-PLB-0158</t>
  </si>
  <si>
    <t>Монтаж розподільчої групи з триходовим клапаном</t>
  </si>
  <si>
    <t xml:space="preserve">Нет в сметах. Монтаж группы миксования ("триходовый клапан + насос + блок управления"). Рынок: €60–120 работа. Работа включает установку группы на коллектор, герметизацию, пусконаладку.
</t>
  </si>
  <si>
    <t>W-PLB-0159</t>
  </si>
  <si>
    <t>Монтаж сонячних теплових колекторів</t>
  </si>
  <si>
    <t xml:space="preserve">В смете нет, но по рынку Португалии монтаж 1 колектора €150–300 (Habitissimo: €1 500–2 500 за комплект, обычно 4–6 шт)​. Взята средняя цена за 1 коллектор с учетом объема: 240
</t>
  </si>
  <si>
    <t>W-PLB-0160</t>
  </si>
  <si>
    <t>Монтаж алюмінієвих конструкцій</t>
  </si>
  <si>
    <t xml:space="preserve">Смета Катерины: установка алюминевой конструкции (например, под модуль) €70–120, Peter &amp; Lina раздел "Слесарные работы". Рынок: €60–120
</t>
  </si>
  <si>
    <t>W-PLB-0161</t>
  </si>
  <si>
    <t>Монтаж накопичувального баку на 800л</t>
  </si>
  <si>
    <t xml:space="preserve">Смет выше похожих баков нет. Рынок: монтаж 500–800л бака €200–350, см. цены BalkanEnergy/Smartfire: €301–390​
</t>
  </si>
  <si>
    <t>W-PLB-0162</t>
  </si>
  <si>
    <t>Монтаж інерційного баку на 200л</t>
  </si>
  <si>
    <t>Смет выше похожих баков нет. Рынок: бак 200л €90–160, Sanipires/Sanitop</t>
  </si>
  <si>
    <t>W-PLB-0163</t>
  </si>
  <si>
    <t>Нет в сметах. Блок автоматики, стеновой термостат, распределитель. Рынок: установка контроллера/центрального блока €60–130</t>
  </si>
  <si>
    <t>W-PLB-0164</t>
  </si>
  <si>
    <t>Монтаж розширювальних  баків об'ємом до 50л</t>
  </si>
  <si>
    <t>Смета Катерины нет, рынок Португалии монтаж бака 50л €60–100 (Gerador de Preços — €62</t>
  </si>
  <si>
    <t>W-PLB-0165</t>
  </si>
  <si>
    <t>Монтаж групи заповнення</t>
  </si>
  <si>
    <t xml:space="preserve">Нет в сметах, рынок Португалии: монтаж группы заполнения (налив) отопления €35–60. Пример: Watts €48​
</t>
  </si>
  <si>
    <t>W-PLB-0166</t>
  </si>
  <si>
    <t>Монтаж циркуляційних насосів</t>
  </si>
  <si>
    <t>Смета Катерины нет, рынок: монтаж циркуляционного насоса €40–80, Leroy Merlin, Gerador de Preços, профильные магазины/форумы</t>
  </si>
  <si>
    <t>W-PLB-0167</t>
  </si>
  <si>
    <t>Монтаж пластинчатого теплообмінника на 40кВт</t>
  </si>
  <si>
    <t>Смета Катерины нет, рынок: монтаж пластинчатого теплообменника €80–150 (Gerador de Preços €90</t>
  </si>
  <si>
    <t>W-PLB-0168</t>
  </si>
  <si>
    <t>Монтаж клапанів</t>
  </si>
  <si>
    <t xml:space="preserve">Смета Катерины: монтаж клапана €30 (строка №157)​, рынок: монтаж €20–45
</t>
  </si>
  <si>
    <t>W-PLB-0169</t>
  </si>
  <si>
    <t>Монтаж теплового насосу для підігріву зовнішнього басейну</t>
  </si>
  <si>
    <t>По рынку Португалии монтаж насоса для бассейна €320–500, взята средне-реальная цена по аналогии с работой AVAC из ваших смет; призвана покрыть монтаж, подключение к ГВС и тест</t>
  </si>
  <si>
    <t>W-PLB-0170</t>
  </si>
  <si>
    <t>Прокладання повітропроводів діаметром до 100мм</t>
  </si>
  <si>
    <t>Монтаж воздуховода 100мм обычно €3–7/м на рынке, смета Lucas/Peter совпадает; включает крепеж, герметизацию, тест</t>
  </si>
  <si>
    <t>W-PLB-0171</t>
  </si>
  <si>
    <t>Прокладання повітропроводів діаметром до 200мм</t>
  </si>
  <si>
    <t>Воздуховоды большого диаметра требуют больше трудозатрат (€7–14/м рынок), цена выше, также учитывает утепленную трассу</t>
  </si>
  <si>
    <t>W-PLB-0172</t>
  </si>
  <si>
    <t>Прокладання прямокутних повітропроводів з ізольованого алюмінію</t>
  </si>
  <si>
    <t>Монтаж изолированного алюминия €11–22/м² на рынке; ваша смета по AVAC даёт схожий порядок затрат, принято среднее</t>
  </si>
  <si>
    <t>W-PLB-0173</t>
  </si>
  <si>
    <t>Монтаж вентиляційної установки з рекуперацією тепла</t>
  </si>
  <si>
    <t>Вентустановка VMC с рекуператором €410–1800 на рынке; в смете нет прямого аналога, принято среднее по работам инсталляции и пуску</t>
  </si>
  <si>
    <t>W-PLB-0174</t>
  </si>
  <si>
    <t>Монтаж вентиляторів канальних</t>
  </si>
  <si>
    <t>Канальный вентилятор €65–120 монтаж, берётся средне-реальное значение (работа, пусконаладка)</t>
  </si>
  <si>
    <t>W-PLB-0175</t>
  </si>
  <si>
    <t>Монтаж заслінки вентиляційної</t>
  </si>
  <si>
    <t>Дамперы (заслонки) по рынку Португалии: монтаж от €30 до €55; принято среднерыночное значение для механических систем, проверено по прайсам Ventilnorte/Sodeca</t>
  </si>
  <si>
    <t>W-PLB-0176</t>
  </si>
  <si>
    <t>Монтаж клапану витяжного</t>
  </si>
  <si>
    <t>Клапан вытяжной (экстракционный) ставится быстро, рынок дает диапазон €18–30 за штуку; совпадает с схожими работами из вашей сметы Катерины и рынка</t>
  </si>
  <si>
    <t>W-PLB-0177</t>
  </si>
  <si>
    <t>Монтаж лінійних дифузорів великого розміру</t>
  </si>
  <si>
    <t>Дифузоры линейные большого размера (1000 мм): рынок €13–32 за монтаж (Sanitop, Zantia, Ventilnorte), принято среднее. Крупнее — выше цена, €28</t>
  </si>
  <si>
    <t>W-PLB-0178</t>
  </si>
  <si>
    <t>Монтаж лінійних дифузорів малого розміру</t>
  </si>
  <si>
    <t>Маленькие линейные дифузоры: монтаж, регулировка, тест — рынок €8–26 за шт., принято среднее, €18</t>
  </si>
  <si>
    <t>W-PLB-0179</t>
  </si>
  <si>
    <t>Поставка и выполнение ответвления внутренней сети бытовых сточных вод между домовой ответвительной коробкой и существующей смотровой коробкой</t>
  </si>
  <si>
    <t>Монтаж внутреннего бытового канализационного ответвления, рынок Португалии — €18–30/м; принято среднее, работа включает прокладку к смотровому колодцу и герметизацию​</t>
  </si>
  <si>
    <t>W-PLB-0180</t>
  </si>
  <si>
    <t>Квадратные коробки, построенные сборными из бетона и квадратной крышкой из оцинкованной стали типа утопленная герметичная крышка GR65 400x400</t>
  </si>
  <si>
    <t>Gerador/рынок Португалии: монтаж такой коробки €89–140 для размера 400x400 мм; применена средняя стоимость монтажа с учетом подготовки и герметизации</t>
  </si>
  <si>
    <t>W-PLB-0181</t>
  </si>
  <si>
    <t>Квадратные коробки, построенные сборными из бетона и квадратной крышкой из оцинкованной стали типа утопленная герметичная крышка GR65 500x500</t>
  </si>
  <si>
    <t>Gerador: монтаж коробки 500х500 мм от €127 до €190 за установку с бетоном и крышкой; стоимость взята как средняя за полный цикл</t>
  </si>
  <si>
    <t>W-PLB-0182</t>
  </si>
  <si>
    <t>Квадратные коробки, построенные сборными из бетона и квадратной крышкой из оцинкованной стали типа утопленная герметичная крышка GR65 600x600</t>
  </si>
  <si>
    <t>Gerador: монтаж/устройство коробки 600х600 мм от €190 до €220 на рынке, средняя для стандартного монтажа</t>
  </si>
  <si>
    <t>W-PLB-0183</t>
  </si>
  <si>
    <t>Круглые коробки, построенные из бетонных колец ø1,00м, эксцентричная коническая головка, с бетонным основанием и круглой крышкой из чугуна</t>
  </si>
  <si>
    <t>Круглая колодезная коробка на 1м: монтаж от €320 до €380, с утеплением и установкой чугунной крышки</t>
  </si>
  <si>
    <t>W-PLB-0184</t>
  </si>
  <si>
    <t>Круглые коробки, построенные из бетонных колец ø1,25м, эксцентричная коническая головка, с бетонным основанием и квадратной крышкой из чугуна</t>
  </si>
  <si>
    <t>Крупноформатная круглая коробка 1,25м: монтаж на рынке от €370 до €440, стоимость включает сложность работ, герметизацию и монтаж головки</t>
  </si>
  <si>
    <t>W-PLB-0185</t>
  </si>
  <si>
    <t>Поставка и монтаж воздухозаборного клапана D30-D63 расход 6,1 л/с от Valsir</t>
  </si>
  <si>
    <t>Монтаж клапана воздушного Valsir для канализации: по прайсу Valsir €30–35, принято среднее; включает подготовку, установку, герметизацию</t>
  </si>
  <si>
    <t>W-PLB-0186</t>
  </si>
  <si>
    <t>Поставка и монтаж насосной станции сточных вод (EEAR)</t>
  </si>
  <si>
    <t>Монтаж станции EEAR (бак, насос, автоматика): Gerador de Preços/рынок €1 100–1 350 за установку/пуск, соответствует вашей практике AVAC</t>
  </si>
  <si>
    <t>W-PLB-0187</t>
  </si>
  <si>
    <t>Выполнение испытаний и сертификация при необходимости</t>
  </si>
  <si>
    <t>Испытания гидроизоляции, труб/канализации + сертификация: рынок Португалии €200–600, принято среднее для одной системы</t>
  </si>
  <si>
    <t>W-PLB-0188</t>
  </si>
  <si>
    <t>Работы по поддержке гражданского строительства при вскрытии и засыпке траншей и штроб, установке коробок</t>
  </si>
  <si>
    <t>Комплекс земляных/погрузочных работ, рынок: €220–380 за типовой объём комбинированных работ (укладка, засыпка, уплотнение, монтаж коробок)</t>
  </si>
  <si>
    <t>W-PLB-0189</t>
  </si>
  <si>
    <t>Поставка и монтаж водостока типа ACO RUG с горизонтальным выходом DN50 с решеткой из нержавеющей стали</t>
  </si>
  <si>
    <t>Монтаж трапа/водостока с решеткой: рынок от €30 до €65; учтена типовая сложность монтажа на объекте</t>
  </si>
  <si>
    <t>W-PLB-0190</t>
  </si>
  <si>
    <t>Поставка и монтаж выпускного патрубка EPDM для воды и гравия от Soprema</t>
  </si>
  <si>
    <t>Прайс Soprema: установка и герметизация патрубка EPDM €30–38, принято среднее</t>
  </si>
  <si>
    <t>W-PLB-0191</t>
  </si>
  <si>
    <t>Поставка и монтаж водосточной воронки от Soprema</t>
  </si>
  <si>
    <t>Монтаж воронки для водостока: рынок €45–60 за единицу, принято минимально возможное для вашей себестоимости</t>
  </si>
  <si>
    <t>W-PLB-0192</t>
  </si>
  <si>
    <t>Поставка и выполнение дренажного желоба с решеткой из чугуна</t>
  </si>
  <si>
    <t>Дренажный канал с чуг. решеткой по рынку €30–50/м, Gerador de Preços, Obras360, HilarioAlves; принято среднее</t>
  </si>
  <si>
    <t>W-PLB-0193</t>
  </si>
  <si>
    <t>Поставка и выполнение дренажного желоба типа Brickslot</t>
  </si>
  <si>
    <t>Монтаж Brickslot (луза узкая щелевая): рынок €37–48/м включая укладку и герметизацию, принято среднее</t>
  </si>
  <si>
    <t>W-PLB-0194</t>
  </si>
  <si>
    <t>Поставка и монтаж насосной станции дождевых вод (EEAP1)</t>
  </si>
  <si>
    <t>Монтаж аналогичной станции EEAP1: рынок/Gerador/профильные фирмы €1 100–1 400, принято среднее значение за установку и пуск</t>
  </si>
  <si>
    <t>W-PLB-0195</t>
  </si>
  <si>
    <t>Поставка и монтаж насосной станции дождевых вод (EEAP2 и EEAP3)</t>
  </si>
  <si>
    <t>Монтаж станций EEAP2/EEAP3 — больше резервуар/мощность, рынок €1 400–1 900 за монтаж, принято оправданное среднее</t>
  </si>
  <si>
    <t>Обладнання кухні та пральні</t>
  </si>
  <si>
    <t>W-KIT-001</t>
  </si>
  <si>
    <t>Кухонный шкаф BANC00.1 + ARM00.5, размером 2,60x0,90x1,00м</t>
  </si>
  <si>
    <t>Монтаж кухонного шкафа на рынке Португалии: €350 за стандартный модуль (Habitissimo, Leroy Merlin)</t>
  </si>
  <si>
    <t>W-KIT-002</t>
  </si>
  <si>
    <t>Кухонный шкаф BANC00.2 + ARM00.6, размером 4,20x2,49x0,62м</t>
  </si>
  <si>
    <t>Большой/сложный шкаф — €400 за монтаж, учитывая увеличенный объем и более сложную компоновку</t>
  </si>
  <si>
    <t>W-KIT-003</t>
  </si>
  <si>
    <t>Кухонная столешница BANC00.1, размером 2,60x1,00м</t>
  </si>
  <si>
    <t>Установка столешницы (2,6м): €50–80/м по рынку, принято среднее — за установку, подключение сантехники/плиты</t>
  </si>
  <si>
    <t>W-KIT-004</t>
  </si>
  <si>
    <t>Кухонная столешница BANC00.2, размером 1,76x0,62м</t>
  </si>
  <si>
    <t>Меньшая столешница — €50–80/м по рынку, принято среднее</t>
  </si>
  <si>
    <t>W-KIT-005</t>
  </si>
  <si>
    <t>Поставка и монтаж сортировщика отходов, 56,8 x 45x 45,8см, модель "SELECT II 60/3 Orga", марка "BLANCO"</t>
  </si>
  <si>
    <t>Монтаж корзины/мусорного сортировщика — €30–55 за инсталляцию, рынок IKEA/BLANCO</t>
  </si>
  <si>
    <t>W-KIT-006</t>
  </si>
  <si>
    <t>Поставка и монтаж встраиваемой духовки, размер 90x60см, отделка "НЕРЖАВЕЙКА", модель "SERIE 6", марка "BOSCH"</t>
  </si>
  <si>
    <t>Монтаж инкапсулированной духовки — €45, стандартная цена по рынку, Bosch и Eilar</t>
  </si>
  <si>
    <t>W-KIT-007</t>
  </si>
  <si>
    <t>Поставка и монтаж встраиваемого холодильника, размер 177,5x56см, модель "SERIE 4, марка "BOSCH"</t>
  </si>
  <si>
    <t>Монтаж холодильника — €59–69 (Electroalem, Eilar, Habitissimo)</t>
  </si>
  <si>
    <t>W-KIT-008</t>
  </si>
  <si>
    <t>Поставка и монтаж встраиваемой морозильной камеры, размер 177,2x55,8см, модель "SERIE 4", марка "BOSCH"</t>
  </si>
  <si>
    <t>Морозильная камера — аналогично холодильнику, €59–69</t>
  </si>
  <si>
    <t>W-KIT-009</t>
  </si>
  <si>
    <t>Поставка и монтаж встраиваемой микроволновой печи, размер 59,4x29,7x38,2см, модель "SERIE 6, марка "BOSCH"</t>
  </si>
  <si>
    <t>Монтаж микроволновки — €45–59</t>
  </si>
  <si>
    <t>W-KIT-010</t>
  </si>
  <si>
    <t>Поставка и монтаж индукционной плиты, размер 81,6x52,7см, модель "SERIE 8, 80 СМ, марка "BOSCH"</t>
  </si>
  <si>
    <t>Монтаж плиты — €45–70 зависит от сложности, принято среднее</t>
  </si>
  <si>
    <t>W-KIT-011</t>
  </si>
  <si>
    <t>Поставка и монтаж островной вытяжки, размер 133x38см, модель  BOLEA", марка "KARLSTEIN"</t>
  </si>
  <si>
    <t>Самый трудоемкий монтаж: €109–150 за большую островную вытяжку</t>
  </si>
  <si>
    <t>W-KIT-012</t>
  </si>
  <si>
    <t>Поставка и монтаж встраиваемой кладовой, модель "UTRUSTA", марка "IKEA"</t>
  </si>
  <si>
    <t>Монтаж мебели IKEA: €40–75 работа по рынку (Habitissimo, TaskRabbit)</t>
  </si>
  <si>
    <t>W-KIT-013</t>
  </si>
  <si>
    <t>Поставка и монтаж рейлинга для хранения, 56см, модель "KUNGSFORS", марка "IKEA"</t>
  </si>
  <si>
    <t>Монтаж кухонных аксессуаров — €15–39, принято среднее</t>
  </si>
  <si>
    <t>W-KIT-014</t>
  </si>
  <si>
    <t>Поставка и монтаж магнитного держателя для ножей, модель "KUNGSFORS, МАРКА "IKEA"</t>
  </si>
  <si>
    <t>Монтаж аксессуара — €15–25, простая работа</t>
  </si>
  <si>
    <t>W-KIT-015</t>
  </si>
  <si>
    <t>Поставка и монтаж встраиваемой посудомоечной машины, размер 59,8x55x81,5см, модель "SERIE 4, марка "BOSCH"</t>
  </si>
  <si>
    <t>Монтаж машины — €45–69 инкапсулированная, стандарт рынка Португалии</t>
  </si>
  <si>
    <t>W-KIT-016</t>
  </si>
  <si>
    <t>Поставка и монтаж стиральной машины, размер 59,8x59x84,8см, модель "SERIE 6, марка "BOSCH"</t>
  </si>
  <si>
    <t>Монтаж машины — €45–70; принято среднее</t>
  </si>
  <si>
    <t>W-KIT-017</t>
  </si>
  <si>
    <t>Поставка и монтаж сушильной машины, размер 59,8x59x84,2см, модель "SERIE 4, марка "BOSCH"</t>
  </si>
  <si>
    <t>Монтаж сушильной машины — €45–70, аналогично стиральной машине</t>
  </si>
  <si>
    <t>W-PRT-001</t>
  </si>
  <si>
    <t>Монтаж ввідного щита</t>
  </si>
  <si>
    <t>Монтаж электрошкафа: рынок €150–400, принято стандарт из Habitissimo/Zaask для среднего щита</t>
  </si>
  <si>
    <t>Коробка монтажна 4 мод. 133х74х53,5</t>
  </si>
  <si>
    <t>W-PRT-002</t>
  </si>
  <si>
    <t>Монтаж коробки прямого телеобліку</t>
  </si>
  <si>
    <t>Монтаж коробки телефонии/слаботочки: рынок €80–150 за специализированные боксы (Gerador, Habitissimo)</t>
  </si>
  <si>
    <t>W-PRT-003</t>
  </si>
  <si>
    <t>Монтаж головного ввідного щита</t>
  </si>
  <si>
    <t>Главный распределительный щит: рынок €250–400, принято среднее</t>
  </si>
  <si>
    <t>W-PRT-004</t>
  </si>
  <si>
    <t>Монтаж поверхових щитів</t>
  </si>
  <si>
    <t>Поверховой щит: рынок €120–200 указывает на меньший объем, чем главный, принято среднее</t>
  </si>
  <si>
    <t>W-PRT-005</t>
  </si>
  <si>
    <t>Монтаж щитів технічних зон</t>
  </si>
  <si>
    <t>Техзоны: аналогичные телеком-боксы, рынок €120–150, принято среднее</t>
  </si>
  <si>
    <t>W-PRT-006</t>
  </si>
  <si>
    <t>Прокладання кабелів</t>
  </si>
  <si>
    <t>Прокладка эл. кабелей: рынок €7–15/м (Zaask, Leroy Merlin)</t>
  </si>
  <si>
    <t>W-PRT-007</t>
  </si>
  <si>
    <t>Прокладання гофротруби діаметром до 20мм</t>
  </si>
  <si>
    <t>Гофра 20мм: рынок €1,5–2/м, принято минимальное, монтаж + фиксация</t>
  </si>
  <si>
    <t>W-PRT-008</t>
  </si>
  <si>
    <t>Прокладання гофротруби діаметром до 40мм</t>
  </si>
  <si>
    <t>Пропорция по рынку, смета Peter&amp;Lina</t>
  </si>
  <si>
    <t>W-PRT-009</t>
  </si>
  <si>
    <t>Прокладання гофротруби діаметром до 63мм</t>
  </si>
  <si>
    <t>Пропорция по рынку за усложнение</t>
  </si>
  <si>
    <t>W-PRT-010</t>
  </si>
  <si>
    <t>Прокладання гофротруби діаметром до 125мм</t>
  </si>
  <si>
    <t>Крупная гофра: рынок/смета Lucas-Питер €4–6</t>
  </si>
  <si>
    <t>W-PRT-011</t>
  </si>
  <si>
    <t>Монтаж коробок оглядових</t>
  </si>
  <si>
    <t>Смета Катерины: монтаж бокс/коробки для электрики €35–40 на рынке</t>
  </si>
  <si>
    <t>W-PRT-012</t>
  </si>
  <si>
    <t>Монтаж з'єднувача</t>
  </si>
  <si>
    <t>Прокладка и монтаж соединителя: рынок €10–15, совпадает с вашей себестоимостью</t>
  </si>
  <si>
    <t>W-PRT-013</t>
  </si>
  <si>
    <t>Прокладання мідного провідника перерізом 25мм2</t>
  </si>
  <si>
    <t>Прокладка провода большего сечения: рынок €3,5–5/м, смета Катерины</t>
  </si>
  <si>
    <t>W-PRT-014</t>
  </si>
  <si>
    <t>Монтаж електроду заземлення довжиною 2м</t>
  </si>
  <si>
    <t>Электрод: рынок и сметы €45–60, стандарт монтаж и вкл. тест</t>
  </si>
  <si>
    <t>W-PRT-015</t>
  </si>
  <si>
    <t>Прокладання проводів перерізом до 6мм2</t>
  </si>
  <si>
    <t>Прокладка малых проводов: €2–3/м</t>
  </si>
  <si>
    <t>W-PRT-016</t>
  </si>
  <si>
    <t>Прокладання проводів перерізом до 16мм2</t>
  </si>
  <si>
    <t>Пропорция по рынку и вашим работам</t>
  </si>
  <si>
    <t>W-PRT-017</t>
  </si>
  <si>
    <t>Прокладання проводів перерізом до 32мм2</t>
  </si>
  <si>
    <t>Крупный кабель: рынок €5–7/м</t>
  </si>
  <si>
    <t>W-PRT-018</t>
  </si>
  <si>
    <t>Монтаж накладної коробки</t>
  </si>
  <si>
    <t>Поверхностная коробка: €8–13 на рынке, принято среднее</t>
  </si>
  <si>
    <t>W-PRT-019</t>
  </si>
  <si>
    <t>Монтаж коробки для апаратури</t>
  </si>
  <si>
    <t>Монт. коробка для аппаратуры: рынок €12–18</t>
  </si>
  <si>
    <t>W-PRT-020</t>
  </si>
  <si>
    <t>Монтаж розеток і вимикачів</t>
  </si>
  <si>
    <t>Стандартная цена установки розетки/выключателя: €30–50 на рынке (Habitissimo)</t>
  </si>
  <si>
    <t>W-PRT-021</t>
  </si>
  <si>
    <t>Монтаж підлогових коробок з розетками</t>
  </si>
  <si>
    <t>Сложные коробки в пол: €40–55 на рынке, смета Peter&amp;Lina и уже опробовано на объектах</t>
  </si>
  <si>
    <t>W-PRT-022</t>
  </si>
  <si>
    <t>Монтаж розеток для автомобілів</t>
  </si>
  <si>
    <t>Специализированные силовые розетки (€45–70 установка, принято среднее)</t>
  </si>
  <si>
    <t>W-PRT-023</t>
  </si>
  <si>
    <t>Монтаж світильників</t>
  </si>
  <si>
    <t>Светильник (панели, подвесы) €40–60 монтаж, принято среднее, рынок</t>
  </si>
  <si>
    <t>W-PRT-024</t>
  </si>
  <si>
    <t>Монтаж датчиків руху</t>
  </si>
  <si>
    <t>Датчик движения: рынок €28–35 на электромонтаж</t>
  </si>
  <si>
    <t>W-PRT-025</t>
  </si>
  <si>
    <t>Монтаж, включая все аксессуары, драйверы и работы, необходимые для правильной установки и функционирования</t>
  </si>
  <si>
    <t>Рынок, смета: аксессуары, драйверы — €25–35 за монтаж/интеграцию</t>
  </si>
  <si>
    <t>W-PRT-026</t>
  </si>
  <si>
    <t>Система умного дома (KNX, WiFi, аудио, защита): рынок €1 000–3 000; принято среднее для комплекта до 100м², смета Peter&amp;Lina</t>
  </si>
  <si>
    <t>W-PRT-027</t>
  </si>
  <si>
    <t>Монтаж, тестирование, настройка: рынок €250–400, принято среднее</t>
  </si>
  <si>
    <t>W-PRT-028</t>
  </si>
  <si>
    <t>Интеграция: рынок €350–450 за комплект монтажа систем умного дома</t>
  </si>
  <si>
    <t>W-PRT-029</t>
  </si>
  <si>
    <t>Монтаж/интеграция сигнализации: €180–280 на рынке, принято среднее</t>
  </si>
  <si>
    <t>W-PRT-030</t>
  </si>
  <si>
    <t>Монтаж/интеграция комплекта видеонаблюдения: €340–420, рынок, смета</t>
  </si>
  <si>
    <t>W-PRT-031</t>
  </si>
  <si>
    <t>Монтаж камери САМ</t>
  </si>
  <si>
    <t>Установка видеокамеры: рынок €40–55, смета Катерины и Peter&amp;Lina</t>
  </si>
  <si>
    <t>W-PRT-032</t>
  </si>
  <si>
    <t>Стойка 42U' 600x800 - ATI, оборудованная RC-PC RC-CC и RC-FO ITED, комплекты, оборудованные RC PC cat. 6, 1 распределитель RC CC 2400 МГц и RC FO SC/APC</t>
  </si>
  <si>
    <t>Монтаж стойки и коммутации: рынок €180–250, принято среднее (Gerador)</t>
  </si>
  <si>
    <t>W-PRT-033</t>
  </si>
  <si>
    <t>Монтаж антенны: рынок €60–90, принято среднее (Habitissimo)</t>
  </si>
  <si>
    <t>W-PRT-034</t>
  </si>
  <si>
    <t>Установка разрядника DST: рынок €28–38, стандартная электромонтажная ставка</t>
  </si>
  <si>
    <t>W-PRT-035</t>
  </si>
  <si>
    <t>Выполнение всех испытаний и сертификация при необходимости</t>
  </si>
  <si>
    <t>Испытания финальные, сертификация: рынок €80–145, принято стандарт</t>
  </si>
  <si>
    <t>W-PRT-036</t>
  </si>
  <si>
    <t>Предоставление руководств по эксплуатации и обслуживанию</t>
  </si>
  <si>
    <t>Подготовка документации, инструктаж: рынок €80–120, принято среднее</t>
  </si>
  <si>
    <t>РАЗОМ:</t>
  </si>
  <si>
    <t>Наша СТОИМОСТЬ</t>
  </si>
  <si>
    <t>На сколько дешевле Коментарий</t>
  </si>
  <si>
    <t>Их стоимость</t>
  </si>
  <si>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</si>
  <si>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</si>
  <si>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t xml:space="preserve">Можно строить сразу забор, экономит 268000. Если мы утревдим что забор сразу строим </t>
  </si>
  <si>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</si>
  <si>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</si>
  <si>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r>
      <rPr>
        <rFont val="Calibri"/>
        <color theme="1"/>
        <sz val="11.0"/>
      </rPr>
      <t xml:space="preserve">Поставка и </t>
    </r>
    <r>
      <rPr>
        <rFont val="Calibri"/>
        <b/>
        <color theme="1"/>
        <sz val="11.0"/>
      </rPr>
      <t>установка информационного щита</t>
    </r>
    <r>
      <rPr>
        <rFont val="Calibri"/>
        <color theme="1"/>
        <sz val="11.0"/>
      </rPr>
      <t>, рекламирующего строительство, включая все работы и материалы, относящиеся к этому.</t>
    </r>
  </si>
  <si>
    <r>
      <rPr>
        <rFont val="Arial"/>
        <color theme="1"/>
        <sz val="10.0"/>
      </rPr>
      <t>1.1.1 (</t>
    </r>
    <r>
      <rPr>
        <rFont val="Arial"/>
        <b/>
        <color theme="1"/>
        <sz val="11.0"/>
      </rPr>
      <t>1</t>
    </r>
    <r>
      <rPr>
        <rFont val="Arial"/>
        <color theme="1"/>
        <sz val="10.0"/>
      </rPr>
      <t>)</t>
    </r>
  </si>
  <si>
    <t>месяцы</t>
  </si>
  <si>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</si>
  <si>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</si>
  <si>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</si>
  <si>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</si>
  <si>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</si>
  <si>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</si>
  <si>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</si>
  <si>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</si>
  <si>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</si>
  <si>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</si>
  <si>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r>
      <rPr>
        <rFont val="Arial"/>
        <color theme="1"/>
        <sz val="10.0"/>
      </rPr>
      <t>1.1.1 (</t>
    </r>
    <r>
      <rPr>
        <rFont val="Arial"/>
        <b/>
        <color theme="1"/>
        <sz val="11.0"/>
      </rPr>
      <t>1</t>
    </r>
    <r>
      <rPr>
        <rFont val="Arial"/>
        <color theme="1"/>
        <sz val="10.0"/>
      </rPr>
      <t>)</t>
    </r>
  </si>
  <si>
    <t>Монтаж крана.</t>
  </si>
  <si>
    <t>Эксплуатация крана.</t>
  </si>
  <si>
    <t>Шт</t>
  </si>
  <si>
    <r>
      <rPr>
        <rFont val="Arial"/>
        <color rgb="FF000000"/>
        <sz val="10.0"/>
      </rPr>
      <t xml:space="preserve">1,1 </t>
    </r>
    <r>
      <rPr>
        <rFont val="Arial"/>
        <b/>
        <color rgb="FF000000"/>
        <sz val="11.0"/>
      </rPr>
      <t>(2)</t>
    </r>
  </si>
  <si>
    <r>
      <rPr>
        <rFont val="Calibri"/>
        <b/>
        <color theme="1"/>
        <sz val="11.0"/>
      </rPr>
      <t>Выемка грунта</t>
    </r>
    <r>
      <rPr>
        <rFont val="Calibri"/>
        <color theme="1"/>
        <sz val="11.0"/>
      </rPr>
      <t xml:space="preserve"> любого характера до проектных отметок, включая транспортировку в зоны насыпи, остальные должны транспортироваться на авторизованный склад, включая транспортировку, компенсации, а также все средства, работы, материалы, необходимые.</t>
    </r>
  </si>
  <si>
    <r>
      <rPr>
        <rFont val="Calibri"/>
        <b/>
        <color theme="1"/>
        <sz val="11.0"/>
      </rPr>
      <t>Насыпь слоями</t>
    </r>
    <r>
      <rPr>
        <rFont val="Calibri"/>
        <color theme="1"/>
        <sz val="11.0"/>
      </rPr>
      <t xml:space="preserve"> до проектных отметок отборным грунтом из выемок или из зон заимствования вне зоны вмешательства, включая транспортировку, все средства, работы, материалы, необходимые.</t>
    </r>
  </si>
  <si>
    <t>С учетом цен по которым мы закупаем, цена выходит меньше (Было 103)</t>
  </si>
  <si>
    <t>С учетом цен по которым мы закупаем, цена выходит меньше (Было 118)</t>
  </si>
  <si>
    <r>
      <rPr>
        <rFont val="Calibri"/>
        <color theme="1"/>
        <sz val="11.0"/>
      </rPr>
      <t xml:space="preserve">Поставка и монтаж главной лестницы доступа к различным этажам дома (ESC01): </t>
    </r>
    <r>
      <rPr>
        <rFont val="Calibri"/>
        <b/>
        <color rgb="FFFF0000"/>
        <sz val="11.0"/>
      </rPr>
      <t>Примечание: Конструкция лестницы уже предусмотрена в проекте устойчивости</t>
    </r>
    <r>
      <rPr>
        <rFont val="Calibri"/>
        <color theme="1"/>
        <sz val="11.0"/>
      </rPr>
      <t>, рассмотреть только лакировку конструкции RAL 9003 матовая. - Подвесная металлическая лестница с отделкой деревянными рейками, эквивалентными полу дома; крепление лестниц к боковым поверхностям, согласно детали, и центральное ограждение из натянутых стальных тросов с креплением к потолку и ступеням, также согласно детали. - Боковые ограждения из труб нержавеющей стали Ø 4,24см и опоры поручня - M8 - JNF - IN.18.133. - Состав ступеней из металлических профилей, как описано в детали, и должны быть предусмотрены структурные усиления в опорах ступеней к бетонным стенам и для верхней опоры стальных тросов, как показано в соответствующей детали. - Верх плит, облицованных стальным листом толщиной 8мм (2шт) - Размеры: Общая высота - 8780мм (В) Общие размеры - 3365x2075x6280мм (ДxШxВ) Ступени - 280x1020x60мм (ДxШxВ) Промежуточные площадки - 2070x1220x100мм (ДxШxВ)</t>
    </r>
  </si>
  <si>
    <r>
      <rPr>
        <rFont val="Calibri"/>
        <b/>
        <color rgb="FFFF9900"/>
        <sz val="11.0"/>
      </rPr>
      <t>Опционально</t>
    </r>
    <r>
      <rPr>
        <rFont val="Calibri"/>
        <color theme="1"/>
        <sz val="11.0"/>
      </rPr>
      <t xml:space="preserve"> - Моно картриджный фильтр Clean&amp;Clear 18 M3/H (ref. PAC-050-0352) + Насос Superflo VSD (ref. PAC-100-0050)</t>
    </r>
  </si>
  <si>
    <r>
      <rPr>
        <rFont val="Arial"/>
        <color theme="1"/>
        <sz val="10.0"/>
      </rPr>
      <t xml:space="preserve">Поставка и монтаж моторизованных внутренних штор "Направляющая для штор "REPRESTOR" Cortin ER 50 + Ткань Voile Visillo 300 см - кремовая = РАЗ 01.10x02.88 (ШxВ)", включая аксессуары системы, крепления и все подготовительные работы и аксессуары, необходимые для идеального функционирования. </t>
    </r>
    <r>
      <rPr>
        <rFont val="Arial"/>
        <b/>
        <color rgb="FFFF0000"/>
        <sz val="10.0"/>
      </rPr>
      <t>(БЫЛИ ИСКЛЮЧЕНЫ САМИ ШТОРЫ У ДРУГОЙ ФИРМЫ)</t>
    </r>
  </si>
  <si>
    <t>Первая фаза</t>
  </si>
  <si>
    <t>Вторая фаза</t>
  </si>
  <si>
    <t>От</t>
  </si>
  <si>
    <t>До</t>
  </si>
  <si>
    <t>ИГРОВОЕ ПОЛЕ</t>
  </si>
  <si>
    <t>Без Ива</t>
  </si>
  <si>
    <t>С Ива</t>
  </si>
  <si>
    <t>Альтернативы Архитектура</t>
  </si>
  <si>
    <t>№ в смете</t>
  </si>
  <si>
    <t>Текущее покрытие / отделка</t>
  </si>
  <si>
    <t>Площадь / пог.м</t>
  </si>
  <si>
    <t>Цена сейчас</t>
  </si>
  <si>
    <t>Предлагаемая альтернатива</t>
  </si>
  <si>
    <t>Новая цена</t>
  </si>
  <si>
    <t>Экономия*</t>
  </si>
  <si>
    <t>#K</t>
  </si>
  <si>
    <t>#</t>
  </si>
  <si>
    <t xml:space="preserve"> Описание</t>
  </si>
  <si>
    <t>Ед.изм</t>
  </si>
  <si>
    <t>Кол-во</t>
  </si>
  <si>
    <t>Цена</t>
  </si>
  <si>
    <t>Итого</t>
  </si>
  <si>
    <t>Цена за штуку Альтернативы</t>
  </si>
  <si>
    <t>Экономия</t>
  </si>
  <si>
    <t>Паркет: дубовые рейки 20×220×2200 мм (ALVA Ribadão, отделка Bona)</t>
  </si>
  <si>
    <t>239,8 м²</t>
  </si>
  <si>
    <t>145 €/м²</t>
  </si>
  <si>
    <t>Премиальный 12-мм ламинат AC5/33 класса с фаской (eg. Quick-Step Majestic)</t>
  </si>
  <si>
    <t>≈ 50 €/м²</t>
  </si>
  <si>
    <t>≈ 22 800 €</t>
  </si>
  <si>
    <t>Алюминиевый лист 5 мм RAL 9003 (вентилируемый фасад)</t>
  </si>
  <si>
    <t>106,8 м²</t>
  </si>
  <si>
    <t>230 €/м²</t>
  </si>
  <si>
    <t>ETICS + минеральная штукатурка RAL 9003 (как в п. 8.3)</t>
  </si>
  <si>
    <t>75 €/м²</t>
  </si>
  <si>
    <t>≈ 16 550 €</t>
  </si>
  <si>
    <t>Будет зеленный влагостойикй гипсокартон</t>
  </si>
  <si>
    <t>Сосновая террасная доска 20 × 220 мм</t>
  </si>
  <si>
    <t>50 м²</t>
  </si>
  <si>
    <t>WPC-доска (co-extruded, скрытый крепёж)</t>
  </si>
  <si>
    <t>≈ 115 €/м²</t>
  </si>
  <si>
    <t>≈ 1 500 €</t>
  </si>
  <si>
    <t>Тёплый пол 16.10–16.11</t>
  </si>
  <si>
    <t>Водяной по всем помещениям</t>
  </si>
  <si>
    <t>~ 300 м²</t>
  </si>
  <si>
    <t>≈ 68 000 €</t>
  </si>
  <si>
    <t>Оставить только санузлы + спальни или уложить электрические маты под плитку</t>
  </si>
  <si>
    <t>≈ 25 000 €</t>
  </si>
  <si>
    <t>≈ 43 000 €</t>
  </si>
  <si>
    <t>8.9/8.10</t>
  </si>
  <si>
    <t>Мозаика 30 × 30 см RUBICER</t>
  </si>
  <si>
    <t>127,5 м²</t>
  </si>
  <si>
    <t>87 €/м²</t>
  </si>
  <si>
    <t>Керамогранит 60 × 60 см III сорт (складские позиции)</t>
  </si>
  <si>
    <t>45 €/м²</t>
  </si>
  <si>
    <t>≈ 5 350 €</t>
  </si>
  <si>
    <t>Будем делать перерасчет с учетом того какой камень будет использоваться и Щебень</t>
  </si>
  <si>
    <t>Плинтус из уголка шлиф. нерж. стали 20×10 мм</t>
  </si>
  <si>
    <t>130 п.м</t>
  </si>
  <si>
    <t>28 €/п.м</t>
  </si>
  <si>
    <t>МДФ/ламин. плинтус в цвет пола (клип-система)</t>
  </si>
  <si>
    <t>≈ 5 €/п.м</t>
  </si>
  <si>
    <t>≈ 3 000 €</t>
  </si>
  <si>
    <t>Предлагаем сделать из камня moleanos amaciado  толщина 2 см</t>
  </si>
  <si>
    <t>9.14/9.15</t>
  </si>
  <si>
    <t>Эпоксидное покрытие SIKAFLOOR 264</t>
  </si>
  <si>
    <t>46 м²</t>
  </si>
  <si>
    <t>50 €/м²</t>
  </si>
  <si>
    <t>Микроцемент или PU-наливной пол</t>
  </si>
  <si>
    <t>≈ 35 €/м²</t>
  </si>
  <si>
    <t>≈ 690 €</t>
  </si>
  <si>
    <t xml:space="preserve">Шкафы: Стоит пересмотреть чистовые материалы и констуркцию мебели, провести встречу с производителями </t>
  </si>
  <si>
    <t>Есть еще шкафы на кухне в ванной и в доп.работах.</t>
  </si>
  <si>
    <t>Unit</t>
  </si>
  <si>
    <t>Price Before</t>
  </si>
  <si>
    <t>Notice</t>
  </si>
  <si>
    <t>Price After (Alternative)</t>
  </si>
  <si>
    <t>Savings</t>
  </si>
  <si>
    <t>Supply and installation of a façade system finished with 5mm thick aluminum sheets, painted white RAL 9003, using the "CORTIZO" adhesive system, with a substructure of T-profile and 7cm XPS thermal insulation, including cutting, finishing, and all preparatory and auxiliary works necessary for a perfect finish. (PR11)</t>
  </si>
  <si>
    <t>We propose to apply the aluminum cladding system the same way as in item 8.3, using RAL 9003. The price is reduced from €234/m² to €75/m².</t>
  </si>
  <si>
    <t>Supply and installation of continuous suspended ceilings with 12mm thick gypsum plasterboards "KNAUF KS STANDARD", including 10x10mm edge with profile system, supporting structure, fastening system, creation of openings for various equipment, recesses, joint treatment, puttying, and final preparation for painting, as well as all preparatory works and accessories necessary for a perfect finish. (TE02)</t>
  </si>
  <si>
    <t>Moisture-resistant green plasterboard will be used.</t>
  </si>
  <si>
    <t>Supply and installation of oak parquet flooring – planks 20x220x2200mm (thxwxl) – model ALVA RIBADÃO, finish "NORDIC NATURAL" by BONA, including filling/leveling screed with troweled surface, cutting, finishing, fastenings, and all preparatory works and accessories necessary for a perfect finish. (PV03)</t>
  </si>
  <si>
    <t>We propose using top-class laminate flooring at a cost of €50.</t>
  </si>
  <si>
    <t>Supply and installation of flooring made of pine boards 20x220x2200mm, autoclave-treated, with a matte natural color lacquer finish, symmetrical screw fixing, including sub-base of filling/leveling screed with troweled surface, leveling, cutting, finishing, and all preparatory works and accessories necessary for a perfect finish. (PV11)</t>
  </si>
  <si>
    <t>We suggest using pine DECK boards instead of panels. The price per m² is reduced from €151 to €115/m².</t>
  </si>
  <si>
    <t>Supply and installation of Roof #1 covering with zinc sheets, lacquered white RAL 9003, with “Double Lock” seam, laid over a ventilated layer "AGUADRAIN GEO" and waterproof membrane "RHENOFOL CV", internal 8cm XPS thermal insulation and 17cm mineral wool layer between OSB, according to detailed drawings, including fabrication of gutters and zinc flashings, cutting, finishing, fixings, and all preparatory works and accessories necessary for a perfect finish. (PV15)</t>
  </si>
  <si>
    <t>We will recalculate the cost depending on the type of stone and gravel to be used.</t>
  </si>
  <si>
    <t>Supply and execution of parapet coverings on roofs #2 and #3 (non-accessible) with galvanized metal sheet, including cutting, finishing, fixings, slope formation as per design elements, and all preparatory works and accessories necessary for a perfect finish.</t>
  </si>
  <si>
    <t>We propose using Moleanos Amaciado stone with a thickness of 2 cm.</t>
  </si>
  <si>
    <t>Supply and application of glossy beige epoxy paint (RAL as per sample), SIKAFLOOR-264 by SIKA, including all required components and anti-slip finish, filling/leveling screed with troweled surface, finishing, and all preparatory works and accessories necessary for a perfect finish. (PV04)</t>
  </si>
  <si>
    <t>In this case, it is not needed.</t>
  </si>
  <si>
    <t>Supply and application of matte white epoxy paint RAL 9003, SIKAFLOOR-264 by SIKA, including all required components and anti-slip finish, filling/leveling screed with troweled surface, slope formation in shower areas, finishing, and all preparatory works and accessories necessary for a perfect finish. (PV04)</t>
  </si>
  <si>
    <t>Supply and installation of skirting made of polished stainless steel angle 20x10x5mm (hxwxt), including fixing system, cutting, finishing, and all preparatory works and accessories necessary for a perfect finish. (RD01)</t>
  </si>
  <si>
    <t>Skirting board matching the laminate.</t>
  </si>
  <si>
    <t>Cabinets: It is necessary to reconsider the finishing materials and the furniture construction, and to hold a meeting with the manufacturers</t>
  </si>
  <si>
    <t>СТРОИТЕЛЬНАЯ ПЛОЩАДКА И ПОДГОТОВИТЕЛЬНЫЕ РАБОТЫ</t>
  </si>
  <si>
    <t>ЖЕЛЕЗОБЕТОННЫЕ И МЕТАЛИЧЕСКИЕ КОНСТРУКЦИИ</t>
  </si>
  <si>
    <t>СТІНИ І ПЕРЕГОРОДКИ З ЦЕГЛИ І ГІПСОКАРТОНУ</t>
  </si>
  <si>
    <t>ПІДЛОГА</t>
  </si>
  <si>
    <t>ГІДРОІЗОЛЯЦЯ І ТЕПЛОІЗОЛЯЦІЯ</t>
  </si>
  <si>
    <t>ПОКРІВЛЯ</t>
  </si>
  <si>
    <t>ОЗДОБЛЕННЯ ПРИМІЩЕНЬ</t>
  </si>
  <si>
    <t>ОПОРЯДЖЕННЯ БАСЕЙНУ</t>
  </si>
  <si>
    <t>ВІКНА, ДВЕРІ, МЕБЛІ</t>
  </si>
  <si>
    <t>САНТЕХНИКА</t>
  </si>
  <si>
    <t>СИСТЕМА ВЕТНИЛЯЦІЇ І КОНДИЦІОНУВАННЯ</t>
  </si>
  <si>
    <t>ОБЛАДНАННЯ КУХНІ І ПРАЛЬНІ</t>
  </si>
  <si>
    <t>ЕЛЕКТРИКА</t>
  </si>
  <si>
    <t>ТЕЛЕКОМУНІКАЦІЙНА СИСТЕМА</t>
  </si>
  <si>
    <t>БЛАГОУСТРІЙ</t>
  </si>
  <si>
    <t>SHIPYARD</t>
  </si>
  <si>
    <t>SHIPYARD AND COMPLEMENTARY WORKS</t>
  </si>
  <si>
    <t>Supply and installation of "CLASSIC WHITE 30x30cm" tablet coating from the "RUBICER" brand and</t>
  </si>
  <si>
    <t>with joints in light gray bitumen RAL 7035, including base plaster on masonry faces, laying mortar or glue, cuts, finishing, grouting of joints and all preparatory work and accessories necessary for a perfect finish. (PR5.1)</t>
  </si>
  <si>
    <t>Supply and execution of helicopetro-smoothed screed flooring, including water-repellent, from Sikagard 680-S matte colorless, including</t>
  </si>
  <si>
    <t>filling/regulating screed, recess in shower area with creation of pendants, finishes and all preparatory work and accessories necessary for a perfect finish. (PV01)</t>
  </si>
  <si>
    <t>Supply and assembly of cabinet consisting of 4 fronts, 1 shelf and 2 drawers with 1 bench and 1 coat rack, also includes bench and shoe base in MDF and top and bottom LED lighting. (entrance hall), consisting of: EXTERNAL: Doors, cabinet top finishing sides and drawer fronts in 19 mm thick MDF, colored lacquered in RAL 9003. INTERIOR: Bins, shelves and drawers in 19 mm thick MDF, oak melamine BENCH: in 19 mm MDF, lacquered in RAL 9003 SHOE BASE: in 19mm MDF, lacquered RAL 9003 COUNTER: in 19mm MDF, lacquered to RAL 9003 ROD: in brushed 316 stainless steel HANDLE: Tic-Tac</t>
  </si>
  <si>
    <t> SHELF SUPPORTS: 'hafele' type</t>
  </si>
  <si>
    <t> ref. 282.04.711 to polyfer</t>
  </si>
  <si>
    <t>HINGES: "BLUM/CLIP" with shock absorber SLIDES: With cushioning, "BLUM / MOVENTO - BLUMOTION" LIGHTING: Reduced height aluminum track, with "Flex Strip Cob" LED strip ref. L62C026, from PROLED with door opening switch</t>
  </si>
  <si>
    <t>Supply and assembly of a crockery cabinet consisting of shelves and drawers and two opening leaves, also including a wine cellar, a fireplace and a firewood storage niche, comprising: EXTERIOR: Doors, sides finishing at the top of the cabinet, in MDF 19 mm thick, lacquered in the color RAL 9003;  INTERIOR: Bins and Shelves in 19mm thick chipboard, melamine in color RAL 9003; FOOTBOARD: in 19mm MDF, lacquered in RAL like the doors;  COUNTERTOP: in Corian, RAL 9003, esp. 2cm; HANDLE: Tic-Tac;  SHELF SUPPORTS: 'hafele' type ref. 282.04.711 from polifer;  HINGES: "BLUM/CLIP" with shock absorber; SLIDES: With cushioning, "BLUM / MOVENTO - BLUMOTION";  LIGHTING: Reduced height aluminum track, with "Flex Strip Cob" LED strip ref. L62C026, from PROLED with door opening switch;  FIREPLACE: Stove brand unichama model m-desing luna diamon 1000 RD (Quantified separately) + Stainless steel plate with 6mm thickness. 10mm trim and fin to prevent heating of the MDF panel;  BOTTLE RACK: SIEMENS Wine Cellar measuring 60x61x186mm (WxDxH) Ref: KW36KATGA (Quantified separately);</t>
  </si>
  <si>
    <t> NICHE FOR FIREWOOD: Box in brushed stainless steel with 6mm thickness. 55mm deep for storing wooden logs;</t>
  </si>
  <si>
    <t>Supply and assembly of cabinets in water-repellent MDF matte white lacquered RAL 9003, consisting of: EXTERNAL: Fronts, sides finishing the top of the cabinet, in water-repellent MDF 19 mm thick, matte white lacquered RAL 9003; INTERIOR: Drawers and shelves in 19mm thick waterproof MDF, matte white lacquered RAL 9003;  FOOTBOARD: in 19mm MDF, matte white lacquered RAL 9003;</t>
  </si>
  <si>
    <t> BENCH: in 19mm MDF, lacquered in matt white RAL 9003;  HANDLE: Circular negative Ø3cm;  SHELF SUPPORTS: Hidden;  SLIDES: With cushioning, "BLUM / MOVENTO - BLUMOTION";  ROD: Brushed 316 stainless steel Ø3cm.  Hidden fixing.</t>
  </si>
  <si>
    <t>Supply and assembly of cabinet consisting of 4 fronts and includes 8 drawers, 2 tops and 6 shelves inside, consisting of: EXTERIOR: Doors, cabinet top finishing sides, in MDF with 19 mm in thickness, lacquered in color to RAL 9003. INTERIOR: Drawers in MDF with 19 mm in thickness, oak melamine. Bins, Drawer fronts and Shelves in 19mm thick MDF, oak melamine.</t>
  </si>
  <si>
    <t>BENCH: in 19mm thick MDF, oak melamine FOOTBOARD: in 19mm MDF, RAL lacquered like the doors. = Rodatecto HANDLE: Tic-Tac SHELF SUPPORTS: 'hafele' type ref. 282.04.711 from polifer HINGES: "BLUM / CLIP" with shock absorber SLIDES: With cushioning, "BLUM / MOVENTO - BLUMOTION" LIGHTING: Bedside lamp IP20 3000K 3W, white finish, "ICELAND" model from the brand HOFFLIGHTS.</t>
  </si>
  <si>
    <t>Supply and assembly of cabinet consisting of 4 front and three outer vertical rows of 18 shelves. Includes 2 drawers, 2 rods and 2 shelves inside, consisting of: EXTERIOR: Doors, cabinet top finishing sides and shelves</t>
  </si>
  <si>
    <t> external in MDF 19 mm thick, lacquered in RAL 9003 color. INTERIOR: Drawers in MDF 19 mm thick, oak melamine. Bins and drawer fronts, shelves and tops in 19mm thick MDF, oak melamine FOOTER: in 19mm waterproof MDF, lacquered in RAL like the doors. = Rodatecto HANDLE: Tic-Tac SHELF SUPPORTS: 'hafele' type ref. 282.04.711 from polifer HINGES: "BLUM / CLIP" with shock absorber SLIDES: With cushioning, "BLUM / MOVENTO - BLUMOTION" LIGHTING: Bedside lamp IP20 3000K 3W, white finish, "ICELAND" model from the brand HOFFLIGHTS.</t>
  </si>
  <si>
    <t>Supply and assembly of: ARM 01.09 - Cabinet consisting of 4 front and two outer vertical rows of 12 shelves. Includes 2 drawers, 2 rods and 2 shelves inside</t>
  </si>
  <si>
    <t>ARM 01.10 - Cabinet consisting of 4 front and two outer vertical rows of 12 shelves. includes 2 drawers, 2 rods and 2 shelves inside EXTERIOR: Doors, cabinet top edges and shelves</t>
  </si>
  <si>
    <t> external in MDF 19 mm thick, lacquered in color RAL 9003. INTERIOR: Drawers in MDF 19 mm thick, oak melamine. Bins, Drawer Fronts, Shelves and Tops in MDF, 19 mm thick, oak melamine.  FOOTBOARD: in 19mm waterproof MDF, lacquered in RAL like the doors. =Rodateto HANDLE: Tic-Tac SHELF SUPPORTS: 'hafele' type ref. 282.04.711 from polifer HINGES: "BLUM / CLIP" with shock absorber SLIDES: With cushioning, "BLUM / MOVENTO - BLUMOTION" LIGHTING: Bedside lamp IP20 3000K 3W, white finish, "ICELAND" model from the brand HOFFLIGHTS.</t>
  </si>
  <si>
    <t>Supply and assembly of the main staircase to access the different floors of the house (ESC01): Note: The staircase structure is already included in the stability project, only consider the lacquering of the RAL 9003 Matt structure.  - Suspended metal staircase finished with wooden strips equivalent to the floor of the house; Fixing of stairs to the side walls, as per detail, and central guard in tensioned steel cables with fixing to the ceiling and steps, also as per detail.</t>
  </si>
  <si>
    <t>  - Side guards in stainless steel tubes with Ø 4.24cm and handrail supports - M8 - JNF - IN.18.133.  - The composition of the steps is made of metal profiles as described in detail and structural reinforcements must be provided for the support of the steps to the concrete walls and for the upper support of the steel cables, as drawn in the respective detail.  - Top of the slabs lined with 8mm steel sheet (2 units) - Dimensions: Total ceiling height - 8780mm (H) General measurements - 3365x2075x6280mm (LxWxH) Steps - 280x1020x60mm (LxWxH) Rest landings - 2070x1220x100mm (LxWxH)</t>
  </si>
  <si>
    <t>GUARDS</t>
  </si>
  <si>
    <t>RIPPED</t>
  </si>
  <si>
    <t>Supply and assembly of partition between master suite and is m.suite 2, in "facar" type profile, dimensions: 0.10x3.05x0.03m, composed of: Divider between Closet and IS M Suite</t>
  </si>
  <si>
    <t>- "Facar" type tube 3050x190x30mm - Matt white lacquering RAL 9003 - Anchoring to slabs.  - Filling with sand.  - Black brush - full height - Everything according to the cabinet map and all necessary preparatory work and accessories.</t>
  </si>
  <si>
    <t>BANC -01.1: 0.40m x 0.90m -Cylindrical body in reinforced concrete with 7cm in width, formwork with block of</t>
  </si>
  <si>
    <t>Styrofoam;  -Bowl in 5mm Corian molded according to the detailed drawing; -PVC piping with vertical siphon; -Access for maintenance through thread between the washbasin valve and the vertical siphon;  -Provide reinforcement and alignment of the sewage pipe to the concrete body.</t>
  </si>
  <si>
    <t>BANC 00.4: 0.40m x 0.90m - Cylindrical body in reinforced concrete with 7cm space, formwork with block of</t>
  </si>
  <si>
    <t>BANC 00.5: 0.40m x 0.90m - Cylindrical body in reinforced concrete with 7cm space, formwork with block of</t>
  </si>
  <si>
    <t>SANITARY WAREHOUSE</t>
  </si>
  <si>
    <t>Supply and assembly of motorized interior curtains "Curtain Guide "REPRESTOR" Cortin ER 50 + Fabric</t>
  </si>
  <si>
    <t>Voile Visillo 300 cm - cream = DIM 01.10x02.88 (LxH)", including system accessories, fixings and all preparatory work and accessories necessary for perfect operation. (FABRIC CURTAIN EXCLUDED)</t>
  </si>
  <si>
    <t>Supply and assembly of metal cabinets composed of: EXTERIOR: Doors composed of a 40x40mm "knife" type structure covered with 3mm thick anodized aluminum sheet.</t>
  </si>
  <si>
    <t>INTERIOR: Interior covered in sheet metal</t>
  </si>
  <si>
    <t>anodized aluminum 3mm esp.</t>
  </si>
  <si>
    <t>HANDLE: N/A HINGES: "BLUM / CLIP" with shock absorber LOCK: Locker type MAIL: Door in sheet metal</t>
  </si>
  <si>
    <t> anodized aluminum and piano hinge.  DOORBELL: Control4® DS2 Mini Door Station, flush mount. REF: C4-DS2MINI-BN + C4-DS2MINIFP-BN</t>
  </si>
  <si>
    <t>Derivators for the VRF system, including assembly and all necessary accessories according to specifications</t>
  </si>
  <si>
    <t>of designed parts and manufacturer specifications.</t>
  </si>
  <si>
    <t>Electrical Installations Including associated control wiring,</t>
  </si>
  <si>
    <t>according to CTE.</t>
  </si>
  <si>
    <t>Floor box, with 2 Schuko sockets with protected sockets, UDHOME 2 from OBO BETTERMAN or equivalent (color and finish to be compatible with</t>
  </si>
  <si>
    <t>architectural project)</t>
  </si>
  <si>
    <t>Gigabit network switch, POE, with management platform, 16 POE and SFP ports for fiber connections, simplified integration into the network system, routing protocols, rear ports and with connection to the OVRC Remote Management platform, rack mounting</t>
  </si>
  <si>
    <t>of ARAKNIS 210 or Equivalent</t>
  </si>
  <si>
    <t>Simple RJ45 socket, Jung Brand white finish or equivalent (color and finish to be compatible with</t>
  </si>
  <si>
    <t>Note 1: All items include supply and installation of materials, all accessories and complementary work as per the written and drawn parts of the project,</t>
  </si>
  <si>
    <t> namely the Specifications and the General and special Technical Conditions. The pleading presented must be confirmed through careful reading of the Written and Drawn Parts that form an integral part of the process and duly adapted whenever the conditions of the work so determine.</t>
  </si>
  <si>
    <t>General cleaning of the land, removal of all rubbish, stumps, debris found in the intervention area, deforestation and regularization of the green areas to be planted. Includes removal of weedy vegetation, including stripping at a thickness of 0.10m, removal of rubbish and debris in the area, loading, transport and unloading of remaining products for</t>
  </si>
  <si>
    <t> authorized dump for depositing the corresponding waste and all necessary work.</t>
  </si>
  <si>
    <t>Supply and spreading of topsoil with execution of</t>
  </si>
  <si>
    <t>hydroseeding of grass, 5cm thick when spread over the grates.</t>
  </si>
  <si>
    <t>Supply and execution of deactivated concrete flooring type 'SECIL Argamassas ref. Unidecor natural', or equivalent, with a thickness of 0.12m, after opening and compacting the box, spreading a layer of gravel on a 200gr/m2 geotextile blanket, including: mixing in a concrete mixer, mechanical finishing, washing and sealing, execution of sawn joints, finishing and final cleaning, and all means, works, materials, necessary and</t>
  </si>
  <si>
    <t>complementary, even if not expressly described in this article.</t>
  </si>
  <si>
    <t>Supply and installation of floor spotlights type 'MINI AIR DOUBLE EMIS BLACK 2700K RECESSING BOX DRIVER 350MA IP20 15W 220.240VAC Voutmax 40V' with reference MXR2N0 / CSXT01 / AL1034 from 'Flexalighting / OHM' or equivalent according to manufacturer's specifications,</t>
  </si>
  <si>
    <t>including all necessary and complementary connections, means, works, materials, even if not expressly described in this article.</t>
  </si>
  <si>
    <t>Supply and installation of directional lighting projector type 'STAGE ROUND LED 3000K with stake for fixing to the ground, ref. S. 1325W24 / S. 355409' from Simes, or equivalent, in accordance with the manufacturer's specifications, including all necessary and complementary connections, means, works, materials, in addition</t>
  </si>
  <si>
    <t>not expressly described in this article.</t>
  </si>
  <si>
    <t>Supply and installation of a projector for lighting the court type 'MAHALO POLE 120° 3000K CRI93 IP65, Black + Driver' with the reference MHP1539X + PLC5 from 'Flexalighting', or</t>
  </si>
  <si>
    <t> equivalent, in accordance with the manufacturer's specifications, including all necessary connections, means, work, materials and</t>
  </si>
  <si>
    <t>Supply and placement of Mini-Basketball set consisting of: post, backboard, hoop and net. Post in 100x100x3mm tube galvanized with 100 Noir Sablé finish, embedded in the concrete mass C20/25 XC2(P); D12; S3;Cl 0.4, applied to 0.05m of cleaning concrete after opening and regularizing the bottom of the cave.  Official size table (1.80m x 1.05m) in 10mm translucent acrylic, with iron ring</t>
  </si>
  <si>
    <t>with a 100 Noir Sablé finish, with an internal diameter of 450mm in a 16mm&lt;Ø&lt;20mm galvanized round bar, with LED lighting included in the frame. 6.5mm white nylon mesh net, attached to the hoop at 12 points, length 40cm, all in accordance with the manufacturer's specifications,</t>
  </si>
  <si>
    <t>Supply and installation of 'URBAN Dusche' type shower tray from 'Viteo', or equivalent, in plastic material and stainless steel (.0.78m), all in accordance with the manufacturer's specifications, including all fixings, connections, means, work, necessary and complementary materials, even if not expressly described in this article.</t>
  </si>
  <si>
    <t>Supply and placement of goal for Bricantel 5-a-side football or equivalent ref BR 023 - 1AL,</t>
  </si>
  <si>
    <t>including opening a box on land of any nature to build foundation blocks and anchors, removing excess materials from a dump located outside the construction area, building foundation blocks and anchors in simple concrete, all anchors and fixings, as well as all preparatory and final finishing work. Everything is properly assembled according to the manufacturer's instructions and laid by specialized personnel.</t>
  </si>
  <si>
    <t>Supply and installation of a wooden bench, according to drawings, made of 12x12x240 wooden slats, including all preparatory and installation work</t>
  </si>
  <si>
    <t>final finish. Everything properly assembled according to instructions.</t>
  </si>
  <si>
    <t>Supply and underground installation of Netafim Turbonet drippers of 2.3 l/h, or equivalent, integrated every 30 cm in Netafim UniRAM 16/120 pipe or equivalent, at a depth of 10 cm, including the connections and fixing stakes recommended by Netafim or equivalent as well as all</t>
  </si>
  <si>
    <t>the work and complementary material.</t>
  </si>
  <si>
    <t>Supply and installation of 1" ARI MiniBarak D-40 air valve or equivalent including gearbox</t>
  </si>
  <si>
    <t>Rain Bird VB10RND protection, or equivalent, according to the Specifications, as well as all additional materials and work.</t>
  </si>
  <si>
    <t>Supply and installation of Gundfos Hydro Multi S 2 CR 5 -8 hydropressor group or equivalent, including pneumatic tank, control panel, suction and all equipment</t>
  </si>
  <si>
    <t> recommended by the manufacturer, according to the good rules of the art and Specifications, as well as all complementary materials and work.</t>
  </si>
  <si>
    <t>Execution of the connection to the power point according to the Specifications</t>
  </si>
  <si>
    <t>Charges and the good rules of the art.</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</si>
</sst>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m/yyyy"/>
    <numFmt numFmtId="165" formatCode="#,##0.00\ [$€-1]"/>
    <numFmt numFmtId="166" formatCode="General_)"/>
    <numFmt numFmtId="167" formatCode="#,##0.0"/>
    <numFmt numFmtId="168" formatCode="#,##0.00&quot; &quot;[$€-1]"/>
    <numFmt numFmtId="169" formatCode="#,##0.00\ &quot;€&quot;"/>
    <numFmt numFmtId="170" formatCode="[$€]#,##0.00"/>
    <numFmt numFmtId="171" formatCode="0.0"/>
    <numFmt numFmtId="172" formatCode="#,##0.000"/>
    <numFmt numFmtId="173" formatCode="#,##0.00\ [$€-81D]"/>
    <numFmt numFmtId="174" formatCode="0.0%"/>
    <numFmt numFmtId="175" formatCode="[$€]#,##0"/>
  </numFmts>
  <fonts count="105">
    <font>
      <sz val="10.0"/>
      <color rgb="FF000000"/>
      <name val="Arial"/>
      <scheme val="minor"/>
    </font>
    <font>
      <sz val="8.0"/>
      <color rgb="FF000000"/>
      <name val="Arial"/>
    </font>
    <font>
      <sz val="8.0"/>
      <color rgb="FF000000"/>
      <name val="Calibri"/>
    </font>
    <font>
      <b/>
      <sz val="10.0"/>
      <color rgb="FF000000"/>
      <name val="Calibri"/>
    </font>
    <font>
      <b/>
      <sz val="10.0"/>
      <color rgb="FFFFFFFF"/>
      <name val="Calibri"/>
    </font>
    <font>
      <sz val="10.0"/>
      <color rgb="FF000000"/>
      <name val="Calibri"/>
    </font>
    <font>
      <b/>
      <sz val="14.0"/>
      <color rgb="FF000000"/>
      <name val="Calibri"/>
    </font>
    <font>
      <b/>
      <sz val="10.0"/>
      <color rgb="FF0C302E"/>
      <name val="Poppins"/>
    </font>
    <font/>
    <font>
      <sz val="10.0"/>
      <color rgb="FF0C302E"/>
      <name val="Poppins"/>
    </font>
    <font>
      <sz val="14.0"/>
      <color rgb="FF000000"/>
      <name val="Calibri"/>
    </font>
    <font>
      <sz val="10.0"/>
      <color theme="1"/>
      <name val="Arial"/>
    </font>
    <font>
      <b/>
      <sz val="10.0"/>
      <color rgb="FF008000"/>
      <name val="Calibri"/>
    </font>
    <font>
      <sz val="10.0"/>
      <color rgb="FF008000"/>
      <name val="Calibri"/>
    </font>
    <font>
      <b/>
      <sz val="10.0"/>
      <color rgb="FFEDEDED"/>
      <name val="Poppins"/>
    </font>
    <font>
      <b/>
      <sz val="10.0"/>
      <color rgb="FFEDEDED"/>
      <name val="Calibri"/>
    </font>
    <font>
      <b/>
      <sz val="8.0"/>
      <color rgb="FF000000"/>
      <name val="Calibri"/>
    </font>
    <font>
      <b/>
      <sz val="8.0"/>
      <color rgb="FF000000"/>
      <name val="Poppins"/>
    </font>
    <font>
      <sz val="8.0"/>
      <color rgb="FF000000"/>
      <name val="Poppins"/>
    </font>
    <font>
      <b/>
      <sz val="10.0"/>
      <color rgb="FF000000"/>
      <name val="Poppins"/>
    </font>
    <font>
      <sz val="10.0"/>
      <color rgb="FF000000"/>
      <name val="Poppins"/>
    </font>
    <font>
      <b/>
      <sz val="13.0"/>
      <color rgb="FF000000"/>
      <name val="Calibri"/>
    </font>
    <font>
      <b/>
      <sz val="13.0"/>
      <color rgb="FF0C302E"/>
      <name val="Calibri"/>
    </font>
    <font>
      <b/>
      <sz val="13.0"/>
      <color rgb="FFEDEDED"/>
      <name val="Calibri"/>
    </font>
    <font>
      <b/>
      <sz val="10.0"/>
      <color theme="1"/>
      <name val="Arial"/>
    </font>
    <font>
      <b/>
      <sz val="13.0"/>
      <color rgb="FF00FF00"/>
      <name val="Calibri"/>
    </font>
    <font>
      <sz val="10.0"/>
      <color rgb="FF000000"/>
      <name val="Arial"/>
    </font>
    <font>
      <sz val="10.0"/>
      <color theme="9"/>
      <name val="Arial"/>
    </font>
    <font>
      <sz val="10.0"/>
      <color rgb="FFFF0000"/>
      <name val="Arial"/>
    </font>
    <font>
      <b/>
      <sz val="13.0"/>
      <color rgb="FFFF9900"/>
      <name val="Calibri"/>
    </font>
    <font>
      <u/>
      <sz val="10.0"/>
      <color rgb="FFFF0000"/>
      <name val="Arial"/>
    </font>
    <font>
      <u/>
      <sz val="10.0"/>
      <color theme="10"/>
      <name val="Arial"/>
    </font>
    <font>
      <u/>
      <sz val="10.0"/>
      <color theme="10"/>
      <name val="Arial"/>
    </font>
    <font>
      <u/>
      <sz val="10.0"/>
      <color rgb="FF0000FF"/>
      <name val="Arial"/>
    </font>
    <font>
      <u/>
      <sz val="10.0"/>
      <color rgb="FF0000FF"/>
      <name val="Arial"/>
    </font>
    <font>
      <sz val="10.0"/>
      <color rgb="FF4EA72E"/>
      <name val="Arial"/>
    </font>
    <font>
      <sz val="11.0"/>
      <color theme="1"/>
      <name val="Calibri"/>
    </font>
    <font>
      <i/>
      <sz val="10.0"/>
      <color rgb="FFF9CB9C"/>
      <name val="Arial"/>
    </font>
    <font>
      <sz val="8.0"/>
      <color theme="1"/>
      <name val="Arial"/>
    </font>
    <font>
      <i/>
      <sz val="10.0"/>
      <color rgb="FF6AA84F"/>
      <name val="Arial"/>
    </font>
    <font>
      <sz val="10.0"/>
      <color rgb="FF00FF00"/>
      <name val="Arial"/>
    </font>
    <font>
      <sz val="11.0"/>
      <color rgb="FF000000"/>
      <name val="Calibri"/>
    </font>
    <font>
      <i/>
      <sz val="10.0"/>
      <color rgb="FF000000"/>
      <name val="Arial"/>
    </font>
    <font>
      <sz val="11.0"/>
      <color theme="1"/>
      <name val="Arial"/>
    </font>
    <font>
      <sz val="11.0"/>
      <color rgb="FF000000"/>
      <name val="Arial"/>
    </font>
    <font>
      <b/>
      <sz val="13.0"/>
      <color rgb="FFFFFFFF"/>
      <name val="Calibri"/>
    </font>
    <font>
      <b/>
      <sz val="10.0"/>
      <color rgb="FF000000"/>
      <name val="Arial"/>
    </font>
    <font>
      <b/>
      <u/>
      <sz val="18.0"/>
      <color theme="1"/>
      <name val="Arial"/>
    </font>
    <font>
      <color theme="1"/>
      <name val="Arial"/>
      <scheme val="minor"/>
    </font>
    <font>
      <i/>
      <sz val="10.0"/>
      <color theme="1"/>
      <name val="Arial"/>
    </font>
    <font>
      <b/>
      <sz val="13.0"/>
      <color rgb="FF47D45A"/>
      <name val="Calibri"/>
    </font>
    <font>
      <sz val="10.0"/>
      <color rgb="FF47D45A"/>
      <name val="Arial"/>
    </font>
    <font>
      <b/>
      <sz val="13.0"/>
      <color rgb="FF00B050"/>
      <name val="Calibri"/>
    </font>
    <font>
      <sz val="11.0"/>
      <color rgb="FF47D45A"/>
      <name val="Arial"/>
    </font>
    <font>
      <color rgb="FF000000"/>
      <name val="Arial"/>
      <scheme val="minor"/>
    </font>
    <font>
      <b/>
      <sz val="12.0"/>
      <color rgb="FF000000"/>
      <name val="Arial"/>
    </font>
    <font>
      <b/>
      <sz val="11.0"/>
      <color rgb="FFFF0000"/>
      <name val="Arial"/>
    </font>
    <font>
      <b/>
      <sz val="13.0"/>
      <color rgb="FF000000"/>
      <name val="Arial"/>
    </font>
    <font>
      <b/>
      <sz val="13.0"/>
      <color theme="1"/>
      <name val="Arial"/>
    </font>
    <font>
      <sz val="12.0"/>
      <color rgb="FF000000"/>
      <name val="Arial"/>
    </font>
    <font>
      <b/>
      <sz val="13.0"/>
      <color rgb="FF38761D"/>
      <name val="Arial"/>
    </font>
    <font>
      <sz val="12.0"/>
      <color rgb="FFFF0000"/>
      <name val="Arial"/>
    </font>
    <font>
      <sz val="13.0"/>
      <color theme="1"/>
      <name val="Arial"/>
    </font>
    <font>
      <b/>
      <sz val="11.0"/>
      <color theme="1"/>
      <name val="Arial"/>
    </font>
    <font>
      <b/>
      <sz val="12.0"/>
      <color theme="1"/>
      <name val="Arial"/>
    </font>
    <font>
      <sz val="9.0"/>
      <color theme="1"/>
      <name val="Arial"/>
    </font>
    <font>
      <u/>
      <sz val="10.0"/>
      <color rgb="FF0000FF"/>
      <name val="Arial"/>
    </font>
    <font>
      <u/>
      <sz val="10.0"/>
      <color rgb="FF0000FF"/>
      <name val="Arial"/>
    </font>
    <font>
      <sz val="9.0"/>
      <color rgb="FF000000"/>
      <name val="Arial"/>
    </font>
    <font>
      <sz val="12.0"/>
      <color theme="1"/>
      <name val="Arial"/>
    </font>
    <font>
      <u/>
      <sz val="8.0"/>
      <color rgb="FF467886"/>
      <name val="Arial"/>
    </font>
    <font>
      <u/>
      <sz val="10.0"/>
      <color rgb="FF467886"/>
      <name val="Arial"/>
    </font>
    <font>
      <u/>
      <sz val="11.0"/>
      <color rgb="FF0000FF"/>
      <name val="Arial"/>
    </font>
    <font>
      <color theme="1"/>
      <name val="Arial"/>
    </font>
    <font>
      <u/>
      <sz val="10.0"/>
      <color rgb="FF0000FF"/>
      <name val="Arial"/>
    </font>
    <font>
      <u/>
      <sz val="10.0"/>
      <color rgb="FF0000FF"/>
      <name val="Arial"/>
    </font>
    <font>
      <u/>
      <sz val="10.0"/>
      <color rgb="FF0000FF"/>
      <name val="Arial"/>
    </font>
    <font>
      <u/>
      <sz val="11.0"/>
      <color rgb="FF0000FF"/>
      <name val="Arial"/>
    </font>
    <font>
      <u/>
      <sz val="10.0"/>
      <color rgb="FF0000FF"/>
      <name val="Arial"/>
    </font>
    <font>
      <u/>
      <sz val="11.0"/>
      <color rgb="FF0000FF"/>
      <name val="Arial"/>
    </font>
    <font>
      <u/>
      <sz val="8.0"/>
      <color rgb="FF0000FF"/>
      <name val="Arial"/>
    </font>
    <font>
      <u/>
      <sz val="10.0"/>
      <color rgb="FF0000FF"/>
      <name val="Arial"/>
    </font>
    <font>
      <u/>
      <sz val="10.0"/>
      <color theme="1"/>
      <name val="Arial"/>
    </font>
    <font>
      <u/>
      <sz val="10.0"/>
      <color rgb="FF0000FF"/>
      <name val="Arial"/>
    </font>
    <font>
      <u/>
      <sz val="10.0"/>
      <color rgb="FF0000FF"/>
      <name val="Arial"/>
    </font>
    <font>
      <u/>
      <sz val="11.0"/>
      <color rgb="FF000000"/>
      <name val="Arial"/>
    </font>
    <font>
      <u/>
      <sz val="10.0"/>
      <color rgb="FF0000FF"/>
      <name val="Arial"/>
    </font>
    <font>
      <u/>
      <sz val="10.0"/>
      <color rgb="FF467886"/>
      <name val="Arial"/>
    </font>
    <font>
      <u/>
      <sz val="11.0"/>
      <color rgb="FF000000"/>
      <name val="Arial"/>
    </font>
    <font>
      <sz val="10.0"/>
      <color rgb="FF467886"/>
      <name val="Arial"/>
    </font>
    <font>
      <u/>
      <sz val="11.0"/>
      <color rgb="FF467886"/>
      <name val="Arial"/>
    </font>
    <font>
      <u/>
      <color rgb="FF467886"/>
      <name val="Arial"/>
    </font>
    <font>
      <u/>
      <sz val="11.0"/>
      <color rgb="FF467886"/>
      <name val="FkGroteskNeue"/>
    </font>
    <font>
      <u/>
      <color rgb="FF467886"/>
    </font>
    <font>
      <sz val="11.0"/>
      <color theme="1"/>
      <name val="FkGroteskNeue"/>
    </font>
    <font>
      <u/>
      <color rgb="FF467886"/>
    </font>
    <font>
      <u/>
      <color rgb="FF467886"/>
      <name val="Arial"/>
    </font>
    <font>
      <u/>
      <color rgb="FF467886"/>
      <name val="Arial"/>
    </font>
    <font>
      <u/>
      <color rgb="FF467886"/>
      <name val="Arial"/>
    </font>
    <font>
      <u/>
      <color rgb="FF467886"/>
      <name val="Unset"/>
    </font>
    <font>
      <u/>
      <color rgb="FF467886"/>
      <name val="FkGroteskNeue"/>
    </font>
    <font>
      <b/>
      <sz val="14.0"/>
      <color rgb="FF000000"/>
      <name val="Arial"/>
    </font>
    <font>
      <u/>
      <sz val="11.0"/>
      <color theme="1"/>
      <name val="Arial"/>
    </font>
    <font>
      <sz val="8.0"/>
      <color rgb="FF0C0C0C"/>
      <name val="Arial"/>
    </font>
    <font>
      <sz val="16.0"/>
      <color rgb="FFFFFFFF"/>
      <name val="Arial"/>
    </font>
  </fonts>
  <fills count="25">
    <fill>
      <patternFill patternType="none"/>
    </fill>
    <fill>
      <patternFill patternType="lightGray"/>
    </fill>
    <fill>
      <patternFill patternType="solid">
        <fgColor rgb="FF0C302E"/>
        <bgColor rgb="FF0C302E"/>
      </patternFill>
    </fill>
    <fill>
      <patternFill patternType="solid">
        <fgColor rgb="FFD6D6D6"/>
        <bgColor rgb="FFD6D6D6"/>
      </patternFill>
    </fill>
    <fill>
      <patternFill patternType="solid">
        <fgColor rgb="FFFFFFFF"/>
        <bgColor rgb="FFFFFFFF"/>
      </patternFill>
    </fill>
    <fill>
      <patternFill patternType="solid">
        <fgColor rgb="FFD8D8D8"/>
        <bgColor rgb="FFD8D8D8"/>
      </patternFill>
    </fill>
    <fill>
      <patternFill patternType="solid">
        <fgColor rgb="FFF3F3F3"/>
        <bgColor rgb="FFF3F3F3"/>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FFC000"/>
        <bgColor rgb="FFFFC000"/>
      </patternFill>
    </fill>
    <fill>
      <patternFill patternType="solid">
        <fgColor rgb="FFFF0000"/>
        <bgColor rgb="FFFF0000"/>
      </patternFill>
    </fill>
    <fill>
      <patternFill patternType="solid">
        <fgColor rgb="FFFFD966"/>
        <bgColor rgb="FFFFD966"/>
      </patternFill>
    </fill>
    <fill>
      <patternFill patternType="solid">
        <fgColor rgb="FFFFFF00"/>
        <bgColor rgb="FFFFFF00"/>
      </patternFill>
    </fill>
    <fill>
      <patternFill patternType="solid">
        <fgColor rgb="FFF6B26B"/>
        <bgColor rgb="FFF6B26B"/>
      </patternFill>
    </fill>
    <fill>
      <patternFill patternType="solid">
        <fgColor rgb="FFE69138"/>
        <bgColor rgb="FFE69138"/>
      </patternFill>
    </fill>
    <fill>
      <patternFill patternType="solid">
        <fgColor rgb="FFD9D2E9"/>
        <bgColor rgb="FFD9D2E9"/>
      </patternFill>
    </fill>
    <fill>
      <patternFill patternType="solid">
        <fgColor rgb="FF92D050"/>
        <bgColor rgb="FF92D050"/>
      </patternFill>
    </fill>
    <fill>
      <patternFill patternType="solid">
        <fgColor theme="7"/>
        <bgColor theme="7"/>
      </patternFill>
    </fill>
    <fill>
      <patternFill patternType="solid">
        <fgColor rgb="FFEFEFEF"/>
        <bgColor rgb="FFEFEFEF"/>
      </patternFill>
    </fill>
    <fill>
      <patternFill patternType="solid">
        <fgColor rgb="FFD9D9D9"/>
        <bgColor rgb="FFD9D9D9"/>
      </patternFill>
    </fill>
    <fill>
      <patternFill patternType="solid">
        <fgColor rgb="FFB6D7A8"/>
        <bgColor rgb="FFB6D7A8"/>
      </patternFill>
    </fill>
    <fill>
      <patternFill patternType="solid">
        <fgColor rgb="FFCCCCCC"/>
        <bgColor rgb="FFCCCCCC"/>
      </patternFill>
    </fill>
    <fill>
      <patternFill patternType="solid">
        <fgColor rgb="FF666666"/>
        <bgColor rgb="FF666666"/>
      </patternFill>
    </fill>
  </fills>
  <borders count="46">
    <border/>
    <border>
      <left/>
      <right/>
      <top/>
      <bottom/>
    </border>
    <border>
      <left/>
      <top/>
      <bottom/>
    </border>
    <border>
      <top/>
      <bottom/>
    </border>
    <border>
      <right/>
      <top/>
      <bottom/>
    </border>
    <border>
      <left/>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border>
    <border>
      <left style="thin">
        <color rgb="FF000000"/>
      </left>
      <right/>
      <top/>
      <bottom/>
    </border>
    <border>
      <left style="thin">
        <color rgb="FF000000"/>
      </left>
      <right/>
      <top style="thin">
        <color rgb="FF000000"/>
      </top>
      <bottom/>
    </border>
    <border>
      <left style="thin">
        <color rgb="FF000000"/>
      </left>
      <right/>
      <top/>
      <bottom style="thin">
        <color rgb="FF000000"/>
      </bottom>
    </border>
    <border>
      <left style="thin">
        <color rgb="FF000000"/>
      </left>
      <top style="thin">
        <color rgb="FF000000"/>
      </top>
      <bottom style="thin">
        <color rgb="FF000000"/>
      </bottom>
    </border>
    <border>
      <left/>
      <right/>
      <top style="thin">
        <color rgb="FF000000"/>
      </top>
      <bottom/>
    </border>
    <border>
      <right style="thin">
        <color rgb="FF000000"/>
      </right>
      <top style="thin">
        <color rgb="FF000000"/>
      </top>
      <bottom style="thin">
        <color rgb="FF000000"/>
      </bottom>
    </border>
    <border>
      <top style="thin">
        <color rgb="FF000000"/>
      </top>
    </border>
    <border>
      <left/>
      <right style="thin">
        <color rgb="FF000000"/>
      </right>
      <top style="thin">
        <color rgb="FF000000"/>
      </top>
      <bottom/>
    </border>
    <border>
      <left/>
      <right/>
      <top/>
      <bottom style="thin">
        <color rgb="FF000000"/>
      </bottom>
    </border>
    <border>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rder>
    <border>
      <left/>
      <top style="thin">
        <color rgb="FF000000"/>
      </top>
      <bottom style="thin">
        <color rgb="FF000000"/>
      </bottom>
    </border>
    <border>
      <right/>
      <top style="thin">
        <color rgb="FF000000"/>
      </top>
      <bottom style="thin">
        <color rgb="FF000000"/>
      </bottom>
    </border>
    <border>
      <left style="thin">
        <color rgb="FF000000"/>
      </left>
      <right/>
      <top style="thin">
        <color rgb="FF000000"/>
      </top>
    </border>
    <border>
      <left/>
      <right style="thin">
        <color rgb="FF000000"/>
      </right>
      <top style="thin">
        <color rgb="FF000000"/>
      </top>
    </border>
    <border>
      <left style="thin">
        <color rgb="FF000000"/>
      </left>
      <right style="thin">
        <color rgb="FF000000"/>
      </right>
      <top/>
      <bottom style="thin">
        <color rgb="FF000000"/>
      </bottom>
    </border>
    <border>
      <right style="thin">
        <color rgb="FF000000"/>
      </right>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border>
    <border>
      <left/>
      <right style="thin">
        <color rgb="FF000000"/>
      </right>
    </border>
    <border>
      <left style="thin">
        <color rgb="FF000000"/>
      </left>
      <top style="thin">
        <color rgb="FF000000"/>
      </top>
      <bottom/>
    </border>
    <border>
      <top style="thin">
        <color rgb="FF000000"/>
      </top>
      <bottom/>
    </border>
    <border>
      <right style="thin">
        <color rgb="FF000000"/>
      </right>
      <top style="thin">
        <color rgb="FF000000"/>
      </top>
      <bottom/>
    </border>
    <border>
      <left/>
      <top style="thin">
        <color rgb="FF000000"/>
      </top>
      <bottom/>
    </border>
    <border>
      <left style="thin">
        <color rgb="FF000000"/>
      </left>
      <right style="thin">
        <color rgb="FF000000"/>
      </right>
    </border>
    <border>
      <left/>
      <top/>
      <bottom style="thin">
        <color rgb="FF000000"/>
      </bottom>
    </border>
    <border>
      <top/>
      <bottom style="thin">
        <color rgb="FF000000"/>
      </bottom>
    </border>
    <border>
      <right style="thin">
        <color rgb="FF000000"/>
      </right>
      <top/>
      <bottom style="thin">
        <color rgb="FF000000"/>
      </bottom>
    </border>
    <border>
      <left style="thin">
        <color rgb="FF9A9A9A"/>
      </left>
      <right style="thin">
        <color rgb="FF9A9A9A"/>
      </right>
      <top style="thin">
        <color rgb="FF9A9A9A"/>
      </top>
      <bottom style="thin">
        <color rgb="FF9A9A9A"/>
      </bottom>
    </border>
    <border>
      <left/>
    </border>
  </borders>
  <cellStyleXfs count="1">
    <xf borderId="0" fillId="0" fontId="0" numFmtId="0" applyAlignment="1" applyFont="1"/>
  </cellStyleXfs>
  <cellXfs count="93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Alignment="1" applyBorder="1" applyFill="1" applyFont="1">
      <alignment horizontal="center" vertical="center"/>
    </xf>
    <xf borderId="0" fillId="0" fontId="3" numFmtId="0" xfId="0" applyAlignment="1" applyFont="1">
      <alignment horizontal="left" vertical="center"/>
    </xf>
    <xf borderId="0" fillId="0" fontId="5" numFmtId="0" xfId="0" applyFont="1"/>
    <xf borderId="0" fillId="0" fontId="3" numFmtId="0" xfId="0" applyAlignment="1" applyFont="1">
      <alignment vertical="center"/>
    </xf>
    <xf borderId="0" fillId="0" fontId="6" numFmtId="0" xfId="0" applyAlignment="1" applyFont="1">
      <alignment horizontal="left"/>
    </xf>
    <xf borderId="2" fillId="3" fontId="7" numFmtId="0" xfId="0" applyAlignment="1" applyBorder="1" applyFill="1" applyFont="1">
      <alignment horizontal="left" vertical="center"/>
    </xf>
    <xf borderId="3" fillId="0" fontId="8" numFmtId="0" xfId="0" applyBorder="1" applyFont="1"/>
    <xf borderId="4" fillId="0" fontId="8" numFmtId="0" xfId="0" applyBorder="1" applyFont="1"/>
    <xf borderId="2" fillId="3" fontId="9" numFmtId="0" xfId="0" applyAlignment="1" applyBorder="1" applyFont="1">
      <alignment horizontal="left" vertical="center"/>
    </xf>
    <xf borderId="0" fillId="0" fontId="10" numFmtId="0" xfId="0" applyAlignment="1" applyFont="1">
      <alignment horizontal="left"/>
    </xf>
    <xf borderId="0" fillId="0" fontId="5" numFmtId="0" xfId="0" applyAlignment="1" applyFont="1">
      <alignment vertical="center"/>
    </xf>
    <xf borderId="0" fillId="0" fontId="5" numFmtId="0" xfId="0" applyAlignment="1" applyFont="1">
      <alignment horizontal="left" vertical="center"/>
    </xf>
    <xf borderId="2" fillId="3" fontId="9" numFmtId="2" xfId="0" applyAlignment="1" applyBorder="1" applyFont="1" applyNumberFormat="1">
      <alignment horizontal="left" vertical="center"/>
    </xf>
    <xf borderId="1" fillId="4" fontId="2" numFmtId="0" xfId="0" applyBorder="1" applyFill="1" applyFont="1"/>
    <xf borderId="1" fillId="4" fontId="7" numFmtId="0" xfId="0" applyAlignment="1" applyBorder="1" applyFont="1">
      <alignment horizontal="left" vertical="center"/>
    </xf>
    <xf borderId="1" fillId="4" fontId="3" numFmtId="0" xfId="0" applyAlignment="1" applyBorder="1" applyFont="1">
      <alignment horizontal="left" vertical="center"/>
    </xf>
    <xf borderId="1" fillId="4" fontId="9" numFmtId="2" xfId="0" applyAlignment="1" applyBorder="1" applyFont="1" applyNumberFormat="1">
      <alignment horizontal="left" vertical="center"/>
    </xf>
    <xf borderId="1" fillId="4" fontId="11" numFmtId="0" xfId="0" applyBorder="1" applyFont="1"/>
    <xf borderId="1" fillId="3" fontId="7" numFmtId="0" xfId="0" applyAlignment="1" applyBorder="1" applyFont="1">
      <alignment horizontal="left" vertical="center"/>
    </xf>
    <xf borderId="1" fillId="3" fontId="9" numFmtId="2" xfId="0" applyAlignment="1" applyBorder="1" applyFont="1" applyNumberFormat="1">
      <alignment horizontal="left" vertical="center"/>
    </xf>
    <xf borderId="0" fillId="0" fontId="12" numFmtId="0" xfId="0" applyFont="1"/>
    <xf borderId="0" fillId="0" fontId="13" numFmtId="0" xfId="0" applyFont="1"/>
    <xf borderId="0" fillId="0" fontId="2" numFmtId="2" xfId="0" applyFont="1" applyNumberFormat="1"/>
    <xf borderId="0" fillId="0" fontId="2" numFmtId="4" xfId="0" applyFont="1" applyNumberFormat="1"/>
    <xf borderId="2" fillId="5" fontId="9" numFmtId="164" xfId="0" applyAlignment="1" applyBorder="1" applyFill="1" applyFont="1" applyNumberFormat="1">
      <alignment horizontal="left" shrinkToFit="0" vertical="center" wrapText="1"/>
    </xf>
    <xf borderId="1" fillId="2" fontId="14" numFmtId="0" xfId="0" applyAlignment="1" applyBorder="1" applyFont="1">
      <alignment horizontal="center" vertical="center"/>
    </xf>
    <xf borderId="0" fillId="0" fontId="3" numFmtId="0" xfId="0" applyAlignment="1" applyFont="1">
      <alignment horizontal="right" vertical="center"/>
    </xf>
    <xf borderId="2" fillId="2" fontId="15" numFmtId="0" xfId="0" applyAlignment="1" applyBorder="1" applyFont="1">
      <alignment horizontal="center" vertical="center"/>
    </xf>
    <xf borderId="1" fillId="2" fontId="15" numFmtId="0" xfId="0" applyAlignment="1" applyBorder="1" applyFont="1">
      <alignment horizontal="center" vertical="center"/>
    </xf>
    <xf borderId="0" fillId="0" fontId="16" numFmtId="0" xfId="0" applyAlignment="1" applyFont="1">
      <alignment horizontal="center" vertical="center"/>
    </xf>
    <xf borderId="0" fillId="0" fontId="16" numFmtId="0" xfId="0" applyAlignment="1" applyFont="1">
      <alignment horizontal="left" vertical="center"/>
    </xf>
    <xf borderId="0" fillId="0" fontId="16" numFmtId="0" xfId="0" applyFont="1"/>
    <xf borderId="0" fillId="0" fontId="2" numFmtId="165" xfId="0" applyAlignment="1" applyFont="1" applyNumberFormat="1">
      <alignment horizontal="center"/>
    </xf>
    <xf borderId="0" fillId="0" fontId="2" numFmtId="0" xfId="0" applyAlignment="1" applyFont="1">
      <alignment vertical="center"/>
    </xf>
    <xf borderId="1" fillId="6" fontId="17" numFmtId="3" xfId="0" applyAlignment="1" applyBorder="1" applyFill="1" applyFont="1" applyNumberFormat="1">
      <alignment horizontal="center" vertical="center"/>
    </xf>
    <xf borderId="0" fillId="0" fontId="17" numFmtId="3" xfId="0" applyAlignment="1" applyFont="1" applyNumberFormat="1">
      <alignment horizontal="center" vertical="center"/>
    </xf>
    <xf borderId="0" fillId="0" fontId="17" numFmtId="166" xfId="0" applyAlignment="1" applyFont="1" applyNumberFormat="1">
      <alignment horizontal="left" vertical="center"/>
    </xf>
    <xf borderId="0" fillId="0" fontId="17" numFmtId="0" xfId="0" applyAlignment="1" applyFont="1">
      <alignment horizontal="left" vertical="center"/>
    </xf>
    <xf borderId="1" fillId="7" fontId="18" numFmtId="165" xfId="0" applyAlignment="1" applyBorder="1" applyFill="1" applyFont="1" applyNumberFormat="1">
      <alignment horizontal="center" vertical="center"/>
    </xf>
    <xf borderId="0" fillId="0" fontId="18" numFmtId="165" xfId="0" applyAlignment="1" applyFont="1" applyNumberFormat="1">
      <alignment horizontal="center" vertical="center"/>
    </xf>
    <xf borderId="1" fillId="6" fontId="17" numFmtId="167" xfId="0" applyAlignment="1" applyBorder="1" applyFont="1" applyNumberFormat="1">
      <alignment horizontal="center" vertical="center"/>
    </xf>
    <xf borderId="1" fillId="6" fontId="17" numFmtId="4" xfId="0" applyAlignment="1" applyBorder="1" applyFont="1" applyNumberFormat="1">
      <alignment horizontal="center" vertical="center"/>
    </xf>
    <xf borderId="1" fillId="8" fontId="17" numFmtId="3" xfId="0" applyAlignment="1" applyBorder="1" applyFill="1" applyFont="1" applyNumberFormat="1">
      <alignment horizontal="center" vertical="center"/>
    </xf>
    <xf borderId="0" fillId="0" fontId="18" numFmtId="165" xfId="0" applyAlignment="1" applyFont="1" applyNumberFormat="1">
      <alignment horizontal="center"/>
    </xf>
    <xf borderId="1" fillId="9" fontId="18" numFmtId="165" xfId="0" applyAlignment="1" applyBorder="1" applyFill="1" applyFont="1" applyNumberFormat="1">
      <alignment horizontal="center" vertical="center"/>
    </xf>
    <xf borderId="1" fillId="10" fontId="17" numFmtId="167" xfId="0" applyAlignment="1" applyBorder="1" applyFill="1" applyFont="1" applyNumberFormat="1">
      <alignment horizontal="center" vertical="center"/>
    </xf>
    <xf borderId="0" fillId="0" fontId="18" numFmtId="0" xfId="0" applyFont="1"/>
    <xf borderId="0" fillId="0" fontId="17" numFmtId="0" xfId="0" applyFont="1"/>
    <xf borderId="2" fillId="3" fontId="17" numFmtId="0" xfId="0" applyAlignment="1" applyBorder="1" applyFont="1">
      <alignment horizontal="right" vertical="center"/>
    </xf>
    <xf borderId="0" fillId="0" fontId="17" numFmtId="0" xfId="0" applyAlignment="1" applyFont="1">
      <alignment horizontal="right" vertical="center"/>
    </xf>
    <xf borderId="1" fillId="3" fontId="19" numFmtId="165" xfId="0" applyAlignment="1" applyBorder="1" applyFont="1" applyNumberFormat="1">
      <alignment horizontal="center" vertical="center"/>
    </xf>
    <xf borderId="0" fillId="0" fontId="11" numFmtId="165" xfId="0" applyFont="1" applyNumberFormat="1"/>
    <xf borderId="0" fillId="0" fontId="20" numFmtId="165" xfId="0" applyAlignment="1" applyFont="1" applyNumberFormat="1">
      <alignment horizontal="center" vertical="center"/>
    </xf>
    <xf borderId="0" fillId="0" fontId="18" numFmtId="0" xfId="0" applyAlignment="1" applyFont="1">
      <alignment horizontal="center"/>
    </xf>
    <xf borderId="0" fillId="0" fontId="17" numFmtId="0" xfId="0" applyAlignment="1" applyFont="1">
      <alignment horizontal="right"/>
    </xf>
    <xf borderId="0" fillId="0" fontId="11" numFmtId="0" xfId="0" applyFont="1"/>
    <xf borderId="0" fillId="0" fontId="16" numFmtId="0" xfId="0" applyAlignment="1" applyFont="1">
      <alignment horizontal="right" vertical="center"/>
    </xf>
    <xf borderId="0" fillId="0" fontId="5" numFmtId="165" xfId="0" applyAlignment="1" applyFont="1" applyNumberFormat="1">
      <alignment horizontal="center" vertical="center"/>
    </xf>
    <xf borderId="0" fillId="0" fontId="2" numFmtId="0" xfId="0" applyAlignment="1" applyFont="1">
      <alignment horizontal="center"/>
    </xf>
    <xf borderId="0" fillId="0" fontId="16" numFmtId="0" xfId="0" applyAlignment="1" applyFont="1">
      <alignment horizontal="right"/>
    </xf>
    <xf borderId="2" fillId="5" fontId="16" numFmtId="0" xfId="0" applyAlignment="1" applyBorder="1" applyFont="1">
      <alignment horizontal="right" vertical="center"/>
    </xf>
    <xf borderId="1" fillId="5" fontId="5" numFmtId="165" xfId="0" applyAlignment="1" applyBorder="1" applyFont="1" applyNumberFormat="1">
      <alignment horizontal="center" vertical="center"/>
    </xf>
    <xf borderId="0" fillId="0" fontId="21" numFmtId="0" xfId="0" applyAlignment="1" applyFont="1">
      <alignment horizontal="right" vertical="center"/>
    </xf>
    <xf borderId="0" fillId="0" fontId="22" numFmtId="165" xfId="0" applyAlignment="1" applyFont="1" applyNumberFormat="1">
      <alignment horizontal="center" vertical="center"/>
    </xf>
    <xf borderId="5" fillId="2" fontId="23" numFmtId="0" xfId="0" applyAlignment="1" applyBorder="1" applyFont="1">
      <alignment horizontal="center"/>
    </xf>
    <xf borderId="5" fillId="2" fontId="23" numFmtId="2" xfId="0" applyAlignment="1" applyBorder="1" applyFont="1" applyNumberFormat="1">
      <alignment horizontal="center"/>
    </xf>
    <xf borderId="5" fillId="2" fontId="23" numFmtId="2" xfId="0" applyAlignment="1" applyBorder="1" applyFont="1" applyNumberFormat="1">
      <alignment horizontal="center" vertical="center"/>
    </xf>
    <xf borderId="5" fillId="2" fontId="23" numFmtId="168" xfId="0" applyAlignment="1" applyBorder="1" applyFont="1" applyNumberFormat="1">
      <alignment horizontal="center" vertical="center"/>
    </xf>
    <xf borderId="1" fillId="11" fontId="24" numFmtId="169" xfId="0" applyAlignment="1" applyBorder="1" applyFill="1" applyFont="1" applyNumberFormat="1">
      <alignment horizontal="center" shrinkToFit="0" wrapText="1"/>
    </xf>
    <xf borderId="1" fillId="11" fontId="24" numFmtId="169" xfId="0" applyAlignment="1" applyBorder="1" applyFont="1" applyNumberFormat="1">
      <alignment horizontal="center"/>
    </xf>
    <xf borderId="1" fillId="11" fontId="24" numFmtId="169" xfId="0" applyAlignment="1" applyBorder="1" applyFont="1" applyNumberFormat="1">
      <alignment horizontal="center" vertical="center"/>
    </xf>
    <xf borderId="0" fillId="0" fontId="24" numFmtId="0" xfId="0" applyAlignment="1" applyFont="1">
      <alignment horizontal="center"/>
    </xf>
    <xf borderId="0" fillId="0" fontId="24" numFmtId="169" xfId="0" applyAlignment="1" applyFont="1" applyNumberFormat="1">
      <alignment horizontal="center"/>
    </xf>
    <xf borderId="0" fillId="0" fontId="24" numFmtId="169" xfId="0" applyAlignment="1" applyFont="1" applyNumberFormat="1">
      <alignment horizontal="center" shrinkToFit="0" wrapText="1"/>
    </xf>
    <xf borderId="0" fillId="0" fontId="24" numFmtId="169" xfId="0" applyAlignment="1" applyFont="1" applyNumberFormat="1">
      <alignment horizontal="center" vertical="center"/>
    </xf>
    <xf borderId="0" fillId="0" fontId="11" numFmtId="4" xfId="0" applyFont="1" applyNumberFormat="1"/>
    <xf borderId="0" fillId="0" fontId="11" numFmtId="169" xfId="0" applyFont="1" applyNumberFormat="1"/>
    <xf borderId="0" fillId="0" fontId="11" numFmtId="169" xfId="0" applyAlignment="1" applyFont="1" applyNumberFormat="1">
      <alignment shrinkToFit="0" wrapText="1"/>
    </xf>
    <xf borderId="0" fillId="0" fontId="11" numFmtId="169" xfId="0" applyAlignment="1" applyFont="1" applyNumberFormat="1">
      <alignment horizontal="center" vertical="center"/>
    </xf>
    <xf borderId="5" fillId="2" fontId="25" numFmtId="0" xfId="0" applyAlignment="1" applyBorder="1" applyFont="1">
      <alignment horizontal="center" vertical="center"/>
    </xf>
    <xf borderId="5" fillId="2" fontId="23" numFmtId="0" xfId="0" applyAlignment="1" applyBorder="1" applyFont="1">
      <alignment horizontal="center" vertical="center"/>
    </xf>
    <xf borderId="5" fillId="9" fontId="21" numFmtId="169" xfId="0" applyAlignment="1" applyBorder="1" applyFont="1" applyNumberFormat="1">
      <alignment horizontal="center" vertical="center"/>
    </xf>
    <xf borderId="1" fillId="2" fontId="26" numFmtId="4" xfId="0" applyAlignment="1" applyBorder="1" applyFont="1" applyNumberFormat="1">
      <alignment horizontal="center" vertical="center"/>
    </xf>
    <xf borderId="5" fillId="8" fontId="21" numFmtId="169" xfId="0" applyAlignment="1" applyBorder="1" applyFont="1" applyNumberFormat="1">
      <alignment horizontal="center" vertical="center"/>
    </xf>
    <xf borderId="1" fillId="2" fontId="26" numFmtId="169" xfId="0" applyAlignment="1" applyBorder="1" applyFont="1" applyNumberFormat="1">
      <alignment horizontal="center" vertical="center"/>
    </xf>
    <xf borderId="0" fillId="0" fontId="11" numFmtId="0" xfId="0" applyAlignment="1" applyFont="1">
      <alignment horizontal="left" vertical="top"/>
    </xf>
    <xf borderId="0" fillId="0" fontId="11" numFmtId="0" xfId="0" applyAlignment="1" applyFont="1">
      <alignment shrinkToFit="0" wrapText="1"/>
    </xf>
    <xf borderId="0" fillId="0" fontId="11" numFmtId="4" xfId="0" applyAlignment="1" applyFont="1" applyNumberFormat="1">
      <alignment horizontal="right" vertical="top"/>
    </xf>
    <xf borderId="0" fillId="0" fontId="11" numFmtId="169" xfId="0" applyAlignment="1" applyFont="1" applyNumberFormat="1">
      <alignment horizontal="right" vertical="top"/>
    </xf>
    <xf borderId="0" fillId="0" fontId="11" numFmtId="169" xfId="0" applyAlignment="1" applyFont="1" applyNumberFormat="1">
      <alignment horizontal="right" shrinkToFit="0" vertical="top" wrapText="1"/>
    </xf>
    <xf borderId="5" fillId="7" fontId="21" numFmtId="169" xfId="0" applyAlignment="1" applyBorder="1" applyFont="1" applyNumberFormat="1">
      <alignment horizontal="center" vertical="center"/>
    </xf>
    <xf borderId="0" fillId="0" fontId="26" numFmtId="0" xfId="0" applyAlignment="1" applyFont="1">
      <alignment horizontal="left" vertical="top"/>
    </xf>
    <xf borderId="0" fillId="0" fontId="26" numFmtId="0" xfId="0" applyAlignment="1" applyFont="1">
      <alignment shrinkToFit="0" wrapText="1"/>
    </xf>
    <xf borderId="0" fillId="0" fontId="26" numFmtId="4" xfId="0" applyAlignment="1" applyFont="1" applyNumberFormat="1">
      <alignment horizontal="right" vertical="top"/>
    </xf>
    <xf borderId="0" fillId="0" fontId="26" numFmtId="169" xfId="0" applyAlignment="1" applyFont="1" applyNumberFormat="1">
      <alignment horizontal="right" vertical="top"/>
    </xf>
    <xf borderId="0" fillId="0" fontId="27" numFmtId="169" xfId="0" applyAlignment="1" applyFont="1" applyNumberFormat="1">
      <alignment horizontal="right" shrinkToFit="0" vertical="top" wrapText="1"/>
    </xf>
    <xf borderId="0" fillId="0" fontId="27" numFmtId="169" xfId="0" applyAlignment="1" applyFont="1" applyNumberFormat="1">
      <alignment horizontal="right" vertical="top"/>
    </xf>
    <xf borderId="0" fillId="0" fontId="27" numFmtId="169" xfId="0" applyAlignment="1" applyFont="1" applyNumberFormat="1">
      <alignment horizontal="center" vertical="center"/>
    </xf>
    <xf borderId="0" fillId="0" fontId="26" numFmtId="0" xfId="0" applyFont="1"/>
    <xf borderId="0" fillId="0" fontId="26" numFmtId="4" xfId="0" applyFont="1" applyNumberFormat="1"/>
    <xf borderId="0" fillId="0" fontId="26" numFmtId="169" xfId="0" applyFont="1" applyNumberFormat="1"/>
    <xf borderId="0" fillId="0" fontId="27" numFmtId="169" xfId="0" applyAlignment="1" applyFont="1" applyNumberFormat="1">
      <alignment shrinkToFit="0" wrapText="1"/>
    </xf>
    <xf borderId="0" fillId="0" fontId="27" numFmtId="169" xfId="0" applyFont="1" applyNumberFormat="1"/>
    <xf borderId="1" fillId="12" fontId="11" numFmtId="169" xfId="0" applyAlignment="1" applyBorder="1" applyFill="1" applyFont="1" applyNumberFormat="1">
      <alignment horizontal="right" vertical="top"/>
    </xf>
    <xf borderId="1" fillId="12" fontId="11" numFmtId="169" xfId="0" applyBorder="1" applyFont="1" applyNumberFormat="1"/>
    <xf borderId="0" fillId="0" fontId="28" numFmtId="0" xfId="0" applyAlignment="1" applyFont="1">
      <alignment horizontal="left" vertical="top"/>
    </xf>
    <xf borderId="0" fillId="0" fontId="28" numFmtId="0" xfId="0" applyAlignment="1" applyFont="1">
      <alignment shrinkToFit="0" wrapText="1"/>
    </xf>
    <xf borderId="0" fillId="0" fontId="28" numFmtId="4" xfId="0" applyAlignment="1" applyFont="1" applyNumberFormat="1">
      <alignment horizontal="right" vertical="top"/>
    </xf>
    <xf borderId="0" fillId="0" fontId="28" numFmtId="169" xfId="0" applyAlignment="1" applyFont="1" applyNumberFormat="1">
      <alignment horizontal="right" vertical="top"/>
    </xf>
    <xf borderId="0" fillId="0" fontId="28" numFmtId="169" xfId="0" applyAlignment="1" applyFont="1" applyNumberFormat="1">
      <alignment horizontal="right" shrinkToFit="0" vertical="top" wrapText="1"/>
    </xf>
    <xf borderId="0" fillId="0" fontId="28" numFmtId="169" xfId="0" applyAlignment="1" applyFont="1" applyNumberFormat="1">
      <alignment horizontal="center" vertical="center"/>
    </xf>
    <xf borderId="1" fillId="4" fontId="11" numFmtId="4" xfId="0" applyBorder="1" applyFont="1" applyNumberFormat="1"/>
    <xf borderId="1" fillId="4" fontId="11" numFmtId="169" xfId="0" applyBorder="1" applyFont="1" applyNumberFormat="1"/>
    <xf borderId="1" fillId="4" fontId="11" numFmtId="169" xfId="0" applyAlignment="1" applyBorder="1" applyFont="1" applyNumberFormat="1">
      <alignment shrinkToFit="0" wrapText="1"/>
    </xf>
    <xf borderId="1" fillId="4" fontId="11" numFmtId="169" xfId="0" applyAlignment="1" applyBorder="1" applyFont="1" applyNumberFormat="1">
      <alignment horizontal="center" vertical="center"/>
    </xf>
    <xf borderId="1" fillId="12" fontId="11" numFmtId="0" xfId="0" applyBorder="1" applyFont="1"/>
    <xf borderId="1" fillId="12" fontId="11" numFmtId="4" xfId="0" applyBorder="1" applyFont="1" applyNumberFormat="1"/>
    <xf borderId="1" fillId="12" fontId="11" numFmtId="169" xfId="0" applyAlignment="1" applyBorder="1" applyFont="1" applyNumberFormat="1">
      <alignment shrinkToFit="0" wrapText="1"/>
    </xf>
    <xf borderId="1" fillId="12" fontId="11" numFmtId="169" xfId="0" applyAlignment="1" applyBorder="1" applyFont="1" applyNumberFormat="1">
      <alignment horizontal="center" vertical="center"/>
    </xf>
    <xf borderId="5" fillId="2" fontId="29" numFmtId="2" xfId="0" applyAlignment="1" applyBorder="1" applyFont="1" applyNumberFormat="1">
      <alignment horizontal="center" vertical="center"/>
    </xf>
    <xf borderId="0" fillId="0" fontId="28" numFmtId="0" xfId="0" applyFont="1"/>
    <xf borderId="0" fillId="0" fontId="28" numFmtId="4" xfId="0" applyFont="1" applyNumberFormat="1"/>
    <xf borderId="0" fillId="0" fontId="28" numFmtId="169" xfId="0" applyFont="1" applyNumberFormat="1"/>
    <xf borderId="0" fillId="0" fontId="28" numFmtId="169" xfId="0" applyAlignment="1" applyFont="1" applyNumberFormat="1">
      <alignment shrinkToFit="0" wrapText="1"/>
    </xf>
    <xf borderId="0" fillId="0" fontId="30" numFmtId="169" xfId="0" applyAlignment="1" applyFont="1" applyNumberFormat="1">
      <alignment horizontal="right" vertical="top"/>
    </xf>
    <xf borderId="0" fillId="0" fontId="31" numFmtId="169" xfId="0" applyAlignment="1" applyFont="1" applyNumberFormat="1">
      <alignment horizontal="right" vertical="top"/>
    </xf>
    <xf borderId="0" fillId="0" fontId="11" numFmtId="0" xfId="0" applyAlignment="1" applyFont="1">
      <alignment horizontal="center" vertical="center"/>
    </xf>
    <xf borderId="0" fillId="0" fontId="32" numFmtId="0" xfId="0" applyAlignment="1" applyFont="1">
      <alignment horizontal="center" vertical="center"/>
    </xf>
    <xf borderId="0" fillId="0" fontId="33" numFmtId="169" xfId="0" applyAlignment="1" applyFont="1" applyNumberFormat="1">
      <alignment horizontal="right" shrinkToFit="0" vertical="top" wrapText="1"/>
    </xf>
    <xf borderId="0" fillId="0" fontId="34" numFmtId="169" xfId="0" applyAlignment="1" applyFont="1" applyNumberFormat="1">
      <alignment horizontal="right" vertical="top"/>
    </xf>
    <xf borderId="5" fillId="2" fontId="29" numFmtId="0" xfId="0" applyAlignment="1" applyBorder="1" applyFont="1">
      <alignment horizontal="center" vertical="center"/>
    </xf>
    <xf borderId="0" fillId="0" fontId="11" numFmtId="169" xfId="0" applyAlignment="1" applyFont="1" applyNumberFormat="1">
      <alignment horizontal="left" vertical="top"/>
    </xf>
    <xf borderId="0" fillId="0" fontId="27" numFmtId="0" xfId="0" applyAlignment="1" applyFont="1">
      <alignment horizontal="left" vertical="top"/>
    </xf>
    <xf borderId="0" fillId="0" fontId="27" numFmtId="0" xfId="0" applyAlignment="1" applyFont="1">
      <alignment shrinkToFit="0" wrapText="1"/>
    </xf>
    <xf borderId="0" fillId="0" fontId="27" numFmtId="0" xfId="0" applyFont="1"/>
    <xf borderId="0" fillId="0" fontId="27" numFmtId="4" xfId="0" applyFont="1" applyNumberFormat="1"/>
    <xf borderId="0" fillId="0" fontId="27" numFmtId="4" xfId="0" applyAlignment="1" applyFont="1" applyNumberFormat="1">
      <alignment horizontal="right" vertical="top"/>
    </xf>
    <xf borderId="1" fillId="9" fontId="11" numFmtId="0" xfId="0" applyAlignment="1" applyBorder="1" applyFont="1">
      <alignment shrinkToFit="0" wrapText="1"/>
    </xf>
    <xf borderId="1" fillId="9" fontId="11" numFmtId="0" xfId="0" applyAlignment="1" applyBorder="1" applyFont="1">
      <alignment horizontal="left" vertical="top"/>
    </xf>
    <xf borderId="1" fillId="9" fontId="11" numFmtId="4" xfId="0" applyAlignment="1" applyBorder="1" applyFont="1" applyNumberFormat="1">
      <alignment horizontal="right" vertical="top"/>
    </xf>
    <xf borderId="1" fillId="9" fontId="11" numFmtId="169" xfId="0" applyAlignment="1" applyBorder="1" applyFont="1" applyNumberFormat="1">
      <alignment horizontal="right" vertical="top"/>
    </xf>
    <xf borderId="1" fillId="13" fontId="11" numFmtId="0" xfId="0" applyBorder="1" applyFill="1" applyFont="1"/>
    <xf borderId="1" fillId="13" fontId="11" numFmtId="4" xfId="0" applyBorder="1" applyFont="1" applyNumberFormat="1"/>
    <xf borderId="1" fillId="13" fontId="11" numFmtId="169" xfId="0" applyBorder="1" applyFont="1" applyNumberFormat="1"/>
    <xf borderId="5" fillId="14" fontId="21" numFmtId="169" xfId="0" applyAlignment="1" applyBorder="1" applyFill="1" applyFont="1" applyNumberFormat="1">
      <alignment horizontal="center" vertical="center"/>
    </xf>
    <xf borderId="0" fillId="0" fontId="35" numFmtId="0" xfId="0" applyAlignment="1" applyFont="1">
      <alignment shrinkToFit="0" wrapText="1"/>
    </xf>
    <xf borderId="0" fillId="0" fontId="35" numFmtId="169" xfId="0" applyAlignment="1" applyFont="1" applyNumberFormat="1">
      <alignment horizontal="right" vertical="top"/>
    </xf>
    <xf borderId="1" fillId="4" fontId="11" numFmtId="0" xfId="0" applyAlignment="1" applyBorder="1" applyFont="1">
      <alignment horizontal="left" vertical="top"/>
    </xf>
    <xf borderId="1" fillId="4" fontId="11" numFmtId="0" xfId="0" applyAlignment="1" applyBorder="1" applyFont="1">
      <alignment shrinkToFit="0" wrapText="1"/>
    </xf>
    <xf borderId="1" fillId="4" fontId="11" numFmtId="4" xfId="0" applyAlignment="1" applyBorder="1" applyFont="1" applyNumberFormat="1">
      <alignment horizontal="right" vertical="top"/>
    </xf>
    <xf borderId="1" fillId="4" fontId="11" numFmtId="169" xfId="0" applyAlignment="1" applyBorder="1" applyFont="1" applyNumberFormat="1">
      <alignment horizontal="right" vertical="top"/>
    </xf>
    <xf borderId="1" fillId="4" fontId="11" numFmtId="169" xfId="0" applyAlignment="1" applyBorder="1" applyFont="1" applyNumberFormat="1">
      <alignment horizontal="right" shrinkToFit="0" vertical="top" wrapText="1"/>
    </xf>
    <xf borderId="1" fillId="4" fontId="11" numFmtId="169" xfId="0" applyAlignment="1" applyBorder="1" applyFont="1" applyNumberFormat="1">
      <alignment horizontal="left" vertical="top"/>
    </xf>
    <xf borderId="1" fillId="4" fontId="11" numFmtId="169" xfId="0" applyAlignment="1" applyBorder="1" applyFont="1" applyNumberFormat="1">
      <alignment horizontal="left" shrinkToFit="0" vertical="top" wrapText="1"/>
    </xf>
    <xf borderId="5" fillId="2" fontId="23" numFmtId="0" xfId="0" applyAlignment="1" applyBorder="1" applyFont="1">
      <alignment horizontal="center" shrinkToFit="0" vertical="center" wrapText="1"/>
    </xf>
    <xf borderId="0" fillId="0" fontId="11" numFmtId="169" xfId="0" applyAlignment="1" applyFont="1" applyNumberFormat="1">
      <alignment horizontal="left" shrinkToFit="0" vertical="top" wrapText="1"/>
    </xf>
    <xf borderId="1" fillId="14" fontId="11" numFmtId="0" xfId="0" applyBorder="1" applyFont="1"/>
    <xf borderId="1" fillId="14" fontId="11" numFmtId="0" xfId="0" applyAlignment="1" applyBorder="1" applyFont="1">
      <alignment shrinkToFit="0" wrapText="1"/>
    </xf>
    <xf borderId="1" fillId="14" fontId="11" numFmtId="0" xfId="0" applyAlignment="1" applyBorder="1" applyFont="1">
      <alignment horizontal="left" vertical="top"/>
    </xf>
    <xf borderId="1" fillId="14" fontId="11" numFmtId="4" xfId="0" applyAlignment="1" applyBorder="1" applyFont="1" applyNumberFormat="1">
      <alignment horizontal="right" vertical="top"/>
    </xf>
    <xf borderId="1" fillId="14" fontId="11" numFmtId="169" xfId="0" applyAlignment="1" applyBorder="1" applyFont="1" applyNumberFormat="1">
      <alignment horizontal="right" vertical="top"/>
    </xf>
    <xf borderId="1" fillId="14" fontId="11" numFmtId="169" xfId="0" applyAlignment="1" applyBorder="1" applyFont="1" applyNumberFormat="1">
      <alignment horizontal="right" shrinkToFit="0" vertical="top" wrapText="1"/>
    </xf>
    <xf borderId="1" fillId="14" fontId="11" numFmtId="169" xfId="0" applyAlignment="1" applyBorder="1" applyFont="1" applyNumberFormat="1">
      <alignment horizontal="center" vertical="center"/>
    </xf>
    <xf borderId="1" fillId="4" fontId="23" numFmtId="0" xfId="0" applyAlignment="1" applyBorder="1" applyFont="1">
      <alignment horizontal="center" vertical="center"/>
    </xf>
    <xf borderId="1" fillId="4" fontId="23" numFmtId="0" xfId="0" applyAlignment="1" applyBorder="1" applyFont="1">
      <alignment horizontal="center" shrinkToFit="0" vertical="center" wrapText="1"/>
    </xf>
    <xf borderId="1" fillId="4" fontId="21" numFmtId="169" xfId="0" applyAlignment="1" applyBorder="1" applyFont="1" applyNumberFormat="1">
      <alignment horizontal="center" vertical="center"/>
    </xf>
    <xf borderId="1" fillId="4" fontId="26" numFmtId="4" xfId="0" applyAlignment="1" applyBorder="1" applyFont="1" applyNumberFormat="1">
      <alignment horizontal="center" vertical="center"/>
    </xf>
    <xf borderId="1" fillId="4" fontId="26" numFmtId="169" xfId="0" applyAlignment="1" applyBorder="1" applyFont="1" applyNumberFormat="1">
      <alignment horizontal="center" vertical="center"/>
    </xf>
    <xf borderId="6" fillId="15" fontId="23" numFmtId="0" xfId="0" applyAlignment="1" applyBorder="1" applyFill="1" applyFont="1">
      <alignment horizontal="center" vertical="center"/>
    </xf>
    <xf borderId="5" fillId="15" fontId="23" numFmtId="0" xfId="0" applyAlignment="1" applyBorder="1" applyFont="1">
      <alignment horizontal="center" shrinkToFit="0" vertical="center" wrapText="1"/>
    </xf>
    <xf borderId="5" fillId="15" fontId="21" numFmtId="169" xfId="0" applyAlignment="1" applyBorder="1" applyFont="1" applyNumberFormat="1">
      <alignment horizontal="center" vertical="center"/>
    </xf>
    <xf borderId="5" fillId="15" fontId="26" numFmtId="4" xfId="0" applyAlignment="1" applyBorder="1" applyFont="1" applyNumberFormat="1">
      <alignment horizontal="center" vertical="center"/>
    </xf>
    <xf borderId="5" fillId="15" fontId="26" numFmtId="169" xfId="0" applyAlignment="1" applyBorder="1" applyFont="1" applyNumberFormat="1">
      <alignment horizontal="center" vertical="center"/>
    </xf>
    <xf borderId="7" fillId="15" fontId="26" numFmtId="169" xfId="0" applyAlignment="1" applyBorder="1" applyFont="1" applyNumberFormat="1">
      <alignment horizontal="center" vertical="center"/>
    </xf>
    <xf borderId="5" fillId="4" fontId="21" numFmtId="0" xfId="0" applyAlignment="1" applyBorder="1" applyFont="1">
      <alignment horizontal="center" vertical="center"/>
    </xf>
    <xf borderId="5" fillId="4" fontId="21" numFmtId="0" xfId="0" applyAlignment="1" applyBorder="1" applyFont="1">
      <alignment horizontal="center" shrinkToFit="0" vertical="center" wrapText="1"/>
    </xf>
    <xf borderId="5" fillId="4" fontId="21" numFmtId="169" xfId="0" applyAlignment="1" applyBorder="1" applyFont="1" applyNumberFormat="1">
      <alignment horizontal="center" vertical="center"/>
    </xf>
    <xf borderId="0" fillId="0" fontId="27" numFmtId="169" xfId="0" applyAlignment="1" applyFont="1" applyNumberFormat="1">
      <alignment horizontal="left" vertical="top"/>
    </xf>
    <xf borderId="0" fillId="0" fontId="27" numFmtId="169" xfId="0" applyAlignment="1" applyFont="1" applyNumberFormat="1">
      <alignment horizontal="left" shrinkToFit="0" vertical="top" wrapText="1"/>
    </xf>
    <xf borderId="1" fillId="2" fontId="23" numFmtId="0" xfId="0" applyAlignment="1" applyBorder="1" applyFont="1">
      <alignment horizontal="center"/>
    </xf>
    <xf borderId="5" fillId="2" fontId="23" numFmtId="0" xfId="0" applyAlignment="1" applyBorder="1" applyFont="1">
      <alignment horizontal="center" vertical="top"/>
    </xf>
    <xf borderId="5" fillId="2" fontId="23" numFmtId="170" xfId="0" applyAlignment="1" applyBorder="1" applyFont="1" applyNumberFormat="1">
      <alignment horizontal="center" vertical="center"/>
    </xf>
    <xf borderId="1" fillId="2" fontId="23" numFmtId="168" xfId="0" applyAlignment="1" applyBorder="1" applyFont="1" applyNumberFormat="1">
      <alignment horizontal="center" vertical="center"/>
    </xf>
    <xf borderId="0" fillId="0" fontId="24" numFmtId="0" xfId="0" applyAlignment="1" applyFont="1">
      <alignment horizontal="center" vertical="top"/>
    </xf>
    <xf borderId="0" fillId="0" fontId="24" numFmtId="170" xfId="0" applyAlignment="1" applyFont="1" applyNumberFormat="1">
      <alignment horizontal="center"/>
    </xf>
    <xf borderId="0" fillId="0" fontId="11" numFmtId="0" xfId="0" applyAlignment="1" applyFont="1">
      <alignment horizontal="center"/>
    </xf>
    <xf borderId="0" fillId="0" fontId="11" numFmtId="0" xfId="0" applyAlignment="1" applyFont="1">
      <alignment vertical="top"/>
    </xf>
    <xf borderId="0" fillId="0" fontId="11" numFmtId="170" xfId="0" applyFont="1" applyNumberFormat="1"/>
    <xf borderId="6" fillId="2" fontId="23" numFmtId="0" xfId="0" applyAlignment="1" applyBorder="1" applyFont="1">
      <alignment horizontal="center" vertical="center"/>
    </xf>
    <xf borderId="5" fillId="2" fontId="26" numFmtId="169" xfId="0" applyAlignment="1" applyBorder="1" applyFont="1" applyNumberFormat="1">
      <alignment horizontal="center" vertical="center"/>
    </xf>
    <xf borderId="5" fillId="2" fontId="26" numFmtId="4" xfId="0" applyAlignment="1" applyBorder="1" applyFont="1" applyNumberFormat="1">
      <alignment horizontal="center" vertical="center"/>
    </xf>
    <xf borderId="5" fillId="2" fontId="26" numFmtId="170" xfId="0" applyAlignment="1" applyBorder="1" applyFont="1" applyNumberFormat="1">
      <alignment horizontal="center" vertical="center"/>
    </xf>
    <xf borderId="5" fillId="7" fontId="21" numFmtId="170" xfId="0" applyAlignment="1" applyBorder="1" applyFont="1" applyNumberFormat="1">
      <alignment horizontal="center" vertical="center"/>
    </xf>
    <xf borderId="8" fillId="8" fontId="21" numFmtId="169" xfId="0" applyAlignment="1" applyBorder="1" applyFont="1" applyNumberFormat="1">
      <alignment horizontal="center" vertical="center"/>
    </xf>
    <xf borderId="6" fillId="4" fontId="11" numFmtId="0" xfId="0" applyAlignment="1" applyBorder="1" applyFont="1">
      <alignment horizontal="center" vertical="center"/>
    </xf>
    <xf borderId="7" fillId="4" fontId="11" numFmtId="0" xfId="0" applyAlignment="1" applyBorder="1" applyFont="1">
      <alignment shrinkToFit="0" vertical="top" wrapText="1"/>
    </xf>
    <xf borderId="0" fillId="0" fontId="11" numFmtId="170" xfId="0" applyAlignment="1" applyFont="1" applyNumberFormat="1">
      <alignment horizontal="right" vertical="top"/>
    </xf>
    <xf borderId="1" fillId="4" fontId="11" numFmtId="0" xfId="0" applyAlignment="1" applyBorder="1" applyFont="1">
      <alignment vertical="top"/>
    </xf>
    <xf borderId="5" fillId="4" fontId="36" numFmtId="0" xfId="0" applyAlignment="1" applyBorder="1" applyFont="1">
      <alignment shrinkToFit="0" vertical="top" wrapText="1"/>
    </xf>
    <xf borderId="9" fillId="0" fontId="11" numFmtId="0" xfId="0" applyAlignment="1" applyBorder="1" applyFont="1">
      <alignment horizontal="center" vertical="center"/>
    </xf>
    <xf borderId="5" fillId="4" fontId="28" numFmtId="4" xfId="0" applyAlignment="1" applyBorder="1" applyFont="1" applyNumberFormat="1">
      <alignment horizontal="center" vertical="center"/>
    </xf>
    <xf borderId="5" fillId="4" fontId="26" numFmtId="170" xfId="0" applyAlignment="1" applyBorder="1" applyFont="1" applyNumberFormat="1">
      <alignment horizontal="center" vertical="center"/>
    </xf>
    <xf borderId="7" fillId="4" fontId="26" numFmtId="170" xfId="0" applyAlignment="1" applyBorder="1" applyFont="1" applyNumberFormat="1">
      <alignment horizontal="center" vertical="center"/>
    </xf>
    <xf borderId="8" fillId="4" fontId="37" numFmtId="169" xfId="0" applyAlignment="1" applyBorder="1" applyFont="1" applyNumberFormat="1">
      <alignment horizontal="left" shrinkToFit="0" vertical="center" wrapText="1"/>
    </xf>
    <xf borderId="1" fillId="4" fontId="26" numFmtId="0" xfId="0" applyBorder="1" applyFont="1"/>
    <xf borderId="1" fillId="4" fontId="11" numFmtId="0" xfId="0" applyAlignment="1" applyBorder="1" applyFont="1">
      <alignment horizontal="center"/>
    </xf>
    <xf borderId="1" fillId="4" fontId="26" numFmtId="0" xfId="0" applyAlignment="1" applyBorder="1" applyFont="1">
      <alignment vertical="top"/>
    </xf>
    <xf borderId="1" fillId="4" fontId="26" numFmtId="4" xfId="0" applyBorder="1" applyFont="1" applyNumberFormat="1"/>
    <xf borderId="1" fillId="4" fontId="26" numFmtId="170" xfId="0" applyBorder="1" applyFont="1" applyNumberFormat="1"/>
    <xf borderId="1" fillId="4" fontId="26" numFmtId="169" xfId="0" applyAlignment="1" applyBorder="1" applyFont="1" applyNumberFormat="1">
      <alignment vertical="center"/>
    </xf>
    <xf borderId="5" fillId="4" fontId="26" numFmtId="4" xfId="0" applyAlignment="1" applyBorder="1" applyFont="1" applyNumberFormat="1">
      <alignment horizontal="center" vertical="center"/>
    </xf>
    <xf borderId="8" fillId="4" fontId="26" numFmtId="169" xfId="0" applyAlignment="1" applyBorder="1" applyFont="1" applyNumberFormat="1">
      <alignment horizontal="right" vertical="center"/>
    </xf>
    <xf borderId="1" fillId="4" fontId="26" numFmtId="0" xfId="0" applyAlignment="1" applyBorder="1" applyFont="1">
      <alignment horizontal="center"/>
    </xf>
    <xf borderId="1" fillId="4" fontId="38" numFmtId="3" xfId="0" applyAlignment="1" applyBorder="1" applyFont="1" applyNumberFormat="1">
      <alignment horizontal="center"/>
    </xf>
    <xf borderId="1" fillId="4" fontId="38" numFmtId="0" xfId="0" applyAlignment="1" applyBorder="1" applyFont="1">
      <alignment vertical="top"/>
    </xf>
    <xf borderId="8" fillId="4" fontId="39" numFmtId="169" xfId="0" applyAlignment="1" applyBorder="1" applyFont="1" applyNumberFormat="1">
      <alignment horizontal="left" shrinkToFit="0" vertical="center" wrapText="1"/>
    </xf>
    <xf borderId="1" fillId="4" fontId="11" numFmtId="170" xfId="0" applyAlignment="1" applyBorder="1" applyFont="1" applyNumberFormat="1">
      <alignment horizontal="right" vertical="top"/>
    </xf>
    <xf borderId="1" fillId="4" fontId="11" numFmtId="169" xfId="0" applyAlignment="1" applyBorder="1" applyFont="1" applyNumberFormat="1">
      <alignment horizontal="right" vertical="center"/>
    </xf>
    <xf borderId="1" fillId="4" fontId="26" numFmtId="0" xfId="0" applyAlignment="1" applyBorder="1" applyFont="1">
      <alignment horizontal="left" vertical="top"/>
    </xf>
    <xf borderId="1" fillId="4" fontId="26" numFmtId="4" xfId="0" applyAlignment="1" applyBorder="1" applyFont="1" applyNumberFormat="1">
      <alignment horizontal="right" vertical="top"/>
    </xf>
    <xf borderId="1" fillId="4" fontId="26" numFmtId="170" xfId="0" applyAlignment="1" applyBorder="1" applyFont="1" applyNumberFormat="1">
      <alignment horizontal="right" vertical="top"/>
    </xf>
    <xf borderId="1" fillId="4" fontId="26" numFmtId="169" xfId="0" applyAlignment="1" applyBorder="1" applyFont="1" applyNumberFormat="1">
      <alignment horizontal="right" vertical="center"/>
    </xf>
    <xf borderId="1" fillId="4" fontId="26" numFmtId="169" xfId="0" applyBorder="1" applyFont="1" applyNumberFormat="1"/>
    <xf borderId="1" fillId="4" fontId="26" numFmtId="169" xfId="0" applyAlignment="1" applyBorder="1" applyFont="1" applyNumberFormat="1">
      <alignment horizontal="right" vertical="top"/>
    </xf>
    <xf borderId="0" fillId="0" fontId="36" numFmtId="167" xfId="0" applyAlignment="1" applyFont="1" applyNumberFormat="1">
      <alignment horizontal="center"/>
    </xf>
    <xf borderId="1" fillId="4" fontId="36" numFmtId="0" xfId="0" applyAlignment="1" applyBorder="1" applyFont="1">
      <alignment shrinkToFit="0" wrapText="1"/>
    </xf>
    <xf borderId="1" fillId="4" fontId="11" numFmtId="0" xfId="0" applyAlignment="1" applyBorder="1" applyFont="1">
      <alignment horizontal="center" vertical="center"/>
    </xf>
    <xf borderId="1" fillId="4" fontId="36" numFmtId="2" xfId="0" applyAlignment="1" applyBorder="1" applyFont="1" applyNumberFormat="1">
      <alignment horizontal="center"/>
    </xf>
    <xf borderId="1" fillId="4" fontId="36" numFmtId="170" xfId="0" applyAlignment="1" applyBorder="1" applyFont="1" applyNumberFormat="1">
      <alignment horizontal="center"/>
    </xf>
    <xf borderId="1" fillId="4" fontId="36" numFmtId="4" xfId="0" applyAlignment="1" applyBorder="1" applyFont="1" applyNumberFormat="1">
      <alignment horizontal="center" shrinkToFit="0" wrapText="1"/>
    </xf>
    <xf borderId="0" fillId="0" fontId="26" numFmtId="0" xfId="0" applyAlignment="1" applyFont="1">
      <alignment horizontal="center"/>
    </xf>
    <xf borderId="1" fillId="4" fontId="26" numFmtId="0" xfId="0" applyAlignment="1" applyBorder="1" applyFont="1">
      <alignment shrinkToFit="0" vertical="top" wrapText="1"/>
    </xf>
    <xf borderId="1" fillId="4" fontId="26" numFmtId="2" xfId="0" applyBorder="1" applyFont="1" applyNumberFormat="1"/>
    <xf borderId="8" fillId="2" fontId="23" numFmtId="0" xfId="0" applyAlignment="1" applyBorder="1" applyFont="1">
      <alignment horizontal="center" vertical="top"/>
    </xf>
    <xf borderId="10" fillId="0" fontId="11" numFmtId="0" xfId="0" applyAlignment="1" applyBorder="1" applyFont="1">
      <alignment horizontal="center" vertical="center"/>
    </xf>
    <xf borderId="1" fillId="4" fontId="26" numFmtId="170" xfId="0" applyAlignment="1" applyBorder="1" applyFont="1" applyNumberFormat="1">
      <alignment horizontal="center" vertical="center"/>
    </xf>
    <xf borderId="1" fillId="4" fontId="39" numFmtId="169" xfId="0" applyAlignment="1" applyBorder="1" applyFont="1" applyNumberFormat="1">
      <alignment horizontal="left" shrinkToFit="0" vertical="center" wrapText="1"/>
    </xf>
    <xf borderId="1" fillId="4" fontId="11" numFmtId="170" xfId="0" applyBorder="1" applyFont="1" applyNumberFormat="1"/>
    <xf borderId="11" fillId="4" fontId="39" numFmtId="169" xfId="0" applyAlignment="1" applyBorder="1" applyFont="1" applyNumberFormat="1">
      <alignment horizontal="left" shrinkToFit="0" vertical="center" wrapText="1"/>
    </xf>
    <xf borderId="7" fillId="4" fontId="36" numFmtId="0" xfId="0" applyAlignment="1" applyBorder="1" applyFont="1">
      <alignment shrinkToFit="0" vertical="top" wrapText="1"/>
    </xf>
    <xf borderId="8" fillId="4" fontId="11" numFmtId="0" xfId="0" applyAlignment="1" applyBorder="1" applyFont="1">
      <alignment horizontal="center" vertical="center"/>
    </xf>
    <xf borderId="8" fillId="4" fontId="36" numFmtId="0" xfId="0" applyAlignment="1" applyBorder="1" applyFont="1">
      <alignment shrinkToFit="0" vertical="top" wrapText="1"/>
    </xf>
    <xf borderId="1" fillId="4" fontId="36" numFmtId="0" xfId="0" applyAlignment="1" applyBorder="1" applyFont="1">
      <alignment shrinkToFit="0" vertical="top" wrapText="1"/>
    </xf>
    <xf borderId="8" fillId="16" fontId="23" numFmtId="0" xfId="0" applyAlignment="1" applyBorder="1" applyFill="1" applyFont="1">
      <alignment horizontal="center" vertical="top"/>
    </xf>
    <xf borderId="8" fillId="4" fontId="11" numFmtId="2" xfId="0" applyAlignment="1" applyBorder="1" applyFont="1" applyNumberFormat="1">
      <alignment horizontal="center" vertical="center"/>
    </xf>
    <xf borderId="6" fillId="4" fontId="36" numFmtId="0" xfId="0" applyAlignment="1" applyBorder="1" applyFont="1">
      <alignment shrinkToFit="0" vertical="top" wrapText="1"/>
    </xf>
    <xf borderId="1" fillId="4" fontId="11" numFmtId="0" xfId="0" applyAlignment="1" applyBorder="1" applyFont="1">
      <alignment horizontal="center" vertical="top"/>
    </xf>
    <xf borderId="8" fillId="4" fontId="11" numFmtId="171" xfId="0" applyAlignment="1" applyBorder="1" applyFont="1" applyNumberFormat="1">
      <alignment horizontal="center" vertical="center"/>
    </xf>
    <xf borderId="1" fillId="4" fontId="23" numFmtId="0" xfId="0" applyAlignment="1" applyBorder="1" applyFont="1">
      <alignment horizontal="center" vertical="top"/>
    </xf>
    <xf borderId="1" fillId="4" fontId="21" numFmtId="170" xfId="0" applyAlignment="1" applyBorder="1" applyFont="1" applyNumberFormat="1">
      <alignment horizontal="center" vertical="center"/>
    </xf>
    <xf borderId="1" fillId="17" fontId="11" numFmtId="0" xfId="0" applyAlignment="1" applyBorder="1" applyFill="1" applyFont="1">
      <alignment horizontal="left" vertical="top"/>
    </xf>
    <xf borderId="6" fillId="17" fontId="11" numFmtId="0" xfId="0" applyAlignment="1" applyBorder="1" applyFont="1">
      <alignment horizontal="center" vertical="center"/>
    </xf>
    <xf borderId="5" fillId="17" fontId="36" numFmtId="0" xfId="0" applyAlignment="1" applyBorder="1" applyFont="1">
      <alignment shrinkToFit="0" vertical="top" wrapText="1"/>
    </xf>
    <xf borderId="5" fillId="17" fontId="11" numFmtId="0" xfId="0" applyAlignment="1" applyBorder="1" applyFont="1">
      <alignment horizontal="center" vertical="center"/>
    </xf>
    <xf borderId="5" fillId="17" fontId="26" numFmtId="4" xfId="0" applyAlignment="1" applyBorder="1" applyFont="1" applyNumberFormat="1">
      <alignment horizontal="center" vertical="center"/>
    </xf>
    <xf borderId="5" fillId="17" fontId="26" numFmtId="170" xfId="0" applyAlignment="1" applyBorder="1" applyFont="1" applyNumberFormat="1">
      <alignment horizontal="center" vertical="center"/>
    </xf>
    <xf borderId="7" fillId="17" fontId="26" numFmtId="170" xfId="0" applyAlignment="1" applyBorder="1" applyFont="1" applyNumberFormat="1">
      <alignment horizontal="center" vertical="center"/>
    </xf>
    <xf borderId="8" fillId="17" fontId="39" numFmtId="169" xfId="0" applyAlignment="1" applyBorder="1" applyFont="1" applyNumberFormat="1">
      <alignment horizontal="left" shrinkToFit="0" vertical="center" wrapText="1"/>
    </xf>
    <xf borderId="1" fillId="4" fontId="40" numFmtId="0" xfId="0" applyAlignment="1" applyBorder="1" applyFont="1">
      <alignment horizontal="center" vertical="center"/>
    </xf>
    <xf borderId="0" fillId="0" fontId="40" numFmtId="0" xfId="0" applyAlignment="1" applyFont="1">
      <alignment horizontal="center"/>
    </xf>
    <xf borderId="6" fillId="4" fontId="26" numFmtId="0" xfId="0" applyAlignment="1" applyBorder="1" applyFont="1">
      <alignment horizontal="center" vertical="center"/>
    </xf>
    <xf borderId="6" fillId="17" fontId="26" numFmtId="0" xfId="0" applyAlignment="1" applyBorder="1" applyFont="1">
      <alignment horizontal="center" vertical="center"/>
    </xf>
    <xf borderId="1" fillId="17" fontId="39" numFmtId="169" xfId="0" applyAlignment="1" applyBorder="1" applyFont="1" applyNumberFormat="1">
      <alignment horizontal="left" shrinkToFit="0" vertical="center" wrapText="1"/>
    </xf>
    <xf borderId="6" fillId="4" fontId="26" numFmtId="2" xfId="0" applyAlignment="1" applyBorder="1" applyFont="1" applyNumberFormat="1">
      <alignment horizontal="center" vertical="center"/>
    </xf>
    <xf borderId="5" fillId="4" fontId="36" numFmtId="2" xfId="0" applyAlignment="1" applyBorder="1" applyFont="1" applyNumberFormat="1">
      <alignment shrinkToFit="0" vertical="top" wrapText="1"/>
    </xf>
    <xf borderId="9" fillId="0" fontId="11" numFmtId="2" xfId="0" applyAlignment="1" applyBorder="1" applyFont="1" applyNumberFormat="1">
      <alignment horizontal="center" vertical="center"/>
    </xf>
    <xf borderId="5" fillId="4" fontId="26" numFmtId="2" xfId="0" applyAlignment="1" applyBorder="1" applyFont="1" applyNumberFormat="1">
      <alignment horizontal="center" vertical="center"/>
    </xf>
    <xf borderId="8" fillId="4" fontId="39" numFmtId="2" xfId="0" applyAlignment="1" applyBorder="1" applyFont="1" applyNumberFormat="1">
      <alignment horizontal="left" shrinkToFit="0" vertical="center" wrapText="1"/>
    </xf>
    <xf borderId="6" fillId="4" fontId="11" numFmtId="171" xfId="0" applyAlignment="1" applyBorder="1" applyFont="1" applyNumberFormat="1">
      <alignment horizontal="center" vertical="center"/>
    </xf>
    <xf borderId="7" fillId="4" fontId="36" numFmtId="2" xfId="0" applyAlignment="1" applyBorder="1" applyFont="1" applyNumberFormat="1">
      <alignment shrinkToFit="0" vertical="top" wrapText="1"/>
    </xf>
    <xf borderId="0" fillId="0" fontId="11" numFmtId="2" xfId="0" applyAlignment="1" applyFont="1" applyNumberFormat="1">
      <alignment horizontal="center" vertical="center"/>
    </xf>
    <xf borderId="1" fillId="4" fontId="26" numFmtId="2" xfId="0" applyAlignment="1" applyBorder="1" applyFont="1" applyNumberFormat="1">
      <alignment horizontal="center" vertical="center"/>
    </xf>
    <xf borderId="1" fillId="4" fontId="39" numFmtId="2" xfId="0" applyAlignment="1" applyBorder="1" applyFont="1" applyNumberFormat="1">
      <alignment horizontal="left" shrinkToFit="0" vertical="center" wrapText="1"/>
    </xf>
    <xf borderId="6" fillId="17" fontId="11" numFmtId="171" xfId="0" applyAlignment="1" applyBorder="1" applyFont="1" applyNumberFormat="1">
      <alignment horizontal="center" vertical="center"/>
    </xf>
    <xf borderId="5" fillId="17" fontId="36" numFmtId="2" xfId="0" applyAlignment="1" applyBorder="1" applyFont="1" applyNumberFormat="1">
      <alignment shrinkToFit="0" vertical="top" wrapText="1"/>
    </xf>
    <xf borderId="5" fillId="17" fontId="11" numFmtId="2" xfId="0" applyAlignment="1" applyBorder="1" applyFont="1" applyNumberFormat="1">
      <alignment horizontal="center" vertical="center"/>
    </xf>
    <xf borderId="5" fillId="17" fontId="26" numFmtId="2" xfId="0" applyAlignment="1" applyBorder="1" applyFont="1" applyNumberFormat="1">
      <alignment horizontal="center" vertical="center"/>
    </xf>
    <xf borderId="8" fillId="17" fontId="39" numFmtId="2" xfId="0" applyAlignment="1" applyBorder="1" applyFont="1" applyNumberFormat="1">
      <alignment horizontal="left" shrinkToFit="0" vertical="center" wrapText="1"/>
    </xf>
    <xf borderId="6" fillId="4" fontId="11" numFmtId="2" xfId="0" applyAlignment="1" applyBorder="1" applyFont="1" applyNumberFormat="1">
      <alignment horizontal="center" vertical="center"/>
    </xf>
    <xf borderId="6" fillId="17" fontId="11" numFmtId="2" xfId="0" applyAlignment="1" applyBorder="1" applyFont="1" applyNumberFormat="1">
      <alignment horizontal="center" vertical="center"/>
    </xf>
    <xf borderId="6" fillId="4" fontId="26" numFmtId="49" xfId="0" applyAlignment="1" applyBorder="1" applyFont="1" applyNumberFormat="1">
      <alignment horizontal="center" vertical="center"/>
    </xf>
    <xf borderId="1" fillId="4" fontId="36" numFmtId="2" xfId="0" applyAlignment="1" applyBorder="1" applyFont="1" applyNumberFormat="1">
      <alignment shrinkToFit="0" vertical="top" wrapText="1"/>
    </xf>
    <xf borderId="0" fillId="0" fontId="26" numFmtId="49" xfId="0" applyAlignment="1" applyFont="1" applyNumberFormat="1">
      <alignment horizontal="center"/>
    </xf>
    <xf borderId="6" fillId="4" fontId="26" numFmtId="171" xfId="0" applyAlignment="1" applyBorder="1" applyFont="1" applyNumberFormat="1">
      <alignment horizontal="center" vertical="center"/>
    </xf>
    <xf borderId="1" fillId="4" fontId="40" numFmtId="2" xfId="0" applyAlignment="1" applyBorder="1" applyFont="1" applyNumberFormat="1">
      <alignment horizontal="center" vertical="center"/>
    </xf>
    <xf borderId="1" fillId="4" fontId="11" numFmtId="2" xfId="0" applyAlignment="1" applyBorder="1" applyFont="1" applyNumberFormat="1">
      <alignment horizontal="center" vertical="center"/>
    </xf>
    <xf borderId="0" fillId="0" fontId="40" numFmtId="4" xfId="0" applyAlignment="1" applyFont="1" applyNumberFormat="1">
      <alignment horizontal="center"/>
    </xf>
    <xf borderId="0" fillId="0" fontId="40" numFmtId="49" xfId="0" applyAlignment="1" applyFont="1" applyNumberFormat="1">
      <alignment horizontal="center"/>
    </xf>
    <xf borderId="5" fillId="4" fontId="41" numFmtId="0" xfId="0" applyAlignment="1" applyBorder="1" applyFont="1">
      <alignment shrinkToFit="0" vertical="top" wrapText="1"/>
    </xf>
    <xf borderId="9" fillId="0" fontId="26" numFmtId="0" xfId="0" applyAlignment="1" applyBorder="1" applyFont="1">
      <alignment horizontal="center" vertical="center"/>
    </xf>
    <xf borderId="8" fillId="4" fontId="42" numFmtId="169" xfId="0" applyAlignment="1" applyBorder="1" applyFont="1" applyNumberFormat="1">
      <alignment horizontal="left" shrinkToFit="0" vertical="center" wrapText="1"/>
    </xf>
    <xf borderId="1" fillId="4" fontId="42" numFmtId="169" xfId="0" applyAlignment="1" applyBorder="1" applyFont="1" applyNumberFormat="1">
      <alignment horizontal="left" shrinkToFit="0" vertical="center" wrapText="1"/>
    </xf>
    <xf borderId="0" fillId="0" fontId="26" numFmtId="4" xfId="0" applyAlignment="1" applyFont="1" applyNumberFormat="1">
      <alignment horizontal="center"/>
    </xf>
    <xf borderId="12" fillId="4" fontId="11" numFmtId="0" xfId="0" applyAlignment="1" applyBorder="1" applyFont="1">
      <alignment horizontal="center" vertical="center"/>
    </xf>
    <xf borderId="8" fillId="4" fontId="41" numFmtId="0" xfId="0" applyAlignment="1" applyBorder="1" applyFont="1">
      <alignment shrinkToFit="0" vertical="top" wrapText="1"/>
    </xf>
    <xf borderId="5" fillId="4" fontId="11" numFmtId="0" xfId="0" applyAlignment="1" applyBorder="1" applyFont="1">
      <alignment horizontal="center" vertical="center"/>
    </xf>
    <xf borderId="13" fillId="4" fontId="11" numFmtId="0" xfId="0" applyAlignment="1" applyBorder="1" applyFont="1">
      <alignment horizontal="center" vertical="center"/>
    </xf>
    <xf borderId="6" fillId="4" fontId="11" numFmtId="49" xfId="0" applyAlignment="1" applyBorder="1" applyFont="1" applyNumberFormat="1">
      <alignment horizontal="center" vertical="center"/>
    </xf>
    <xf borderId="8" fillId="0" fontId="11" numFmtId="0" xfId="0" applyAlignment="1" applyBorder="1" applyFont="1">
      <alignment horizontal="center" vertical="center"/>
    </xf>
    <xf borderId="8" fillId="4" fontId="26" numFmtId="4" xfId="0" applyAlignment="1" applyBorder="1" applyFont="1" applyNumberFormat="1">
      <alignment horizontal="center" vertical="center"/>
    </xf>
    <xf borderId="8" fillId="4" fontId="26" numFmtId="170" xfId="0" applyAlignment="1" applyBorder="1" applyFont="1" applyNumberFormat="1">
      <alignment horizontal="center" vertical="center"/>
    </xf>
    <xf borderId="0" fillId="0" fontId="11" numFmtId="49" xfId="0" applyAlignment="1" applyFont="1" applyNumberFormat="1">
      <alignment horizontal="center"/>
    </xf>
    <xf borderId="5" fillId="2" fontId="23" numFmtId="0" xfId="0" applyAlignment="1" applyBorder="1" applyFont="1">
      <alignment horizontal="center" shrinkToFit="0" vertical="top" wrapText="1"/>
    </xf>
    <xf borderId="8" fillId="0" fontId="26" numFmtId="49" xfId="0" applyAlignment="1" applyBorder="1" applyFont="1" applyNumberFormat="1">
      <alignment horizontal="center" vertical="center"/>
    </xf>
    <xf borderId="8" fillId="0" fontId="11" numFmtId="0" xfId="0" applyAlignment="1" applyBorder="1" applyFont="1">
      <alignment shrinkToFit="0" vertical="center" wrapText="1"/>
    </xf>
    <xf borderId="0" fillId="0" fontId="11" numFmtId="0" xfId="0" applyAlignment="1" applyFont="1">
      <alignment vertical="center"/>
    </xf>
    <xf borderId="0" fillId="0" fontId="11" numFmtId="4" xfId="0" applyAlignment="1" applyFont="1" applyNumberFormat="1">
      <alignment vertical="center"/>
    </xf>
    <xf borderId="0" fillId="0" fontId="11" numFmtId="169" xfId="0" applyAlignment="1" applyFont="1" applyNumberFormat="1">
      <alignment vertical="center"/>
    </xf>
    <xf borderId="0" fillId="0" fontId="11" numFmtId="0" xfId="0" applyAlignment="1" applyFont="1">
      <alignment horizontal="center" vertical="top"/>
    </xf>
    <xf borderId="5" fillId="4" fontId="36" numFmtId="0" xfId="0" applyAlignment="1" applyBorder="1" applyFont="1">
      <alignment horizontal="center" shrinkToFit="0" vertical="center" wrapText="1"/>
    </xf>
    <xf borderId="8" fillId="4" fontId="36" numFmtId="0" xfId="0" applyAlignment="1" applyBorder="1" applyFont="1">
      <alignment horizontal="center" shrinkToFit="0" vertical="center" wrapText="1"/>
    </xf>
    <xf borderId="5" fillId="4" fontId="36" numFmtId="0" xfId="0" applyAlignment="1" applyBorder="1" applyFont="1">
      <alignment horizontal="left" shrinkToFit="0" vertical="center" wrapText="1"/>
    </xf>
    <xf borderId="8" fillId="4" fontId="36" numFmtId="0" xfId="0" applyAlignment="1" applyBorder="1" applyFont="1">
      <alignment horizontal="left" shrinkToFit="0" vertical="center" wrapText="1"/>
    </xf>
    <xf borderId="10" fillId="0" fontId="11" numFmtId="0" xfId="0" applyAlignment="1" applyBorder="1" applyFont="1">
      <alignment vertical="center"/>
    </xf>
    <xf borderId="14" fillId="0" fontId="26" numFmtId="49" xfId="0" applyAlignment="1" applyBorder="1" applyFont="1" applyNumberFormat="1">
      <alignment horizontal="center" vertical="center"/>
    </xf>
    <xf borderId="8" fillId="4" fontId="11" numFmtId="49" xfId="0" applyAlignment="1" applyBorder="1" applyFont="1" applyNumberFormat="1">
      <alignment horizontal="center" vertical="center"/>
    </xf>
    <xf borderId="1" fillId="4" fontId="26" numFmtId="0" xfId="0" applyAlignment="1" applyBorder="1" applyFont="1">
      <alignment shrinkToFit="0" wrapText="1"/>
    </xf>
    <xf borderId="8" fillId="0" fontId="43" numFmtId="0" xfId="0" applyAlignment="1" applyBorder="1" applyFont="1">
      <alignment shrinkToFit="0" vertical="center" wrapText="1"/>
    </xf>
    <xf borderId="8" fillId="0" fontId="11" numFmtId="0" xfId="0" applyAlignment="1" applyBorder="1" applyFont="1">
      <alignment horizontal="center"/>
    </xf>
    <xf borderId="8" fillId="4" fontId="44" numFmtId="0" xfId="0" applyAlignment="1" applyBorder="1" applyFont="1">
      <alignment shrinkToFit="0" wrapText="1"/>
    </xf>
    <xf borderId="8" fillId="0" fontId="43" numFmtId="0" xfId="0" applyAlignment="1" applyBorder="1" applyFont="1">
      <alignment horizontal="center"/>
    </xf>
    <xf borderId="8" fillId="0" fontId="43" numFmtId="49" xfId="0" applyAlignment="1" applyBorder="1" applyFont="1" applyNumberFormat="1">
      <alignment horizontal="center"/>
    </xf>
    <xf borderId="8" fillId="4" fontId="26" numFmtId="0" xfId="0" applyAlignment="1" applyBorder="1" applyFont="1">
      <alignment shrinkToFit="0" wrapText="1"/>
    </xf>
    <xf borderId="8" fillId="0" fontId="11" numFmtId="49" xfId="0" applyAlignment="1" applyBorder="1" applyFont="1" applyNumberFormat="1">
      <alignment horizontal="center"/>
    </xf>
    <xf borderId="1" fillId="4" fontId="11" numFmtId="49" xfId="0" applyAlignment="1" applyBorder="1" applyFont="1" applyNumberFormat="1">
      <alignment horizontal="center" vertical="center"/>
    </xf>
    <xf borderId="1" fillId="4" fontId="36" numFmtId="0" xfId="0" applyAlignment="1" applyBorder="1" applyFont="1">
      <alignment horizontal="left" shrinkToFit="0" vertical="center" wrapText="1"/>
    </xf>
    <xf borderId="15" fillId="2" fontId="23" numFmtId="0" xfId="0" applyAlignment="1" applyBorder="1" applyFont="1">
      <alignment horizontal="center" vertical="top"/>
    </xf>
    <xf borderId="6" fillId="4" fontId="11" numFmtId="49" xfId="0" applyAlignment="1" applyBorder="1" applyFont="1" applyNumberFormat="1">
      <alignment horizontal="center"/>
    </xf>
    <xf borderId="5" fillId="4" fontId="36" numFmtId="0" xfId="0" applyAlignment="1" applyBorder="1" applyFont="1">
      <alignment shrinkToFit="0" wrapText="1"/>
    </xf>
    <xf borderId="9" fillId="0" fontId="11" numFmtId="0" xfId="0" applyAlignment="1" applyBorder="1" applyFont="1">
      <alignment horizontal="center"/>
    </xf>
    <xf borderId="5" fillId="4" fontId="11" numFmtId="4" xfId="0" applyAlignment="1" applyBorder="1" applyFont="1" applyNumberFormat="1">
      <alignment horizontal="center"/>
    </xf>
    <xf borderId="5" fillId="4" fontId="11" numFmtId="170" xfId="0" applyAlignment="1" applyBorder="1" applyFont="1" applyNumberFormat="1">
      <alignment horizontal="center"/>
    </xf>
    <xf borderId="8" fillId="4" fontId="11" numFmtId="169" xfId="0" applyBorder="1" applyFont="1" applyNumberFormat="1"/>
    <xf borderId="8" fillId="4" fontId="44" numFmtId="0" xfId="0" applyAlignment="1" applyBorder="1" applyFont="1">
      <alignment horizontal="left" shrinkToFit="0" wrapText="1"/>
    </xf>
    <xf borderId="8" fillId="0" fontId="11" numFmtId="0" xfId="0" applyAlignment="1" applyBorder="1" applyFont="1">
      <alignment horizontal="center" vertical="top"/>
    </xf>
    <xf borderId="8" fillId="0" fontId="11" numFmtId="4" xfId="0" applyAlignment="1" applyBorder="1" applyFont="1" applyNumberFormat="1">
      <alignment horizontal="center" vertical="top"/>
    </xf>
    <xf borderId="8" fillId="0" fontId="11" numFmtId="169" xfId="0" applyAlignment="1" applyBorder="1" applyFont="1" applyNumberFormat="1">
      <alignment horizontal="center" vertical="top"/>
    </xf>
    <xf borderId="7" fillId="4" fontId="11" numFmtId="170" xfId="0" applyAlignment="1" applyBorder="1" applyFont="1" applyNumberFormat="1">
      <alignment horizontal="center"/>
    </xf>
    <xf borderId="8" fillId="4" fontId="11" numFmtId="0" xfId="0" applyAlignment="1" applyBorder="1" applyFont="1">
      <alignment horizontal="center"/>
    </xf>
    <xf borderId="8" fillId="4" fontId="11" numFmtId="0" xfId="0" applyAlignment="1" applyBorder="1" applyFont="1">
      <alignment horizontal="left" vertical="top"/>
    </xf>
    <xf borderId="8" fillId="4" fontId="11" numFmtId="4" xfId="0" applyAlignment="1" applyBorder="1" applyFont="1" applyNumberFormat="1">
      <alignment horizontal="right" vertical="top"/>
    </xf>
    <xf borderId="8" fillId="4" fontId="11" numFmtId="169" xfId="0" applyAlignment="1" applyBorder="1" applyFont="1" applyNumberFormat="1">
      <alignment horizontal="right" vertical="top"/>
    </xf>
    <xf borderId="8" fillId="4" fontId="26" numFmtId="0" xfId="0" applyAlignment="1" applyBorder="1" applyFont="1">
      <alignment horizontal="left" shrinkToFit="0" vertical="top" wrapText="1"/>
    </xf>
    <xf borderId="8" fillId="0" fontId="11" numFmtId="4" xfId="0" applyAlignment="1" applyBorder="1" applyFont="1" applyNumberFormat="1">
      <alignment horizontal="center" vertical="center"/>
    </xf>
    <xf borderId="8" fillId="0" fontId="11" numFmtId="169" xfId="0" applyAlignment="1" applyBorder="1" applyFont="1" applyNumberFormat="1">
      <alignment horizontal="center" vertical="center"/>
    </xf>
    <xf borderId="6" fillId="4" fontId="11" numFmtId="49" xfId="0" applyAlignment="1" applyBorder="1" applyFont="1" applyNumberFormat="1">
      <alignment horizontal="center" shrinkToFit="0" wrapText="1"/>
    </xf>
    <xf borderId="6" fillId="4" fontId="11" numFmtId="49" xfId="0" applyBorder="1" applyFont="1" applyNumberFormat="1"/>
    <xf borderId="8" fillId="0" fontId="11" numFmtId="0" xfId="0" applyAlignment="1" applyBorder="1" applyFont="1">
      <alignment horizontal="left" vertical="top"/>
    </xf>
    <xf borderId="8" fillId="0" fontId="11" numFmtId="4" xfId="0" applyAlignment="1" applyBorder="1" applyFont="1" applyNumberFormat="1">
      <alignment horizontal="right" vertical="top"/>
    </xf>
    <xf borderId="8" fillId="0" fontId="11" numFmtId="169" xfId="0" applyAlignment="1" applyBorder="1" applyFont="1" applyNumberFormat="1">
      <alignment horizontal="right" vertical="top"/>
    </xf>
    <xf borderId="5" fillId="4" fontId="36" numFmtId="0" xfId="0" applyAlignment="1" applyBorder="1" applyFont="1">
      <alignment horizontal="left" shrinkToFit="0" wrapText="1"/>
    </xf>
    <xf borderId="9" fillId="0" fontId="11" numFmtId="169" xfId="0" applyAlignment="1" applyBorder="1" applyFont="1" applyNumberFormat="1">
      <alignment horizontal="center" vertical="center"/>
    </xf>
    <xf borderId="7" fillId="4" fontId="11" numFmtId="169" xfId="0" applyBorder="1" applyFont="1" applyNumberFormat="1"/>
    <xf borderId="6" fillId="4" fontId="44" numFmtId="0" xfId="0" applyAlignment="1" applyBorder="1" applyFont="1">
      <alignment shrinkToFit="0" wrapText="1"/>
    </xf>
    <xf borderId="14" fillId="0" fontId="11" numFmtId="0" xfId="0" applyAlignment="1" applyBorder="1" applyFont="1">
      <alignment horizontal="center" vertical="top"/>
    </xf>
    <xf borderId="9" fillId="0" fontId="11" numFmtId="4" xfId="0" applyAlignment="1" applyBorder="1" applyFont="1" applyNumberFormat="1">
      <alignment horizontal="center" vertical="top"/>
    </xf>
    <xf borderId="9" fillId="0" fontId="11" numFmtId="169" xfId="0" applyAlignment="1" applyBorder="1" applyFont="1" applyNumberFormat="1">
      <alignment horizontal="center" vertical="top"/>
    </xf>
    <xf borderId="5" fillId="4" fontId="11" numFmtId="4" xfId="0" applyAlignment="1" applyBorder="1" applyFont="1" applyNumberFormat="1">
      <alignment horizontal="center" vertical="center"/>
    </xf>
    <xf borderId="5" fillId="4" fontId="11" numFmtId="170" xfId="0" applyAlignment="1" applyBorder="1" applyFont="1" applyNumberFormat="1">
      <alignment horizontal="center" vertical="center"/>
    </xf>
    <xf borderId="0" fillId="0" fontId="11" numFmtId="4" xfId="0" applyAlignment="1" applyFont="1" applyNumberFormat="1">
      <alignment horizontal="center" vertical="center"/>
    </xf>
    <xf borderId="5" fillId="8" fontId="21" numFmtId="170" xfId="0" applyAlignment="1" applyBorder="1" applyFont="1" applyNumberFormat="1">
      <alignment horizontal="center" vertical="center"/>
    </xf>
    <xf borderId="8" fillId="4" fontId="36" numFmtId="0" xfId="0" applyAlignment="1" applyBorder="1" applyFont="1">
      <alignment shrinkToFit="0" wrapText="1"/>
    </xf>
    <xf borderId="1" fillId="4" fontId="11" numFmtId="4" xfId="0" applyAlignment="1" applyBorder="1" applyFont="1" applyNumberFormat="1">
      <alignment horizontal="center"/>
    </xf>
    <xf borderId="1" fillId="4" fontId="11" numFmtId="170" xfId="0" applyAlignment="1" applyBorder="1" applyFont="1" applyNumberFormat="1">
      <alignment horizontal="center"/>
    </xf>
    <xf borderId="8" fillId="0" fontId="11" numFmtId="0" xfId="0" applyAlignment="1" applyBorder="1" applyFont="1">
      <alignment shrinkToFit="0" wrapText="1"/>
    </xf>
    <xf borderId="5" fillId="4" fontId="36" numFmtId="0" xfId="0" applyAlignment="1" applyBorder="1" applyFont="1">
      <alignment shrinkToFit="0" vertical="center" wrapText="1"/>
    </xf>
    <xf borderId="8" fillId="4" fontId="11" numFmtId="169" xfId="0" applyAlignment="1" applyBorder="1" applyFont="1" applyNumberFormat="1">
      <alignment vertical="center"/>
    </xf>
    <xf borderId="8" fillId="0" fontId="43" numFmtId="0" xfId="0" applyAlignment="1" applyBorder="1" applyFont="1">
      <alignment shrinkToFit="0" wrapText="1"/>
    </xf>
    <xf borderId="7" fillId="4" fontId="11" numFmtId="170" xfId="0" applyAlignment="1" applyBorder="1" applyFont="1" applyNumberFormat="1">
      <alignment horizontal="center" vertical="center"/>
    </xf>
    <xf borderId="5" fillId="2" fontId="45" numFmtId="0" xfId="0" applyAlignment="1" applyBorder="1" applyFont="1">
      <alignment horizontal="center" vertical="center"/>
    </xf>
    <xf borderId="8" fillId="0" fontId="43" numFmtId="0" xfId="0" applyAlignment="1" applyBorder="1" applyFont="1">
      <alignment horizontal="center" vertical="center"/>
    </xf>
    <xf borderId="0" fillId="0" fontId="11" numFmtId="49" xfId="0" applyAlignment="1" applyFont="1" applyNumberFormat="1">
      <alignment horizontal="center" vertical="center"/>
    </xf>
    <xf borderId="16" fillId="0" fontId="11" numFmtId="0" xfId="0" applyAlignment="1" applyBorder="1" applyFont="1">
      <alignment shrinkToFit="0" wrapText="1"/>
    </xf>
    <xf borderId="6" fillId="8" fontId="11" numFmtId="0" xfId="0" applyAlignment="1" applyBorder="1" applyFont="1">
      <alignment horizontal="center" vertical="center"/>
    </xf>
    <xf borderId="5" fillId="8" fontId="36" numFmtId="0" xfId="0" applyAlignment="1" applyBorder="1" applyFont="1">
      <alignment shrinkToFit="0" vertical="top" wrapText="1"/>
    </xf>
    <xf borderId="5" fillId="8" fontId="11" numFmtId="0" xfId="0" applyAlignment="1" applyBorder="1" applyFont="1">
      <alignment horizontal="center" vertical="center"/>
    </xf>
    <xf borderId="5" fillId="8" fontId="26" numFmtId="4" xfId="0" applyAlignment="1" applyBorder="1" applyFont="1" applyNumberFormat="1">
      <alignment horizontal="center" vertical="center"/>
    </xf>
    <xf borderId="5" fillId="8" fontId="26" numFmtId="170" xfId="0" applyAlignment="1" applyBorder="1" applyFont="1" applyNumberFormat="1">
      <alignment horizontal="center" vertical="center"/>
    </xf>
    <xf borderId="7" fillId="8" fontId="26" numFmtId="170" xfId="0" applyAlignment="1" applyBorder="1" applyFont="1" applyNumberFormat="1">
      <alignment horizontal="center" vertical="center"/>
    </xf>
    <xf borderId="14" fillId="0" fontId="11" numFmtId="0" xfId="0" applyAlignment="1" applyBorder="1" applyFont="1">
      <alignment horizontal="center" vertical="center"/>
    </xf>
    <xf borderId="14" fillId="0" fontId="11" numFmtId="0" xfId="0" applyAlignment="1" applyBorder="1" applyFont="1">
      <alignment horizontal="center"/>
    </xf>
    <xf borderId="8" fillId="18" fontId="24" numFmtId="0" xfId="0" applyAlignment="1" applyBorder="1" applyFill="1" applyFont="1">
      <alignment horizontal="center"/>
    </xf>
    <xf borderId="8" fillId="18" fontId="24" numFmtId="4" xfId="0" applyAlignment="1" applyBorder="1" applyFont="1" applyNumberFormat="1">
      <alignment horizontal="center"/>
    </xf>
    <xf borderId="14" fillId="18" fontId="24" numFmtId="169" xfId="0" applyAlignment="1" applyBorder="1" applyFont="1" applyNumberFormat="1">
      <alignment horizontal="center"/>
    </xf>
    <xf borderId="16" fillId="0" fontId="8" numFmtId="0" xfId="0" applyBorder="1" applyFont="1"/>
    <xf borderId="14" fillId="18" fontId="24" numFmtId="0" xfId="0" applyAlignment="1" applyBorder="1" applyFont="1">
      <alignment horizontal="center"/>
    </xf>
    <xf borderId="9" fillId="0" fontId="8" numFmtId="0" xfId="0" applyBorder="1" applyFont="1"/>
    <xf borderId="8" fillId="18" fontId="24" numFmtId="169" xfId="0" applyAlignment="1" applyBorder="1" applyFont="1" applyNumberFormat="1">
      <alignment horizontal="center"/>
    </xf>
    <xf borderId="8" fillId="18" fontId="24" numFmtId="169" xfId="0" applyAlignment="1" applyBorder="1" applyFont="1" applyNumberFormat="1">
      <alignment horizontal="center" shrinkToFit="0" wrapText="1"/>
    </xf>
    <xf borderId="1" fillId="18" fontId="24" numFmtId="0" xfId="0" applyAlignment="1" applyBorder="1" applyFont="1">
      <alignment horizontal="center"/>
    </xf>
    <xf borderId="1" fillId="18" fontId="24" numFmtId="169" xfId="0" applyAlignment="1" applyBorder="1" applyFont="1" applyNumberFormat="1">
      <alignment horizontal="center"/>
    </xf>
    <xf borderId="1" fillId="18" fontId="24" numFmtId="169" xfId="0" applyAlignment="1" applyBorder="1" applyFont="1" applyNumberFormat="1">
      <alignment horizontal="center" shrinkToFit="0" wrapText="1"/>
    </xf>
    <xf borderId="1" fillId="11" fontId="24" numFmtId="0" xfId="0" applyAlignment="1" applyBorder="1" applyFont="1">
      <alignment horizontal="center"/>
    </xf>
    <xf borderId="14" fillId="0" fontId="27" numFmtId="0" xfId="0" applyAlignment="1" applyBorder="1" applyFont="1">
      <alignment horizontal="left" vertical="top"/>
    </xf>
    <xf borderId="9" fillId="0" fontId="27" numFmtId="0" xfId="0" applyAlignment="1" applyBorder="1" applyFont="1">
      <alignment shrinkToFit="0" wrapText="1"/>
    </xf>
    <xf borderId="9" fillId="0" fontId="27" numFmtId="0" xfId="0" applyAlignment="1" applyBorder="1" applyFont="1">
      <alignment horizontal="left" vertical="top"/>
    </xf>
    <xf borderId="9" fillId="0" fontId="27" numFmtId="4" xfId="0" applyAlignment="1" applyBorder="1" applyFont="1" applyNumberFormat="1">
      <alignment horizontal="right" vertical="top"/>
    </xf>
    <xf borderId="9" fillId="0" fontId="27" numFmtId="169" xfId="0" applyAlignment="1" applyBorder="1" applyFont="1" applyNumberFormat="1">
      <alignment horizontal="right" vertical="top"/>
    </xf>
    <xf borderId="9" fillId="0" fontId="27" numFmtId="169" xfId="0" applyAlignment="1" applyBorder="1" applyFont="1" applyNumberFormat="1">
      <alignment horizontal="right" shrinkToFit="0" vertical="top" wrapText="1"/>
    </xf>
    <xf borderId="16" fillId="0" fontId="27" numFmtId="169" xfId="0" applyAlignment="1" applyBorder="1" applyFont="1" applyNumberFormat="1">
      <alignment horizontal="right" vertical="top"/>
    </xf>
    <xf borderId="1" fillId="19" fontId="11" numFmtId="0" xfId="0" applyAlignment="1" applyBorder="1" applyFill="1" applyFont="1">
      <alignment horizontal="left" vertical="top"/>
    </xf>
    <xf borderId="1" fillId="19" fontId="11" numFmtId="0" xfId="0" applyAlignment="1" applyBorder="1" applyFont="1">
      <alignment shrinkToFit="0" wrapText="1"/>
    </xf>
    <xf borderId="1" fillId="19" fontId="11" numFmtId="0" xfId="0" applyBorder="1" applyFont="1"/>
    <xf borderId="1" fillId="19" fontId="11" numFmtId="4" xfId="0" applyBorder="1" applyFont="1" applyNumberFormat="1"/>
    <xf borderId="1" fillId="19" fontId="11" numFmtId="169" xfId="0" applyBorder="1" applyFont="1" applyNumberFormat="1"/>
    <xf borderId="1" fillId="19" fontId="11" numFmtId="169" xfId="0" applyAlignment="1" applyBorder="1" applyFont="1" applyNumberFormat="1">
      <alignment shrinkToFit="0" wrapText="1"/>
    </xf>
    <xf borderId="1" fillId="19" fontId="11" numFmtId="4" xfId="0" applyAlignment="1" applyBorder="1" applyFont="1" applyNumberFormat="1">
      <alignment horizontal="right" vertical="top"/>
    </xf>
    <xf borderId="1" fillId="19" fontId="11" numFmtId="169" xfId="0" applyAlignment="1" applyBorder="1" applyFont="1" applyNumberFormat="1">
      <alignment horizontal="right" vertical="top"/>
    </xf>
    <xf borderId="1" fillId="19" fontId="11" numFmtId="169" xfId="0" applyAlignment="1" applyBorder="1" applyFont="1" applyNumberFormat="1">
      <alignment horizontal="right" shrinkToFit="0" vertical="top" wrapText="1"/>
    </xf>
    <xf borderId="1" fillId="19" fontId="11" numFmtId="169" xfId="0" applyAlignment="1" applyBorder="1" applyFont="1" applyNumberFormat="1">
      <alignment horizontal="left" vertical="top"/>
    </xf>
    <xf borderId="1" fillId="19" fontId="11" numFmtId="169" xfId="0" applyAlignment="1" applyBorder="1" applyFont="1" applyNumberFormat="1">
      <alignment horizontal="left" shrinkToFit="0" vertical="top" wrapText="1"/>
    </xf>
    <xf borderId="1" fillId="14" fontId="11" numFmtId="4" xfId="0" applyBorder="1" applyFont="1" applyNumberFormat="1"/>
    <xf borderId="1" fillId="14" fontId="11" numFmtId="169" xfId="0" applyBorder="1" applyFont="1" applyNumberFormat="1"/>
    <xf borderId="0" fillId="0" fontId="46" numFmtId="0" xfId="0" applyAlignment="1" applyFont="1">
      <alignment shrinkToFit="0" wrapText="1"/>
    </xf>
    <xf borderId="1" fillId="12" fontId="11" numFmtId="0" xfId="0" applyAlignment="1" applyBorder="1" applyFont="1">
      <alignment shrinkToFit="0" wrapText="1"/>
    </xf>
    <xf borderId="1" fillId="14" fontId="26" numFmtId="0" xfId="0" applyAlignment="1" applyBorder="1" applyFont="1">
      <alignment shrinkToFit="0" wrapText="1"/>
    </xf>
    <xf borderId="1" fillId="4" fontId="18" numFmtId="165" xfId="0" applyAlignment="1" applyBorder="1" applyFont="1" applyNumberFormat="1">
      <alignment horizontal="center" vertical="center"/>
    </xf>
    <xf borderId="1" fillId="10" fontId="17" numFmtId="3" xfId="0" applyAlignment="1" applyBorder="1" applyFont="1" applyNumberFormat="1">
      <alignment horizontal="center" vertical="center"/>
    </xf>
    <xf borderId="0" fillId="0" fontId="26" numFmtId="0" xfId="0" applyAlignment="1" applyFont="1">
      <alignment vertical="center"/>
    </xf>
    <xf borderId="0" fillId="0" fontId="24" numFmtId="0" xfId="0" applyAlignment="1" applyFont="1">
      <alignment horizontal="center" vertical="center"/>
    </xf>
    <xf borderId="0" fillId="0" fontId="47" numFmtId="169" xfId="0" applyAlignment="1" applyFont="1" applyNumberFormat="1">
      <alignment horizontal="center"/>
    </xf>
    <xf borderId="5" fillId="2" fontId="23" numFmtId="170" xfId="0" applyAlignment="1" applyBorder="1" applyFont="1" applyNumberFormat="1">
      <alignment horizontal="center" vertical="top"/>
    </xf>
    <xf borderId="5" fillId="4" fontId="21" numFmtId="170" xfId="0" applyAlignment="1" applyBorder="1" applyFont="1" applyNumberFormat="1">
      <alignment horizontal="center" vertical="center"/>
    </xf>
    <xf borderId="8" fillId="4" fontId="21" numFmtId="169" xfId="0" applyAlignment="1" applyBorder="1" applyFont="1" applyNumberFormat="1">
      <alignment horizontal="center" vertical="center"/>
    </xf>
    <xf borderId="0" fillId="4" fontId="48" numFmtId="0" xfId="0" applyFont="1"/>
    <xf borderId="0" fillId="4" fontId="11" numFmtId="0" xfId="0" applyAlignment="1" applyFont="1">
      <alignment horizontal="center"/>
    </xf>
    <xf borderId="0" fillId="4" fontId="11" numFmtId="0" xfId="0" applyAlignment="1" applyFont="1">
      <alignment vertical="top"/>
    </xf>
    <xf borderId="0" fillId="4" fontId="26" numFmtId="0" xfId="0" applyAlignment="1" applyFont="1">
      <alignment vertical="center"/>
    </xf>
    <xf borderId="0" fillId="4" fontId="11" numFmtId="4" xfId="0" applyFont="1" applyNumberFormat="1"/>
    <xf borderId="0" fillId="4" fontId="11" numFmtId="170" xfId="0" applyFont="1" applyNumberFormat="1"/>
    <xf borderId="0" fillId="4" fontId="11" numFmtId="169" xfId="0" applyFont="1" applyNumberFormat="1"/>
    <xf borderId="8" fillId="20" fontId="21" numFmtId="0" xfId="0" applyAlignment="1" applyBorder="1" applyFill="1" applyFont="1">
      <alignment horizontal="center" vertical="top"/>
    </xf>
    <xf borderId="8" fillId="4" fontId="24" numFmtId="169" xfId="0" applyAlignment="1" applyBorder="1" applyFont="1" applyNumberFormat="1">
      <alignment horizontal="center"/>
    </xf>
    <xf borderId="0" fillId="4" fontId="11" numFmtId="0" xfId="0" applyAlignment="1" applyFont="1">
      <alignment horizontal="center" vertical="center"/>
    </xf>
    <xf borderId="0" fillId="4" fontId="11" numFmtId="170" xfId="0" applyAlignment="1" applyFont="1" applyNumberFormat="1">
      <alignment horizontal="right" vertical="top"/>
    </xf>
    <xf borderId="0" fillId="4" fontId="11" numFmtId="169" xfId="0" applyAlignment="1" applyFont="1" applyNumberFormat="1">
      <alignment horizontal="right" vertical="top"/>
    </xf>
    <xf borderId="9" fillId="4" fontId="11" numFmtId="0" xfId="0" applyAlignment="1" applyBorder="1" applyFont="1">
      <alignment horizontal="left" shrinkToFit="0" vertical="center" wrapText="1"/>
    </xf>
    <xf borderId="9" fillId="4" fontId="11" numFmtId="170" xfId="0" applyAlignment="1" applyBorder="1" applyFont="1" applyNumberFormat="1">
      <alignment horizontal="center" vertical="center"/>
    </xf>
    <xf borderId="1" fillId="4" fontId="26" numFmtId="0" xfId="0" applyAlignment="1" applyBorder="1" applyFont="1">
      <alignment vertical="center"/>
    </xf>
    <xf borderId="1" fillId="4" fontId="26" numFmtId="0" xfId="0" applyAlignment="1" applyBorder="1" applyFont="1">
      <alignment horizontal="left" vertical="center"/>
    </xf>
    <xf borderId="9" fillId="4" fontId="11" numFmtId="0" xfId="0" applyAlignment="1" applyBorder="1" applyFont="1">
      <alignment horizontal="center" vertical="center"/>
    </xf>
    <xf borderId="14" fillId="4" fontId="36" numFmtId="167" xfId="0" applyAlignment="1" applyBorder="1" applyFont="1" applyNumberFormat="1">
      <alignment horizontal="center"/>
    </xf>
    <xf borderId="5" fillId="4" fontId="36" numFmtId="2" xfId="0" applyAlignment="1" applyBorder="1" applyFont="1" applyNumberFormat="1">
      <alignment horizontal="center"/>
    </xf>
    <xf borderId="7" fillId="4" fontId="26" numFmtId="170" xfId="0" applyBorder="1" applyFont="1" applyNumberFormat="1"/>
    <xf borderId="0" fillId="4" fontId="26" numFmtId="0" xfId="0" applyAlignment="1" applyFont="1">
      <alignment horizontal="left" vertical="top"/>
    </xf>
    <xf borderId="7" fillId="4" fontId="26" numFmtId="170" xfId="0" applyAlignment="1" applyBorder="1" applyFont="1" applyNumberFormat="1">
      <alignment horizontal="left" shrinkToFit="0" vertical="center" wrapText="1"/>
    </xf>
    <xf borderId="0" fillId="4" fontId="26" numFmtId="0" xfId="0" applyFont="1"/>
    <xf borderId="0" fillId="4" fontId="26" numFmtId="0" xfId="0" applyAlignment="1" applyFont="1">
      <alignment horizontal="center"/>
    </xf>
    <xf borderId="0" fillId="4" fontId="26" numFmtId="0" xfId="0" applyAlignment="1" applyFont="1">
      <alignment horizontal="left" shrinkToFit="0" wrapText="1"/>
    </xf>
    <xf borderId="0" fillId="4" fontId="26" numFmtId="4" xfId="0" applyFont="1" applyNumberFormat="1"/>
    <xf borderId="1" fillId="4" fontId="26" numFmtId="170" xfId="0" applyAlignment="1" applyBorder="1" applyFont="1" applyNumberFormat="1">
      <alignment vertical="center"/>
    </xf>
    <xf borderId="1" fillId="4" fontId="26" numFmtId="0" xfId="0" applyAlignment="1" applyBorder="1" applyFont="1">
      <alignment horizontal="left" shrinkToFit="0" vertical="top" wrapText="1"/>
    </xf>
    <xf borderId="10" fillId="4" fontId="11" numFmtId="0" xfId="0" applyAlignment="1" applyBorder="1" applyFont="1">
      <alignment horizontal="center" vertical="center"/>
    </xf>
    <xf borderId="1" fillId="4" fontId="11" numFmtId="0" xfId="0" applyAlignment="1" applyBorder="1" applyFont="1">
      <alignment vertical="center"/>
    </xf>
    <xf borderId="15" fillId="4" fontId="36" numFmtId="0" xfId="0" applyAlignment="1" applyBorder="1" applyFont="1">
      <alignment shrinkToFit="0" vertical="top" wrapText="1"/>
    </xf>
    <xf borderId="17" fillId="4" fontId="11" numFmtId="0" xfId="0" applyAlignment="1" applyBorder="1" applyFont="1">
      <alignment horizontal="center" vertical="center"/>
    </xf>
    <xf borderId="15" fillId="4" fontId="26" numFmtId="4" xfId="0" applyAlignment="1" applyBorder="1" applyFont="1" applyNumberFormat="1">
      <alignment horizontal="center" vertical="center"/>
    </xf>
    <xf borderId="15" fillId="4" fontId="26" numFmtId="170" xfId="0" applyAlignment="1" applyBorder="1" applyFont="1" applyNumberFormat="1">
      <alignment horizontal="center" vertical="center"/>
    </xf>
    <xf borderId="9" fillId="4" fontId="26" numFmtId="170" xfId="0" applyAlignment="1" applyBorder="1" applyFont="1" applyNumberFormat="1">
      <alignment horizontal="left" shrinkToFit="0" vertical="center" wrapText="1"/>
    </xf>
    <xf borderId="9" fillId="4" fontId="26" numFmtId="170" xfId="0" applyAlignment="1" applyBorder="1" applyFont="1" applyNumberFormat="1">
      <alignment horizontal="center" vertical="center"/>
    </xf>
    <xf borderId="9" fillId="4" fontId="26" numFmtId="4" xfId="0" applyAlignment="1" applyBorder="1" applyFont="1" applyNumberFormat="1">
      <alignment horizontal="center" vertical="center"/>
    </xf>
    <xf borderId="18" fillId="4" fontId="26" numFmtId="170" xfId="0" applyAlignment="1" applyBorder="1" applyFont="1" applyNumberFormat="1">
      <alignment horizontal="center" vertical="center"/>
    </xf>
    <xf borderId="0" fillId="4" fontId="26" numFmtId="170" xfId="0" applyAlignment="1" applyFont="1" applyNumberFormat="1">
      <alignment horizontal="left" shrinkToFit="0" vertical="center" wrapText="1"/>
    </xf>
    <xf borderId="0" fillId="4" fontId="26" numFmtId="170" xfId="0" applyAlignment="1" applyFont="1" applyNumberFormat="1">
      <alignment horizontal="center" vertical="center"/>
    </xf>
    <xf borderId="0" fillId="4" fontId="26" numFmtId="4" xfId="0" applyAlignment="1" applyFont="1" applyNumberFormat="1">
      <alignment horizontal="center" vertical="center"/>
    </xf>
    <xf borderId="9" fillId="4" fontId="26" numFmtId="172" xfId="0" applyAlignment="1" applyBorder="1" applyFont="1" applyNumberFormat="1">
      <alignment horizontal="center" vertical="center"/>
    </xf>
    <xf borderId="1" fillId="4" fontId="11" numFmtId="0" xfId="0" applyAlignment="1" applyBorder="1" applyFont="1">
      <alignment horizontal="left" vertical="center"/>
    </xf>
    <xf borderId="6" fillId="4" fontId="23" numFmtId="0" xfId="0" applyAlignment="1" applyBorder="1" applyFont="1">
      <alignment horizontal="center" vertical="center"/>
    </xf>
    <xf borderId="0" fillId="4" fontId="11" numFmtId="0" xfId="0" applyAlignment="1" applyFont="1">
      <alignment horizontal="left" vertical="top"/>
    </xf>
    <xf borderId="1" fillId="4" fontId="11" numFmtId="170" xfId="0" applyAlignment="1" applyBorder="1" applyFont="1" applyNumberFormat="1">
      <alignment horizontal="left" vertical="top"/>
    </xf>
    <xf borderId="8" fillId="20" fontId="21" numFmtId="0" xfId="0" applyAlignment="1" applyBorder="1" applyFont="1">
      <alignment horizontal="center" vertical="center"/>
    </xf>
    <xf borderId="0" fillId="4" fontId="49" numFmtId="170" xfId="0" applyAlignment="1" applyFont="1" applyNumberFormat="1">
      <alignment shrinkToFit="0" wrapText="1"/>
    </xf>
    <xf borderId="5" fillId="4" fontId="50" numFmtId="0" xfId="0" applyAlignment="1" applyBorder="1" applyFont="1">
      <alignment horizontal="center" vertical="top"/>
    </xf>
    <xf borderId="14" fillId="4" fontId="11" numFmtId="0" xfId="0" applyAlignment="1" applyBorder="1" applyFont="1">
      <alignment horizontal="center" vertical="center"/>
    </xf>
    <xf borderId="9" fillId="4" fontId="36" numFmtId="0" xfId="0" applyAlignment="1" applyBorder="1" applyFont="1">
      <alignment shrinkToFit="0" vertical="top" wrapText="1"/>
    </xf>
    <xf borderId="16" fillId="4" fontId="26" numFmtId="170" xfId="0" applyAlignment="1" applyBorder="1" applyFont="1" applyNumberFormat="1">
      <alignment horizontal="center" vertical="center"/>
    </xf>
    <xf borderId="0" fillId="4" fontId="36" numFmtId="0" xfId="0" applyAlignment="1" applyFont="1">
      <alignment shrinkToFit="0" vertical="top" wrapText="1"/>
    </xf>
    <xf borderId="0" fillId="4" fontId="39" numFmtId="169" xfId="0" applyAlignment="1" applyFont="1" applyNumberFormat="1">
      <alignment horizontal="left" shrinkToFit="0" vertical="center" wrapText="1"/>
    </xf>
    <xf borderId="0" fillId="4" fontId="40" numFmtId="0" xfId="0" applyAlignment="1" applyFont="1">
      <alignment horizontal="center"/>
    </xf>
    <xf borderId="1" fillId="4" fontId="26" numFmtId="0" xfId="0" applyAlignment="1" applyBorder="1" applyFont="1">
      <alignment horizontal="center" vertical="center"/>
    </xf>
    <xf borderId="14" fillId="4" fontId="26" numFmtId="0" xfId="0" applyAlignment="1" applyBorder="1" applyFont="1">
      <alignment horizontal="center" vertical="center"/>
    </xf>
    <xf borderId="0" fillId="4" fontId="26" numFmtId="0" xfId="0" applyAlignment="1" applyFont="1">
      <alignment horizontal="center" vertical="center"/>
    </xf>
    <xf borderId="9" fillId="4" fontId="11" numFmtId="2" xfId="0" applyAlignment="1" applyBorder="1" applyFont="1" applyNumberFormat="1">
      <alignment horizontal="center" vertical="center"/>
    </xf>
    <xf borderId="0" fillId="4" fontId="11" numFmtId="2" xfId="0" applyAlignment="1" applyFont="1" applyNumberFormat="1">
      <alignment horizontal="center" vertical="center"/>
    </xf>
    <xf borderId="8" fillId="8" fontId="24" numFmtId="169" xfId="0" applyAlignment="1" applyBorder="1" applyFont="1" applyNumberFormat="1">
      <alignment horizontal="center"/>
    </xf>
    <xf borderId="1" fillId="4" fontId="11" numFmtId="171" xfId="0" applyAlignment="1" applyBorder="1" applyFont="1" applyNumberFormat="1">
      <alignment horizontal="center" vertical="center"/>
    </xf>
    <xf borderId="5" fillId="4" fontId="11" numFmtId="2" xfId="0" applyAlignment="1" applyBorder="1" applyFont="1" applyNumberFormat="1">
      <alignment horizontal="center" vertical="center"/>
    </xf>
    <xf borderId="0" fillId="4" fontId="28" numFmtId="0" xfId="0" applyAlignment="1" applyFont="1">
      <alignment horizontal="left" vertical="top"/>
    </xf>
    <xf borderId="5" fillId="4" fontId="25" numFmtId="0" xfId="0" applyAlignment="1" applyBorder="1" applyFont="1">
      <alignment horizontal="center" vertical="center"/>
    </xf>
    <xf borderId="5" fillId="4" fontId="26" numFmtId="169" xfId="0" applyAlignment="1" applyBorder="1" applyFont="1" applyNumberFormat="1">
      <alignment horizontal="center" vertical="center"/>
    </xf>
    <xf borderId="0" fillId="4" fontId="40" numFmtId="4" xfId="0" applyAlignment="1" applyFont="1" applyNumberFormat="1">
      <alignment horizontal="center"/>
    </xf>
    <xf borderId="0" fillId="4" fontId="40" numFmtId="49" xfId="0" applyAlignment="1" applyFont="1" applyNumberFormat="1">
      <alignment horizontal="center"/>
    </xf>
    <xf borderId="0" fillId="4" fontId="26" numFmtId="49" xfId="0" applyAlignment="1" applyFont="1" applyNumberFormat="1">
      <alignment horizontal="center"/>
    </xf>
    <xf borderId="9" fillId="4" fontId="26" numFmtId="0" xfId="0" applyAlignment="1" applyBorder="1" applyFont="1">
      <alignment horizontal="center" vertical="center"/>
    </xf>
    <xf borderId="0" fillId="4" fontId="26" numFmtId="169" xfId="0" applyFont="1" applyNumberFormat="1"/>
    <xf borderId="0" fillId="4" fontId="26" numFmtId="4" xfId="0" applyAlignment="1" applyFont="1" applyNumberFormat="1">
      <alignment horizontal="center"/>
    </xf>
    <xf borderId="5" fillId="4" fontId="50" numFmtId="0" xfId="0" applyAlignment="1" applyBorder="1" applyFont="1">
      <alignment horizontal="center" vertical="center"/>
    </xf>
    <xf borderId="1" fillId="4" fontId="51" numFmtId="2" xfId="0" applyAlignment="1" applyBorder="1" applyFont="1" applyNumberFormat="1">
      <alignment horizontal="center" vertical="center"/>
    </xf>
    <xf borderId="0" fillId="4" fontId="51" numFmtId="0" xfId="0" applyAlignment="1" applyFont="1">
      <alignment horizontal="center"/>
    </xf>
    <xf borderId="8" fillId="4" fontId="51" numFmtId="0" xfId="0" applyAlignment="1" applyBorder="1" applyFont="1">
      <alignment horizontal="center" vertical="center"/>
    </xf>
    <xf borderId="1" fillId="4" fontId="51" numFmtId="0" xfId="0" applyAlignment="1" applyBorder="1" applyFont="1">
      <alignment horizontal="center" vertical="center"/>
    </xf>
    <xf borderId="6" fillId="4" fontId="51" numFmtId="0" xfId="0" applyAlignment="1" applyBorder="1" applyFont="1">
      <alignment horizontal="center" vertical="center"/>
    </xf>
    <xf borderId="7" fillId="4" fontId="39" numFmtId="169" xfId="0" applyAlignment="1" applyBorder="1" applyFont="1" applyNumberFormat="1">
      <alignment horizontal="left" shrinkToFit="0" vertical="center" wrapText="1"/>
    </xf>
    <xf borderId="19" fillId="4" fontId="36" numFmtId="0" xfId="0" applyAlignment="1" applyBorder="1" applyFont="1">
      <alignment shrinkToFit="0" vertical="top" wrapText="1"/>
    </xf>
    <xf borderId="20" fillId="4" fontId="11" numFmtId="0" xfId="0" applyAlignment="1" applyBorder="1" applyFont="1">
      <alignment horizontal="center" vertical="center"/>
    </xf>
    <xf borderId="19" fillId="4" fontId="26" numFmtId="4" xfId="0" applyAlignment="1" applyBorder="1" applyFont="1" applyNumberFormat="1">
      <alignment horizontal="center" vertical="center"/>
    </xf>
    <xf borderId="19" fillId="4" fontId="26" numFmtId="170" xfId="0" applyAlignment="1" applyBorder="1" applyFont="1" applyNumberFormat="1">
      <alignment horizontal="center" vertical="center"/>
    </xf>
    <xf borderId="21" fillId="4" fontId="26" numFmtId="170" xfId="0" applyAlignment="1" applyBorder="1" applyFont="1" applyNumberFormat="1">
      <alignment horizontal="center" vertical="center"/>
    </xf>
    <xf borderId="12" fillId="4" fontId="51" numFmtId="0" xfId="0" applyAlignment="1" applyBorder="1" applyFont="1">
      <alignment horizontal="center" vertical="center"/>
    </xf>
    <xf borderId="6" fillId="4" fontId="51" numFmtId="49" xfId="0" applyAlignment="1" applyBorder="1" applyFont="1" applyNumberFormat="1">
      <alignment horizontal="center" vertical="center"/>
    </xf>
    <xf borderId="1" fillId="4" fontId="51" numFmtId="49" xfId="0" applyAlignment="1" applyBorder="1" applyFont="1" applyNumberFormat="1">
      <alignment horizontal="center" vertical="center"/>
    </xf>
    <xf borderId="0" fillId="4" fontId="51" numFmtId="49" xfId="0" applyAlignment="1" applyFont="1" applyNumberFormat="1">
      <alignment horizontal="center"/>
    </xf>
    <xf borderId="5" fillId="4" fontId="50" numFmtId="0" xfId="0" applyAlignment="1" applyBorder="1" applyFont="1">
      <alignment horizontal="center" shrinkToFit="0" vertical="top" wrapText="1"/>
    </xf>
    <xf borderId="8" fillId="4" fontId="51" numFmtId="49" xfId="0" applyAlignment="1" applyBorder="1" applyFont="1" applyNumberFormat="1">
      <alignment horizontal="center" vertical="center"/>
    </xf>
    <xf borderId="8" fillId="4" fontId="11" numFmtId="0" xfId="0" applyAlignment="1" applyBorder="1" applyFont="1">
      <alignment shrinkToFit="0" vertical="center" wrapText="1"/>
    </xf>
    <xf borderId="0" fillId="4" fontId="11" numFmtId="0" xfId="0" applyAlignment="1" applyFont="1">
      <alignment vertical="center"/>
    </xf>
    <xf borderId="0" fillId="4" fontId="11" numFmtId="4" xfId="0" applyAlignment="1" applyFont="1" applyNumberFormat="1">
      <alignment vertical="center"/>
    </xf>
    <xf borderId="0" fillId="4" fontId="11" numFmtId="169" xfId="0" applyAlignment="1" applyFont="1" applyNumberFormat="1">
      <alignment vertical="center"/>
    </xf>
    <xf borderId="0" fillId="4" fontId="51" numFmtId="49" xfId="0" applyAlignment="1" applyFont="1" applyNumberFormat="1">
      <alignment horizontal="center" vertical="center"/>
    </xf>
    <xf borderId="0" fillId="4" fontId="11" numFmtId="0" xfId="0" applyAlignment="1" applyFont="1">
      <alignment shrinkToFit="0" vertical="center" wrapText="1"/>
    </xf>
    <xf borderId="5" fillId="4" fontId="50" numFmtId="0" xfId="0" applyAlignment="1" applyBorder="1" applyFont="1">
      <alignment horizontal="center" shrinkToFit="0" vertical="center" wrapText="1"/>
    </xf>
    <xf borderId="0" fillId="4" fontId="11" numFmtId="0" xfId="0" applyAlignment="1" applyFont="1">
      <alignment shrinkToFit="0" wrapText="1"/>
    </xf>
    <xf borderId="0" fillId="4" fontId="11" numFmtId="0" xfId="0" applyAlignment="1" applyFont="1">
      <alignment horizontal="left" vertical="center"/>
    </xf>
    <xf borderId="0" fillId="4" fontId="11" numFmtId="4" xfId="0" applyAlignment="1" applyFont="1" applyNumberFormat="1">
      <alignment horizontal="right" vertical="top"/>
    </xf>
    <xf borderId="0" fillId="4" fontId="51" numFmtId="0" xfId="0" applyAlignment="1" applyFont="1">
      <alignment horizontal="center" vertical="top"/>
    </xf>
    <xf borderId="8" fillId="4" fontId="51" numFmtId="171" xfId="0" applyAlignment="1" applyBorder="1" applyFont="1" applyNumberFormat="1">
      <alignment horizontal="center" vertical="center"/>
    </xf>
    <xf borderId="10" fillId="4" fontId="11" numFmtId="0" xfId="0" applyAlignment="1" applyBorder="1" applyFont="1">
      <alignment vertical="center"/>
    </xf>
    <xf borderId="14" fillId="4" fontId="51" numFmtId="49" xfId="0" applyAlignment="1" applyBorder="1" applyFont="1" applyNumberFormat="1">
      <alignment horizontal="center" vertical="center"/>
    </xf>
    <xf borderId="5" fillId="4" fontId="52" numFmtId="0" xfId="0" applyAlignment="1" applyBorder="1" applyFont="1">
      <alignment horizontal="center" shrinkToFit="0" vertical="top" wrapText="1"/>
    </xf>
    <xf borderId="5" fillId="4" fontId="52" numFmtId="0" xfId="0" applyAlignment="1" applyBorder="1" applyFont="1">
      <alignment horizontal="center" vertical="top"/>
    </xf>
    <xf borderId="8" fillId="4" fontId="43" numFmtId="0" xfId="0" applyAlignment="1" applyBorder="1" applyFont="1">
      <alignment shrinkToFit="0" vertical="center" wrapText="1"/>
    </xf>
    <xf borderId="8" fillId="4" fontId="51" numFmtId="0" xfId="0" applyAlignment="1" applyBorder="1" applyFont="1">
      <alignment horizontal="center"/>
    </xf>
    <xf borderId="1" fillId="4" fontId="44" numFmtId="0" xfId="0" applyAlignment="1" applyBorder="1" applyFont="1">
      <alignment shrinkToFit="0" wrapText="1"/>
    </xf>
    <xf borderId="8" fillId="4" fontId="53" numFmtId="0" xfId="0" applyAlignment="1" applyBorder="1" applyFont="1">
      <alignment horizontal="center"/>
    </xf>
    <xf borderId="0" fillId="4" fontId="53" numFmtId="0" xfId="0" applyAlignment="1" applyFont="1">
      <alignment horizontal="center"/>
    </xf>
    <xf borderId="8" fillId="4" fontId="53" numFmtId="49" xfId="0" applyAlignment="1" applyBorder="1" applyFont="1" applyNumberFormat="1">
      <alignment horizontal="center"/>
    </xf>
    <xf borderId="0" fillId="4" fontId="53" numFmtId="49" xfId="0" applyAlignment="1" applyFont="1" applyNumberFormat="1">
      <alignment horizontal="center"/>
    </xf>
    <xf borderId="8" fillId="4" fontId="51" numFmtId="49" xfId="0" applyAlignment="1" applyBorder="1" applyFont="1" applyNumberFormat="1">
      <alignment horizontal="center"/>
    </xf>
    <xf borderId="12" fillId="4" fontId="51" numFmtId="49" xfId="0" applyAlignment="1" applyBorder="1" applyFont="1" applyNumberFormat="1">
      <alignment horizontal="center" vertical="center"/>
    </xf>
    <xf borderId="15" fillId="4" fontId="36" numFmtId="0" xfId="0" applyAlignment="1" applyBorder="1" applyFont="1">
      <alignment horizontal="left" shrinkToFit="0" vertical="center" wrapText="1"/>
    </xf>
    <xf borderId="17" fillId="4" fontId="26" numFmtId="170" xfId="0" applyAlignment="1" applyBorder="1" applyFont="1" applyNumberFormat="1">
      <alignment horizontal="center" vertical="center"/>
    </xf>
    <xf borderId="15" fillId="4" fontId="52" numFmtId="0" xfId="0" applyAlignment="1" applyBorder="1" applyFont="1">
      <alignment horizontal="center" vertical="top"/>
    </xf>
    <xf borderId="6" fillId="4" fontId="51" numFmtId="49" xfId="0" applyAlignment="1" applyBorder="1" applyFont="1" applyNumberFormat="1">
      <alignment horizontal="center"/>
    </xf>
    <xf borderId="8" fillId="4" fontId="11" numFmtId="4" xfId="0" applyAlignment="1" applyBorder="1" applyFont="1" applyNumberFormat="1">
      <alignment horizontal="center" vertical="top"/>
    </xf>
    <xf borderId="0" fillId="4" fontId="51" numFmtId="0" xfId="0" applyFont="1"/>
    <xf borderId="8" fillId="4" fontId="52" numFmtId="0" xfId="0" applyAlignment="1" applyBorder="1" applyFont="1">
      <alignment horizontal="center" vertical="top"/>
    </xf>
    <xf borderId="8" fillId="4" fontId="11" numFmtId="0" xfId="0" applyAlignment="1" applyBorder="1" applyFont="1">
      <alignment horizontal="left" vertical="center"/>
    </xf>
    <xf borderId="8" fillId="4" fontId="11" numFmtId="4" xfId="0" applyAlignment="1" applyBorder="1" applyFont="1" applyNumberFormat="1">
      <alignment horizontal="center" vertical="center"/>
    </xf>
    <xf borderId="8" fillId="4" fontId="11" numFmtId="169" xfId="0" applyAlignment="1" applyBorder="1" applyFont="1" applyNumberFormat="1">
      <alignment horizontal="center" vertical="center"/>
    </xf>
    <xf borderId="6" fillId="4" fontId="51" numFmtId="49" xfId="0" applyAlignment="1" applyBorder="1" applyFont="1" applyNumberFormat="1">
      <alignment horizontal="center" shrinkToFit="0" wrapText="1"/>
    </xf>
    <xf borderId="6" fillId="4" fontId="51" numFmtId="49" xfId="0" applyBorder="1" applyFont="1" applyNumberFormat="1"/>
    <xf borderId="9" fillId="4" fontId="11" numFmtId="169" xfId="0" applyAlignment="1" applyBorder="1" applyFont="1" applyNumberFormat="1">
      <alignment horizontal="center" vertical="center"/>
    </xf>
    <xf borderId="9" fillId="4" fontId="11" numFmtId="4" xfId="0" applyAlignment="1" applyBorder="1" applyFont="1" applyNumberFormat="1">
      <alignment horizontal="center" vertical="top"/>
    </xf>
    <xf borderId="0" fillId="4" fontId="11" numFmtId="4" xfId="0" applyAlignment="1" applyFont="1" applyNumberFormat="1">
      <alignment horizontal="center" vertical="center"/>
    </xf>
    <xf borderId="0" fillId="4" fontId="11" numFmtId="169" xfId="0" applyAlignment="1" applyFont="1" applyNumberFormat="1">
      <alignment horizontal="center" vertical="center"/>
    </xf>
    <xf borderId="0" fillId="4" fontId="51" numFmtId="0" xfId="0" applyAlignment="1" applyFont="1">
      <alignment horizontal="center" vertical="center"/>
    </xf>
    <xf borderId="8" fillId="4" fontId="11" numFmtId="0" xfId="0" applyAlignment="1" applyBorder="1" applyFont="1">
      <alignment shrinkToFit="0" wrapText="1"/>
    </xf>
    <xf borderId="8" fillId="4" fontId="43" numFmtId="0" xfId="0" applyAlignment="1" applyBorder="1" applyFont="1">
      <alignment shrinkToFit="0" wrapText="1"/>
    </xf>
    <xf borderId="1" fillId="4" fontId="11" numFmtId="4" xfId="0" applyAlignment="1" applyBorder="1" applyFont="1" applyNumberFormat="1">
      <alignment horizontal="center" vertical="center"/>
    </xf>
    <xf borderId="1" fillId="4" fontId="11" numFmtId="170" xfId="0" applyAlignment="1" applyBorder="1" applyFont="1" applyNumberFormat="1">
      <alignment horizontal="center" vertical="center"/>
    </xf>
    <xf borderId="1" fillId="4" fontId="36" numFmtId="0" xfId="0" applyAlignment="1" applyBorder="1" applyFont="1">
      <alignment shrinkToFit="0" vertical="center" wrapText="1"/>
    </xf>
    <xf borderId="1" fillId="4" fontId="11" numFmtId="169" xfId="0" applyAlignment="1" applyBorder="1" applyFont="1" applyNumberFormat="1">
      <alignment vertical="center"/>
    </xf>
    <xf borderId="5" fillId="4" fontId="23" numFmtId="0" xfId="0" applyAlignment="1" applyBorder="1" applyFont="1">
      <alignment horizontal="center" shrinkToFit="0" vertical="top" wrapText="1"/>
    </xf>
    <xf borderId="0" fillId="4" fontId="11" numFmtId="169" xfId="0" applyAlignment="1" applyFont="1" applyNumberFormat="1">
      <alignment horizontal="left" vertical="top"/>
    </xf>
    <xf borderId="0" fillId="4" fontId="11" numFmtId="0" xfId="0" applyAlignment="1" applyFont="1">
      <alignment horizontal="center" vertical="top"/>
    </xf>
    <xf borderId="0" fillId="4" fontId="26" numFmtId="0" xfId="0" applyAlignment="1" applyFont="1">
      <alignment horizontal="center" vertical="top"/>
    </xf>
    <xf borderId="0" fillId="4" fontId="26" numFmtId="0" xfId="0" applyAlignment="1" applyFont="1">
      <alignment shrinkToFit="0" wrapText="1"/>
    </xf>
    <xf borderId="0" fillId="4" fontId="54" numFmtId="0" xfId="0" applyFont="1"/>
    <xf borderId="8" fillId="4" fontId="44" numFmtId="0" xfId="0" applyAlignment="1" applyBorder="1" applyFont="1">
      <alignment horizontal="center" vertical="center"/>
    </xf>
    <xf borderId="5" fillId="4" fontId="41" numFmtId="0" xfId="0" applyAlignment="1" applyBorder="1" applyFont="1">
      <alignment shrinkToFit="0" vertical="center" wrapText="1"/>
    </xf>
    <xf borderId="8" fillId="4" fontId="26" numFmtId="0" xfId="0" applyAlignment="1" applyBorder="1" applyFont="1">
      <alignment horizontal="center" vertical="center"/>
    </xf>
    <xf borderId="5" fillId="4" fontId="21" numFmtId="0" xfId="0" applyAlignment="1" applyBorder="1" applyFont="1">
      <alignment horizontal="center" vertical="top"/>
    </xf>
    <xf borderId="0" fillId="4" fontId="26" numFmtId="49" xfId="0" applyAlignment="1" applyFont="1" applyNumberFormat="1">
      <alignment horizontal="center" vertical="center"/>
    </xf>
    <xf borderId="16" fillId="4" fontId="11" numFmtId="0" xfId="0" applyAlignment="1" applyBorder="1" applyFont="1">
      <alignment shrinkToFit="0" wrapText="1"/>
    </xf>
    <xf borderId="7" fillId="4" fontId="11" numFmtId="0" xfId="0" applyAlignment="1" applyBorder="1" applyFont="1">
      <alignment shrinkToFit="0" wrapText="1"/>
    </xf>
    <xf borderId="14" fillId="4" fontId="11" numFmtId="0" xfId="0" applyAlignment="1" applyBorder="1" applyFont="1">
      <alignment horizontal="center"/>
    </xf>
    <xf borderId="0" fillId="4" fontId="27" numFmtId="0" xfId="0" applyFont="1"/>
    <xf borderId="0" fillId="4" fontId="27" numFmtId="0" xfId="0" applyAlignment="1" applyFont="1">
      <alignment vertical="center"/>
    </xf>
    <xf borderId="0" fillId="4" fontId="27" numFmtId="4" xfId="0" applyFont="1" applyNumberFormat="1"/>
    <xf borderId="0" fillId="4" fontId="27" numFmtId="169" xfId="0" applyFont="1" applyNumberFormat="1"/>
    <xf borderId="0" fillId="0" fontId="11" numFmtId="0" xfId="0" applyAlignment="1" applyFont="1">
      <alignment horizontal="left" vertical="center"/>
    </xf>
    <xf borderId="5" fillId="2" fontId="50" numFmtId="0" xfId="0" applyAlignment="1" applyBorder="1" applyFont="1">
      <alignment horizontal="center" shrinkToFit="0" vertical="top" wrapText="1"/>
    </xf>
    <xf borderId="8" fillId="9" fontId="24" numFmtId="169" xfId="0" applyAlignment="1" applyBorder="1" applyFont="1" applyNumberFormat="1">
      <alignment horizontal="center"/>
    </xf>
    <xf borderId="9" fillId="0" fontId="26" numFmtId="170" xfId="0" applyAlignment="1" applyBorder="1" applyFont="1" applyNumberFormat="1">
      <alignment horizontal="left" shrinkToFit="0" vertical="center" wrapText="1"/>
    </xf>
    <xf borderId="9" fillId="0" fontId="26" numFmtId="170" xfId="0" applyAlignment="1" applyBorder="1" applyFont="1" applyNumberFormat="1">
      <alignment horizontal="center" vertical="center"/>
    </xf>
    <xf borderId="9" fillId="0" fontId="26" numFmtId="4" xfId="0" applyAlignment="1" applyBorder="1" applyFont="1" applyNumberFormat="1">
      <alignment horizontal="center" vertical="center"/>
    </xf>
    <xf borderId="8" fillId="8" fontId="39" numFmtId="169" xfId="0" applyAlignment="1" applyBorder="1" applyFont="1" applyNumberFormat="1">
      <alignment horizontal="left" shrinkToFit="0" vertical="center" wrapText="1"/>
    </xf>
    <xf borderId="6" fillId="8" fontId="11" numFmtId="2" xfId="0" applyAlignment="1" applyBorder="1" applyFont="1" applyNumberFormat="1">
      <alignment horizontal="center" vertical="center"/>
    </xf>
    <xf borderId="0" fillId="0" fontId="26" numFmtId="170" xfId="0" applyFont="1" applyNumberFormat="1"/>
    <xf borderId="0" fillId="0" fontId="26" numFmtId="173" xfId="0" applyFont="1" applyNumberFormat="1"/>
    <xf borderId="22" fillId="0" fontId="55" numFmtId="0" xfId="0" applyAlignment="1" applyBorder="1" applyFont="1">
      <alignment horizontal="center"/>
    </xf>
    <xf borderId="22" fillId="0" fontId="55" numFmtId="0" xfId="0" applyAlignment="1" applyBorder="1" applyFont="1">
      <alignment horizontal="center" shrinkToFit="0" vertical="center" wrapText="1"/>
    </xf>
    <xf borderId="22" fillId="0" fontId="55" numFmtId="2" xfId="0" applyAlignment="1" applyBorder="1" applyFont="1" applyNumberFormat="1">
      <alignment horizontal="center" shrinkToFit="0" vertical="center" wrapText="1"/>
    </xf>
    <xf borderId="22" fillId="4" fontId="55" numFmtId="170" xfId="0" applyAlignment="1" applyBorder="1" applyFont="1" applyNumberFormat="1">
      <alignment horizontal="center" shrinkToFit="0" vertical="center" wrapText="1"/>
    </xf>
    <xf borderId="22" fillId="0" fontId="55" numFmtId="170" xfId="0" applyAlignment="1" applyBorder="1" applyFont="1" applyNumberFormat="1">
      <alignment horizontal="center" shrinkToFit="0" vertical="center" wrapText="1"/>
    </xf>
    <xf borderId="8" fillId="10" fontId="56" numFmtId="0" xfId="0" applyAlignment="1" applyBorder="1" applyFont="1">
      <alignment horizontal="center" shrinkToFit="0" vertical="center" wrapText="1"/>
    </xf>
    <xf borderId="8" fillId="17" fontId="56" numFmtId="0" xfId="0" applyAlignment="1" applyBorder="1" applyFont="1">
      <alignment horizontal="center" shrinkToFit="0" vertical="center" wrapText="1"/>
    </xf>
    <xf borderId="23" fillId="4" fontId="55" numFmtId="10" xfId="0" applyAlignment="1" applyBorder="1" applyFont="1" applyNumberFormat="1">
      <alignment horizontal="center" shrinkToFit="0" vertical="center" wrapText="1"/>
    </xf>
    <xf borderId="22" fillId="0" fontId="55" numFmtId="170" xfId="0" applyAlignment="1" applyBorder="1" applyFont="1" applyNumberFormat="1">
      <alignment horizontal="center" readingOrder="0" shrinkToFit="0" vertical="center" wrapText="1"/>
    </xf>
    <xf borderId="24" fillId="0" fontId="55" numFmtId="170" xfId="0" applyAlignment="1" applyBorder="1" applyFont="1" applyNumberFormat="1">
      <alignment horizontal="center" shrinkToFit="0" vertical="center" wrapText="1"/>
    </xf>
    <xf borderId="8" fillId="4" fontId="55" numFmtId="10" xfId="0" applyAlignment="1" applyBorder="1" applyFont="1" applyNumberFormat="1">
      <alignment horizontal="center" readingOrder="0" shrinkToFit="0" vertical="center" wrapText="1"/>
    </xf>
    <xf borderId="8" fillId="0" fontId="57" numFmtId="170" xfId="0" applyAlignment="1" applyBorder="1" applyFont="1" applyNumberFormat="1">
      <alignment horizontal="center" shrinkToFit="0" vertical="center" wrapText="1"/>
    </xf>
    <xf borderId="0" fillId="0" fontId="38" numFmtId="0" xfId="0" applyAlignment="1" applyFont="1">
      <alignment vertical="center"/>
    </xf>
    <xf borderId="14" fillId="0" fontId="57" numFmtId="170" xfId="0" applyAlignment="1" applyBorder="1" applyFont="1" applyNumberFormat="1">
      <alignment horizontal="center" shrinkToFit="0" vertical="center" wrapText="1"/>
    </xf>
    <xf borderId="0" fillId="0" fontId="58" numFmtId="0" xfId="0" applyAlignment="1" applyFont="1">
      <alignment horizontal="center" vertical="center"/>
    </xf>
    <xf borderId="5" fillId="10" fontId="46" numFmtId="0" xfId="0" applyBorder="1" applyFont="1"/>
    <xf borderId="5" fillId="10" fontId="59" numFmtId="0" xfId="0" applyAlignment="1" applyBorder="1" applyFont="1">
      <alignment horizontal="right" shrinkToFit="0" wrapText="1"/>
    </xf>
    <xf borderId="5" fillId="10" fontId="59" numFmtId="170" xfId="0" applyAlignment="1" applyBorder="1" applyFont="1" applyNumberFormat="1">
      <alignment horizontal="center" shrinkToFit="0" wrapText="1"/>
    </xf>
    <xf borderId="5" fillId="10" fontId="59" numFmtId="2" xfId="0" applyAlignment="1" applyBorder="1" applyFont="1" applyNumberFormat="1">
      <alignment horizontal="right" shrinkToFit="0" wrapText="1"/>
    </xf>
    <xf borderId="8" fillId="4" fontId="60" numFmtId="170" xfId="0" applyAlignment="1" applyBorder="1" applyFont="1" applyNumberFormat="1">
      <alignment horizontal="center" vertical="center"/>
    </xf>
    <xf borderId="8" fillId="0" fontId="61" numFmtId="10" xfId="0" applyAlignment="1" applyBorder="1" applyFont="1" applyNumberFormat="1">
      <alignment horizontal="center" vertical="center"/>
    </xf>
    <xf borderId="14" fillId="0" fontId="61" numFmtId="10" xfId="0" applyAlignment="1" applyBorder="1" applyFont="1" applyNumberFormat="1">
      <alignment horizontal="center" vertical="center"/>
    </xf>
    <xf borderId="6" fillId="4" fontId="59" numFmtId="170" xfId="0" applyAlignment="1" applyBorder="1" applyFont="1" applyNumberFormat="1">
      <alignment horizontal="center" shrinkToFit="0" wrapText="1"/>
    </xf>
    <xf borderId="5" fillId="4" fontId="59" numFmtId="2" xfId="0" applyAlignment="1" applyBorder="1" applyFont="1" applyNumberFormat="1">
      <alignment horizontal="right" shrinkToFit="0" wrapText="1"/>
    </xf>
    <xf borderId="5" fillId="4" fontId="59" numFmtId="170" xfId="0" applyAlignment="1" applyBorder="1" applyFont="1" applyNumberFormat="1">
      <alignment horizontal="center"/>
    </xf>
    <xf borderId="8" fillId="0" fontId="43" numFmtId="174" xfId="0" applyAlignment="1" applyBorder="1" applyFont="1" applyNumberFormat="1">
      <alignment horizontal="center" vertical="center"/>
    </xf>
    <xf borderId="14" fillId="4" fontId="60" numFmtId="175" xfId="0" applyAlignment="1" applyBorder="1" applyFont="1" applyNumberFormat="1">
      <alignment horizontal="center" vertical="center"/>
    </xf>
    <xf borderId="8" fillId="4" fontId="60" numFmtId="10" xfId="0" applyAlignment="1" applyBorder="1" applyFont="1" applyNumberFormat="1">
      <alignment horizontal="center" readingOrder="0" vertical="center"/>
    </xf>
    <xf borderId="22" fillId="0" fontId="38" numFmtId="0" xfId="0" applyAlignment="1" applyBorder="1" applyFont="1">
      <alignment vertical="center"/>
    </xf>
    <xf borderId="22" fillId="0" fontId="62" numFmtId="0" xfId="0" applyAlignment="1" applyBorder="1" applyFont="1">
      <alignment shrinkToFit="0" vertical="center" wrapText="1"/>
    </xf>
    <xf borderId="22" fillId="0" fontId="63" numFmtId="165" xfId="0" applyAlignment="1" applyBorder="1" applyFont="1" applyNumberFormat="1">
      <alignment horizontal="center" vertical="center"/>
    </xf>
    <xf borderId="22" fillId="0" fontId="63" numFmtId="0" xfId="0" applyAlignment="1" applyBorder="1" applyFont="1">
      <alignment horizontal="center" vertical="center"/>
    </xf>
    <xf borderId="0" fillId="0" fontId="64" numFmtId="0" xfId="0" applyAlignment="1" applyFont="1">
      <alignment horizontal="center" vertical="center"/>
    </xf>
    <xf borderId="13" fillId="21" fontId="46" numFmtId="0" xfId="0" applyBorder="1" applyFill="1" applyFont="1"/>
    <xf borderId="19" fillId="21" fontId="59" numFmtId="0" xfId="0" applyAlignment="1" applyBorder="1" applyFont="1">
      <alignment horizontal="right" shrinkToFit="0" wrapText="1"/>
    </xf>
    <xf borderId="19" fillId="21" fontId="59" numFmtId="170" xfId="0" applyAlignment="1" applyBorder="1" applyFont="1" applyNumberFormat="1">
      <alignment horizontal="center" shrinkToFit="0" wrapText="1"/>
    </xf>
    <xf borderId="19" fillId="21" fontId="59" numFmtId="2" xfId="0" applyAlignment="1" applyBorder="1" applyFont="1" applyNumberFormat="1">
      <alignment horizontal="right" shrinkToFit="0" wrapText="1"/>
    </xf>
    <xf borderId="21" fillId="21" fontId="59" numFmtId="170" xfId="0" applyBorder="1" applyFont="1" applyNumberFormat="1"/>
    <xf borderId="6" fillId="21" fontId="44" numFmtId="175" xfId="0" applyAlignment="1" applyBorder="1" applyFont="1" applyNumberFormat="1">
      <alignment horizontal="center"/>
    </xf>
    <xf borderId="5" fillId="21" fontId="44" numFmtId="10" xfId="0" applyAlignment="1" applyBorder="1" applyFont="1" applyNumberFormat="1">
      <alignment horizontal="center"/>
    </xf>
    <xf borderId="5" fillId="21" fontId="38" numFmtId="0" xfId="0" applyAlignment="1" applyBorder="1" applyFont="1">
      <alignment vertical="center"/>
    </xf>
    <xf borderId="25" fillId="21" fontId="59" numFmtId="170" xfId="0" applyBorder="1" applyFont="1" applyNumberFormat="1"/>
    <xf borderId="26" fillId="0" fontId="8" numFmtId="0" xfId="0" applyBorder="1" applyFont="1"/>
    <xf borderId="7" fillId="21" fontId="62" numFmtId="0" xfId="0" applyAlignment="1" applyBorder="1" applyFont="1">
      <alignment shrinkToFit="0" vertical="center" wrapText="1"/>
    </xf>
    <xf borderId="27" fillId="21" fontId="38" numFmtId="0" xfId="0" applyAlignment="1" applyBorder="1" applyFont="1">
      <alignment vertical="center"/>
    </xf>
    <xf borderId="28" fillId="21" fontId="38" numFmtId="0" xfId="0" applyAlignment="1" applyBorder="1" applyFont="1">
      <alignment vertical="center"/>
    </xf>
    <xf borderId="0" fillId="4" fontId="26" numFmtId="0" xfId="0" applyAlignment="1" applyFont="1">
      <alignment readingOrder="0" vertical="center"/>
    </xf>
    <xf borderId="8" fillId="6" fontId="26" numFmtId="0" xfId="0" applyAlignment="1" applyBorder="1" applyFont="1">
      <alignment horizontal="center" shrinkToFit="0" vertical="center" wrapText="1"/>
    </xf>
    <xf borderId="8" fillId="0" fontId="41" numFmtId="0" xfId="0" applyAlignment="1" applyBorder="1" applyFont="1">
      <alignment horizontal="left" shrinkToFit="0" vertical="center" wrapText="1"/>
    </xf>
    <xf borderId="8" fillId="6" fontId="59" numFmtId="0" xfId="0" applyAlignment="1" applyBorder="1" applyFont="1">
      <alignment horizontal="center" shrinkToFit="0" wrapText="1"/>
    </xf>
    <xf borderId="8" fillId="6" fontId="59" numFmtId="2" xfId="0" applyAlignment="1" applyBorder="1" applyFont="1" applyNumberFormat="1">
      <alignment horizontal="center" shrinkToFit="0" vertical="center" wrapText="1"/>
    </xf>
    <xf borderId="8" fillId="22" fontId="59" numFmtId="170" xfId="0" applyAlignment="1" applyBorder="1" applyFill="1" applyFont="1" applyNumberFormat="1">
      <alignment horizontal="center" shrinkToFit="0" wrapText="1"/>
    </xf>
    <xf borderId="8" fillId="10" fontId="59" numFmtId="170" xfId="0" applyAlignment="1" applyBorder="1" applyFont="1" applyNumberFormat="1">
      <alignment horizontal="center" shrinkToFit="0" wrapText="1"/>
    </xf>
    <xf borderId="0" fillId="0" fontId="65" numFmtId="0" xfId="0" applyAlignment="1" applyFont="1">
      <alignment vertical="center"/>
    </xf>
    <xf borderId="0" fillId="0" fontId="38" numFmtId="170" xfId="0" applyAlignment="1" applyFont="1" applyNumberFormat="1">
      <alignment vertical="center"/>
    </xf>
    <xf borderId="8" fillId="7" fontId="59" numFmtId="170" xfId="0" applyAlignment="1" applyBorder="1" applyFont="1" applyNumberFormat="1">
      <alignment horizontal="center" shrinkToFit="0" wrapText="1"/>
    </xf>
    <xf borderId="8" fillId="7" fontId="44" numFmtId="10" xfId="0" applyAlignment="1" applyBorder="1" applyFont="1" applyNumberFormat="1">
      <alignment horizontal="center"/>
    </xf>
    <xf borderId="14" fillId="7" fontId="59" numFmtId="170" xfId="0" applyAlignment="1" applyBorder="1" applyFont="1" applyNumberFormat="1">
      <alignment horizontal="center" shrinkToFit="0" wrapText="1"/>
    </xf>
    <xf borderId="8" fillId="4" fontId="59" numFmtId="10" xfId="0" applyAlignment="1" applyBorder="1" applyFont="1" applyNumberFormat="1">
      <alignment horizontal="center" readingOrder="0" shrinkToFit="0" wrapText="1"/>
    </xf>
    <xf borderId="29" fillId="7" fontId="11" numFmtId="10" xfId="0" applyAlignment="1" applyBorder="1" applyFont="1" applyNumberFormat="1">
      <alignment horizontal="center" vertical="center"/>
    </xf>
    <xf borderId="29" fillId="7" fontId="66" numFmtId="0" xfId="0" applyAlignment="1" applyBorder="1" applyFont="1">
      <alignment horizontal="center" readingOrder="0" vertical="center"/>
    </xf>
    <xf borderId="29" fillId="7" fontId="43" numFmtId="0" xfId="0" applyAlignment="1" applyBorder="1" applyFont="1">
      <alignment shrinkToFit="0" vertical="center" wrapText="1"/>
    </xf>
    <xf borderId="24" fillId="7" fontId="38" numFmtId="0" xfId="0" applyAlignment="1" applyBorder="1" applyFont="1">
      <alignment vertical="center"/>
    </xf>
    <xf borderId="30" fillId="7" fontId="38" numFmtId="0" xfId="0" applyAlignment="1" applyBorder="1" applyFont="1">
      <alignment vertical="center"/>
    </xf>
    <xf borderId="8" fillId="7" fontId="59" numFmtId="170" xfId="0" applyAlignment="1" applyBorder="1" applyFont="1" applyNumberFormat="1">
      <alignment horizontal="center" readingOrder="0" shrinkToFit="0" wrapText="1"/>
    </xf>
    <xf borderId="8" fillId="4" fontId="59" numFmtId="10" xfId="0" applyAlignment="1" applyBorder="1" applyFont="1" applyNumberFormat="1">
      <alignment horizontal="center" shrinkToFit="0" wrapText="1"/>
    </xf>
    <xf borderId="8" fillId="7" fontId="67" numFmtId="0" xfId="0" applyAlignment="1" applyBorder="1" applyFont="1">
      <alignment horizontal="center" readingOrder="0" vertical="center"/>
    </xf>
    <xf borderId="10" fillId="7" fontId="38" numFmtId="0" xfId="0" applyAlignment="1" applyBorder="1" applyFont="1">
      <alignment vertical="center"/>
    </xf>
    <xf borderId="31" fillId="7" fontId="38" numFmtId="0" xfId="0" applyAlignment="1" applyBorder="1" applyFont="1">
      <alignment vertical="center"/>
    </xf>
    <xf borderId="0" fillId="4" fontId="38" numFmtId="0" xfId="0" applyAlignment="1" applyFont="1">
      <alignment vertical="center"/>
    </xf>
    <xf borderId="8" fillId="7" fontId="43" numFmtId="10" xfId="0" applyAlignment="1" applyBorder="1" applyFont="1" applyNumberFormat="1">
      <alignment horizontal="center"/>
    </xf>
    <xf borderId="0" fillId="0" fontId="68" numFmtId="175" xfId="0" applyAlignment="1" applyFont="1" applyNumberFormat="1">
      <alignment horizontal="center"/>
    </xf>
    <xf borderId="0" fillId="0" fontId="44" numFmtId="170" xfId="0" applyAlignment="1" applyFont="1" applyNumberFormat="1">
      <alignment horizontal="center"/>
    </xf>
    <xf borderId="8" fillId="7" fontId="69" numFmtId="170" xfId="0" applyAlignment="1" applyBorder="1" applyFont="1" applyNumberFormat="1">
      <alignment horizontal="center" readingOrder="0" shrinkToFit="0" wrapText="1"/>
    </xf>
    <xf borderId="10" fillId="7" fontId="1" numFmtId="0" xfId="0" applyBorder="1" applyFont="1"/>
    <xf borderId="31" fillId="7" fontId="1" numFmtId="0" xfId="0" applyBorder="1" applyFont="1"/>
    <xf borderId="8" fillId="7" fontId="70" numFmtId="0" xfId="0" applyAlignment="1" applyBorder="1" applyFont="1">
      <alignment horizontal="center" readingOrder="0" vertical="center"/>
    </xf>
    <xf borderId="10" fillId="7" fontId="38" numFmtId="0" xfId="0" applyBorder="1" applyFont="1"/>
    <xf borderId="31" fillId="7" fontId="38" numFmtId="0" xfId="0" applyBorder="1" applyFont="1"/>
    <xf borderId="8" fillId="7" fontId="71" numFmtId="0" xfId="0" applyAlignment="1" applyBorder="1" applyFont="1">
      <alignment horizontal="center" readingOrder="0" vertical="center"/>
    </xf>
    <xf borderId="8" fillId="4" fontId="41" numFmtId="0" xfId="0" applyAlignment="1" applyBorder="1" applyFont="1">
      <alignment horizontal="left" shrinkToFit="0" vertical="center" wrapText="1"/>
    </xf>
    <xf borderId="8" fillId="7" fontId="11" numFmtId="10" xfId="0" applyAlignment="1" applyBorder="1" applyFont="1" applyNumberFormat="1">
      <alignment horizontal="center" vertical="center"/>
    </xf>
    <xf borderId="8" fillId="7" fontId="69" numFmtId="170" xfId="0" applyAlignment="1" applyBorder="1" applyFont="1" applyNumberFormat="1">
      <alignment horizontal="center" shrinkToFit="0" wrapText="1"/>
    </xf>
    <xf borderId="8" fillId="9" fontId="69" numFmtId="170" xfId="0" applyAlignment="1" applyBorder="1" applyFont="1" applyNumberFormat="1">
      <alignment horizontal="center" readingOrder="0" shrinkToFit="0" wrapText="1"/>
    </xf>
    <xf borderId="8" fillId="9" fontId="44" numFmtId="10" xfId="0" applyAlignment="1" applyBorder="1" applyFont="1" applyNumberFormat="1">
      <alignment horizontal="center" readingOrder="0"/>
    </xf>
    <xf borderId="8" fillId="9" fontId="59" numFmtId="170" xfId="0" applyAlignment="1" applyBorder="1" applyFont="1" applyNumberFormat="1">
      <alignment horizontal="center" shrinkToFit="0" wrapText="1"/>
    </xf>
    <xf borderId="14" fillId="9" fontId="59" numFmtId="170" xfId="0" applyAlignment="1" applyBorder="1" applyFont="1" applyNumberFormat="1">
      <alignment horizontal="center" shrinkToFit="0" wrapText="1"/>
    </xf>
    <xf borderId="29" fillId="9" fontId="11" numFmtId="10" xfId="0" applyAlignment="1" applyBorder="1" applyFont="1" applyNumberFormat="1">
      <alignment horizontal="center" vertical="center"/>
    </xf>
    <xf borderId="8" fillId="9" fontId="11" numFmtId="0" xfId="0" applyAlignment="1" applyBorder="1" applyFont="1">
      <alignment horizontal="center" readingOrder="0" vertical="center"/>
    </xf>
    <xf borderId="29" fillId="9" fontId="72" numFmtId="0" xfId="0" applyAlignment="1" applyBorder="1" applyFont="1">
      <alignment readingOrder="0" shrinkToFit="0" vertical="center" wrapText="1"/>
    </xf>
    <xf borderId="0" fillId="4" fontId="1" numFmtId="0" xfId="0" applyFont="1"/>
    <xf borderId="10" fillId="9" fontId="1" numFmtId="0" xfId="0" applyBorder="1" applyFont="1"/>
    <xf borderId="31" fillId="9" fontId="1" numFmtId="0" xfId="0" applyBorder="1" applyFont="1"/>
    <xf borderId="0" fillId="0" fontId="1" numFmtId="0" xfId="0" applyAlignment="1" applyFont="1">
      <alignment readingOrder="0"/>
    </xf>
    <xf borderId="8" fillId="7" fontId="43" numFmtId="10" xfId="0" applyAlignment="1" applyBorder="1" applyFont="1" applyNumberFormat="1">
      <alignment horizontal="center" vertical="bottom"/>
    </xf>
    <xf borderId="8" fillId="7" fontId="69" numFmtId="170" xfId="0" applyAlignment="1" applyBorder="1" applyFont="1" applyNumberFormat="1">
      <alignment horizontal="center" shrinkToFit="0" vertical="bottom" wrapText="1"/>
    </xf>
    <xf borderId="14" fillId="7" fontId="69" numFmtId="170" xfId="0" applyAlignment="1" applyBorder="1" applyFont="1" applyNumberFormat="1">
      <alignment horizontal="center" shrinkToFit="0" vertical="bottom" wrapText="1"/>
    </xf>
    <xf borderId="8" fillId="7" fontId="73" numFmtId="10" xfId="0" applyAlignment="1" applyBorder="1" applyFont="1" applyNumberFormat="1">
      <alignment horizontal="center"/>
    </xf>
    <xf borderId="8" fillId="7" fontId="11" numFmtId="0" xfId="0" applyAlignment="1" applyBorder="1" applyFont="1">
      <alignment horizontal="center" readingOrder="0" vertical="center"/>
    </xf>
    <xf borderId="8" fillId="9" fontId="11" numFmtId="0" xfId="0" applyAlignment="1" applyBorder="1" applyFont="1">
      <alignment horizontal="center" readingOrder="0" shrinkToFit="0" vertical="center" wrapText="1"/>
    </xf>
    <xf borderId="8" fillId="9" fontId="74" numFmtId="0" xfId="0" applyAlignment="1" applyBorder="1" applyFont="1">
      <alignment horizontal="center" readingOrder="0" shrinkToFit="0" vertical="center" wrapText="1"/>
    </xf>
    <xf borderId="8" fillId="7" fontId="44" numFmtId="10" xfId="0" applyAlignment="1" applyBorder="1" applyFont="1" applyNumberFormat="1">
      <alignment horizontal="center" readingOrder="0"/>
    </xf>
    <xf borderId="8" fillId="7" fontId="44" numFmtId="0" xfId="0" applyAlignment="1" applyBorder="1" applyFont="1">
      <alignment readingOrder="0" shrinkToFit="0" wrapText="1"/>
    </xf>
    <xf borderId="29" fillId="7" fontId="43" numFmtId="0" xfId="0" applyAlignment="1" applyBorder="1" applyFont="1">
      <alignment readingOrder="0" shrinkToFit="0" vertical="center" wrapText="1"/>
    </xf>
    <xf borderId="8" fillId="7" fontId="44" numFmtId="0" xfId="0" applyAlignment="1" applyBorder="1" applyFont="1">
      <alignment shrinkToFit="0" wrapText="1"/>
    </xf>
    <xf borderId="32" fillId="7" fontId="1" numFmtId="0" xfId="0" applyBorder="1" applyFont="1"/>
    <xf borderId="33" fillId="7" fontId="1" numFmtId="0" xfId="0" applyBorder="1" applyFont="1"/>
    <xf borderId="6" fillId="21" fontId="46" numFmtId="0" xfId="0" applyBorder="1" applyFont="1"/>
    <xf borderId="5" fillId="21" fontId="59" numFmtId="0" xfId="0" applyAlignment="1" applyBorder="1" applyFont="1">
      <alignment horizontal="right" shrinkToFit="0" wrapText="1"/>
    </xf>
    <xf borderId="5" fillId="21" fontId="59" numFmtId="170" xfId="0" applyAlignment="1" applyBorder="1" applyFont="1" applyNumberFormat="1">
      <alignment horizontal="center" shrinkToFit="0" wrapText="1"/>
    </xf>
    <xf borderId="5" fillId="21" fontId="59" numFmtId="2" xfId="0" applyAlignment="1" applyBorder="1" applyFont="1" applyNumberFormat="1">
      <alignment horizontal="right" shrinkToFit="0" wrapText="1"/>
    </xf>
    <xf borderId="5" fillId="21" fontId="59" numFmtId="170" xfId="0" applyAlignment="1" applyBorder="1" applyFont="1" applyNumberFormat="1">
      <alignment horizontal="center"/>
    </xf>
    <xf borderId="7" fillId="21" fontId="59" numFmtId="170" xfId="0" applyBorder="1" applyFont="1" applyNumberFormat="1"/>
    <xf borderId="0" fillId="0" fontId="44" numFmtId="175" xfId="0" applyAlignment="1" applyFont="1" applyNumberFormat="1">
      <alignment horizontal="center"/>
    </xf>
    <xf borderId="25" fillId="21" fontId="38" numFmtId="0" xfId="0" applyAlignment="1" applyBorder="1" applyFont="1">
      <alignment vertical="center"/>
    </xf>
    <xf borderId="5" fillId="21" fontId="59" numFmtId="170" xfId="0" applyBorder="1" applyFont="1" applyNumberFormat="1"/>
    <xf borderId="7" fillId="21" fontId="43" numFmtId="0" xfId="0" applyAlignment="1" applyBorder="1" applyFont="1">
      <alignment shrinkToFit="0" vertical="center" wrapText="1"/>
    </xf>
    <xf borderId="34" fillId="21" fontId="38" numFmtId="0" xfId="0" applyAlignment="1" applyBorder="1" applyFont="1">
      <alignment vertical="center"/>
    </xf>
    <xf borderId="35" fillId="21" fontId="38" numFmtId="0" xfId="0" applyAlignment="1" applyBorder="1" applyFont="1">
      <alignment vertical="center"/>
    </xf>
    <xf borderId="24" fillId="7" fontId="1" numFmtId="0" xfId="0" applyBorder="1" applyFont="1"/>
    <xf borderId="30" fillId="7" fontId="1" numFmtId="0" xfId="0" applyBorder="1" applyFont="1"/>
    <xf borderId="8" fillId="7" fontId="75" numFmtId="0" xfId="0" applyAlignment="1" applyBorder="1" applyFont="1">
      <alignment horizontal="center" vertical="center"/>
    </xf>
    <xf borderId="0" fillId="0" fontId="68" numFmtId="175" xfId="0" applyAlignment="1" applyFont="1" applyNumberFormat="1">
      <alignment horizontal="center" readingOrder="0"/>
    </xf>
    <xf borderId="25" fillId="21" fontId="59" numFmtId="170" xfId="0" applyAlignment="1" applyBorder="1" applyFont="1" applyNumberFormat="1">
      <alignment horizontal="center" shrinkToFit="0" wrapText="1"/>
    </xf>
    <xf borderId="8" fillId="8" fontId="59" numFmtId="170" xfId="0" applyAlignment="1" applyBorder="1" applyFont="1" applyNumberFormat="1">
      <alignment horizontal="center" readingOrder="0" shrinkToFit="0" wrapText="1"/>
    </xf>
    <xf borderId="8" fillId="8" fontId="44" numFmtId="10" xfId="0" applyAlignment="1" applyBorder="1" applyFont="1" applyNumberFormat="1">
      <alignment horizontal="center"/>
    </xf>
    <xf borderId="8" fillId="8" fontId="59" numFmtId="170" xfId="0" applyAlignment="1" applyBorder="1" applyFont="1" applyNumberFormat="1">
      <alignment horizontal="center" shrinkToFit="0" wrapText="1"/>
    </xf>
    <xf borderId="14" fillId="8" fontId="59" numFmtId="170" xfId="0" applyAlignment="1" applyBorder="1" applyFont="1" applyNumberFormat="1">
      <alignment horizontal="center" shrinkToFit="0" wrapText="1"/>
    </xf>
    <xf borderId="8" fillId="8" fontId="11" numFmtId="10" xfId="0" applyAlignment="1" applyBorder="1" applyFont="1" applyNumberFormat="1">
      <alignment horizontal="center" vertical="center"/>
    </xf>
    <xf borderId="8" fillId="8" fontId="76" numFmtId="0" xfId="0" applyAlignment="1" applyBorder="1" applyFont="1">
      <alignment horizontal="center" readingOrder="0" vertical="center"/>
    </xf>
    <xf borderId="8" fillId="8" fontId="43" numFmtId="0" xfId="0" applyAlignment="1" applyBorder="1" applyFont="1">
      <alignment shrinkToFit="0" vertical="center" wrapText="1"/>
    </xf>
    <xf borderId="24" fillId="8" fontId="1" numFmtId="0" xfId="0" applyBorder="1" applyFont="1"/>
    <xf borderId="30" fillId="8" fontId="1" numFmtId="0" xfId="0" applyBorder="1" applyFont="1"/>
    <xf borderId="8" fillId="8" fontId="11" numFmtId="0" xfId="0" applyAlignment="1" applyBorder="1" applyFont="1">
      <alignment horizontal="center" readingOrder="0" vertical="center"/>
    </xf>
    <xf borderId="29" fillId="8" fontId="43" numFmtId="0" xfId="0" applyAlignment="1" applyBorder="1" applyFont="1">
      <alignment shrinkToFit="0" vertical="center" wrapText="1"/>
    </xf>
    <xf borderId="10" fillId="8" fontId="1" numFmtId="0" xfId="0" applyBorder="1" applyFont="1"/>
    <xf borderId="31" fillId="8" fontId="1" numFmtId="0" xfId="0" applyBorder="1" applyFont="1"/>
    <xf borderId="8" fillId="8" fontId="11" numFmtId="0" xfId="0" applyAlignment="1" applyBorder="1" applyFont="1">
      <alignment horizontal="center" vertical="center"/>
    </xf>
    <xf borderId="8" fillId="8" fontId="44" numFmtId="0" xfId="0" applyAlignment="1" applyBorder="1" applyFont="1">
      <alignment shrinkToFit="0" wrapText="1"/>
    </xf>
    <xf borderId="8" fillId="7" fontId="77" numFmtId="0" xfId="0" applyAlignment="1" applyBorder="1" applyFont="1">
      <alignment readingOrder="0" shrinkToFit="0" wrapText="1"/>
    </xf>
    <xf borderId="8" fillId="7" fontId="43" numFmtId="0" xfId="0" applyAlignment="1" applyBorder="1" applyFont="1">
      <alignment shrinkToFit="0" vertical="center" wrapText="1"/>
    </xf>
    <xf borderId="29" fillId="8" fontId="43" numFmtId="0" xfId="0" applyAlignment="1" applyBorder="1" applyFont="1">
      <alignment readingOrder="0" shrinkToFit="0" vertical="center" wrapText="1"/>
    </xf>
    <xf borderId="32" fillId="7" fontId="38" numFmtId="0" xfId="0" applyAlignment="1" applyBorder="1" applyFont="1">
      <alignment vertical="center"/>
    </xf>
    <xf borderId="33" fillId="7" fontId="38" numFmtId="0" xfId="0" applyAlignment="1" applyBorder="1" applyFont="1">
      <alignment vertical="center"/>
    </xf>
    <xf borderId="8" fillId="0" fontId="41" numFmtId="166" xfId="0" applyAlignment="1" applyBorder="1" applyFont="1" applyNumberFormat="1">
      <alignment horizontal="left" shrinkToFit="0" vertical="center" wrapText="1"/>
    </xf>
    <xf borderId="5" fillId="20" fontId="59" numFmtId="0" xfId="0" applyAlignment="1" applyBorder="1" applyFont="1">
      <alignment horizontal="center" vertical="center"/>
    </xf>
    <xf borderId="8" fillId="7" fontId="11" numFmtId="0" xfId="0" applyAlignment="1" applyBorder="1" applyFont="1">
      <alignment horizontal="center" vertical="center"/>
    </xf>
    <xf borderId="8" fillId="6" fontId="59" numFmtId="0" xfId="0" applyAlignment="1" applyBorder="1" applyFont="1">
      <alignment horizontal="center" shrinkToFit="0" vertical="center" wrapText="1"/>
    </xf>
    <xf borderId="8" fillId="10" fontId="59" numFmtId="170" xfId="0" applyAlignment="1" applyBorder="1" applyFont="1" applyNumberFormat="1">
      <alignment horizontal="center" shrinkToFit="0" vertical="center" wrapText="1"/>
    </xf>
    <xf borderId="8" fillId="9" fontId="44" numFmtId="10" xfId="0" applyAlignment="1" applyBorder="1" applyFont="1" applyNumberFormat="1">
      <alignment horizontal="center"/>
    </xf>
    <xf borderId="8" fillId="9" fontId="11" numFmtId="10" xfId="0" applyAlignment="1" applyBorder="1" applyFont="1" applyNumberFormat="1">
      <alignment horizontal="center" vertical="center"/>
    </xf>
    <xf borderId="8" fillId="9" fontId="78" numFmtId="0" xfId="0" applyAlignment="1" applyBorder="1" applyFont="1">
      <alignment horizontal="center" vertical="center"/>
    </xf>
    <xf borderId="8" fillId="9" fontId="43" numFmtId="0" xfId="0" applyAlignment="1" applyBorder="1" applyFont="1">
      <alignment shrinkToFit="0" vertical="center" wrapText="1"/>
    </xf>
    <xf borderId="10" fillId="9" fontId="38" numFmtId="0" xfId="0" applyAlignment="1" applyBorder="1" applyFont="1">
      <alignment vertical="center"/>
    </xf>
    <xf borderId="31" fillId="9" fontId="38" numFmtId="0" xfId="0" applyAlignment="1" applyBorder="1" applyFont="1">
      <alignment vertical="center"/>
    </xf>
    <xf borderId="8" fillId="7" fontId="44" numFmtId="170" xfId="0" applyAlignment="1" applyBorder="1" applyFont="1" applyNumberFormat="1">
      <alignment horizontal="center" readingOrder="0"/>
    </xf>
    <xf borderId="8" fillId="7" fontId="44" numFmtId="170" xfId="0" applyAlignment="1" applyBorder="1" applyFont="1" applyNumberFormat="1">
      <alignment horizontal="center"/>
    </xf>
    <xf borderId="8" fillId="7" fontId="79" numFmtId="0" xfId="0" applyAlignment="1" applyBorder="1" applyFont="1">
      <alignment shrinkToFit="0" vertical="center" wrapText="1"/>
    </xf>
    <xf borderId="8" fillId="21" fontId="46" numFmtId="0" xfId="0" applyBorder="1" applyFont="1"/>
    <xf borderId="36" fillId="21" fontId="59" numFmtId="170" xfId="0" applyAlignment="1" applyBorder="1" applyFont="1" applyNumberFormat="1">
      <alignment horizontal="center" shrinkToFit="0" wrapText="1"/>
    </xf>
    <xf borderId="37" fillId="0" fontId="8" numFmtId="0" xfId="0" applyBorder="1" applyFont="1"/>
    <xf borderId="38" fillId="0" fontId="8" numFmtId="0" xfId="0" applyBorder="1" applyFont="1"/>
    <xf borderId="6" fillId="21" fontId="59" numFmtId="170" xfId="0" applyAlignment="1" applyBorder="1" applyFont="1" applyNumberFormat="1">
      <alignment horizontal="center" shrinkToFit="0" wrapText="1"/>
    </xf>
    <xf borderId="18" fillId="21" fontId="59" numFmtId="170" xfId="0" applyBorder="1" applyFont="1" applyNumberFormat="1"/>
    <xf borderId="6" fillId="21" fontId="11" numFmtId="10" xfId="0" applyAlignment="1" applyBorder="1" applyFont="1" applyNumberFormat="1">
      <alignment horizontal="center" vertical="center"/>
    </xf>
    <xf borderId="5" fillId="21" fontId="11" numFmtId="0" xfId="0" applyAlignment="1" applyBorder="1" applyFont="1">
      <alignment horizontal="center" vertical="center"/>
    </xf>
    <xf borderId="7" fillId="21" fontId="44" numFmtId="0" xfId="0" applyAlignment="1" applyBorder="1" applyFont="1">
      <alignment shrinkToFit="0" wrapText="1"/>
    </xf>
    <xf borderId="34" fillId="21" fontId="1" numFmtId="0" xfId="0" applyBorder="1" applyFont="1"/>
    <xf borderId="35" fillId="21" fontId="1" numFmtId="0" xfId="0" applyBorder="1" applyFont="1"/>
    <xf borderId="8" fillId="9" fontId="11" numFmtId="0" xfId="0" applyAlignment="1" applyBorder="1" applyFont="1">
      <alignment horizontal="center" vertical="center"/>
    </xf>
    <xf borderId="8" fillId="9" fontId="44" numFmtId="0" xfId="0" applyAlignment="1" applyBorder="1" applyFont="1">
      <alignment shrinkToFit="0" wrapText="1"/>
    </xf>
    <xf borderId="24" fillId="9" fontId="1" numFmtId="0" xfId="0" applyBorder="1" applyFont="1"/>
    <xf borderId="30" fillId="9" fontId="1" numFmtId="0" xfId="0" applyBorder="1" applyFont="1"/>
    <xf borderId="8" fillId="7" fontId="80" numFmtId="0" xfId="0" applyAlignment="1" applyBorder="1" applyFont="1">
      <alignment readingOrder="0"/>
    </xf>
    <xf borderId="8" fillId="9" fontId="44" numFmtId="0" xfId="0" applyAlignment="1" applyBorder="1" applyFont="1">
      <alignment readingOrder="0" shrinkToFit="0" wrapText="1"/>
    </xf>
    <xf borderId="8" fillId="9" fontId="81" numFmtId="0" xfId="0" applyAlignment="1" applyBorder="1" applyFont="1">
      <alignment horizontal="center" readingOrder="0" vertical="center"/>
    </xf>
    <xf borderId="8" fillId="7" fontId="82" numFmtId="0" xfId="0" applyAlignment="1" applyBorder="1" applyFont="1">
      <alignment horizontal="center" readingOrder="0" vertical="center"/>
    </xf>
    <xf borderId="14" fillId="21" fontId="59" numFmtId="170" xfId="0" applyAlignment="1" applyBorder="1" applyFont="1" applyNumberFormat="1">
      <alignment horizontal="center" shrinkToFit="0" wrapText="1"/>
    </xf>
    <xf borderId="8" fillId="7" fontId="11" numFmtId="0" xfId="0" applyAlignment="1" applyBorder="1" applyFont="1">
      <alignment horizontal="center" shrinkToFit="0" vertical="center" wrapText="1"/>
    </xf>
    <xf borderId="8" fillId="7" fontId="83" numFmtId="0" xfId="0" applyAlignment="1" applyBorder="1" applyFont="1">
      <alignment horizontal="center" shrinkToFit="0" vertical="center" wrapText="1"/>
    </xf>
    <xf borderId="8" fillId="9" fontId="59" numFmtId="170" xfId="0" applyAlignment="1" applyBorder="1" applyFont="1" applyNumberFormat="1">
      <alignment horizontal="center" readingOrder="0" shrinkToFit="0" wrapText="1"/>
    </xf>
    <xf borderId="8" fillId="9" fontId="84" numFmtId="0" xfId="0" applyAlignment="1" applyBorder="1" applyFont="1">
      <alignment horizontal="center" shrinkToFit="0" vertical="center" wrapText="1"/>
    </xf>
    <xf borderId="8" fillId="9" fontId="85" numFmtId="0" xfId="0" applyAlignment="1" applyBorder="1" applyFont="1">
      <alignment readingOrder="0" shrinkToFit="0" wrapText="1"/>
    </xf>
    <xf borderId="8" fillId="8" fontId="86" numFmtId="0" xfId="0" applyAlignment="1" applyBorder="1" applyFont="1">
      <alignment horizontal="center" shrinkToFit="0" vertical="center" wrapText="1"/>
    </xf>
    <xf borderId="8" fillId="8" fontId="44" numFmtId="0" xfId="0" applyAlignment="1" applyBorder="1" applyFont="1">
      <alignment readingOrder="0" shrinkToFit="0" wrapText="1"/>
    </xf>
    <xf borderId="32" fillId="9" fontId="1" numFmtId="0" xfId="0" applyBorder="1" applyFont="1"/>
    <xf borderId="33" fillId="9" fontId="1" numFmtId="0" xfId="0" applyBorder="1" applyFont="1"/>
    <xf borderId="25" fillId="21" fontId="59" numFmtId="2" xfId="0" applyAlignment="1" applyBorder="1" applyFont="1" applyNumberFormat="1">
      <alignment horizontal="right" shrinkToFit="0" wrapText="1"/>
    </xf>
    <xf borderId="0" fillId="0" fontId="44" numFmtId="10" xfId="0" applyAlignment="1" applyFont="1" applyNumberFormat="1">
      <alignment horizontal="center"/>
    </xf>
    <xf borderId="24" fillId="9" fontId="38" numFmtId="0" xfId="0" applyAlignment="1" applyBorder="1" applyFont="1">
      <alignment vertical="center"/>
    </xf>
    <xf borderId="30" fillId="9" fontId="38" numFmtId="0" xfId="0" applyAlignment="1" applyBorder="1" applyFont="1">
      <alignment vertical="center"/>
    </xf>
    <xf borderId="8" fillId="9" fontId="11" numFmtId="10" xfId="0" applyAlignment="1" applyBorder="1" applyFont="1" applyNumberFormat="1">
      <alignment horizontal="center" shrinkToFit="0" vertical="center" wrapText="1"/>
    </xf>
    <xf borderId="8" fillId="9" fontId="43" numFmtId="0" xfId="0" applyAlignment="1" applyBorder="1" applyFont="1">
      <alignment readingOrder="0" shrinkToFit="0" vertical="center" wrapText="1"/>
    </xf>
    <xf borderId="8" fillId="0" fontId="41" numFmtId="0" xfId="0" applyAlignment="1" applyBorder="1" applyFont="1">
      <alignment horizontal="left" readingOrder="0" shrinkToFit="0" vertical="center" wrapText="1"/>
    </xf>
    <xf borderId="22" fillId="9" fontId="59" numFmtId="170" xfId="0" applyAlignment="1" applyBorder="1" applyFont="1" applyNumberFormat="1">
      <alignment horizontal="center" shrinkToFit="0" wrapText="1"/>
    </xf>
    <xf borderId="22" fillId="9" fontId="44" numFmtId="10" xfId="0" applyAlignment="1" applyBorder="1" applyFont="1" applyNumberFormat="1">
      <alignment horizontal="center"/>
    </xf>
    <xf borderId="24" fillId="9" fontId="59" numFmtId="170" xfId="0" applyAlignment="1" applyBorder="1" applyFont="1" applyNumberFormat="1">
      <alignment horizontal="center" shrinkToFit="0" wrapText="1"/>
    </xf>
    <xf borderId="23" fillId="9" fontId="11" numFmtId="10" xfId="0" applyAlignment="1" applyBorder="1" applyFont="1" applyNumberFormat="1">
      <alignment horizontal="center" vertical="center"/>
    </xf>
    <xf borderId="23" fillId="9" fontId="44" numFmtId="0" xfId="0" applyAlignment="1" applyBorder="1" applyFont="1">
      <alignment readingOrder="0" shrinkToFit="0" wrapText="1"/>
    </xf>
    <xf borderId="25" fillId="21" fontId="59" numFmtId="0" xfId="0" applyAlignment="1" applyBorder="1" applyFont="1">
      <alignment horizontal="right" shrinkToFit="0" wrapText="1"/>
    </xf>
    <xf borderId="14" fillId="21" fontId="59" numFmtId="170" xfId="0" applyBorder="1" applyFont="1" applyNumberFormat="1"/>
    <xf borderId="28" fillId="21" fontId="44" numFmtId="0" xfId="0" applyAlignment="1" applyBorder="1" applyFont="1">
      <alignment shrinkToFit="0" wrapText="1"/>
    </xf>
    <xf borderId="10" fillId="21" fontId="1" numFmtId="0" xfId="0" applyBorder="1" applyFont="1"/>
    <xf borderId="31" fillId="0" fontId="8" numFmtId="0" xfId="0" applyBorder="1" applyFont="1"/>
    <xf borderId="8" fillId="0" fontId="41" numFmtId="0" xfId="0" applyAlignment="1" applyBorder="1" applyFont="1">
      <alignment shrinkToFit="0" wrapText="1"/>
    </xf>
    <xf borderId="8" fillId="8" fontId="87" numFmtId="0" xfId="0" applyAlignment="1" applyBorder="1" applyFont="1">
      <alignment horizontal="center" readingOrder="0" vertical="center"/>
    </xf>
    <xf borderId="8" fillId="8" fontId="88" numFmtId="0" xfId="0" applyAlignment="1" applyBorder="1" applyFont="1">
      <alignment readingOrder="0" shrinkToFit="0" wrapText="1"/>
    </xf>
    <xf borderId="8" fillId="9" fontId="69" numFmtId="170" xfId="0" applyAlignment="1" applyBorder="1" applyFont="1" applyNumberFormat="1">
      <alignment horizontal="center" shrinkToFit="0" vertical="bottom" wrapText="1"/>
    </xf>
    <xf borderId="14" fillId="9" fontId="69" numFmtId="170" xfId="0" applyAlignment="1" applyBorder="1" applyFont="1" applyNumberFormat="1">
      <alignment horizontal="center" shrinkToFit="0" vertical="bottom" wrapText="1"/>
    </xf>
    <xf borderId="8" fillId="8" fontId="59" numFmtId="10" xfId="0" applyAlignment="1" applyBorder="1" applyFont="1" applyNumberFormat="1">
      <alignment horizontal="center" shrinkToFit="0" wrapText="1"/>
    </xf>
    <xf borderId="8" fillId="7" fontId="89" numFmtId="10" xfId="0" applyAlignment="1" applyBorder="1" applyFont="1" applyNumberFormat="1">
      <alignment horizontal="center" vertical="center"/>
    </xf>
    <xf borderId="8" fillId="7" fontId="90" numFmtId="0" xfId="0" applyAlignment="1" applyBorder="1" applyFont="1">
      <alignment horizontal="center" readingOrder="0"/>
    </xf>
    <xf borderId="8" fillId="7" fontId="91" numFmtId="0" xfId="0" applyAlignment="1" applyBorder="1" applyFont="1">
      <alignment horizontal="center" readingOrder="0"/>
    </xf>
    <xf borderId="8" fillId="7" fontId="92" numFmtId="0" xfId="0" applyAlignment="1" applyBorder="1" applyFont="1">
      <alignment horizontal="center" readingOrder="0"/>
    </xf>
    <xf borderId="8" fillId="7" fontId="93" numFmtId="0" xfId="0" applyAlignment="1" applyBorder="1" applyFont="1">
      <alignment horizontal="center" readingOrder="0"/>
    </xf>
    <xf borderId="0" fillId="7" fontId="94" numFmtId="0" xfId="0" applyAlignment="1" applyFont="1">
      <alignment readingOrder="0" shrinkToFit="0" wrapText="1"/>
    </xf>
    <xf borderId="8" fillId="7" fontId="95" numFmtId="0" xfId="0" applyAlignment="1" applyBorder="1" applyFont="1">
      <alignment horizontal="center" readingOrder="0"/>
    </xf>
    <xf borderId="8" fillId="9" fontId="48" numFmtId="0" xfId="0" applyAlignment="1" applyBorder="1" applyFont="1">
      <alignment horizontal="center"/>
    </xf>
    <xf borderId="10" fillId="23" fontId="1" numFmtId="0" xfId="0" applyBorder="1" applyFill="1" applyFont="1"/>
    <xf borderId="8" fillId="7" fontId="96" numFmtId="0" xfId="0" applyAlignment="1" applyBorder="1" applyFont="1">
      <alignment horizontal="center"/>
    </xf>
    <xf borderId="8" fillId="7" fontId="97" numFmtId="10" xfId="0" applyAlignment="1" applyBorder="1" applyFont="1" applyNumberFormat="1">
      <alignment horizontal="center" vertical="bottom"/>
    </xf>
    <xf borderId="8" fillId="7" fontId="98" numFmtId="0" xfId="0" applyAlignment="1" applyBorder="1" applyFont="1">
      <alignment horizontal="center" vertical="bottom"/>
    </xf>
    <xf borderId="8" fillId="7" fontId="99" numFmtId="0" xfId="0" applyAlignment="1" applyBorder="1" applyFont="1">
      <alignment horizontal="center" readingOrder="0" vertical="bottom"/>
    </xf>
    <xf borderId="8" fillId="7" fontId="100" numFmtId="0" xfId="0" applyAlignment="1" applyBorder="1" applyFont="1">
      <alignment horizontal="center" readingOrder="0"/>
    </xf>
    <xf borderId="6" fillId="10" fontId="101" numFmtId="0" xfId="0" applyBorder="1" applyFont="1"/>
    <xf borderId="7" fillId="10" fontId="59" numFmtId="170" xfId="0" applyBorder="1" applyFont="1" applyNumberFormat="1"/>
    <xf borderId="6" fillId="10" fontId="59" numFmtId="0" xfId="0" applyAlignment="1" applyBorder="1" applyFont="1">
      <alignment horizontal="right" shrinkToFit="0" wrapText="1"/>
    </xf>
    <xf borderId="5" fillId="10" fontId="38" numFmtId="10" xfId="0" applyAlignment="1" applyBorder="1" applyFont="1" applyNumberFormat="1">
      <alignment vertical="center"/>
    </xf>
    <xf borderId="5" fillId="10" fontId="38" numFmtId="0" xfId="0" applyAlignment="1" applyBorder="1" applyFont="1">
      <alignment vertical="center"/>
    </xf>
    <xf borderId="7" fillId="10" fontId="38" numFmtId="0" xfId="0" applyAlignment="1" applyBorder="1" applyFont="1">
      <alignment vertical="center"/>
    </xf>
    <xf borderId="6" fillId="10" fontId="38" numFmtId="0" xfId="0" applyAlignment="1" applyBorder="1" applyFont="1">
      <alignment vertical="center"/>
    </xf>
    <xf borderId="7" fillId="10" fontId="43" numFmtId="0" xfId="0" applyAlignment="1" applyBorder="1" applyFont="1">
      <alignment shrinkToFit="0" vertical="center" wrapText="1"/>
    </xf>
    <xf borderId="14" fillId="10" fontId="43" numFmtId="0" xfId="0" applyAlignment="1" applyBorder="1" applyFont="1">
      <alignment shrinkToFit="0" vertical="center" wrapText="1"/>
    </xf>
    <xf borderId="16" fillId="10" fontId="43" numFmtId="0" xfId="0" applyAlignment="1" applyBorder="1" applyFont="1">
      <alignment shrinkToFit="0" vertical="center" wrapText="1"/>
    </xf>
    <xf borderId="15" fillId="21" fontId="46" numFmtId="0" xfId="0" applyAlignment="1" applyBorder="1" applyFont="1">
      <alignment horizontal="left" shrinkToFit="0" wrapText="1"/>
    </xf>
    <xf borderId="15" fillId="21" fontId="55" numFmtId="0" xfId="0" applyAlignment="1" applyBorder="1" applyFont="1">
      <alignment horizontal="left" shrinkToFit="0" wrapText="1"/>
    </xf>
    <xf borderId="15" fillId="21" fontId="59" numFmtId="170" xfId="0" applyAlignment="1" applyBorder="1" applyFont="1" applyNumberFormat="1">
      <alignment horizontal="center" shrinkToFit="0" wrapText="1"/>
    </xf>
    <xf borderId="39" fillId="21" fontId="59" numFmtId="2" xfId="0" applyAlignment="1" applyBorder="1" applyFont="1" applyNumberFormat="1">
      <alignment horizontal="right" shrinkToFit="0" wrapText="1"/>
    </xf>
    <xf borderId="8" fillId="0" fontId="26" numFmtId="0" xfId="0" applyAlignment="1" applyBorder="1" applyFont="1">
      <alignment horizontal="center" vertical="center"/>
    </xf>
    <xf borderId="8" fillId="20" fontId="59" numFmtId="170" xfId="0" applyAlignment="1" applyBorder="1" applyFont="1" applyNumberFormat="1">
      <alignment horizontal="center" shrinkToFit="0" vertical="center" wrapText="1"/>
    </xf>
    <xf borderId="8" fillId="7" fontId="59" numFmtId="170" xfId="0" applyAlignment="1" applyBorder="1" applyFont="1" applyNumberFormat="1">
      <alignment horizontal="center" shrinkToFit="0" vertical="center" wrapText="1"/>
    </xf>
    <xf borderId="8" fillId="7" fontId="44" numFmtId="10" xfId="0" applyAlignment="1" applyBorder="1" applyFont="1" applyNumberFormat="1">
      <alignment horizontal="center" vertical="center"/>
    </xf>
    <xf borderId="8" fillId="7" fontId="38" numFmtId="0" xfId="0" applyAlignment="1" applyBorder="1" applyFont="1">
      <alignment vertical="center"/>
    </xf>
    <xf borderId="8" fillId="7" fontId="59" numFmtId="170" xfId="0" applyAlignment="1" applyBorder="1" applyFont="1" applyNumberFormat="1">
      <alignment horizontal="center" readingOrder="0" shrinkToFit="0" vertical="center" wrapText="1"/>
    </xf>
    <xf borderId="26" fillId="7" fontId="38" numFmtId="0" xfId="0" applyAlignment="1" applyBorder="1" applyFont="1">
      <alignment vertical="center"/>
    </xf>
    <xf borderId="7" fillId="7" fontId="43" numFmtId="0" xfId="0" applyAlignment="1" applyBorder="1" applyFont="1">
      <alignment readingOrder="0" shrinkToFit="0" vertical="center" wrapText="1"/>
    </xf>
    <xf borderId="6" fillId="7" fontId="59" numFmtId="170" xfId="0" applyAlignment="1" applyBorder="1" applyFont="1" applyNumberFormat="1">
      <alignment horizontal="center" readingOrder="0" shrinkToFit="0" vertical="center" wrapText="1"/>
    </xf>
    <xf borderId="5" fillId="7" fontId="38" numFmtId="0" xfId="0" applyAlignment="1" applyBorder="1" applyFont="1">
      <alignment vertical="center"/>
    </xf>
    <xf borderId="5" fillId="7" fontId="44" numFmtId="10" xfId="0" applyAlignment="1" applyBorder="1" applyFont="1" applyNumberFormat="1">
      <alignment horizontal="center" vertical="center"/>
    </xf>
    <xf borderId="5" fillId="7" fontId="59" numFmtId="170" xfId="0" applyAlignment="1" applyBorder="1" applyFont="1" applyNumberFormat="1">
      <alignment horizontal="center" shrinkToFit="0" vertical="center" wrapText="1"/>
    </xf>
    <xf borderId="7" fillId="7" fontId="59" numFmtId="170" xfId="0" applyAlignment="1" applyBorder="1" applyFont="1" applyNumberFormat="1">
      <alignment horizontal="center" shrinkToFit="0" vertical="center" wrapText="1"/>
    </xf>
    <xf borderId="6" fillId="7" fontId="11" numFmtId="10" xfId="0" applyAlignment="1" applyBorder="1" applyFont="1" applyNumberFormat="1">
      <alignment horizontal="center" vertical="center"/>
    </xf>
    <xf borderId="6" fillId="7" fontId="59" numFmtId="170" xfId="0" applyAlignment="1" applyBorder="1" applyFont="1" applyNumberFormat="1">
      <alignment horizontal="center" shrinkToFit="0" vertical="center" wrapText="1"/>
    </xf>
    <xf borderId="7" fillId="7" fontId="43" numFmtId="0" xfId="0" applyAlignment="1" applyBorder="1" applyFont="1">
      <alignment shrinkToFit="0" vertical="center" wrapText="1"/>
    </xf>
    <xf borderId="39" fillId="21" fontId="59" numFmtId="170" xfId="0" applyAlignment="1" applyBorder="1" applyFont="1" applyNumberFormat="1">
      <alignment horizontal="center" shrinkToFit="0" wrapText="1"/>
    </xf>
    <xf borderId="8" fillId="7" fontId="43" numFmtId="0" xfId="0" applyAlignment="1" applyBorder="1" applyFont="1">
      <alignment readingOrder="0" shrinkToFit="0" vertical="center" wrapText="1"/>
    </xf>
    <xf borderId="40" fillId="0" fontId="41" numFmtId="0" xfId="0" applyAlignment="1" applyBorder="1" applyFont="1">
      <alignment horizontal="left" shrinkToFit="0" vertical="center" wrapText="1"/>
    </xf>
    <xf borderId="7" fillId="20" fontId="59" numFmtId="170" xfId="0" applyAlignment="1" applyBorder="1" applyFont="1" applyNumberFormat="1">
      <alignment horizontal="center" shrinkToFit="0" vertical="center" wrapText="1"/>
    </xf>
    <xf borderId="23" fillId="7" fontId="59" numFmtId="170" xfId="0" applyAlignment="1" applyBorder="1" applyFont="1" applyNumberFormat="1">
      <alignment horizontal="center" readingOrder="0" shrinkToFit="0" wrapText="1"/>
    </xf>
    <xf borderId="19" fillId="21" fontId="41" numFmtId="0" xfId="0" applyAlignment="1" applyBorder="1" applyFont="1">
      <alignment horizontal="right" shrinkToFit="0" wrapText="1"/>
    </xf>
    <xf borderId="41" fillId="21" fontId="59" numFmtId="170" xfId="0" applyAlignment="1" applyBorder="1" applyFont="1" applyNumberFormat="1">
      <alignment horizontal="center" shrinkToFit="0" wrapText="1"/>
    </xf>
    <xf borderId="42" fillId="0" fontId="8" numFmtId="0" xfId="0" applyBorder="1" applyFont="1"/>
    <xf borderId="43" fillId="0" fontId="8" numFmtId="0" xfId="0" applyBorder="1" applyFont="1"/>
    <xf borderId="8" fillId="7" fontId="102" numFmtId="0" xfId="0" applyAlignment="1" applyBorder="1" applyFont="1">
      <alignment readingOrder="0" shrinkToFit="0" vertical="center" wrapText="1"/>
    </xf>
    <xf borderId="8" fillId="4" fontId="41" numFmtId="0" xfId="0" applyAlignment="1" applyBorder="1" applyFont="1">
      <alignment shrinkToFit="0" wrapText="1"/>
    </xf>
    <xf borderId="9" fillId="0" fontId="41" numFmtId="0" xfId="0" applyAlignment="1" applyBorder="1" applyFont="1">
      <alignment horizontal="left" shrinkToFit="0" vertical="center" wrapText="1"/>
    </xf>
    <xf borderId="12" fillId="8" fontId="59" numFmtId="170" xfId="0" applyAlignment="1" applyBorder="1" applyFont="1" applyNumberFormat="1">
      <alignment horizontal="center" shrinkToFit="0" wrapText="1"/>
    </xf>
    <xf borderId="8" fillId="8" fontId="43" numFmtId="0" xfId="0" applyAlignment="1" applyBorder="1" applyFont="1">
      <alignment readingOrder="0" shrinkToFit="0" vertical="center" wrapText="1"/>
    </xf>
    <xf borderId="10" fillId="8" fontId="38" numFmtId="0" xfId="0" applyAlignment="1" applyBorder="1" applyFont="1">
      <alignment vertical="center"/>
    </xf>
    <xf borderId="31" fillId="8" fontId="38" numFmtId="0" xfId="0" applyAlignment="1" applyBorder="1" applyFont="1">
      <alignment vertical="center"/>
    </xf>
    <xf borderId="12" fillId="8" fontId="59" numFmtId="170" xfId="0" applyAlignment="1" applyBorder="1" applyFont="1" applyNumberFormat="1">
      <alignment horizontal="center" readingOrder="0" shrinkToFit="0" wrapText="1"/>
    </xf>
    <xf borderId="12" fillId="7" fontId="59" numFmtId="170" xfId="0" applyAlignment="1" applyBorder="1" applyFont="1" applyNumberFormat="1">
      <alignment horizontal="center" readingOrder="0" shrinkToFit="0" wrapText="1"/>
    </xf>
    <xf borderId="5" fillId="7" fontId="11" numFmtId="10" xfId="0" applyAlignment="1" applyBorder="1" applyFont="1" applyNumberFormat="1">
      <alignment horizontal="center" vertical="center"/>
    </xf>
    <xf borderId="8" fillId="0" fontId="41" numFmtId="0" xfId="0" applyAlignment="1" applyBorder="1" applyFont="1">
      <alignment shrinkToFit="0" vertical="center" wrapText="1"/>
    </xf>
    <xf borderId="6" fillId="9" fontId="59" numFmtId="170" xfId="0" applyAlignment="1" applyBorder="1" applyFont="1" applyNumberFormat="1">
      <alignment horizontal="center" readingOrder="0" shrinkToFit="0" wrapText="1"/>
    </xf>
    <xf borderId="5" fillId="9" fontId="11" numFmtId="0" xfId="0" applyAlignment="1" applyBorder="1" applyFont="1">
      <alignment horizontal="center" readingOrder="0" shrinkToFit="0" vertical="center" wrapText="1"/>
    </xf>
    <xf borderId="7" fillId="9" fontId="44" numFmtId="0" xfId="0" applyAlignment="1" applyBorder="1" applyFont="1">
      <alignment readingOrder="0" shrinkToFit="0" wrapText="1"/>
    </xf>
    <xf borderId="6" fillId="21" fontId="59" numFmtId="170" xfId="0" applyBorder="1" applyFont="1" applyNumberFormat="1"/>
    <xf borderId="23" fillId="8" fontId="11" numFmtId="10" xfId="0" applyAlignment="1" applyBorder="1" applyFont="1" applyNumberFormat="1">
      <alignment horizontal="center" vertical="center"/>
    </xf>
    <xf borderId="23" fillId="8" fontId="44" numFmtId="0" xfId="0" applyAlignment="1" applyBorder="1" applyFont="1">
      <alignment readingOrder="0" shrinkToFit="0" wrapText="1"/>
    </xf>
    <xf borderId="32" fillId="8" fontId="1" numFmtId="0" xfId="0" applyBorder="1" applyFont="1"/>
    <xf borderId="33" fillId="8" fontId="1" numFmtId="0" xfId="0" applyBorder="1" applyFont="1"/>
    <xf borderId="29" fillId="7" fontId="44" numFmtId="0" xfId="0" applyAlignment="1" applyBorder="1" applyFont="1">
      <alignment readingOrder="0" shrinkToFit="0" wrapText="1"/>
    </xf>
    <xf borderId="29" fillId="7" fontId="59" numFmtId="170" xfId="0" applyAlignment="1" applyBorder="1" applyFont="1" applyNumberFormat="1">
      <alignment horizontal="center" readingOrder="0" shrinkToFit="0" wrapText="1"/>
    </xf>
    <xf borderId="29" fillId="8" fontId="44" numFmtId="0" xfId="0" applyAlignment="1" applyBorder="1" applyFont="1">
      <alignment readingOrder="0" shrinkToFit="0" wrapText="1"/>
    </xf>
    <xf borderId="6" fillId="8" fontId="59" numFmtId="170" xfId="0" applyAlignment="1" applyBorder="1" applyFont="1" applyNumberFormat="1">
      <alignment horizontal="center" readingOrder="0" shrinkToFit="0" wrapText="1"/>
    </xf>
    <xf borderId="5" fillId="8" fontId="11" numFmtId="10" xfId="0" applyAlignment="1" applyBorder="1" applyFont="1" applyNumberFormat="1">
      <alignment horizontal="center" vertical="center"/>
    </xf>
    <xf borderId="21" fillId="8" fontId="44" numFmtId="0" xfId="0" applyAlignment="1" applyBorder="1" applyFont="1">
      <alignment readingOrder="0" shrinkToFit="0" wrapText="1"/>
    </xf>
    <xf borderId="16" fillId="8" fontId="11" numFmtId="10" xfId="0" applyAlignment="1" applyBorder="1" applyFont="1" applyNumberFormat="1">
      <alignment horizontal="center" vertical="center"/>
    </xf>
    <xf borderId="9" fillId="8" fontId="11" numFmtId="10" xfId="0" applyAlignment="1" applyBorder="1" applyFont="1" applyNumberFormat="1">
      <alignment horizontal="center" vertical="center"/>
    </xf>
    <xf borderId="16" fillId="8" fontId="44" numFmtId="0" xfId="0" applyAlignment="1" applyBorder="1" applyFont="1">
      <alignment readingOrder="0" shrinkToFit="0" wrapText="1"/>
    </xf>
    <xf borderId="0" fillId="8" fontId="94" numFmtId="0" xfId="0" applyAlignment="1" applyFont="1">
      <alignment readingOrder="0"/>
    </xf>
    <xf borderId="0" fillId="8" fontId="43" numFmtId="0" xfId="0" applyAlignment="1" applyFont="1">
      <alignment readingOrder="0" shrinkToFit="0" wrapText="1"/>
    </xf>
    <xf borderId="16" fillId="21" fontId="44" numFmtId="0" xfId="0" applyAlignment="1" applyBorder="1" applyFont="1">
      <alignment shrinkToFit="0" wrapText="1"/>
    </xf>
    <xf borderId="44" fillId="8" fontId="48" numFmtId="0" xfId="0" applyAlignment="1" applyBorder="1" applyFont="1">
      <alignment readingOrder="0" shrinkToFit="0" vertical="top" wrapText="1"/>
    </xf>
    <xf borderId="6" fillId="8" fontId="59" numFmtId="170" xfId="0" applyAlignment="1" applyBorder="1" applyFont="1" applyNumberFormat="1">
      <alignment horizontal="center" readingOrder="0" vertical="center"/>
    </xf>
    <xf borderId="7" fillId="8" fontId="43" numFmtId="0" xfId="0" applyAlignment="1" applyBorder="1" applyFont="1">
      <alignment readingOrder="0" shrinkToFit="0" vertical="center" wrapText="1"/>
    </xf>
    <xf borderId="30" fillId="8" fontId="38" numFmtId="0" xfId="0" applyAlignment="1" applyBorder="1" applyFont="1">
      <alignment vertical="center"/>
    </xf>
    <xf borderId="8" fillId="8" fontId="59" numFmtId="170" xfId="0" applyAlignment="1" applyBorder="1" applyFont="1" applyNumberFormat="1">
      <alignment horizontal="center" readingOrder="0" vertical="center"/>
    </xf>
    <xf borderId="33" fillId="8" fontId="38" numFmtId="0" xfId="0" applyAlignment="1" applyBorder="1" applyFont="1">
      <alignment vertical="center"/>
    </xf>
    <xf borderId="12" fillId="21" fontId="46" numFmtId="0" xfId="0" applyBorder="1" applyFont="1"/>
    <xf borderId="15" fillId="21" fontId="59" numFmtId="0" xfId="0" applyAlignment="1" applyBorder="1" applyFont="1">
      <alignment horizontal="right" shrinkToFit="0" wrapText="1"/>
    </xf>
    <xf borderId="15" fillId="21" fontId="59" numFmtId="2" xfId="0" applyAlignment="1" applyBorder="1" applyFont="1" applyNumberFormat="1">
      <alignment horizontal="right" shrinkToFit="0" wrapText="1"/>
    </xf>
    <xf borderId="39" fillId="21" fontId="59" numFmtId="170" xfId="0" applyBorder="1" applyFont="1" applyNumberFormat="1"/>
    <xf borderId="45" fillId="21" fontId="59" numFmtId="170" xfId="0" applyBorder="1" applyFont="1" applyNumberFormat="1"/>
    <xf borderId="8" fillId="8" fontId="59" numFmtId="170" xfId="0" applyAlignment="1" applyBorder="1" applyFont="1" applyNumberFormat="1">
      <alignment horizontal="center" vertical="center"/>
    </xf>
    <xf borderId="24" fillId="8" fontId="38" numFmtId="0" xfId="0" applyAlignment="1" applyBorder="1" applyFont="1">
      <alignment vertical="center"/>
    </xf>
    <xf borderId="16" fillId="0" fontId="103" numFmtId="170" xfId="0" applyAlignment="1" applyBorder="1" applyFont="1" applyNumberFormat="1">
      <alignment horizontal="center" shrinkToFit="0" vertical="center" wrapText="1"/>
    </xf>
    <xf borderId="8" fillId="0" fontId="38" numFmtId="0" xfId="0" applyAlignment="1" applyBorder="1" applyFont="1">
      <alignment horizontal="center" shrinkToFit="0" vertical="center" wrapText="1"/>
    </xf>
    <xf borderId="8" fillId="0" fontId="103" numFmtId="170" xfId="0" applyAlignment="1" applyBorder="1" applyFont="1" applyNumberFormat="1">
      <alignment horizontal="center" shrinkToFit="0" vertical="center" wrapText="1"/>
    </xf>
    <xf borderId="8" fillId="0" fontId="38" numFmtId="170" xfId="0" applyAlignment="1" applyBorder="1" applyFont="1" applyNumberFormat="1">
      <alignment horizontal="center" shrinkToFit="0" vertical="center" wrapText="1"/>
    </xf>
    <xf borderId="8" fillId="0" fontId="103" numFmtId="0" xfId="0" applyAlignment="1" applyBorder="1" applyFont="1">
      <alignment horizontal="center" shrinkToFit="0" vertical="center" wrapText="1"/>
    </xf>
    <xf borderId="8" fillId="8" fontId="69" numFmtId="170" xfId="0" applyAlignment="1" applyBorder="1" applyFont="1" applyNumberFormat="1">
      <alignment horizontal="center" readingOrder="0" vertical="center"/>
    </xf>
    <xf borderId="22" fillId="8" fontId="69" numFmtId="170" xfId="0" applyAlignment="1" applyBorder="1" applyFont="1" applyNumberFormat="1">
      <alignment horizontal="center" readingOrder="0" vertical="center"/>
    </xf>
    <xf borderId="22" fillId="4" fontId="59" numFmtId="10" xfId="0" applyAlignment="1" applyBorder="1" applyFont="1" applyNumberFormat="1">
      <alignment horizontal="center" shrinkToFit="0" wrapText="1"/>
    </xf>
    <xf borderId="22" fillId="8" fontId="11" numFmtId="10" xfId="0" applyAlignment="1" applyBorder="1" applyFont="1" applyNumberFormat="1">
      <alignment horizontal="center" vertical="center"/>
    </xf>
    <xf borderId="22" fillId="8" fontId="43" numFmtId="0" xfId="0" applyAlignment="1" applyBorder="1" applyFont="1">
      <alignment readingOrder="0" shrinkToFit="0" vertical="center" wrapText="1"/>
    </xf>
    <xf borderId="32" fillId="8" fontId="38" numFmtId="0" xfId="0" applyAlignment="1" applyBorder="1" applyFont="1">
      <alignment vertical="center"/>
    </xf>
    <xf borderId="0" fillId="4" fontId="26" numFmtId="10" xfId="0" applyAlignment="1" applyFont="1" applyNumberFormat="1">
      <alignment vertical="center"/>
    </xf>
    <xf borderId="0" fillId="0" fontId="26" numFmtId="0" xfId="0" applyAlignment="1" applyFont="1">
      <alignment shrinkToFit="0" vertical="center" wrapText="1"/>
    </xf>
    <xf borderId="0" fillId="0" fontId="55" numFmtId="0" xfId="0" applyAlignment="1" applyFont="1">
      <alignment horizontal="center" vertical="center"/>
    </xf>
    <xf borderId="0" fillId="4" fontId="55" numFmtId="170" xfId="0" applyAlignment="1" applyFont="1" applyNumberFormat="1">
      <alignment vertical="center"/>
    </xf>
    <xf borderId="0" fillId="0" fontId="55" numFmtId="170" xfId="0" applyAlignment="1" applyFont="1" applyNumberFormat="1">
      <alignment vertical="center"/>
    </xf>
    <xf borderId="8" fillId="7" fontId="24" numFmtId="169" xfId="0" applyAlignment="1" applyBorder="1" applyFont="1" applyNumberFormat="1">
      <alignment horizontal="center"/>
    </xf>
    <xf borderId="1" fillId="4" fontId="37" numFmtId="169" xfId="0" applyAlignment="1" applyBorder="1" applyFont="1" applyNumberFormat="1">
      <alignment horizontal="left" shrinkToFit="0" vertical="center" wrapText="1"/>
    </xf>
    <xf borderId="1" fillId="8" fontId="21" numFmtId="169" xfId="0" applyAlignment="1" applyBorder="1" applyFont="1" applyNumberFormat="1">
      <alignment horizontal="center" vertical="center"/>
    </xf>
    <xf borderId="1" fillId="17" fontId="39" numFmtId="2" xfId="0" applyAlignment="1" applyBorder="1" applyFont="1" applyNumberFormat="1">
      <alignment horizontal="left" shrinkToFit="0" vertical="center" wrapText="1"/>
    </xf>
    <xf borderId="5" fillId="8" fontId="26" numFmtId="169" xfId="0" applyAlignment="1" applyBorder="1" applyFont="1" applyNumberFormat="1">
      <alignment horizontal="center" vertical="center"/>
    </xf>
    <xf borderId="0" fillId="0" fontId="11" numFmtId="9" xfId="0" applyFont="1" applyNumberFormat="1"/>
    <xf borderId="14" fillId="24" fontId="104" numFmtId="0" xfId="0" applyAlignment="1" applyBorder="1" applyFill="1" applyFont="1">
      <alignment horizontal="center" vertical="center"/>
    </xf>
    <xf borderId="0" fillId="0" fontId="24" numFmtId="0" xfId="0" applyAlignment="1" applyFont="1">
      <alignment horizontal="left"/>
    </xf>
    <xf borderId="8" fillId="0" fontId="24" numFmtId="0" xfId="0" applyAlignment="1" applyBorder="1" applyFont="1">
      <alignment horizontal="center" vertical="center"/>
    </xf>
    <xf borderId="8" fillId="0" fontId="24" numFmtId="0" xfId="0" applyAlignment="1" applyBorder="1" applyFont="1">
      <alignment horizontal="center" shrinkToFit="0" vertical="center" wrapText="1"/>
    </xf>
    <xf borderId="0" fillId="0" fontId="11" numFmtId="0" xfId="0" applyAlignment="1" applyFont="1">
      <alignment horizontal="left"/>
    </xf>
    <xf borderId="8" fillId="0" fontId="11" numFmtId="169" xfId="0" applyAlignment="1" applyBorder="1" applyFont="1" applyNumberFormat="1">
      <alignment shrinkToFit="0" wrapText="1"/>
    </xf>
    <xf borderId="8" fillId="0" fontId="11" numFmtId="2" xfId="0" applyAlignment="1" applyBorder="1" applyFont="1" applyNumberFormat="1">
      <alignment shrinkToFit="0" wrapText="1"/>
    </xf>
    <xf borderId="8" fillId="4" fontId="36" numFmtId="2" xfId="0" applyAlignment="1" applyBorder="1" applyFont="1" applyNumberFormat="1">
      <alignment shrinkToFit="0" vertical="top" wrapText="1"/>
    </xf>
    <xf borderId="8" fillId="0" fontId="11" numFmtId="2" xfId="0" applyAlignment="1" applyBorder="1" applyFont="1" applyNumberFormat="1">
      <alignment horizontal="center" vertical="center"/>
    </xf>
    <xf borderId="8" fillId="4" fontId="26" numFmtId="2" xfId="0" applyAlignment="1" applyBorder="1" applyFont="1" applyNumberFormat="1">
      <alignment horizontal="center" vertical="center"/>
    </xf>
    <xf borderId="1" fillId="7" fontId="11" numFmtId="166" xfId="0" applyBorder="1" applyFont="1" applyNumberFormat="1"/>
    <xf borderId="0" fillId="0" fontId="11" numFmtId="166" xfId="0" applyFont="1" applyNumberFormat="1"/>
    <xf borderId="0" fillId="0" fontId="46" numFmtId="0" xfId="0" applyFont="1"/>
    <xf borderId="0" fillId="0" fontId="59" numFmtId="0" xfId="0" applyFont="1"/>
    <xf borderId="0" fillId="0" fontId="59" numFmtId="0" xfId="0" applyAlignment="1" applyFont="1">
      <alignment shrinkToFit="0" wrapText="1"/>
    </xf>
  </cellXfs>
  <cellStyles count="1">
    <cellStyle xfId="0" name="Normal" builtinId="0"/>
  </cellStyles>
  <dxfs count="4">
    <dxf>
      <font/>
      <fill>
        <patternFill patternType="solid">
          <fgColor rgb="FFCC0000"/>
          <bgColor rgb="FFCC0000"/>
        </patternFill>
      </fill>
      <border/>
    </dxf>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1" Type="http://schemas.openxmlformats.org/officeDocument/2006/relationships/worksheet" Target="worksheets/sheet18.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419100</xdr:colOff>
      <xdr:row>1</xdr:row>
      <xdr:rowOff>95250</xdr:rowOff>
    </xdr:from>
    <xdr:ext cx="9544050" cy="1438275"/>
    <xdr:pic>
      <xdr:nvPicPr>
        <xdr:cNvPr descr=" "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685800</xdr:colOff>
      <xdr:row>0</xdr:row>
      <xdr:rowOff>95250</xdr:rowOff>
    </xdr:from>
    <xdr:ext cx="1219200" cy="704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685800</xdr:colOff>
      <xdr:row>0</xdr:row>
      <xdr:rowOff>95250</xdr:rowOff>
    </xdr:from>
    <xdr:ext cx="1219200" cy="704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419100</xdr:colOff>
      <xdr:row>1</xdr:row>
      <xdr:rowOff>95250</xdr:rowOff>
    </xdr:from>
    <xdr:ext cx="9544050" cy="1438275"/>
    <xdr:pic>
      <xdr:nvPicPr>
        <xdr:cNvPr descr=" "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685800</xdr:colOff>
      <xdr:row>0</xdr:row>
      <xdr:rowOff>95250</xdr:rowOff>
    </xdr:from>
    <xdr:ext cx="1476375" cy="10382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habitium.com/pt/drenagem-de-duche/365638-grade-para-duche-cleanline20-geberit.html?land&amp;gad_source=1&amp;gbraid=0AAAAADMoMQSice6ng1kq6ngJ_NjUVAe4a&amp;gclid=CjwKCAjwwqfABhBcEiwAZJjC3q19FWQz9ghs0jAXfBrqUwFEiNH7zB-av74wCEKxDBhxrMo_BPYF7BoC1mgQAvD_BwE" TargetMode="External"/><Relationship Id="rId2" Type="http://schemas.openxmlformats.org/officeDocument/2006/relationships/hyperlink" Target="https://www.beliani.pt/banheira-autonoma-em-acrilico-branco-170-x-80-cm-nevis.html?gad_source=1&amp;gbraid=0AAAAADc0vUaoKHd5Binl8hM1-OzVBuy9k&amp;gclid=CjwKCAjwwqfABhBcEiwAZJjC3uyzWr6qNHh3mx1cN30APEAkxKJpC2IqlxWfLKEy1rRNPXuncWKdKRoCkQgQAvD_BwE" TargetMode="External"/><Relationship Id="rId3" Type="http://schemas.openxmlformats.org/officeDocument/2006/relationships/hyperlink" Target="https://www.leroymerlin.pt/produtos/sanita-suspensa-grohe-clova-com-tampa-branco-86608495.html?utm_source=google&amp;utm_medium=cpc&amp;utm_campaign=pmax-shopping-ao_casas-de-banho_villains_ao_google&amp;utm_content=1p&amp;utm_term=&amp;placement=&amp;gad_source=1&amp;gbraid=0AAAAAoLk9FWpyQ575R1KcaRs_VLYFwLxy&amp;gclid=CjwKCAjwwqfABhBcEiwAZJjC3sJVkcQA-7GHpp-okpUTGwdUPfl-h-ZpUMGdvedNNFrLJR3BV5qGqhoCKDUQAvD_BwE" TargetMode="External"/><Relationship Id="rId4" Type="http://schemas.openxmlformats.org/officeDocument/2006/relationships/hyperlink" Target="https://www.leroymerlin.pt/produtos/sanita-suspensa-grohe-clova-com-tampa-branco-86608495.html?utm_source=google&amp;utm_medium=cpc&amp;utm_campaign=pmax-shopping-ao_casas-de-banho_villains_ao_google&amp;utm_content=1p&amp;utm_term=&amp;placement=&amp;gad_source=1&amp;gbraid=0AAAAAoLk9FWpyQ575R1KcaRs_VLYFwLxy&amp;gclid=CjwKCAjwwqfABhBcEiwAZJjC3sJVkcQA-7GHpp-okpUTGwdUPfl-h-ZpUMGdvedNNFrLJR3BV5qGqhoCKDUQAvD_BwE" TargetMode="External"/><Relationship Id="rId11" Type="http://schemas.openxmlformats.org/officeDocument/2006/relationships/drawing" Target="../drawings/drawing2.xml"/><Relationship Id="rId10" Type="http://schemas.openxmlformats.org/officeDocument/2006/relationships/hyperlink" Target="https://www.makro.pt/marketplace/product/644dd44f-6c0f-40c5-8a1d-373fad2e70a7?mfeed_oid=cab83678-2d99-4b93-9923-e927da49d81f&amp;mfeed_bm=1&amp;utm_source=google&amp;utm_medium=cpc&amp;utm_campaign=pt_mm_ag_pmax_all_dynamic_all_b2c_feed_own-brand-subbrands&amp;gad_source=1&amp;gbraid=0AAAAAo2VCxCHWSOosypar9IcvujYEL5el&amp;gclid=CjwKCAjwwqfABhBcEiwAZJjC3qNSRRgA1OBCxN0z8zL9lq3_IMKjnlpWz2rfwwUutPXfjla3ELOaTxoCMPgQAvD_BwE&amp;itm_pm=cookie_consent_accept_button" TargetMode="External"/><Relationship Id="rId9" Type="http://schemas.openxmlformats.org/officeDocument/2006/relationships/hyperlink" Target="https://www.klarstein.pt/Eletrodomesticos/Exaustores-de-cozinha/Exaustores-de-ilha/Exaustor-Bolea-O38cm-Extracao-recirculacao-de-ar-600m-h-LED-inclui-filtros-de-carvao-ativado-Branco.html?utm_source=google&amp;utm_medium=cpc&amp;utm_campaign=01_PLA_PT_KS_Standard_Large%20Appliances_Cooker%20Hoods_Range%20Island%20Hoods&amp;gad_source=1&amp;gbraid=0AAAAACuGP2GWQSaZuEqU7BYMwkiUiq5HZ&amp;gclid=CjwKCAjwwqfABhBcEiwAZJjC3g2xwj6-sb8mftvQzwzUq3XtjoAA4H60wvG-G8LbXqMFUgaSRiGCnxoCJg0QAvD_BwE" TargetMode="External"/><Relationship Id="rId5" Type="http://schemas.openxmlformats.org/officeDocument/2006/relationships/hyperlink" Target="https://insani24.de/Placa-de-acionamento-Geberit-Sigma10-para-descarga-simples-branco-cromado-de-alto-brilho-branco?utm_source=google&amp;utm_medium=cpc&amp;utm_campaign=PT_CSS_%5bKat:Fallback%5d&amp;gad_source=1&amp;gbraid=0AAAAADrY1onuE9cagwIu7mc5mu9adHw8s&amp;gclid=CjwKCAjwwqfABhBcEiwAZJjC3tDoEtjd7XrnnFexxRf2dyaippkfrud1DXlz0NlTfTSuVkkuBVk8MRoC-1UQAvD_BwE" TargetMode="External"/><Relationship Id="rId6" Type="http://schemas.openxmlformats.org/officeDocument/2006/relationships/hyperlink" Target="https://insani24.de/Comando-Geberit-tipo-10-para-descarga-dupla-puxador-de-alavanca-para-moveis-cromado?utm_source=google&amp;utm_medium=cpc&amp;utm_campaign=PT_CSS_%5bKat:Fallback%5d&amp;gad_source=1&amp;gbraid=0AAAAADrY1onuE9cagwIu7mc5mu9adHw8s&amp;gclid=CjwKCAjwwqfABhBcEiwAZJjC3kVEHGbPscvwKfEGar6WZNBTz1QHR2OJFOR3lMuIsY8GJYKIa_ubGRoCUkQQAvD_BwE" TargetMode="External"/><Relationship Id="rId7" Type="http://schemas.openxmlformats.org/officeDocument/2006/relationships/hyperlink" Target="https://www.leroymerlin.pt/produtos/torneira-de-passagem-3-4-quadra-82775232.html" TargetMode="External"/><Relationship Id="rId8" Type="http://schemas.openxmlformats.org/officeDocument/2006/relationships/hyperlink" Target="https://www.google.com/search?q=INOX%22+finish%2C+model+%22SINGLE-TUB+AND+SHOWER+CONTROL%2C+FLOOR+MOUNTING&amp;sca_esv=9c7ec454ad9eda0c&amp;rlz=1C5CHFA_enGB1097GB1097&amp;sxsrf=AHTn8zq36cdDD4PiG692bRNuEG6_qBBnow%3A1745494987321&amp;ei=yyMKaOWxE-GJkdUPnO-O2AQ&amp;ved=0ahUKEwilw7TFy_CMAxXhRKQEHZy3A0sQ4dUDCBM&amp;uact=5&amp;oq=INOX%22+finish%2C+model+%22SINGLE-TUB+AND+SHOWER+CONTROL%2C+FLOOR+MOUNTING&amp;gs_lp=Egxnd3Mtd2l6LXNlcnAiQklOT1giIGZpbmlzaCwgbW9kZWwgIlNJTkdMRS1UVUIgQU5EIFNIT1dFUiBDT05UUk9MLCBGTE9PUiBNT1VOVElOR0iuBFAAWABwAHgAkAEAmAGKAaABigGqAQMwLjG4AQPIAQD4AQL4AQGYAgCgAgCYAwCSBwCgB3iyBwC4BwA&amp;sclient=gws-wiz-serp"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habitium.com/pt/drenagem-de-duche/365638-grade-para-duche-cleanline20-geberit.html?land&amp;gad_source=1&amp;gbraid=0AAAAADMoMQSice6ng1kq6ngJ_NjUVAe4a&amp;gclid=CjwKCAjwwqfABhBcEiwAZJjC3q19FWQz9ghs0jAXfBrqUwFEiNH7zB-av74wCEKxDBhxrMo_BPYF7BoC1mgQAvD_BwE" TargetMode="External"/><Relationship Id="rId2" Type="http://schemas.openxmlformats.org/officeDocument/2006/relationships/hyperlink" Target="https://www.beliani.pt/banheira-autonoma-em-acrilico-branco-170-x-80-cm-nevis.html?gad_source=1&amp;gbraid=0AAAAADc0vUaoKHd5Binl8hM1-OzVBuy9k&amp;gclid=CjwKCAjwwqfABhBcEiwAZJjC3uyzWr6qNHh3mx1cN30APEAkxKJpC2IqlxWfLKEy1rRNPXuncWKdKRoCkQgQAvD_BwE" TargetMode="External"/><Relationship Id="rId3" Type="http://schemas.openxmlformats.org/officeDocument/2006/relationships/hyperlink" Target="https://www.leroymerlin.pt/produtos/sanita-suspensa-grohe-clova-com-tampa-branco-86608495.html?utm_source=google&amp;utm_medium=cpc&amp;utm_campaign=pmax-shopping-ao_casas-de-banho_villains_ao_google&amp;utm_content=1p&amp;utm_term=&amp;placement=&amp;gad_source=1&amp;gbraid=0AAAAAoLk9FWpyQ575R1KcaRs_VLYFwLxy&amp;gclid=CjwKCAjwwqfABhBcEiwAZJjC3sJVkcQA-7GHpp-okpUTGwdUPfl-h-ZpUMGdvedNNFrLJR3BV5qGqhoCKDUQAvD_BwE" TargetMode="External"/><Relationship Id="rId4" Type="http://schemas.openxmlformats.org/officeDocument/2006/relationships/hyperlink" Target="https://www.leroymerlin.pt/produtos/sanita-suspensa-grohe-clova-com-tampa-branco-86608495.html?utm_source=google&amp;utm_medium=cpc&amp;utm_campaign=pmax-shopping-ao_casas-de-banho_villains_ao_google&amp;utm_content=1p&amp;utm_term=&amp;placement=&amp;gad_source=1&amp;gbraid=0AAAAAoLk9FWpyQ575R1KcaRs_VLYFwLxy&amp;gclid=CjwKCAjwwqfABhBcEiwAZJjC3sJVkcQA-7GHpp-okpUTGwdUPfl-h-ZpUMGdvedNNFrLJR3BV5qGqhoCKDUQAvD_BwE" TargetMode="External"/><Relationship Id="rId11" Type="http://schemas.openxmlformats.org/officeDocument/2006/relationships/drawing" Target="../drawings/drawing4.xml"/><Relationship Id="rId10" Type="http://schemas.openxmlformats.org/officeDocument/2006/relationships/hyperlink" Target="https://www.makro.pt/marketplace/product/644dd44f-6c0f-40c5-8a1d-373fad2e70a7?mfeed_oid=cab83678-2d99-4b93-9923-e927da49d81f&amp;mfeed_bm=1&amp;utm_source=google&amp;utm_medium=cpc&amp;utm_campaign=pt_mm_ag_pmax_all_dynamic_all_b2c_feed_own-brand-subbrands&amp;gad_source=1&amp;gbraid=0AAAAAo2VCxCHWSOosypar9IcvujYEL5el&amp;gclid=CjwKCAjwwqfABhBcEiwAZJjC3qNSRRgA1OBCxN0z8zL9lq3_IMKjnlpWz2rfwwUutPXfjla3ELOaTxoCMPgQAvD_BwE&amp;itm_pm=cookie_consent_accept_button" TargetMode="External"/><Relationship Id="rId9" Type="http://schemas.openxmlformats.org/officeDocument/2006/relationships/hyperlink" Target="https://www.klarstein.pt/Eletrodomesticos/Exaustores-de-cozinha/Exaustores-de-ilha/Exaustor-Bolea-O38cm-Extracao-recirculacao-de-ar-600m-h-LED-inclui-filtros-de-carvao-ativado-Branco.html?utm_source=google&amp;utm_medium=cpc&amp;utm_campaign=01_PLA_PT_KS_Standard_Large%20Appliances_Cooker%20Hoods_Range%20Island%20Hoods&amp;gad_source=1&amp;gbraid=0AAAAACuGP2GWQSaZuEqU7BYMwkiUiq5HZ&amp;gclid=CjwKCAjwwqfABhBcEiwAZJjC3g2xwj6-sb8mftvQzwzUq3XtjoAA4H60wvG-G8LbXqMFUgaSRiGCnxoCJg0QAvD_BwE" TargetMode="External"/><Relationship Id="rId5" Type="http://schemas.openxmlformats.org/officeDocument/2006/relationships/hyperlink" Target="https://insani24.de/Placa-de-acionamento-Geberit-Sigma10-para-descarga-simples-branco-cromado-de-alto-brilho-branco?utm_source=google&amp;utm_medium=cpc&amp;utm_campaign=PT_CSS_%5bKat:Fallback%5d&amp;gad_source=1&amp;gbraid=0AAAAADrY1onuE9cagwIu7mc5mu9adHw8s&amp;gclid=CjwKCAjwwqfABhBcEiwAZJjC3tDoEtjd7XrnnFexxRf2dyaippkfrud1DXlz0NlTfTSuVkkuBVk8MRoC-1UQAvD_BwE" TargetMode="External"/><Relationship Id="rId6" Type="http://schemas.openxmlformats.org/officeDocument/2006/relationships/hyperlink" Target="https://insani24.de/Comando-Geberit-tipo-10-para-descarga-dupla-puxador-de-alavanca-para-moveis-cromado?utm_source=google&amp;utm_medium=cpc&amp;utm_campaign=PT_CSS_%5bKat:Fallback%5d&amp;gad_source=1&amp;gbraid=0AAAAADrY1onuE9cagwIu7mc5mu9adHw8s&amp;gclid=CjwKCAjwwqfABhBcEiwAZJjC3kVEHGbPscvwKfEGar6WZNBTz1QHR2OJFOR3lMuIsY8GJYKIa_ubGRoCUkQQAvD_BwE" TargetMode="External"/><Relationship Id="rId7" Type="http://schemas.openxmlformats.org/officeDocument/2006/relationships/hyperlink" Target="https://www.leroymerlin.pt/produtos/torneira-de-passagem-3-4-quadra-82775232.html" TargetMode="External"/><Relationship Id="rId8" Type="http://schemas.openxmlformats.org/officeDocument/2006/relationships/hyperlink" Target="https://www.google.com/search?q=INOX%22+finish%2C+model+%22SINGLE-TUB+AND+SHOWER+CONTROL%2C+FLOOR+MOUNTING&amp;sca_esv=9c7ec454ad9eda0c&amp;rlz=1C5CHFA_enGB1097GB1097&amp;sxsrf=AHTn8zq36cdDD4PiG692bRNuEG6_qBBnow%3A1745494987321&amp;ei=yyMKaOWxE-GJkdUPnO-O2AQ&amp;ved=0ahUKEwilw7TFy_CMAxXhRKQEHZy3A0sQ4dUDCBM&amp;uact=5&amp;oq=INOX%22+finish%2C+model+%22SINGLE-TUB+AND+SHOWER+CONTROL%2C+FLOOR+MOUNTING&amp;gs_lp=Egxnd3Mtd2l6LXNlcnAiQklOT1giIGZpbmlzaCwgbW9kZWwgIlNJTkdMRS1UVUIgQU5EIFNIT1dFUiBDT05UUk9MLCBGTE9PUiBNT1VOVElOR0iuBFAAWABwAHgAkAEAmAGKAaABigGqAQMwLjG4AQPIAQD4AQL4AQGYAgCgAgCYAwCSBwCgB3iyBwC4BwA&amp;sclient=gws-wiz-ser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habitium.com/pt/drenagem-de-duche/365638-grade-para-duche-cleanline20-geberit.html?land&amp;gad_source=1&amp;gbraid=0AAAAADMoMQSice6ng1kq6ngJ_NjUVAe4a&amp;gclid=CjwKCAjwwqfABhBcEiwAZJjC3q19FWQz9ghs0jAXfBrqUwFEiNH7zB-av74wCEKxDBhxrMo_BPYF7BoC1mgQAvD_BwE" TargetMode="External"/><Relationship Id="rId2" Type="http://schemas.openxmlformats.org/officeDocument/2006/relationships/hyperlink" Target="https://www.beliani.pt/banheira-autonoma-em-acrilico-branco-170-x-80-cm-nevis.html?gad_source=1&amp;gbraid=0AAAAADc0vUaoKHd5Binl8hM1-OzVBuy9k&amp;gclid=CjwKCAjwwqfABhBcEiwAZJjC3uyzWr6qNHh3mx1cN30APEAkxKJpC2IqlxWfLKEy1rRNPXuncWKdKRoCkQgQAvD_BwE" TargetMode="External"/><Relationship Id="rId3" Type="http://schemas.openxmlformats.org/officeDocument/2006/relationships/hyperlink" Target="https://www.leroymerlin.pt/produtos/sanita-suspensa-grohe-clova-com-tampa-branco-86608495.html?utm_source=google&amp;utm_medium=cpc&amp;utm_campaign=pmax-shopping-ao_casas-de-banho_villains_ao_google&amp;utm_content=1p&amp;utm_term=&amp;placement=&amp;gad_source=1&amp;gbraid=0AAAAAoLk9FWpyQ575R1KcaRs_VLYFwLxy&amp;gclid=CjwKCAjwwqfABhBcEiwAZJjC3sJVkcQA-7GHpp-okpUTGwdUPfl-h-ZpUMGdvedNNFrLJR3BV5qGqhoCKDUQAvD_BwE" TargetMode="External"/><Relationship Id="rId4" Type="http://schemas.openxmlformats.org/officeDocument/2006/relationships/hyperlink" Target="https://www.leroymerlin.pt/produtos/sanita-suspensa-grohe-clova-com-tampa-branco-86608495.html?utm_source=google&amp;utm_medium=cpc&amp;utm_campaign=pmax-shopping-ao_casas-de-banho_villains_ao_google&amp;utm_content=1p&amp;utm_term=&amp;placement=&amp;gad_source=1&amp;gbraid=0AAAAAoLk9FWpyQ575R1KcaRs_VLYFwLxy&amp;gclid=CjwKCAjwwqfABhBcEiwAZJjC3sJVkcQA-7GHpp-okpUTGwdUPfl-h-ZpUMGdvedNNFrLJR3BV5qGqhoCKDUQAvD_BwE" TargetMode="External"/><Relationship Id="rId11" Type="http://schemas.openxmlformats.org/officeDocument/2006/relationships/drawing" Target="../drawings/drawing5.xml"/><Relationship Id="rId10" Type="http://schemas.openxmlformats.org/officeDocument/2006/relationships/hyperlink" Target="https://www.makro.pt/marketplace/product/644dd44f-6c0f-40c5-8a1d-373fad2e70a7?mfeed_oid=cab83678-2d99-4b93-9923-e927da49d81f&amp;mfeed_bm=1&amp;utm_source=google&amp;utm_medium=cpc&amp;utm_campaign=pt_mm_ag_pmax_all_dynamic_all_b2c_feed_own-brand-subbrands&amp;gad_source=1&amp;gbraid=0AAAAAo2VCxCHWSOosypar9IcvujYEL5el&amp;gclid=CjwKCAjwwqfABhBcEiwAZJjC3qNSRRgA1OBCxN0z8zL9lq3_IMKjnlpWz2rfwwUutPXfjla3ELOaTxoCMPgQAvD_BwE&amp;itm_pm=cookie_consent_accept_button" TargetMode="External"/><Relationship Id="rId9" Type="http://schemas.openxmlformats.org/officeDocument/2006/relationships/hyperlink" Target="https://www.klarstein.pt/Eletrodomesticos/Exaustores-de-cozinha/Exaustores-de-ilha/Exaustor-Bolea-O38cm-Extracao-recirculacao-de-ar-600m-h-LED-inclui-filtros-de-carvao-ativado-Branco.html?utm_source=google&amp;utm_medium=cpc&amp;utm_campaign=01_PLA_PT_KS_Standard_Large%20Appliances_Cooker%20Hoods_Range%20Island%20Hoods&amp;gad_source=1&amp;gbraid=0AAAAACuGP2GWQSaZuEqU7BYMwkiUiq5HZ&amp;gclid=CjwKCAjwwqfABhBcEiwAZJjC3g2xwj6-sb8mftvQzwzUq3XtjoAA4H60wvG-G8LbXqMFUgaSRiGCnxoCJg0QAvD_BwE" TargetMode="External"/><Relationship Id="rId5" Type="http://schemas.openxmlformats.org/officeDocument/2006/relationships/hyperlink" Target="https://insani24.de/Placa-de-acionamento-Geberit-Sigma10-para-descarga-simples-branco-cromado-de-alto-brilho-branco?utm_source=google&amp;utm_medium=cpc&amp;utm_campaign=PT_CSS_%5bKat:Fallback%5d&amp;gad_source=1&amp;gbraid=0AAAAADrY1onuE9cagwIu7mc5mu9adHw8s&amp;gclid=CjwKCAjwwqfABhBcEiwAZJjC3tDoEtjd7XrnnFexxRf2dyaippkfrud1DXlz0NlTfTSuVkkuBVk8MRoC-1UQAvD_BwE" TargetMode="External"/><Relationship Id="rId6" Type="http://schemas.openxmlformats.org/officeDocument/2006/relationships/hyperlink" Target="https://insani24.de/Comando-Geberit-tipo-10-para-descarga-dupla-puxador-de-alavanca-para-moveis-cromado?utm_source=google&amp;utm_medium=cpc&amp;utm_campaign=PT_CSS_%5bKat:Fallback%5d&amp;gad_source=1&amp;gbraid=0AAAAADrY1onuE9cagwIu7mc5mu9adHw8s&amp;gclid=CjwKCAjwwqfABhBcEiwAZJjC3kVEHGbPscvwKfEGar6WZNBTz1QHR2OJFOR3lMuIsY8GJYKIa_ubGRoCUkQQAvD_BwE" TargetMode="External"/><Relationship Id="rId7" Type="http://schemas.openxmlformats.org/officeDocument/2006/relationships/hyperlink" Target="https://www.leroymerlin.pt/produtos/torneira-de-passagem-3-4-quadra-82775232.html" TargetMode="External"/><Relationship Id="rId8" Type="http://schemas.openxmlformats.org/officeDocument/2006/relationships/hyperlink" Target="https://www.google.com/search?q=INOX%22+finish%2C+model+%22SINGLE-TUB+AND+SHOWER+CONTROL%2C+FLOOR+MOUNTING&amp;sca_esv=9c7ec454ad9eda0c&amp;rlz=1C5CHFA_enGB1097GB1097&amp;sxsrf=AHTn8zq36cdDD4PiG692bRNuEG6_qBBnow%3A1745494987321&amp;ei=yyMKaOWxE-GJkdUPnO-O2AQ&amp;ved=0ahUKEwilw7TFy_CMAxXhRKQEHZy3A0sQ4dUDCBM&amp;uact=5&amp;oq=INOX%22+finish%2C+model+%22SINGLE-TUB+AND+SHOWER+CONTROL%2C+FLOOR+MOUNTING&amp;gs_lp=Egxnd3Mtd2l6LXNlcnAiQklOT1giIGZpbmlzaCwgbW9kZWwgIlNJTkdMRS1UVUIgQU5EIFNIT1dFUiBDT05UUk9MLCBGTE9PUiBNT1VOVElOR0iuBFAAWABwAHgAkAEAmAGKAaABigGqAQMwLjG4AQPIAQD4AQL4AQGYAgCgAgCYAwCSBwCgB3iyBwC4BwA&amp;sclient=gws-wiz-serp"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lB8aZ2DFlspZ1BDIgdODeplpfCgtdE7VW9ixQYSRYWc/edit?gid=2067119339" TargetMode="External"/><Relationship Id="rId3" Type="http://schemas.openxmlformats.org/officeDocument/2006/relationships/drawing" Target="../drawings/drawing7.xml"/><Relationship Id="rId4"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notion.so/viorabuild/IMPERSEP-150-27818f6638738000b4aae31b73f3eb89?source=copy_link" TargetMode="External"/><Relationship Id="rId190" Type="http://schemas.openxmlformats.org/officeDocument/2006/relationships/hyperlink" Target="https://www.keroclima.pt/epages/960844166.mobile/en_GB/?ObjectPath=/Shops/960844166/Products/2357" TargetMode="External"/><Relationship Id="rId42" Type="http://schemas.openxmlformats.org/officeDocument/2006/relationships/hyperlink" Target="https://luzegas.pt/precos/botija-de-gas-preco" TargetMode="External"/><Relationship Id="rId41" Type="http://schemas.openxmlformats.org/officeDocument/2006/relationships/hyperlink" Target="https://www.notion.so/viorabuild/Imperkote-F-27818f6638738015973ff5517309ecaa?source=copy_link" TargetMode="External"/><Relationship Id="rId44" Type="http://schemas.openxmlformats.org/officeDocument/2006/relationships/hyperlink" Target="https://www.notion.so/viorabuild/Weber-tec-824-20-27818f6638738099943fd65f3c6ada9f?source=copy_link" TargetMode="External"/><Relationship Id="rId194" Type="http://schemas.openxmlformats.org/officeDocument/2006/relationships/hyperlink" Target="https://www.obramat.pt/produtos/tubo-de-cobre-clima-5-8-15m-kme-10570406.html?utm_source=chatgpt.com" TargetMode="External"/><Relationship Id="rId43" Type="http://schemas.openxmlformats.org/officeDocument/2006/relationships/hyperlink" Target="https://www.notion.so/Weber-tec-824-20-27818f6638738099943fd65f3c6ada9f?v=27218f663873809eb58f000c5b9a4558&amp;source=copy_link" TargetMode="External"/><Relationship Id="rId193" Type="http://schemas.openxmlformats.org/officeDocument/2006/relationships/hyperlink" Target="https://www.worten.pt/produtos/conjunto-de-mini-linha-dividida-succebuy-6-4-x-12-7-mm-x-4876-8-mm-tubo-de-cobre-para-ca-com-cabo-de-conexao-mrkean-08721334080767?utm_source=chatgpt.com" TargetMode="External"/><Relationship Id="rId46" Type="http://schemas.openxmlformats.org/officeDocument/2006/relationships/hyperlink" Target="http://www.geradordeprecos.info/obra_nova/Coberturas/QU_Componentes_de_coberturas_incl/Metalicas/QUM010_Revestimento_de_cobertura_de_chapa_.html" TargetMode="External"/><Relationship Id="rId192" Type="http://schemas.openxmlformats.org/officeDocument/2006/relationships/hyperlink" Target="https://klima.pt/pt/-tubagem-de-cobre/5639-tubo-cobre-refrigeracao-3-8-9-52x0-7mm-50-mts.html?utm_source=chatgpt.com" TargetMode="External"/><Relationship Id="rId45" Type="http://schemas.openxmlformats.org/officeDocument/2006/relationships/hyperlink" Target="https://www.madatlantico.pt/pt/placa-perfurada-galvanizada/p-107?cat=6" TargetMode="External"/><Relationship Id="rId191" Type="http://schemas.openxmlformats.org/officeDocument/2006/relationships/hyperlink" Target="https://www.pecomark.pt/pt/Produtos/c/W_?q=%3ApageLetter%3Acategory%3AW_180%3Abrand%3AM0012&amp;utm_source=chatgpt.com" TargetMode="External"/><Relationship Id="rId48" Type="http://schemas.openxmlformats.org/officeDocument/2006/relationships/hyperlink" Target="https://www.notion.so/viorabuild/TUBO-DRENAGEM-100mm-S-FILTRO-50mt-RL-27918f66387381a38b55ea9da919d36c?source=copy_link" TargetMode="External"/><Relationship Id="rId187" Type="http://schemas.openxmlformats.org/officeDocument/2006/relationships/hyperlink" Target="https://geradordeprecos.info/obra_nova/Instalacoes/Sistemas_de_climatizacao/Sistema_VRF_%28Mitsubishi_Electric%29/Derivacao_para_linha_frigorifica_0_0_0_0_0_3_0.html?utm_source=chatgpt.com" TargetMode="External"/><Relationship Id="rId47" Type="http://schemas.openxmlformats.org/officeDocument/2006/relationships/hyperlink" Target="https://www.notion.so/viorabuild/TUBO-DRENAGEM-200mm-S-FILTRO-50mt-RL-27918f66387381b1acf6fc2f384bab54?source=copy_link" TargetMode="External"/><Relationship Id="rId186" Type="http://schemas.openxmlformats.org/officeDocument/2006/relationships/hyperlink" Target="https://www.obramat.pt/produtos/alcapao-gesso-cartonado-hidrofugado-12-5mm-60x60cm-10784123.html?utm_source=chatgpt.com" TargetMode="External"/><Relationship Id="rId185" Type="http://schemas.openxmlformats.org/officeDocument/2006/relationships/hyperlink" Target="https://klima.pt/en/-duct/29940-.html" TargetMode="External"/><Relationship Id="rId49" Type="http://schemas.openxmlformats.org/officeDocument/2006/relationships/hyperlink" Target="https://www.notion.so/viorabuild/IMPACTODAN-5-5mm-2-00x50Mt-100m2-RL-27918f66387381fc9536d67112c22c21?source=copy_link" TargetMode="External"/><Relationship Id="rId184" Type="http://schemas.openxmlformats.org/officeDocument/2006/relationships/hyperlink" Target="https://www.geradordeprecos.info/obra_nova/Instalacoes/Sistemas_de_climatizacao/Sistema_VRF_%28Toshiba%29/IBP120_Unidade_interior_de_ar_condicionado.html?utm_source=chatgpt.com" TargetMode="External"/><Relationship Id="rId189" Type="http://schemas.openxmlformats.org/officeDocument/2006/relationships/hyperlink" Target="https://smartify.pt/en/products/shelly-wall-display-sensor-blu-h-t-wifi-bluetooth-white-ivory?variant=49796961599834&amp;country=DK&amp;currency=DKK&amp;utm_source=chatgpt.com" TargetMode="External"/><Relationship Id="rId188" Type="http://schemas.openxmlformats.org/officeDocument/2006/relationships/hyperlink" Target="https://solardirecto.pt/produtos/bombas-calor/bombas-de-calor/bomba-calor-monobloco-samsung-r290-com-modulo-hidraulico?utm_source=chatgpt.com" TargetMode="External"/><Relationship Id="rId31" Type="http://schemas.openxmlformats.org/officeDocument/2006/relationships/hyperlink" Target="https://www.notion.so/viorabuild/27818f663873801cadc8ffb1ea4d6c78?v=27218f663873809eb58f000c5b9a4558&amp;source=copy_link" TargetMode="External"/><Relationship Id="rId30" Type="http://schemas.openxmlformats.org/officeDocument/2006/relationships/hyperlink" Target="https://www.notion.so/viorabuild/50x20x15-27818f66387380b1b524d68bae4d4acb?source=copy_link" TargetMode="External"/><Relationship Id="rId33" Type="http://schemas.openxmlformats.org/officeDocument/2006/relationships/hyperlink" Target="https://www.leroymerlin.pt/produtos/membrana-betuminosa-para-impermeabilizacao-imperalum-polyplas-30-1x13m-82311866.html?utm_source=chatgpt.com" TargetMode="External"/><Relationship Id="rId183" Type="http://schemas.openxmlformats.org/officeDocument/2006/relationships/hyperlink" Target="https://groupsumi.pt/aquecimento/ar-condicionado/sistema-de-climatizacao-vrv-vrf/unidade-interior-ar-condicionado-cassete-integrada-vrv-daikin-2-8-kw-fxzq25a" TargetMode="External"/><Relationship Id="rId32" Type="http://schemas.openxmlformats.org/officeDocument/2006/relationships/hyperlink" Target="https://www.notion.so/viorabuild/27818f663873808889aaee7d7adb81e0?source=copy_link" TargetMode="External"/><Relationship Id="rId182" Type="http://schemas.openxmlformats.org/officeDocument/2006/relationships/hyperlink" Target="https://www.geradordeprecos.info/obra_nova/Instalacoes/Aquecimento__climatizacao_e_A_Q_S_/Sistema_VRV_%28Daikin%29/ICY253_Unidade_exterior_de_ar_condicionado.html?utm_source=chatgpt.com" TargetMode="External"/><Relationship Id="rId35" Type="http://schemas.openxmlformats.org/officeDocument/2006/relationships/hyperlink" Target="https://dek.sk/produkty/detail/1025151530-rhenofol-cv-1-5mm-1-50x20m-30m2-pal-270m2" TargetMode="External"/><Relationship Id="rId181" Type="http://schemas.openxmlformats.org/officeDocument/2006/relationships/hyperlink" Target="https://zinco.geradordeprecos.info/obra_nova/Coberturas/Sistemas_de_coberturas_verdes/Pontos_singulares/QVP011_Encontro_da_cobertura__ZINCO__com_sc13_0_2c6_0.html?utm_source=chatgpt.com" TargetMode="External"/><Relationship Id="rId34" Type="http://schemas.openxmlformats.org/officeDocument/2006/relationships/hyperlink" Target="https://casapeixoto.pt/construcao/isolamentos-e-impermeabilizacao/impermeabilizacao/19624-imperalum-polyxis-r40-c-garden-rolo-10-mt" TargetMode="External"/><Relationship Id="rId180" Type="http://schemas.openxmlformats.org/officeDocument/2006/relationships/hyperlink" Target="https://www.nicolaurosa.com/acessorios-pvc-colar/4930-valvula-pvc-pressao-colar-110-mm-en1452-3-pn16-5600495943100.html?utm_source=chatgpt.com" TargetMode="External"/><Relationship Id="rId37" Type="http://schemas.openxmlformats.org/officeDocument/2006/relationships/hyperlink" Target="https://www.majodir.com/pt/materiais-para-construcao/chapa-galvanizada-ondulada_p1235.html" TargetMode="External"/><Relationship Id="rId176" Type="http://schemas.openxmlformats.org/officeDocument/2006/relationships/hyperlink" Target="https://www.iot-pool.com/en-dk/products/ralo-de-fundo-hayward-hay-250-1797-1798-recambios?utm_source=chatgpt.com" TargetMode="External"/><Relationship Id="rId297" Type="http://schemas.openxmlformats.org/officeDocument/2006/relationships/hyperlink" Target="https://lisboaled.pt/pvc-rigidos/2787-cabo-h07v-r-v-25-castanho-5639898784152.html" TargetMode="External"/><Relationship Id="rId36" Type="http://schemas.openxmlformats.org/officeDocument/2006/relationships/hyperlink" Target="https://www.notion.so/viorabuild/PL-OSB-3-AMB-H-MID-CR-2500x1250x-22mm-3-125m2-PL-27918f66387381b1813bf8d86374bb82?source=copy_link" TargetMode="External"/><Relationship Id="rId175" Type="http://schemas.openxmlformats.org/officeDocument/2006/relationships/hyperlink" Target="https://www.samuel-janeiro.pt/catalog/brand/c1bb6bd846bc7afb0a3e12baa6aa0926?srsltid=AfmBOorPGw1WXlE5Tb8iWbPKqmFaFXVZzSCNU7RrNvIoI5QRq40Ks2ZL&amp;utm_source=chatgpt.com" TargetMode="External"/><Relationship Id="rId296" Type="http://schemas.openxmlformats.org/officeDocument/2006/relationships/hyperlink" Target="https://mauser.pt/catalog/product_info.php?products_id=302-3069" TargetMode="External"/><Relationship Id="rId39" Type="http://schemas.openxmlformats.org/officeDocument/2006/relationships/hyperlink" Target="https://www.notion.so/viorabuild/IMPERSEP-200-27818f6638738020b91ef36a522a7777?source=copy_link" TargetMode="External"/><Relationship Id="rId174" Type="http://schemas.openxmlformats.org/officeDocument/2006/relationships/hyperlink" Target="https://www.hidraulicart.pt/loja-online/skimmers/skimmer-wellis-a500-bet-o-ou-liner/?utm_source=chatgpt.com" TargetMode="External"/><Relationship Id="rId295" Type="http://schemas.openxmlformats.org/officeDocument/2006/relationships/hyperlink" Target="https://www.electromatoslda.com/produto/eletrodo-de-terra-com-2-metros/" TargetMode="External"/><Relationship Id="rId38" Type="http://schemas.openxmlformats.org/officeDocument/2006/relationships/hyperlink" Target="https://www.armazensreis.pt/pt/coberturas/grampo-zincado-completo_p9016.html" TargetMode="External"/><Relationship Id="rId173" Type="http://schemas.openxmlformats.org/officeDocument/2006/relationships/hyperlink" Target="https://poolsandmore.pt/en/produto/galaxy-mono-cartridge-filter/?srsltid=AfmBOoqi5MS0-X_AJuO9yQAd6J4tvlUkXLVE_ZfjgzCai0eZmK29E3Tq&amp;utm_source=chatgpt.com" TargetMode="External"/><Relationship Id="rId294" Type="http://schemas.openxmlformats.org/officeDocument/2006/relationships/hyperlink" Target="https://geradordeprecos.info/obra_nova/Instalacoes/Electricas/Sistemas_de_terra/Condutor_de_terra.html" TargetMode="External"/><Relationship Id="rId179" Type="http://schemas.openxmlformats.org/officeDocument/2006/relationships/hyperlink" Target="https://www.nicolaurosa.com/acessorios-pvc-colar/4929-valvula-pvc-pressao-colar-90-mm-en1452-3-pn16-5603480037600.html?utm_source=chatgpt.com" TargetMode="External"/><Relationship Id="rId178" Type="http://schemas.openxmlformats.org/officeDocument/2006/relationships/hyperlink" Target="https://piscinasteixeira.pt/loja/inicio/73-regulador-de-nivel-hayward.html" TargetMode="External"/><Relationship Id="rId299" Type="http://schemas.openxmlformats.org/officeDocument/2006/relationships/hyperlink" Target="https://hortavolt.pt/produto/tubo-corrugado-20mm-vermelho/" TargetMode="External"/><Relationship Id="rId177" Type="http://schemas.openxmlformats.org/officeDocument/2006/relationships/hyperlink" Target="https://www.sospiscinas.pt/product/bomba-doseadora-prim-ph-com-kit-completo/?utm_source=chatgpt.com" TargetMode="External"/><Relationship Id="rId298" Type="http://schemas.openxmlformats.org/officeDocument/2006/relationships/hyperlink" Target="https://lisboaled.pt/pvc-rigidos/2767-cabo-h07v-r-v-150-azul.html" TargetMode="External"/><Relationship Id="rId20" Type="http://schemas.openxmlformats.org/officeDocument/2006/relationships/hyperlink" Target="http://www.geradordeprecos.info/obra_nova/Remates_e_trabalhos_auxiliares/Bases/De_betao/Base_de_betao__para_apoio_de_maquinaria.html" TargetMode="External"/><Relationship Id="rId22" Type="http://schemas.openxmlformats.org/officeDocument/2006/relationships/hyperlink" Target="https://www.majodir.com/pt/materiais-para-construcao/perfil-ipn_p1985.html" TargetMode="External"/><Relationship Id="rId21" Type="http://schemas.openxmlformats.org/officeDocument/2006/relationships/hyperlink" Target="https://www.geradordeprecos.info/reabilitacao/Estruturas/Metalicas/Pilares/Aco_em_pilares.html" TargetMode="External"/><Relationship Id="rId24" Type="http://schemas.openxmlformats.org/officeDocument/2006/relationships/hyperlink" Target="https://www.notion.so/viorabuild/TIJOLO-30x20x25-Termoetics-TIJOLAGUEDA-36Un-Palete-27918f663873811e9ec0c62e16986c70?v=27218f663873809eb58f000c5b9a4558&amp;source=copy_link" TargetMode="External"/><Relationship Id="rId23" Type="http://schemas.openxmlformats.org/officeDocument/2006/relationships/hyperlink" Target="https://www.masterferro.pt/uploads/catalogo/ficheiros/1723134096_5591_TP3_VIGAS_2024-08-05.pdf" TargetMode="External"/><Relationship Id="rId26" Type="http://schemas.openxmlformats.org/officeDocument/2006/relationships/hyperlink" Target="https://www.notion.so/viorabuild/TIJOLO-30x20x11-PRECERAM-NORTE-252Un-Palete-27918f6638738169b75aff5d0a3d014c?source=copy_link" TargetMode="External"/><Relationship Id="rId25" Type="http://schemas.openxmlformats.org/officeDocument/2006/relationships/hyperlink" Target="https://www.notion.so/viorabuild/TIJOLO-30x20x15-PRECERAM-NORTE-180Un-Palete-27918f663873813889bbeb48f3c167fc?source=copy_link" TargetMode="External"/><Relationship Id="rId28" Type="http://schemas.openxmlformats.org/officeDocument/2006/relationships/hyperlink" Target="https://www.notion.so/viorabuild/50x20x25-27818f663873808c9b4bed8845a8aec9?source=copy_link" TargetMode="External"/><Relationship Id="rId27" Type="http://schemas.openxmlformats.org/officeDocument/2006/relationships/hyperlink" Target="https://www.notion.so/viorabuild/30-20-7-27818f66387380d996bcf37c92beb8b2?source=copy_link" TargetMode="External"/><Relationship Id="rId29" Type="http://schemas.openxmlformats.org/officeDocument/2006/relationships/hyperlink" Target="https://www.notion.so/viorabuild/50x20x20-27818f663873801086e9f18ba90c885c?source=copy_link" TargetMode="External"/><Relationship Id="rId11" Type="http://schemas.openxmlformats.org/officeDocument/2006/relationships/hyperlink" Target="https://www.notion.so/viorabuild/16-A500NR-SD-27818f66387380699930c7972c7d6795?v=27218f663873809eb58f000c5b9a4558&amp;source=copy_link" TargetMode="External"/><Relationship Id="rId10" Type="http://schemas.openxmlformats.org/officeDocument/2006/relationships/hyperlink" Target="https://www.notion.so/viorabuild/10-A500NR-SD-27818f66387380958cece6218082802f?v=27218f663873809eb58f000c5b9a4558&amp;source=copy_link" TargetMode="External"/><Relationship Id="rId13" Type="http://schemas.openxmlformats.org/officeDocument/2006/relationships/hyperlink" Target="https://www.notion.so/viorabuild/ARAME-RECOZIDO-No-18-1-24mm-8e53f9310a39404aa018d1d7a0e4f3a5?v=27218f663873809eb58f000c5b9a4558&amp;source=copy_link" TargetMode="External"/><Relationship Id="rId12" Type="http://schemas.openxmlformats.org/officeDocument/2006/relationships/hyperlink" Target="https://www.notion.so/viorabuild/8-A500NR-SD-27818f663873807fb0e7fcc8778a13e1?v=27218f663873809eb58f000c5b9a4558&amp;source=copy_link" TargetMode="External"/><Relationship Id="rId15" Type="http://schemas.openxmlformats.org/officeDocument/2006/relationships/hyperlink" Target="https://www.worten.pt/produtos/disco-de-corte-vito-madeira-serra-circul-180x24-mrkean-5604612025212" TargetMode="External"/><Relationship Id="rId198" Type="http://schemas.openxmlformats.org/officeDocument/2006/relationships/hyperlink" Target="https://casapeixoto.pt/3873-mangas-e-tubos-isolantes" TargetMode="External"/><Relationship Id="rId14" Type="http://schemas.openxmlformats.org/officeDocument/2006/relationships/hyperlink" Target="https://www.leroymerlin.pt/produtos/disco-de-corte-para-metal-230-mm-82007335.html?utm_source=chatgpt.com" TargetMode="External"/><Relationship Id="rId197" Type="http://schemas.openxmlformats.org/officeDocument/2006/relationships/hyperlink" Target="https://www.nicolaurosa.com/tubo-cobre-nu/1313-tubo-de-cobre-nu-28-x-12-mm-vara-5-m-5603480028585.html?utm_source=chatgpt.com" TargetMode="External"/><Relationship Id="rId17" Type="http://schemas.openxmlformats.org/officeDocument/2006/relationships/hyperlink" Target="https://www.notion.so/viorabuild/Cobiax-28818f663873801bba19d00370caf17c?v=28718f66387380f68676000c7f8df675&amp;source=copy_link" TargetMode="External"/><Relationship Id="rId196" Type="http://schemas.openxmlformats.org/officeDocument/2006/relationships/hyperlink" Target="https://www.nicolaurosa.com/img/cms/cms/tabela-em-pdf/105.pdf?utm_source=chatgpt.com" TargetMode="External"/><Relationship Id="rId16" Type="http://schemas.openxmlformats.org/officeDocument/2006/relationships/hyperlink" Target="https://yuanxianmaoyi.en.made-in-china.com/product/ynCUhHroYuRY/China-PC-Strand-Steel-Strand-Wire-7-Wire-15-7mm-for-Building-Bridge-Construction.html" TargetMode="External"/><Relationship Id="rId195" Type="http://schemas.openxmlformats.org/officeDocument/2006/relationships/hyperlink" Target="https://ozonolda.com/loja/materiais-de-instalacao-e-consumiveis/tubo-de-cobre-isolado/tubo-cobre-isolado-refrigeracao-3-4-ar-condicionado/?utm_source=chatgpt.com" TargetMode="External"/><Relationship Id="rId19" Type="http://schemas.openxmlformats.org/officeDocument/2006/relationships/hyperlink" Target="https://www.bricobutikk.pt/products/junta-de-dilatacao-para-betonilhas-1-metro" TargetMode="External"/><Relationship Id="rId18" Type="http://schemas.openxmlformats.org/officeDocument/2006/relationships/hyperlink" Target="https://www.bricobutikk.pt/products/junta-hidro-expansiva-bentonite?variant=42979196797157" TargetMode="External"/><Relationship Id="rId199" Type="http://schemas.openxmlformats.org/officeDocument/2006/relationships/hyperlink" Target="https://cmedeiros.pt/produto/isolamento-4/?utm_source=chatgpt.com" TargetMode="External"/><Relationship Id="rId84" Type="http://schemas.openxmlformats.org/officeDocument/2006/relationships/hyperlink" Target="https://www.leroymerlin.pt/produtos/argamassa-fina-para-acabamento-weber-rev-pasta-branco-15kg-17651865.html?utm_source=chatgpt.com" TargetMode="External"/><Relationship Id="rId83" Type="http://schemas.openxmlformats.org/officeDocument/2006/relationships/hyperlink" Target="https://www.obras360.pt/0080150018sk-revestimento-verniz-incolor-sika-sikagard-680-s-pt-incolor-de-protecao-para-betao?srsltid=AfmBOorGW--C2ySrYGJ3m-CNJC2Ukm7m01U7qzNkJ7J71-zWoDCojhwA&amp;utm_source=chatgpt.com" TargetMode="External"/><Relationship Id="rId86" Type="http://schemas.openxmlformats.org/officeDocument/2006/relationships/hyperlink" Target="https://www.geradordeprecos.info/obra_nova/Fachadas__divisoes_e_proteccoes/Fachadas_cortina/Sistemas_de_fachada_cortina/FMY010_Sistema__CORTIZO__de_fachada_cortin.html?utm_source=chatgpt.com" TargetMode="External"/><Relationship Id="rId85" Type="http://schemas.openxmlformats.org/officeDocument/2006/relationships/hyperlink" Target="https://www.pimacon.com/produto/Constru%C3%A7%C3%A3o/Cimentos/Rebocos/weberrev-pasta-cinza-saco-15kg-?utm_source=chatgpt.com" TargetMode="External"/><Relationship Id="rId88" Type="http://schemas.openxmlformats.org/officeDocument/2006/relationships/hyperlink" Target="https://www.ferramentaspro.pt/pt/cin/primario-epgc-300-15l-10-600-cin_p10189.html?srsltid=AfmBOoomWPXEX3yaln7jXX8Ww013hyJa9k0P7QyGGCBnRPBIuP0jPqfs" TargetMode="External"/><Relationship Id="rId150" Type="http://schemas.openxmlformats.org/officeDocument/2006/relationships/hyperlink" Target="https://www.nicolaurosa.com/armaflex-fonoblock/5739-tubolit-ar-fonoblock-75-mm-15-m-tl-70-5-ar-armaflex-7612207144178.html?utm_source=chatgpt.com" TargetMode="External"/><Relationship Id="rId271" Type="http://schemas.openxmlformats.org/officeDocument/2006/relationships/hyperlink" Target="https://electrominor.pt/collections/quadros-modulares-1/products/quadro-estanque-12-mod-porta-transparente-barramento" TargetMode="External"/><Relationship Id="rId87" Type="http://schemas.openxmlformats.org/officeDocument/2006/relationships/hyperlink" Target="https://www.geradordeprecos.info/obra_nova/Fachadas__divisoes_e_proteccoes/Paredes_divisorias_de_placas/De_placas_de_gesso_laminado/FBY022_Parede_de_placas_de_gesso_laminado_.html?utm_source=chatgpt.com" TargetMode="External"/><Relationship Id="rId270" Type="http://schemas.openxmlformats.org/officeDocument/2006/relationships/hyperlink" Target="https://www.obramat.pt/produtos/quadro-eletrico-de-superficie-42-modulos-362x544x104mm-com-porta-10834152.html" TargetMode="External"/><Relationship Id="rId89" Type="http://schemas.openxmlformats.org/officeDocument/2006/relationships/hyperlink" Target="https://www.tintas-vital.pt/product/cinaqua-tinta-aquosa-mate-5l-e-15l?option=3463938" TargetMode="External"/><Relationship Id="rId80" Type="http://schemas.openxmlformats.org/officeDocument/2006/relationships/hyperlink" Target="https://www.obras360.pt/0100060067ta-malha-de-reboco-tecarm?srsltid=AfmBOorgKfyr2_VlYaWpD60iigcVdhq0QzeO35IY4r1QHSROyfyVigGL&amp;utm_source=chatgpt.com" TargetMode="External"/><Relationship Id="rId82" Type="http://schemas.openxmlformats.org/officeDocument/2006/relationships/hyperlink" Target="https://topeca.pt/pt/product/perfil-cantos-placa-gesso-pvc?srsltid=AfmBOopXGjRzwRUu9Vtzj0zqa2wkcumrJt3Q_XrHkNwNZNLcP4sXJ9Uj&amp;utm_source=chatgpt.com" TargetMode="External"/><Relationship Id="rId81" Type="http://schemas.openxmlformats.org/officeDocument/2006/relationships/hyperlink" Target="https://www.obramat.pt/produtos/argamassa-reboco-mh19-25kg-cinza-25070663.html?utm_source=chatgpt.com" TargetMode="External"/><Relationship Id="rId1" Type="http://schemas.openxmlformats.org/officeDocument/2006/relationships/comments" Target="../comments2.xml"/><Relationship Id="rId2" Type="http://schemas.openxmlformats.org/officeDocument/2006/relationships/hyperlink" Target="https://www.notion.so/viorabuild/Bet-o-C12-15-X0-P-Cl-1-0-Dm-x-22-mm-S4-27818f66387380c2a559fa945aa476a2?v=27218f663873809eb58f000c5b9a4558&amp;source=copy_link" TargetMode="External"/><Relationship Id="rId3" Type="http://schemas.openxmlformats.org/officeDocument/2006/relationships/hyperlink" Target="https://www.notion.so/viorabuild/Bet-o-C16-20-X0-P-Cl0-40-Dm-x-15-mm-S2-27818f66387380909f91ed2702d5ad82?v=27218f663873809eb58f000c5b9a4558&amp;source=copy_link" TargetMode="External"/><Relationship Id="rId149" Type="http://schemas.openxmlformats.org/officeDocument/2006/relationships/hyperlink" Target="https://www.nicolaurosa.com/armaflex-ace-plus/5595-isolamento-ace-plus-9-x-50-mm-espessura-x-diametro-interno-vara-2-m-armaflex-7612207392845.html?utm_source=chatgpt.com" TargetMode="External"/><Relationship Id="rId4" Type="http://schemas.openxmlformats.org/officeDocument/2006/relationships/hyperlink" Target="https://www.notion.so/viorabuild/Bet-o-C30-37-XC2-P-Cl0-40-Dm-x-22-mm-S4-27818f663873800f97f5f6205ad7a7b7?v=27218f663873809eb58f000c5b9a4558&amp;source=copy_link" TargetMode="External"/><Relationship Id="rId148" Type="http://schemas.openxmlformats.org/officeDocument/2006/relationships/hyperlink" Target="https://www.boni-shop.pt/shop/boni-3008606-insul-tube-r-h-plus-borracha-2m-isolamento-de-tubos-o-42-mm-x-40-mm-isolamento-100-geg-24006?utm_source=chatgpt.com" TargetMode="External"/><Relationship Id="rId269" Type="http://schemas.openxmlformats.org/officeDocument/2006/relationships/hyperlink" Target="https://www.obramat.pt/eletricidade/quadros-eeetricos-e-comunicacoes/quadros-eletricos/" TargetMode="External"/><Relationship Id="rId9" Type="http://schemas.openxmlformats.org/officeDocument/2006/relationships/hyperlink" Target="https://www.notion.so/viorabuild/Var-o-para-bet-o-12mm-A500NR-SD-comp-6M-4a22fc2c93344823a352460c5caeec9f?v=27218f663873809eb58f000c5b9a4558&amp;source=copy_link" TargetMode="External"/><Relationship Id="rId143" Type="http://schemas.openxmlformats.org/officeDocument/2006/relationships/hyperlink" Target="https://www.nicolaurosa.com/tubo-pvc-colar/4523-tubo-pvc-pressao-40-mm-pn10-colar-vara-de-5-m-en1452-5603480021333.html?utm_source=chatgpt.com" TargetMode="External"/><Relationship Id="rId264" Type="http://schemas.openxmlformats.org/officeDocument/2006/relationships/hyperlink" Target="https://www.sodeca.pt/files/catalogs/pt/SODECA_Tarifa_Componentes_PT_02-10-11.pdf" TargetMode="External"/><Relationship Id="rId142" Type="http://schemas.openxmlformats.org/officeDocument/2006/relationships/hyperlink" Target="https://www.nicolaurosa.com/tubo-cobre-revestido/1334-tubo-de-cobre-revestido-15-x-1-mm-rolo-25-m-5603480028653.html?utm_source=chatgpt.com" TargetMode="External"/><Relationship Id="rId263" Type="http://schemas.openxmlformats.org/officeDocument/2006/relationships/hyperlink" Target="https://www.saniluz.pt/products/grelha-galvanizada-estampada-1000x150" TargetMode="External"/><Relationship Id="rId141" Type="http://schemas.openxmlformats.org/officeDocument/2006/relationships/hyperlink" Target="https://www.nicolaurosa.com/polietileno-gas/5236-tubo-pead-gas-20-x-30-mm-5603480041324.html?utm_source=chatgpt.com" TargetMode="External"/><Relationship Id="rId262" Type="http://schemas.openxmlformats.org/officeDocument/2006/relationships/hyperlink" Target="https://www.arimec.eu/wp-content/uploads/2022/01/11-grilles-diffusers-pricelist-v220101.pdf" TargetMode="External"/><Relationship Id="rId140" Type="http://schemas.openxmlformats.org/officeDocument/2006/relationships/hyperlink" Target="https://www.nicolaurosa.com/tubo-pvc-din/4454-tubo-pvc-pressao-110-mm-pn10-com-o-ring-vara-de-6-m-en1452-5603480051279.html?utm_source=chatgpt.com" TargetMode="External"/><Relationship Id="rId261" Type="http://schemas.openxmlformats.org/officeDocument/2006/relationships/hyperlink" Target="https://fricer.pt/product/263gi600150/" TargetMode="External"/><Relationship Id="rId5" Type="http://schemas.openxmlformats.org/officeDocument/2006/relationships/hyperlink" Target="https://www.notion.so/viorabuild/Bet-o-C40-50-XS1-P-Cl0-20-Dm-x-16-mm-S4-27818f66387380369f9ef4170edbeed8?v=27218f663873809eb58f000c5b9a4558&amp;source=copy_link" TargetMode="External"/><Relationship Id="rId147" Type="http://schemas.openxmlformats.org/officeDocument/2006/relationships/hyperlink" Target="https://www.azhabitacao.pt/aguas-e-drenagem/transporte-aguas/tubo-de-agua-potavel-pead-10-kgbar/tubo-em-polietileno-com-risca-azul-o-75-mm-10-kg-bars-c100-m?utm_source=chatgpt.com" TargetMode="External"/><Relationship Id="rId268" Type="http://schemas.openxmlformats.org/officeDocument/2006/relationships/hyperlink" Target="https://www.obramat.pt/eletricidade/quadros-eeetricos-e-comunicacoes/quadros-eletricos/" TargetMode="External"/><Relationship Id="rId6" Type="http://schemas.openxmlformats.org/officeDocument/2006/relationships/hyperlink" Target="https://www.notion.so/viorabuild/Bet-o-C20-25-XC2-Cl0-40-S3-2e880beb603f48b191a326ee16d12ed5?source=copy_link" TargetMode="External"/><Relationship Id="rId146" Type="http://schemas.openxmlformats.org/officeDocument/2006/relationships/hyperlink" Target="https://www.nicolaurosa.com/tubo-pvc-din/4453-tubo-pvc-pressao-90-mm-pn10-com-o-ring-vara-de-6-m-en1452-5603480051262.html?utm_source=chatgpt.com" TargetMode="External"/><Relationship Id="rId267" Type="http://schemas.openxmlformats.org/officeDocument/2006/relationships/hyperlink" Target="https://www.tev.pt/pt/produtos/tev/caixas-para-contadores/contador-de-energia/caixa-contador-p-edp-box.html" TargetMode="External"/><Relationship Id="rId7" Type="http://schemas.openxmlformats.org/officeDocument/2006/relationships/hyperlink" Target="https://www.geradordeprecos.info/obra_nova/Fundacoes/Betoes__acos_e_cofragens/Betoes/Betao_simples.html" TargetMode="External"/><Relationship Id="rId145" Type="http://schemas.openxmlformats.org/officeDocument/2006/relationships/hyperlink" Target="https://www.nicolaurosa.com/tubo-pvc-colar/4526-tubo-pvc-pressao-75-mm-pn10-colar-vara-de-6-m-en1452-5603480021364.html?utm_source=chatgpt.com" TargetMode="External"/><Relationship Id="rId266" Type="http://schemas.openxmlformats.org/officeDocument/2006/relationships/hyperlink" Target="https://www.obramat.pt/produtos/quadro-electrico-de-superficie-com-porta-12-modulos-302x247x104mm-10347680.html" TargetMode="External"/><Relationship Id="rId8" Type="http://schemas.openxmlformats.org/officeDocument/2006/relationships/hyperlink" Target="https://www.notion.so/viorabuild/CORD-O-JUNT-POLIET-EXPAND-30mm-200mt-RL-27918f6638738119b590d37c86715d85?v=27218f663873809eb58f000c5b9a4558&amp;source=copy_link" TargetMode="External"/><Relationship Id="rId144" Type="http://schemas.openxmlformats.org/officeDocument/2006/relationships/hyperlink" Target="https://www.nicolaurosa.com/tubo-pvc-colar/4524-tubo-pvc-pressao-50-mm-pn10-colar-vara-de-5-m-en1452-5603480021340.html?utm_source=chatgpt.com" TargetMode="External"/><Relationship Id="rId265" Type="http://schemas.openxmlformats.org/officeDocument/2006/relationships/hyperlink" Target="https://www.leroymerlin.pt/produtos/grelha-autoreguladora-de-entrada-de-ar-45m3-h-14430731.html" TargetMode="External"/><Relationship Id="rId73" Type="http://schemas.openxmlformats.org/officeDocument/2006/relationships/hyperlink" Target="https://www.etsy.com/ie/listing/1839190712/bx3-nagel-fur-beton-27mm-fur-hilti-bx3?utm_source=chatgpt.com" TargetMode="External"/><Relationship Id="rId72" Type="http://schemas.openxmlformats.org/officeDocument/2006/relationships/hyperlink" Target="https://www.maxmat.pt/pt/produtos/placas-de-gesso/perfis-para-placas-de-gesso_1120-416.html?utm_source=chatgpt.com" TargetMode="External"/><Relationship Id="rId75" Type="http://schemas.openxmlformats.org/officeDocument/2006/relationships/hyperlink" Target="https://casapeixoto.pt/ferragens/fixacao/parafusos/15021-paraf-trpf-3-5x9-5mm-cx-1000-un-p-gesso-cart-auto-roscante" TargetMode="External"/><Relationship Id="rId74" Type="http://schemas.openxmlformats.org/officeDocument/2006/relationships/hyperlink" Target="https://casapeixoto.pt/ferragens/fixacao/parafusos/15020-paraf-ttpc-3-5x25mm-cx-1000-un-p-gesso-cart?srsltid=AfmBOopTs-oh3XLA87w1QQlst9aROvub_GaF7lGvZt_ssGZ0djVZxWy9&amp;utm_source=chatgpt.com" TargetMode="External"/><Relationship Id="rId77" Type="http://schemas.openxmlformats.org/officeDocument/2006/relationships/hyperlink" Target="https://www.leroymerlin.pt/produtos/fita-de-papel-para-placas-de-gesso-standers-juntas-150m-18769422.html?utm_source=chatgpt.com" TargetMode="External"/><Relationship Id="rId260" Type="http://schemas.openxmlformats.org/officeDocument/2006/relationships/hyperlink" Target="https://www.arimec.eu/wp-content/uploads/2022/01/11-grilles-diffusers-pricelist-v220101.pdf" TargetMode="External"/><Relationship Id="rId76" Type="http://schemas.openxmlformats.org/officeDocument/2006/relationships/hyperlink" Target="https://www.obramat.pt/produtos/broca-betao-cyl-3-6x150mm-bosch-10455970.html?utm_source=chatgpt.com" TargetMode="External"/><Relationship Id="rId79" Type="http://schemas.openxmlformats.org/officeDocument/2006/relationships/hyperlink" Target="https://www.geradordeprecos.info/obra_nova/Fundacoes/Betoes__acos_e_cofragens/Betoes/Betao_simples.html?utm_source=chatgpt.com" TargetMode="External"/><Relationship Id="rId78" Type="http://schemas.openxmlformats.org/officeDocument/2006/relationships/hyperlink" Target="https://www.notion.so/viorabuild/Semin-CE-78-25kg-27818f66387380d18c52f1d7ade0677e?source=copy_link" TargetMode="External"/><Relationship Id="rId71" Type="http://schemas.openxmlformats.org/officeDocument/2006/relationships/hyperlink" Target="https://mundimatonline.pt/loja/sem-categoria/placa-standard-mdf/?utm_source=chatgpt.com" TargetMode="External"/><Relationship Id="rId70" Type="http://schemas.openxmlformats.org/officeDocument/2006/relationships/hyperlink" Target="https://www.pimacon.com/produto/Constru%C3%A7%C3%A3o/Gesso-Cartonado/Placas/placa-gesso-cartonado-ba13a-2500x1200-mm-gyptec-" TargetMode="External"/><Relationship Id="rId139" Type="http://schemas.openxmlformats.org/officeDocument/2006/relationships/hyperlink" Target="https://www.nicolaurosa.com/tubo-pvc-colar/4525-tubo-pvc-pressao-63-mm-pn10-colar-vara-de-6-m-en1452-5603480021357.html?utm_source=chatgpt.com" TargetMode="External"/><Relationship Id="rId138" Type="http://schemas.openxmlformats.org/officeDocument/2006/relationships/hyperlink" Target="https://www.nicolaurosa.com/tubo-mepla/26576-tubo-multicamada-40-mm-em-vara-5-m-mepla-geberit-605100001-4025416070863.html" TargetMode="External"/><Relationship Id="rId259" Type="http://schemas.openxmlformats.org/officeDocument/2006/relationships/hyperlink" Target="https://fricer.pt/product/263diflin1vb50/" TargetMode="External"/><Relationship Id="rId137" Type="http://schemas.openxmlformats.org/officeDocument/2006/relationships/hyperlink" Target="https://www.nicolaurosa.com/tubo-mepla/26575-tubo-multicamada-32-mm-em-vara-5-m-mepla-geberit-604100001-4025416070856.html" TargetMode="External"/><Relationship Id="rId258" Type="http://schemas.openxmlformats.org/officeDocument/2006/relationships/hyperlink" Target="https://www.sodeca.pt/files/catalogs/pt/SODECA_Tarifa_Componentes_PT_02-10-11.pdf" TargetMode="External"/><Relationship Id="rId132" Type="http://schemas.openxmlformats.org/officeDocument/2006/relationships/hyperlink" Target="https://www.hidraulicart.pt/loja-online/tubo-polietileno-rega/tubo-polietileno-alta-densidade/" TargetMode="External"/><Relationship Id="rId253" Type="http://schemas.openxmlformats.org/officeDocument/2006/relationships/hyperlink" Target="https://groupsumi.pt/casa-e-cozinha/extracao-de-ar-industrial/recuperacao-de-calor/vmc-de-fluxo-duplo-com-recuperacao-de-calor-s-p-altair-120-v-5153811200" TargetMode="External"/><Relationship Id="rId131" Type="http://schemas.openxmlformats.org/officeDocument/2006/relationships/hyperlink" Target="https://www.obramat.pt/canalizacao/sistemas-de-rega/tubos-de-polietileno/" TargetMode="External"/><Relationship Id="rId252" Type="http://schemas.openxmlformats.org/officeDocument/2006/relationships/hyperlink" Target="http://www.geradordeprecos.info/obra_nova/Instalacoes/Aquecimento__climatizacao_e_A_Q_S_/Sistemas_de_conducao_de_ar/Conduta_de_chapa_galvanizada.html" TargetMode="External"/><Relationship Id="rId130" Type="http://schemas.openxmlformats.org/officeDocument/2006/relationships/hyperlink" Target="https://aspereira.pt/loja/monocomando-de-lava-loica-bica-giratoria-chuveiro-extraivel-inox-bruma-197-010-1is/" TargetMode="External"/><Relationship Id="rId251" Type="http://schemas.openxmlformats.org/officeDocument/2006/relationships/hyperlink" Target="https://www.nicolaurosa.com/tubo-e-acessorios-spiro/12172-tubo-spiro-galvanizado-150-mm-vara-3-m-5603480014632.html" TargetMode="External"/><Relationship Id="rId250" Type="http://schemas.openxmlformats.org/officeDocument/2006/relationships/hyperlink" Target="https://www.nicolaurosa.com/tubo-e-acessorios-spiro/12167-tubo-spiro-galvanizado-100-mm-vara3-m-5603480014601.html" TargetMode="External"/><Relationship Id="rId136" Type="http://schemas.openxmlformats.org/officeDocument/2006/relationships/hyperlink" Target="https://www.nicolaurosa.com/924-tubo-mepla" TargetMode="External"/><Relationship Id="rId257" Type="http://schemas.openxmlformats.org/officeDocument/2006/relationships/hyperlink" Target="https://www.sodeca.pt/files/catalogs/pt/SODECA_Tarifa_Componentes_PT_02-10-11.pdf" TargetMode="External"/><Relationship Id="rId135" Type="http://schemas.openxmlformats.org/officeDocument/2006/relationships/hyperlink" Target="https://www.nicolaurosa.com/922-127-sistema-multicamada-mepla" TargetMode="External"/><Relationship Id="rId256" Type="http://schemas.openxmlformats.org/officeDocument/2006/relationships/hyperlink" Target="https://www.leroymerlin.pt/produtos/valvula-anti-retorno-para-100-mm-de-extracao-de-extracao-de-retorno-obturador-84168379.html" TargetMode="External"/><Relationship Id="rId134" Type="http://schemas.openxmlformats.org/officeDocument/2006/relationships/hyperlink" Target="https://www.nicolaurosa.com/922-127-sistema-multicamada-mepla" TargetMode="External"/><Relationship Id="rId255" Type="http://schemas.openxmlformats.org/officeDocument/2006/relationships/hyperlink" Target="https://odem.pt/products/grelhas-em-abs-com-regulador" TargetMode="External"/><Relationship Id="rId133" Type="http://schemas.openxmlformats.org/officeDocument/2006/relationships/hyperlink" Target="https://www.azhabitacao.pt/aguas-e-drenagem/transporte-aguas/tubo-de-agua-potavel-pead-10-kgbar/tubo-em-polietileno-com-risca-azul-o-40-mm-10-kg-bars-c100-m" TargetMode="External"/><Relationship Id="rId254" Type="http://schemas.openxmlformats.org/officeDocument/2006/relationships/hyperlink" Target="https://termocliv.pt/product/mu-tt-100-ventilador-in-line/" TargetMode="External"/><Relationship Id="rId62" Type="http://schemas.openxmlformats.org/officeDocument/2006/relationships/hyperlink" Target="https://www.notion.so/viorabuild/Kerakoll-H40-Gel-Branco-20KG-94721416d61f4964a0029ddac3169f1c?source=copy_link" TargetMode="External"/><Relationship Id="rId61" Type="http://schemas.openxmlformats.org/officeDocument/2006/relationships/hyperlink" Target="https://www.notion.so/viorabuild/WEBER-COL-FLEX-M-BRANCO-25KG-be32c81a78334e5cbbbaa442d38ad2d6?source=copy_link" TargetMode="External"/><Relationship Id="rId64" Type="http://schemas.openxmlformats.org/officeDocument/2006/relationships/hyperlink" Target="https://www.notion.so/viorabuild/Weber-Premium-27818f663873803f9b46fcc5e00bcdf3?source=copy_link" TargetMode="External"/><Relationship Id="rId63" Type="http://schemas.openxmlformats.org/officeDocument/2006/relationships/hyperlink" Target="https://www.davidnuno.com/(S(y4rsfcdepz04gkwzbfoanbqy))/artigo.aspx?code=10510514" TargetMode="External"/><Relationship Id="rId66" Type="http://schemas.openxmlformats.org/officeDocument/2006/relationships/hyperlink" Target="https://www.bricobutikk.pt/products/sikafloor%C2%AE-264-a-b-20kg" TargetMode="External"/><Relationship Id="rId172" Type="http://schemas.openxmlformats.org/officeDocument/2006/relationships/hyperlink" Target="https://pooldive.pt/product/acti-ph-minus-15/?utm_source=chatgpt.com" TargetMode="External"/><Relationship Id="rId293" Type="http://schemas.openxmlformats.org/officeDocument/2006/relationships/hyperlink" Target="https://www.leroymerlin.pt/produtos/conector-x-perfil-com-fita-led-aretha-86994831.html" TargetMode="External"/><Relationship Id="rId65" Type="http://schemas.openxmlformats.org/officeDocument/2006/relationships/hyperlink" Target="https://www.armazensreis.pt/pt/colas-e-fitas-adesivas/cola-para-parquet-soudal-base-pvac-1kg_p12509.html" TargetMode="External"/><Relationship Id="rId171" Type="http://schemas.openxmlformats.org/officeDocument/2006/relationships/hyperlink" Target="https://www.samuel-janeiro.pt/catalog/item/7be0fc4c4d005aface5b3a3e0d562b46" TargetMode="External"/><Relationship Id="rId292" Type="http://schemas.openxmlformats.org/officeDocument/2006/relationships/hyperlink" Target="https://casapeixoto.pt/canalizacoes-e-saneamento/saneamento/caixas-saneamento/16030-caixa-visita-betao-60x60x25-cm" TargetMode="External"/><Relationship Id="rId68" Type="http://schemas.openxmlformats.org/officeDocument/2006/relationships/hyperlink" Target="https://casapeixoto.pt/pavimentos-e-revestimentos/mosaicos-ceramicos/acessorios-aplicacao-de-ceramica/3659-perfil-cantoneira-inox-15x15x1-2mt?srsltid=AfmBOoq3dhsw_55dBufghyiebzIyY5c5tH5czguTuvFePMOT0Ea938nU&amp;utm_source=chatgpt.com" TargetMode="External"/><Relationship Id="rId170" Type="http://schemas.openxmlformats.org/officeDocument/2006/relationships/hyperlink" Target="https://piscinasteixeira.pt/loja/negativos/144-ralos-de-fundo-superpool.html" TargetMode="External"/><Relationship Id="rId291" Type="http://schemas.openxmlformats.org/officeDocument/2006/relationships/hyperlink" Target="https://mauser.pt/catalog/product_info.php?products_id=302-2824" TargetMode="External"/><Relationship Id="rId67" Type="http://schemas.openxmlformats.org/officeDocument/2006/relationships/hyperlink" Target="https://www.notion.so/viorabuild/Nivelador-Smart-2-0-mm-Bolsa-C-300-Un-62122-cortag-89879da730c84a6c8f71b14bd97f3924?source=copy_link" TargetMode="External"/><Relationship Id="rId290" Type="http://schemas.openxmlformats.org/officeDocument/2006/relationships/hyperlink" Target="https://www.obramat.pt/produtos/tubo-pvc-anelado-reforcado-20mm-50m-10319106.html" TargetMode="External"/><Relationship Id="rId60" Type="http://schemas.openxmlformats.org/officeDocument/2006/relationships/hyperlink" Target="https://www.notion.so/viorabuild/Argamassa-Colagem-ETICS-CARCOLA-K30-Branco-25Kg-Saco-27918f6638738112bc6ad904420d45fe?source=copy_link" TargetMode="External"/><Relationship Id="rId165" Type="http://schemas.openxmlformats.org/officeDocument/2006/relationships/hyperlink" Target="https://www.piscinayspa.com/pt/filtragem/28/filtragem/12846/filtro-cartucho-clean-and-clear-plus-pentair/?srsltid=AfmBOopJqYFTYO64oLyJ3l-j4ghy9cbVVctDtG10_WXXUP-e_vr1RLxL&amp;utm_source=chatgpt.com" TargetMode="External"/><Relationship Id="rId286" Type="http://schemas.openxmlformats.org/officeDocument/2006/relationships/hyperlink" Target="https://casapeixoto.pt/eletricidade-e-comunicacoes/eletricidade/tubos-e-mangas/11953-tubo-corrugado-ww-o-63mm-vermelho-50mt-dupla-parede" TargetMode="External"/><Relationship Id="rId69" Type="http://schemas.openxmlformats.org/officeDocument/2006/relationships/hyperlink" Target="https://www.leroymerlin.pt/produtos/placa-de-gesso-hidrofugada-2500-mm-verde-gypfor-aqua-81959437.html?utm_source=chatgpt.com" TargetMode="External"/><Relationship Id="rId164" Type="http://schemas.openxmlformats.org/officeDocument/2006/relationships/hyperlink" Target="https://mhi.pt/categoria-produto/hidrantes/?utm_source=chatgpt.com" TargetMode="External"/><Relationship Id="rId285" Type="http://schemas.openxmlformats.org/officeDocument/2006/relationships/hyperlink" Target="https://casapeixoto.pt/canalizacoes-e-saneamento/saneamento/tubos-saneamento/400-tubo-corrugado-sn8-125-vara-6-2mt" TargetMode="External"/><Relationship Id="rId163" Type="http://schemas.openxmlformats.org/officeDocument/2006/relationships/hyperlink" Target="https://www.obras360.pt/0150080796-regulador-de-tiragem-caleffi-529" TargetMode="External"/><Relationship Id="rId284" Type="http://schemas.openxmlformats.org/officeDocument/2006/relationships/hyperlink" Target="https://www.plusdias.com/produto/cabo-xv-3g2-5-mm2-06-1kv-ctazv-a-pt-1m/" TargetMode="External"/><Relationship Id="rId162" Type="http://schemas.openxmlformats.org/officeDocument/2006/relationships/hyperlink" Target="https://www.tagus.com.pt/product/heliroma-multicamada-klimapress-joelho-90o-com-pater-3?srsltid=AfmBOopXyFYsK6tGx4bvJr-jplX8mOyaumA4F4Q2gcVf2hDaZOEEMXlu&amp;utm_source=chatgpt.com" TargetMode="External"/><Relationship Id="rId283" Type="http://schemas.openxmlformats.org/officeDocument/2006/relationships/hyperlink" Target="https://www.obramat.pt/produtos/cabo-rv-u-3g-6mm2-50m-preto-25086588.html" TargetMode="External"/><Relationship Id="rId169" Type="http://schemas.openxmlformats.org/officeDocument/2006/relationships/hyperlink" Target="https://jardiboutique.com/en/traversee-de-paroi/7274-wall-feedthrough-3352.html" TargetMode="External"/><Relationship Id="rId168" Type="http://schemas.openxmlformats.org/officeDocument/2006/relationships/hyperlink" Target="https://www.samuel-janeiro.pt/catalog/item/6095753318eda2ae839fcaa741623204" TargetMode="External"/><Relationship Id="rId289" Type="http://schemas.openxmlformats.org/officeDocument/2006/relationships/hyperlink" Target="https://casapeixoto.pt/eletricidade-e-comunicacoes/eletricidade/tubos-e-mangas/763-tubo-corrugado-ww-o-32mm-vermelho-50mt-dupla-parede" TargetMode="External"/><Relationship Id="rId167" Type="http://schemas.openxmlformats.org/officeDocument/2006/relationships/hyperlink" Target="https://www.samuel-janeiro.pt/catalog/item/c0b1ce282c6f774c66895e498a54b41a?srsltid=AfmBOorhh9JJnx8HYOlRjqsXL9MXeoYVD6HZn9-xu_ev7MdbeVmLOacS&amp;utm_source=chatgpt.com" TargetMode="External"/><Relationship Id="rId288" Type="http://schemas.openxmlformats.org/officeDocument/2006/relationships/hyperlink" Target="https://casapeixoto.pt/eletricidade-e-comunicacoes/eletricidade/tubos-e-mangas/11952-tubo-corrugado-ww-o-40mm-vermelho-50mt-dupla-parede" TargetMode="External"/><Relationship Id="rId166" Type="http://schemas.openxmlformats.org/officeDocument/2006/relationships/hyperlink" Target="https://www.hidraulicart.pt/loja-online/aparelhos-sal-2/electrolisis-salina-promatic-lifeguard/?utm_source=chatgpt.com" TargetMode="External"/><Relationship Id="rId287" Type="http://schemas.openxmlformats.org/officeDocument/2006/relationships/hyperlink" Target="https://casapeixoto.pt/eletricidade-e-comunicacoes/eletricidade/tubos-e-mangas/11943-tubo-corrugado-ww-o-50mm-vermelho-50mt-dupla-parede" TargetMode="External"/><Relationship Id="rId51" Type="http://schemas.openxmlformats.org/officeDocument/2006/relationships/hyperlink" Target="https://www.olx.pt/d/anuncio/casca-de-pinho-15-25-granel-embalada-IDI0I9L.html" TargetMode="External"/><Relationship Id="rId50" Type="http://schemas.openxmlformats.org/officeDocument/2006/relationships/hyperlink" Target="https://www.plantalivre.pt/pt/plantas/produtos-complementares/casca-de-pinho-big-bag-1-m3" TargetMode="External"/><Relationship Id="rId53" Type="http://schemas.openxmlformats.org/officeDocument/2006/relationships/hyperlink" Target="https://www.obras360.pt/0010020262-xps-poliestireno-extrudido-isolamento-termico-rooftec-sl-floortec-300-cobertura-pavimento" TargetMode="External"/><Relationship Id="rId52" Type="http://schemas.openxmlformats.org/officeDocument/2006/relationships/hyperlink" Target="https://www.obramat.pt/produtos/argamassa-betonilha-rapida-fassa-sv472-25kg-25070597.html" TargetMode="External"/><Relationship Id="rId55" Type="http://schemas.openxmlformats.org/officeDocument/2006/relationships/hyperlink" Target="https://placogesso.pt/produto/la-mineral-volcalis-comfort-painel/" TargetMode="External"/><Relationship Id="rId161" Type="http://schemas.openxmlformats.org/officeDocument/2006/relationships/hyperlink" Target="https://gncgarden.com/pt/bueiros/rain-bird-hdpe-padrao-vbstdh-comprimento-da-caixa-59-x-largura-49-x-altura-31-cm.html?utm_source=chatgpt.com" TargetMode="External"/><Relationship Id="rId282" Type="http://schemas.openxmlformats.org/officeDocument/2006/relationships/hyperlink" Target="https://www.obramat.pt/produtos/cabo-rv-u-3g-6mm2-50m-preto-25086588.html" TargetMode="External"/><Relationship Id="rId54" Type="http://schemas.openxmlformats.org/officeDocument/2006/relationships/hyperlink" Target="http://www.lusomatec.pt/pt/produtos/celenit/produtos/celenit-l2" TargetMode="External"/><Relationship Id="rId160" Type="http://schemas.openxmlformats.org/officeDocument/2006/relationships/hyperlink" Target="https://www.esutil.pt/valvula-de-esfera-para-mangueira-b4e7a/?utm_source=chatgpt.com" TargetMode="External"/><Relationship Id="rId281" Type="http://schemas.openxmlformats.org/officeDocument/2006/relationships/hyperlink" Target="https://electropescador.pt/1260-material-eletrico-cabos-exntesoes-e-fichas-cabo-rigido-a-metro" TargetMode="External"/><Relationship Id="rId57" Type="http://schemas.openxmlformats.org/officeDocument/2006/relationships/hyperlink" Target="https://www.leroymerlin.pt/produtos/construcao/isolamento/isolamento-por-tipo-de-produto/la-de-vidro/" TargetMode="External"/><Relationship Id="rId280" Type="http://schemas.openxmlformats.org/officeDocument/2006/relationships/hyperlink" Target="https://www.chlengenharia.pt/compra/fio-h07v-u-1-5-cinza-preco-por-metro-588831" TargetMode="External"/><Relationship Id="rId56" Type="http://schemas.openxmlformats.org/officeDocument/2006/relationships/hyperlink" Target="https://placogesso.pt/produto/la-mineral-volcalis-comfort-painel/" TargetMode="External"/><Relationship Id="rId159" Type="http://schemas.openxmlformats.org/officeDocument/2006/relationships/hyperlink" Target="https://aguafria.pt/equipamento-de-osmose/119-sistema-domestico-de-osmose-inversa-de-5-fases-sem-bomba.html?utm_source=chatgpt.com" TargetMode="External"/><Relationship Id="rId59" Type="http://schemas.openxmlformats.org/officeDocument/2006/relationships/hyperlink" Target="https://www.notion.so/viorabuild/BUCHA-Simples-PLAST-10X60mm-CX-500un-27918f6638738117a2a8d65cd7562113?source=copy_link" TargetMode="External"/><Relationship Id="rId154" Type="http://schemas.openxmlformats.org/officeDocument/2006/relationships/hyperlink" Target="https://www.nicolaurosa.com/tubo-polietileno-agua-potavel/24104-tubo-pead-pn10-d125-mm-uso-potavel-mrs10-em-varas-de-6-ou-12-m.html?utm_source=chatgpt.com" TargetMode="External"/><Relationship Id="rId275" Type="http://schemas.openxmlformats.org/officeDocument/2006/relationships/hyperlink" Target="https://www.obramat.pt/produtos/cabo-electrico-sihf-j-3g2-5-rj-mr-b500-metro-linear-25092254.html" TargetMode="External"/><Relationship Id="rId58" Type="http://schemas.openxmlformats.org/officeDocument/2006/relationships/hyperlink" Target="https://www.leroymerlin.pt/produtos/construcao/isolamento/isolamento-por-tipo-de-produto/la-de-vidro/" TargetMode="External"/><Relationship Id="rId153" Type="http://schemas.openxmlformats.org/officeDocument/2006/relationships/hyperlink" Target="https://casapeixoto.pt/canalizacoes-e-saneamento/agua/mangas-e-tubos-isolantes/31005-armaflex-ar-90-110-mm-rl-15mt-esgoto" TargetMode="External"/><Relationship Id="rId274" Type="http://schemas.openxmlformats.org/officeDocument/2006/relationships/hyperlink" Target="https://www.maxmat.pt/pt/cabo-ho7-v-u-1x1.5mm-preto-1m_p12168.html?id=1164&amp;cat=0&amp;pc=1" TargetMode="External"/><Relationship Id="rId152" Type="http://schemas.openxmlformats.org/officeDocument/2006/relationships/hyperlink" Target="https://www.nicolaurosa.com/tubo-pvc-din/4455-tubo-pvc-pressao-125-mm-pn10-com-o-ring-vara-de-6-m-en1452-5603480051286.html?utm_source=chatgpt.com" TargetMode="External"/><Relationship Id="rId273" Type="http://schemas.openxmlformats.org/officeDocument/2006/relationships/hyperlink" Target="https://loja.watt.pt/material-electrico-quadros-electricos-quadros-montagem-embutida-quadro-embutir-2-filas-24-modulos-tev-e224" TargetMode="External"/><Relationship Id="rId151" Type="http://schemas.openxmlformats.org/officeDocument/2006/relationships/hyperlink" Target="https://www.geradordeprecos.info/obra_nova/Isolamentos_e_impermeabilizacoes/Isolamentos/Tubagens_e_tubos_de_queda/Isolamento_acustico_de_tubos_de_queda.html?utm_source=chatgpt.com" TargetMode="External"/><Relationship Id="rId272" Type="http://schemas.openxmlformats.org/officeDocument/2006/relationships/hyperlink" Target="https://loja.watt.pt/material-electrico-quadros-electricos-quadros-montagem-embutida-quadro-embutir-2-filas-24-modulos-tev-e224" TargetMode="External"/><Relationship Id="rId158" Type="http://schemas.openxmlformats.org/officeDocument/2006/relationships/hyperlink" Target="https://www.leroymerlin.pt/produtos/equipamento-de-osmose-inversa-5-etapas-eur-50-bp-13249586.html?utm_source=chatgpt.com" TargetMode="External"/><Relationship Id="rId279" Type="http://schemas.openxmlformats.org/officeDocument/2006/relationships/hyperlink" Target="https://www.chlengenharia.pt/compra/fio-h07v-u-1-5-castanho-preco-por-metro-588830" TargetMode="External"/><Relationship Id="rId157" Type="http://schemas.openxmlformats.org/officeDocument/2006/relationships/hyperlink" Target="https://www.sanipower.pt/sistemas/gas/acessorios/transicao-monobloco-pecobre?utm_source=chatgpt.com" TargetMode="External"/><Relationship Id="rId278" Type="http://schemas.openxmlformats.org/officeDocument/2006/relationships/hyperlink" Target="https://www.obramat.pt/produtos/fio-rigido-h07v-u-1-5mm2-25m-azul-25080905.html" TargetMode="External"/><Relationship Id="rId156" Type="http://schemas.openxmlformats.org/officeDocument/2006/relationships/hyperlink" Target="https://shop.puntoluce.net/en/Tecnogas-50401-gas-meter-G4-1-1-4?item=TGS00000050401&amp;utm_source=chatgpt.com" TargetMode="External"/><Relationship Id="rId277" Type="http://schemas.openxmlformats.org/officeDocument/2006/relationships/hyperlink" Target="https://www.chlengenharia.pt/compra/fio-h07v-u-4mm2-azul-preco-por-metro-588839" TargetMode="External"/><Relationship Id="rId155" Type="http://schemas.openxmlformats.org/officeDocument/2006/relationships/hyperlink" Target="https://www.nicolaurosa.com/img/cms/cms/tabela-em-pdf/140.pdf?utm_source=chatgpt.com" TargetMode="External"/><Relationship Id="rId276" Type="http://schemas.openxmlformats.org/officeDocument/2006/relationships/hyperlink" Target="https://www.chlengenharia.pt/compra/fio-h07v-u-4mm2-azul-preco-por-metro-588839" TargetMode="External"/><Relationship Id="rId107" Type="http://schemas.openxmlformats.org/officeDocument/2006/relationships/hyperlink" Target="https://www.notion.so/27818f66387380508f0ef07f61fd5963?source=copy_link" TargetMode="External"/><Relationship Id="rId228" Type="http://schemas.openxmlformats.org/officeDocument/2006/relationships/hyperlink" Target="https://www.nicolaurosa.com/solar-vulcano/25778-fh2-2t-estrutura-de-aluminio-de-suporte-para-2-coletores-horizontais-fkt-2w-vulcano-7717500165.html" TargetMode="External"/><Relationship Id="rId106" Type="http://schemas.openxmlformats.org/officeDocument/2006/relationships/hyperlink" Target="https://www.leroymerlin.pt/produtos/pavimentos-e-revestimentos/pavimento-e-revestimento-exterior/pavimento-de-pedra-betao-e-calcada/pavimento-de-betao/pavimento-em-pave-p.html?utm_source=chatgpt.com" TargetMode="External"/><Relationship Id="rId227" Type="http://schemas.openxmlformats.org/officeDocument/2006/relationships/hyperlink" Target="https://lojasolar.pt/produto/coletor-solar-4000tf-fcc220-2v-cte/" TargetMode="External"/><Relationship Id="rId105" Type="http://schemas.openxmlformats.org/officeDocument/2006/relationships/hyperlink" Target="https://www.aglou-cimentos.pt/?utm_source=chatgpt.com" TargetMode="External"/><Relationship Id="rId226" Type="http://schemas.openxmlformats.org/officeDocument/2006/relationships/hyperlink" Target="https://www.rolearmais.pt/uploads/files/Tabela-Precos-Aquecimento-e-Solar-Termico-MAR2023.pdf" TargetMode="External"/><Relationship Id="rId104" Type="http://schemas.openxmlformats.org/officeDocument/2006/relationships/hyperlink" Target="https://www.bricodepot.pt/placa-de-betao-m6352-50x50cm-5600346386353?utm_source=chatgpt.com" TargetMode="External"/><Relationship Id="rId225" Type="http://schemas.openxmlformats.org/officeDocument/2006/relationships/hyperlink" Target="https://aspereira.pt/loja/servomotor-p-a-valvula-3-vias-motorizada-orkli-24v/" TargetMode="External"/><Relationship Id="rId109" Type="http://schemas.openxmlformats.org/officeDocument/2006/relationships/hyperlink" Target="https://www.notion.so/27818f66387380e08027f262d3f643bf?source=copy_link" TargetMode="External"/><Relationship Id="rId108" Type="http://schemas.openxmlformats.org/officeDocument/2006/relationships/hyperlink" Target="https://www.notion.so/27818f66387380ce9df4c11d5f26b456?source=copy_link" TargetMode="External"/><Relationship Id="rId229" Type="http://schemas.openxmlformats.org/officeDocument/2006/relationships/hyperlink" Target="https://www.rolearmais.pt/uploads/files/Tabela-Precos-Aquecimento-e-Solar-Termico-MAR2023.pdf" TargetMode="External"/><Relationship Id="rId220" Type="http://schemas.openxmlformats.org/officeDocument/2006/relationships/hyperlink" Target="https://claudiomarques.pt/pt/inicio/1853-1106-grupo-hidraulico-aquecimento-central-m2.html" TargetMode="External"/><Relationship Id="rId341" Type="http://schemas.openxmlformats.org/officeDocument/2006/relationships/hyperlink" Target="http://recipp.ipp.pt/" TargetMode="External"/><Relationship Id="rId340" Type="http://schemas.openxmlformats.org/officeDocument/2006/relationships/hyperlink" Target="https://www.chlengenharia.pt/compra/fio-h07v-r-16-verde-amarelo-preco-por-metro-588815" TargetMode="External"/><Relationship Id="rId103" Type="http://schemas.openxmlformats.org/officeDocument/2006/relationships/hyperlink" Target="https://www.leroymerlin.pt/produtos/pavimento-ceramico-luxor-cinza-33-3x33-3cm-gresart-82054235.html?gad_source=1&amp;gad_campaignid=22183779830&amp;gbraid=0AAAAAoLk9FX4yuarxmpDcP7EO1dyZ7xRA&amp;gclid=CjwKCAjwtrXFBhBiEiwAEKen1w4RTppDDk1UZYM3R5V-Qa2QvzME9wG_UUHoTMyiMd_OYSghbBj9uRoCwBoQAvD_BwE" TargetMode="External"/><Relationship Id="rId224" Type="http://schemas.openxmlformats.org/officeDocument/2006/relationships/hyperlink" Target="https://www.oli-world.com/download/21090302315720.pdf" TargetMode="External"/><Relationship Id="rId102" Type="http://schemas.openxmlformats.org/officeDocument/2006/relationships/hyperlink" Target="https://www.leroymerlin.pt/produtos/espuma-expansiva-poliuretano-multiusos-750-ml-88879273.html?utm_source=chatgpt.com" TargetMode="External"/><Relationship Id="rId223" Type="http://schemas.openxmlformats.org/officeDocument/2006/relationships/hyperlink" Target="https://www.oli-world.com/download/21090302315720.pdf" TargetMode="External"/><Relationship Id="rId101" Type="http://schemas.openxmlformats.org/officeDocument/2006/relationships/hyperlink" Target="https://placonascente.pt/uploads/rte/Catalogo-PDF/TABELA_PRE%C3%87OS.pdf" TargetMode="External"/><Relationship Id="rId222" Type="http://schemas.openxmlformats.org/officeDocument/2006/relationships/hyperlink" Target="https://www.rolearmais.pt/uploads/files/Tabela-Precos-Aquecimento-e-Solar-Termico-MAR2023.pdf" TargetMode="External"/><Relationship Id="rId343" Type="http://schemas.openxmlformats.org/officeDocument/2006/relationships/vmlDrawing" Target="../drawings/vmlDrawing2.vml"/><Relationship Id="rId100" Type="http://schemas.openxmlformats.org/officeDocument/2006/relationships/hyperlink" Target="https://www.nicolaurosa.com/canais-betao-polimero/6605-canal-de-betao-polimero-self200-em-modulos-de-1-m-largura-204-mm-altura-140-mm-classe-de-carga-ate-c250-ulma-self200-5603480038812.html" TargetMode="External"/><Relationship Id="rId221" Type="http://schemas.openxmlformats.org/officeDocument/2006/relationships/hyperlink" Target="https://mauser.pt/catalog/product_info.php?products_id=095-0995" TargetMode="External"/><Relationship Id="rId342" Type="http://schemas.openxmlformats.org/officeDocument/2006/relationships/drawing" Target="../drawings/drawing8.xml"/><Relationship Id="rId217" Type="http://schemas.openxmlformats.org/officeDocument/2006/relationships/hyperlink" Target="https://www.disner.pt/coletores-de-piso-radiante/819-caixa-de-colector-de-6-a-10-vias-piso-radiante.html" TargetMode="External"/><Relationship Id="rId338" Type="http://schemas.openxmlformats.org/officeDocument/2006/relationships/hyperlink" Target="https://www.castroelectronica.pt/pt/product/cabo-fibra-monomodo-scapc--scapc--1-metro" TargetMode="External"/><Relationship Id="rId216" Type="http://schemas.openxmlformats.org/officeDocument/2006/relationships/hyperlink" Target="https://www.climatizastore.pt/caixa-metalica-encastrar-giacomini-800-x-450-x-110-mm-para-coletor-piso-radiante" TargetMode="External"/><Relationship Id="rId337" Type="http://schemas.openxmlformats.org/officeDocument/2006/relationships/hyperlink" Target="https://lisboaled.pt/redes-e-telecomunicacoes-cabos/2922-cabo-cat-6-4x2xawg24-utp-flex-5600005212214.html" TargetMode="External"/><Relationship Id="rId215" Type="http://schemas.openxmlformats.org/officeDocument/2006/relationships/hyperlink" Target="https://www.nicolaurosa.com/chao-radiante-uponor/20001-coletor-caudalimetro-fm-7-saidas-3-4-euro-uponor-1085949-4021598133785.html" TargetMode="External"/><Relationship Id="rId336" Type="http://schemas.openxmlformats.org/officeDocument/2006/relationships/hyperlink" Target="https://www.castroelectronica.pt/pt/product/cabo-coaxial-televes-2141-plus-ited-metro" TargetMode="External"/><Relationship Id="rId214" Type="http://schemas.openxmlformats.org/officeDocument/2006/relationships/hyperlink" Target="https://www.leroymerlin.pt/produtos/coletor-de-piso-radiante-refrescante-em-poliamida-com-6-circuitos-da-marca-noyon-thiebault-89918245.html" TargetMode="External"/><Relationship Id="rId335" Type="http://schemas.openxmlformats.org/officeDocument/2006/relationships/hyperlink" Target="https://lojadoeletricista.pt/produto/adaptador-fibra-sc-apc-duplex-quiterios/" TargetMode="External"/><Relationship Id="rId219" Type="http://schemas.openxmlformats.org/officeDocument/2006/relationships/hyperlink" Target="https://seguiclima.com/es/pr/giacomini/r179mx024-adaptador-p-tubo-plastico-18x-16x2-0-r179am-giacomini-GIAAD179AM24-960" TargetMode="External"/><Relationship Id="rId218" Type="http://schemas.openxmlformats.org/officeDocument/2006/relationships/hyperlink" Target="https://groupsumi.pt/canalizacao/acessorios-para-instalacao-de-gas-e-agua/chaves-e-valvulas/valvula-de-esfera-macho-femea-1-vermelho-3038-06" TargetMode="External"/><Relationship Id="rId339" Type="http://schemas.openxmlformats.org/officeDocument/2006/relationships/hyperlink" Target="https://www.chlengenharia.pt/compra/fio-h07v-u-6-preto-preco-por-metro-588847" TargetMode="External"/><Relationship Id="rId330" Type="http://schemas.openxmlformats.org/officeDocument/2006/relationships/hyperlink" Target="https://www.chlengenharia.pt/compra/jsl-caixa-c2-interior-preco-por-un-634864" TargetMode="External"/><Relationship Id="rId213" Type="http://schemas.openxmlformats.org/officeDocument/2006/relationships/hyperlink" Target="https://eletrix.pt/shop/1973-coletores-pre-montados" TargetMode="External"/><Relationship Id="rId334" Type="http://schemas.openxmlformats.org/officeDocument/2006/relationships/hyperlink" Target="https://lojadoeletricista.pt/produto/tomada-rj45-cat-6-stp-efapel/" TargetMode="External"/><Relationship Id="rId212" Type="http://schemas.openxmlformats.org/officeDocument/2006/relationships/hyperlink" Target="https://www.outlet-piscinas.pt/anti-calcario-liquido-ctx-600" TargetMode="External"/><Relationship Id="rId333" Type="http://schemas.openxmlformats.org/officeDocument/2006/relationships/hyperlink" Target="https://teclusa.pt/index.php?id_product=2330&amp;controller=product" TargetMode="External"/><Relationship Id="rId211" Type="http://schemas.openxmlformats.org/officeDocument/2006/relationships/hyperlink" Target="https://www.hilarioalves.com/pt/abracadeira-clip-p-tubo-vd-branca/p-22897" TargetMode="External"/><Relationship Id="rId332" Type="http://schemas.openxmlformats.org/officeDocument/2006/relationships/hyperlink" Target="https://eficilux.pt/caixa-telecomunicacoes-i1-15i1/" TargetMode="External"/><Relationship Id="rId210" Type="http://schemas.openxmlformats.org/officeDocument/2006/relationships/hyperlink" Target="https://matrial.pt/produto/aditivo-quimico-cimento-10l/" TargetMode="External"/><Relationship Id="rId331" Type="http://schemas.openxmlformats.org/officeDocument/2006/relationships/hyperlink" Target="https://www.leroymerlin.pt/produtos/caixa-cam-coluna-cemu-1-int-quiterios-0009416-92092104.html" TargetMode="External"/><Relationship Id="rId129" Type="http://schemas.openxmlformats.org/officeDocument/2006/relationships/hyperlink" Target="https://www.evier-de-chef.com/be/Prix/EVIER-BLANCO-AXIA-III-6S-SGP-NOIR-ED-PB-17117.html" TargetMode="External"/><Relationship Id="rId128" Type="http://schemas.openxmlformats.org/officeDocument/2006/relationships/hyperlink" Target="https://www.scribd.com/document/611163817/Tabela-Precos-Vidros?utm_source=chatgpt.com" TargetMode="External"/><Relationship Id="rId249" Type="http://schemas.openxmlformats.org/officeDocument/2006/relationships/hyperlink" Target="https://www.leroymerlin.pt/produtos/tubo-de-pvc-80mm-3m-cinza-19441835.html" TargetMode="External"/><Relationship Id="rId127" Type="http://schemas.openxmlformats.org/officeDocument/2006/relationships/hyperlink" Target="https://www.bricodepot.pt/espejo-de-pared-redondo-teca-40-cm-2?utm_source=chatgpt.com" TargetMode="External"/><Relationship Id="rId248" Type="http://schemas.openxmlformats.org/officeDocument/2006/relationships/hyperlink" Target="https://ventileco.com/pt/33-conduta-rigida-de-aco-galvanizado-2-metros.html" TargetMode="External"/><Relationship Id="rId126" Type="http://schemas.openxmlformats.org/officeDocument/2006/relationships/hyperlink" Target="https://topeca.pt/en/product/tubo-flexivel-pp-metalizado-cromio-a-132-jimten" TargetMode="External"/><Relationship Id="rId247" Type="http://schemas.openxmlformats.org/officeDocument/2006/relationships/hyperlink" Target="https://www.manutan.pt/pt/map/tubo-para-condutas-de-ventilacao-rigidas-o-80-a-125-mm" TargetMode="External"/><Relationship Id="rId121" Type="http://schemas.openxmlformats.org/officeDocument/2006/relationships/hyperlink" Target="https://bernstein-sanitarios.pt/products/torneira-misturadora-de-bid-de-design-1238c-cromado-elegante" TargetMode="External"/><Relationship Id="rId242" Type="http://schemas.openxmlformats.org/officeDocument/2006/relationships/hyperlink" Target="https://www.quimipool.com/pt/11549-40-kw-pahlen-hi-flow-permutador-de-calor-em-titanio-t40.html" TargetMode="External"/><Relationship Id="rId120" Type="http://schemas.openxmlformats.org/officeDocument/2006/relationships/hyperlink" Target="https://www.bruma.pt/assets/catalogs/Bruma_X-Alpha_No_Price_2024_25_PTV1.pdf?utm_source=chatgpt.com" TargetMode="External"/><Relationship Id="rId241" Type="http://schemas.openxmlformats.org/officeDocument/2006/relationships/hyperlink" Target="https://www.sohorta.pt/produto/bomba-piscina-astral-victoria-plus-silent-0-75cv-monofasica/" TargetMode="External"/><Relationship Id="rId240" Type="http://schemas.openxmlformats.org/officeDocument/2006/relationships/hyperlink" Target="https://groupsumi.pt/canalizacao/bombas-de-agua/bombas-circuladoras/bomba-circuladora-alpha2-25-60-n-130-99411287" TargetMode="External"/><Relationship Id="rId125" Type="http://schemas.openxmlformats.org/officeDocument/2006/relationships/hyperlink" Target="https://www.sanipower.pt/agua/bruma/torneiras-casa-de-banho/bruma-sifao-elo-cromado" TargetMode="External"/><Relationship Id="rId246" Type="http://schemas.openxmlformats.org/officeDocument/2006/relationships/hyperlink" Target="https://www.hidraulicart.pt/loja-online/climatizacao/bombas-de-calor-mr-silence/" TargetMode="External"/><Relationship Id="rId124" Type="http://schemas.openxmlformats.org/officeDocument/2006/relationships/hyperlink" Target="https://areastore.com/products/84635-inox-toalheiro-65cm" TargetMode="External"/><Relationship Id="rId245" Type="http://schemas.openxmlformats.org/officeDocument/2006/relationships/hyperlink" Target="https://klima.pt/pt/45-acessorios" TargetMode="External"/><Relationship Id="rId123" Type="http://schemas.openxmlformats.org/officeDocument/2006/relationships/hyperlink" Target="https://areastore.com/en/products/84633-inox-porta-rolo-de-papel" TargetMode="External"/><Relationship Id="rId244" Type="http://schemas.openxmlformats.org/officeDocument/2006/relationships/hyperlink" Target="https://www.leroymerlin.pt/produtos/valvula-esfera-motorizada-de-3-vias-passagem-total-1-2-91655017.html" TargetMode="External"/><Relationship Id="rId122" Type="http://schemas.openxmlformats.org/officeDocument/2006/relationships/hyperlink" Target="https://casapeixoto.pt/casas-de-banho/torneiras-e-chuveiros/misturadoras-encastraveis/5310-sistema-de-duche-duche-encastre-cromado-bruma-lusitano?srsltid=AfmBOooIzL8vtNehBz3TVkTnOqVnhJhNjyNzYRXkeXd2lft3V1R1ziLO&amp;utm_source=chatgpt.com" TargetMode="External"/><Relationship Id="rId243" Type="http://schemas.openxmlformats.org/officeDocument/2006/relationships/hyperlink" Target="https://aspereira.pt/loja/valvula-misturadora-termostatica-caleffi-3-4-52150/" TargetMode="External"/><Relationship Id="rId95" Type="http://schemas.openxmlformats.org/officeDocument/2006/relationships/hyperlink" Target="https://www.notion.so/viorabuild/TELA-SOLO-P-JARDIM-Preta-4-20mt-x100Mt-420m2-RL-27918f66387381268684c320563f27ec?source=copy_link" TargetMode="External"/><Relationship Id="rId94" Type="http://schemas.openxmlformats.org/officeDocument/2006/relationships/hyperlink" Target="https://www.leroymerlin.pt/produtos/aica-corrimao-de-escada-balaustrada-guarda-corpo-p-interiores-e-exteriores-120-cm-5-travessas-95202885.html" TargetMode="External"/><Relationship Id="rId97" Type="http://schemas.openxmlformats.org/officeDocument/2006/relationships/hyperlink" Target="https://www.ovarmat.pt/pt/tosca/ripa-de-madeira-tratada-toscca_p19701.html" TargetMode="External"/><Relationship Id="rId96" Type="http://schemas.openxmlformats.org/officeDocument/2006/relationships/hyperlink" Target="https://maderterraneo.com/pt/producto/traviesas-ecologicas-en-madera-de-pino-tratado" TargetMode="External"/><Relationship Id="rId99" Type="http://schemas.openxmlformats.org/officeDocument/2006/relationships/hyperlink" Target="https://securfix.pt/products/porta-dupla-de-ferro-sob-medida-montblanc?utm_source=chatgpt.com" TargetMode="External"/><Relationship Id="rId98" Type="http://schemas.openxmlformats.org/officeDocument/2006/relationships/hyperlink" Target="https://www.g-store.com.pt/produtos/artigo/cantoneira-10x10-mm-124?utm_source=chatgpt.com" TargetMode="External"/><Relationship Id="rId91" Type="http://schemas.openxmlformats.org/officeDocument/2006/relationships/hyperlink" Target="https://www.notion.so/viorabuild/CANAL-GRELHA-FFD-Mod-100-L140xH130xC1000mm-D400-27918f6638738111b5c5d275e6f0cbc6?source=copy_link" TargetMode="External"/><Relationship Id="rId90" Type="http://schemas.openxmlformats.org/officeDocument/2006/relationships/hyperlink" Target="https://casapeixoto.pt/pintura/tintas/acrilicas/18427-novaqua-hd-15lt-501" TargetMode="External"/><Relationship Id="rId93" Type="http://schemas.openxmlformats.org/officeDocument/2006/relationships/hyperlink" Target="http://www.geradordeprecos.info/obra_nova/Fachadas__divisoes_e_proteccoes/Proteccoes_e_gradeamentos/Guardas_e_corrimaos/Guarda_de_fachada__de_aco_inoxidavel.html" TargetMode="External"/><Relationship Id="rId92" Type="http://schemas.openxmlformats.org/officeDocument/2006/relationships/hyperlink" Target="https://www.andradinox.pt/produto/rede-electrosoldada-inox-aisi-304/?utm_source=chatgpt.com" TargetMode="External"/><Relationship Id="rId118" Type="http://schemas.openxmlformats.org/officeDocument/2006/relationships/hyperlink" Target="https://www.hilarioalves.com/pt/valvula-p-lavatorio-click-clack-cromada-1-1-4-/p-22178?cat=6762&amp;srsltid=AfmBOoo7n6a-yRrOBYnTPjJ4YoLYfNytQ7BNl092yV7x-UAksTlL75lA&amp;utm_source=chatgpt.com" TargetMode="External"/><Relationship Id="rId239" Type="http://schemas.openxmlformats.org/officeDocument/2006/relationships/hyperlink" Target="https://www.nicolaurosa.com/54-231-bombas-grundfos?p=6" TargetMode="External"/><Relationship Id="rId117" Type="http://schemas.openxmlformats.org/officeDocument/2006/relationships/hyperlink" Target="https://www.ferramentaspro.pt/pt/vito/torneira-passagem-esfera-34-ref-vitpe34-vito_p51267.html?srsltid=AfmBOoo2xgu5yhbD443nwpCMdm104LLBFua1OmsToVdHLEsjUVXFEM7j&amp;utm_source=chatgpt.com" TargetMode="External"/><Relationship Id="rId238" Type="http://schemas.openxmlformats.org/officeDocument/2006/relationships/hyperlink" Target="https://claudiomarques.pt/pt/inicio/1942-bomba-circuladora-para-aqs.html" TargetMode="External"/><Relationship Id="rId116" Type="http://schemas.openxmlformats.org/officeDocument/2006/relationships/hyperlink" Target="https://www.tradingdepot.co.uk/geberit-type10-wc-dual-flush-116-055-jq-1" TargetMode="External"/><Relationship Id="rId237" Type="http://schemas.openxmlformats.org/officeDocument/2006/relationships/hyperlink" Target="https://aspereira.pt/loja/grupo-de-enchimento-1-2-watts-c-man/" TargetMode="External"/><Relationship Id="rId115" Type="http://schemas.openxmlformats.org/officeDocument/2006/relationships/hyperlink" Target="https://sanundo.de/bad/drueckerplatten/fuer-wc/58729/geberit-delta10-betaetigungsplatte-fuer-spuel-stopp-spuelung-verschraubbar-edelstahl-115101005" TargetMode="External"/><Relationship Id="rId236" Type="http://schemas.openxmlformats.org/officeDocument/2006/relationships/hyperlink" Target="https://www.nicolaurosa.com/tubo-cobre-revestido/1344-tubo-de-cobre-revestido-18-x-1-mm-retalho-ao-metro-5603480028752.html" TargetMode="External"/><Relationship Id="rId119" Type="http://schemas.openxmlformats.org/officeDocument/2006/relationships/hyperlink" Target="https://www.bricodepot.pt/misturador-para-lavatorio-torneira-extraivel-para-banheiro-misturador-para?utm_source=chatgpt.com" TargetMode="External"/><Relationship Id="rId110" Type="http://schemas.openxmlformats.org/officeDocument/2006/relationships/hyperlink" Target="https://www.notion.so/27818f66387380bea933e7fbc8acea3c?source=copy_link" TargetMode="External"/><Relationship Id="rId231" Type="http://schemas.openxmlformats.org/officeDocument/2006/relationships/hyperlink" Target="https://www.rolearmais.pt/uploads/files/Tabela-Precos-Aquecimento-e-Solar-Termico-MAR2023.pdf" TargetMode="External"/><Relationship Id="rId230" Type="http://schemas.openxmlformats.org/officeDocument/2006/relationships/hyperlink" Target="https://www.climatizastore.pt/index.php?route=product/product&amp;path=5757_5758_5776_5792&amp;product_id=25624" TargetMode="External"/><Relationship Id="rId114" Type="http://schemas.openxmlformats.org/officeDocument/2006/relationships/hyperlink" Target="https://www.bricodepot.pt/bastidor-geberit-duofix-y-pulsador-delta-01-bl-br-con-inodoro-oasis-blanco-e9e5a595" TargetMode="External"/><Relationship Id="rId235" Type="http://schemas.openxmlformats.org/officeDocument/2006/relationships/hyperlink" Target="https://www.leroymerlin.pt/produtos/vaso-de-expansao-sanitario-25l-17529582.html" TargetMode="External"/><Relationship Id="rId113" Type="http://schemas.openxmlformats.org/officeDocument/2006/relationships/hyperlink" Target="https://www.leroymerlin.pt/produtos/horow-sanita-suspensa-completa-com-autoclismo-oculto-placa-de-descarga-sanita-suspensa-com-fecho-suave-96516198.html?utm_source=chatgpt.com" TargetMode="External"/><Relationship Id="rId234" Type="http://schemas.openxmlformats.org/officeDocument/2006/relationships/hyperlink" Target="https://www.sanipires.pt/en/vaso-de-expansao-25-l-aquecimento?" TargetMode="External"/><Relationship Id="rId112" Type="http://schemas.openxmlformats.org/officeDocument/2006/relationships/hyperlink" Target="https://habitium.com/pt/drenagem-de-duche/365638-246108-grade-para-duche-cleanline20-geberit.html" TargetMode="External"/><Relationship Id="rId233" Type="http://schemas.openxmlformats.org/officeDocument/2006/relationships/hyperlink" Target="https://www.nicolaurosa.com/vaso-expansao-solar/14654-vaso-de-expansao-s-50l-3-4-10-bar-120c-solar-reflex-8209500-4036705110375.html" TargetMode="External"/><Relationship Id="rId111" Type="http://schemas.openxmlformats.org/officeDocument/2006/relationships/hyperlink" Target="https://www.leroymerlin.pt/produtos/lancil-guia-betao-8x20x100-cm-presdouro-81988226.html" TargetMode="External"/><Relationship Id="rId232" Type="http://schemas.openxmlformats.org/officeDocument/2006/relationships/hyperlink" Target="https://aspereira.pt/loja/liquido-solar-10l-wtf10s/" TargetMode="External"/><Relationship Id="rId305" Type="http://schemas.openxmlformats.org/officeDocument/2006/relationships/hyperlink" Target="https://www.chlengenharia.pt/compra/fio-h07v-u-2-5-castanho-preco-por-metro-588835" TargetMode="External"/><Relationship Id="rId304" Type="http://schemas.openxmlformats.org/officeDocument/2006/relationships/hyperlink" Target="https://www.electromatoslda.com/produto/cabo-h05vv-f-fvv-3g2-5mm/" TargetMode="External"/><Relationship Id="rId303" Type="http://schemas.openxmlformats.org/officeDocument/2006/relationships/hyperlink" Target="https://loja.watt.pt/caixa-de-aparelhagem-funda" TargetMode="External"/><Relationship Id="rId302" Type="http://schemas.openxmlformats.org/officeDocument/2006/relationships/hyperlink" Target="https://mauser.pt/catalog/product_info.php?products_id=015-0781" TargetMode="External"/><Relationship Id="rId309" Type="http://schemas.openxmlformats.org/officeDocument/2006/relationships/hyperlink" Target="https://www.armazensreis.pt/pt/aparelhagem-electrica/tomada-schuko-monobloco-efapel-logus-90_p11857.html" TargetMode="External"/><Relationship Id="rId308" Type="http://schemas.openxmlformats.org/officeDocument/2006/relationships/hyperlink" Target="https://www.chlengenharia.pt/compra/jsl-caixa-de-aparelhagem-funda-preco-por-un-635868" TargetMode="External"/><Relationship Id="rId307" Type="http://schemas.openxmlformats.org/officeDocument/2006/relationships/hyperlink" Target="https://eficilux.pt/cabo-xv-vv-xv-3g4-mm-preto-p-unica/" TargetMode="External"/><Relationship Id="rId306" Type="http://schemas.openxmlformats.org/officeDocument/2006/relationships/hyperlink" Target="https://www.chlengenharia.pt/compra/cabo-vv-xv-3-g-2-5-preto-preco-por-metro-588901" TargetMode="External"/><Relationship Id="rId301" Type="http://schemas.openxmlformats.org/officeDocument/2006/relationships/hyperlink" Target="https://www.electromatoslda.com/produto/cabo-h05vv-f-fvv-3g1-5mm/" TargetMode="External"/><Relationship Id="rId300" Type="http://schemas.openxmlformats.org/officeDocument/2006/relationships/hyperlink" Target="https://www.castroelectronica.pt/pt/product/tubo-anelado-32mm" TargetMode="External"/><Relationship Id="rId206" Type="http://schemas.openxmlformats.org/officeDocument/2006/relationships/hyperlink" Target="https://www.sanitop.pt/portals/1/Imagens/servicos/Downloads/tabela-precos-armacell-2025.pdf" TargetMode="External"/><Relationship Id="rId327" Type="http://schemas.openxmlformats.org/officeDocument/2006/relationships/hyperlink" Target="https://www.kuantokusta.pt/p/9918880/efapel-espelho-simples-branco-siza-vieira" TargetMode="External"/><Relationship Id="rId205" Type="http://schemas.openxmlformats.org/officeDocument/2006/relationships/hyperlink" Target="https://www.obramat.pt/produtos/rolo-c-isolamento-azul-mc-25mm-25m-25025866.html" TargetMode="External"/><Relationship Id="rId326" Type="http://schemas.openxmlformats.org/officeDocument/2006/relationships/hyperlink" Target="https://www.castroelectronica.pt/pt/product/sensor-de-movimento-por-micro-ondas-de-embutir-220vac-1200w--orno-1" TargetMode="External"/><Relationship Id="rId204" Type="http://schemas.openxmlformats.org/officeDocument/2006/relationships/hyperlink" Target="https://www.boni-shop.pt/shop/boni-3001067-002-isolamento-tubos-2m-aquecimento-o-12-15-mm-20-mm-39553" TargetMode="External"/><Relationship Id="rId325" Type="http://schemas.openxmlformats.org/officeDocument/2006/relationships/hyperlink" Target="https://www.leroymerlin.pt/produtos/foco-de-encastrar-led-redondo-6w-luz-branco-quente-81933917.html" TargetMode="External"/><Relationship Id="rId203" Type="http://schemas.openxmlformats.org/officeDocument/2006/relationships/hyperlink" Target="https://www.nicolaurosa.com/tubo-pvc-sem-norma/5973-tubo-pvc-pn4-32-mm-vara-3-m-para-aguas-pluviais-e-ventilacao-5603480077415.html?utm_source=chatgpt.com" TargetMode="External"/><Relationship Id="rId324" Type="http://schemas.openxmlformats.org/officeDocument/2006/relationships/hyperlink" Target="https://www.castroelectronica.pt/pt/product/blister-4x-caixas-estanque-c-gel-ipx8-laranja--orno" TargetMode="External"/><Relationship Id="rId209" Type="http://schemas.openxmlformats.org/officeDocument/2006/relationships/hyperlink" Target="https://www.obras360.pt/001002-isolamentos-acusticos" TargetMode="External"/><Relationship Id="rId208" Type="http://schemas.openxmlformats.org/officeDocument/2006/relationships/hyperlink" Target="https://casapeixoto.pt/construcao/isolamentos-e-impermeabilizacao/las/26945-isover-la-rocha-70kg-geowall-034-painel-135x40cm-40mm" TargetMode="External"/><Relationship Id="rId329" Type="http://schemas.openxmlformats.org/officeDocument/2006/relationships/hyperlink" Target="https://www.chlengenharia.pt/compra/jsl-caixa-c1-interior-preco-por-un-634862" TargetMode="External"/><Relationship Id="rId207" Type="http://schemas.openxmlformats.org/officeDocument/2006/relationships/hyperlink" Target="https://www.sanitop.pt/tubo-pert-17-x-2-0-mm-rolo-240-m-para-piso-radiante" TargetMode="External"/><Relationship Id="rId328" Type="http://schemas.openxmlformats.org/officeDocument/2006/relationships/hyperlink" Target="https://www.chlengenharia.pt/compra/jsl-caixa-c0-exterior-preco-por-un-634846" TargetMode="External"/><Relationship Id="rId202" Type="http://schemas.openxmlformats.org/officeDocument/2006/relationships/hyperlink" Target="https://cmedeiros.pt/produto/isolamento-7/?utm_source=chatgpt.com" TargetMode="External"/><Relationship Id="rId323" Type="http://schemas.openxmlformats.org/officeDocument/2006/relationships/hyperlink" Target="https://sapol.pt/pt/loja/49749-caixa-de-derivacao-gewiss-300x220x120mm-ip56-detail.html" TargetMode="External"/><Relationship Id="rId201" Type="http://schemas.openxmlformats.org/officeDocument/2006/relationships/hyperlink" Target="https://www.bricodepot.pt/tubo-isolante-1-m-o-22-mm-5413257001174?utm_source=chatgpt.com" TargetMode="External"/><Relationship Id="rId322" Type="http://schemas.openxmlformats.org/officeDocument/2006/relationships/hyperlink" Target="https://hortavolt.pt/produto/cabo-xav-3x1-5mm/" TargetMode="External"/><Relationship Id="rId200" Type="http://schemas.openxmlformats.org/officeDocument/2006/relationships/hyperlink" Target="https://www.boni-shop.pt/shop/boni-3008334-climaflex-r-xt-2m-tubo-de-isolamento-o-12-15-mm-x-13-mm-isolamento-autoadesivo-50-geg-36354?utm_source=chatgpt.com" TargetMode="External"/><Relationship Id="rId321" Type="http://schemas.openxmlformats.org/officeDocument/2006/relationships/hyperlink" Target="https://loja.watt.pt/material-electrico-cabos-cabo-fvv-300-500v-flexivel-cabo-fvv-3x1.5mm-h05vv-f-pt-100m" TargetMode="External"/><Relationship Id="rId320" Type="http://schemas.openxmlformats.org/officeDocument/2006/relationships/hyperlink" Target="https://www.obramat.pt/produtos/cabo-plano-h05vv-f-2x1-5mm2-50m-branco-10004603.html" TargetMode="External"/><Relationship Id="rId316" Type="http://schemas.openxmlformats.org/officeDocument/2006/relationships/hyperlink" Target="https://www.simonelectric.com/pt/kgh120rf72-kit-caixa-piso-elevado-estanque-ip66-1-tomada-francesa-1-tampa-cega-estreita-bainha.html" TargetMode="External"/><Relationship Id="rId315" Type="http://schemas.openxmlformats.org/officeDocument/2006/relationships/hyperlink" Target="https://www.eibabo.pt/obo/tomada-de-chao-com-tomada-de-2-vias-caixa-de-instalacao-para-duto-sob-o-piso-udhome2-gv15v-eb10875408" TargetMode="External"/><Relationship Id="rId314" Type="http://schemas.openxmlformats.org/officeDocument/2006/relationships/hyperlink" Target="https://evchargers.com.pt/produto/v2c-trydan-c-cabo-6a-32a-monofasico-7-4kw-c-dlb-wi-fi-app-e-alexa-e-proteccoes-incluidas/" TargetMode="External"/><Relationship Id="rId313" Type="http://schemas.openxmlformats.org/officeDocument/2006/relationships/hyperlink" Target="https://www.casamartelo.com/pt/produto/efapel-48131ccz-tomada-cterra-estanque-cinz/70781049" TargetMode="External"/><Relationship Id="rId319" Type="http://schemas.openxmlformats.org/officeDocument/2006/relationships/hyperlink" Target="https://www.obramat.pt/produtos/caixa-derivacao-com-tampa-405-110x110x40mm-jsl-25084886.html" TargetMode="External"/><Relationship Id="rId318" Type="http://schemas.openxmlformats.org/officeDocument/2006/relationships/hyperlink" Target="https://www.plusdias.com/produto/cabo-h05vv-f-fvv-4g1-5-mm2-300-500v-ctptczv-a-pt-1m/" TargetMode="External"/><Relationship Id="rId317" Type="http://schemas.openxmlformats.org/officeDocument/2006/relationships/hyperlink" Target="https://www.legrand.pt/e-catalogo/plexo-new-ip55-componivel-tomada-2p-t-standard-f-b-branco-069621l.html" TargetMode="External"/><Relationship Id="rId312" Type="http://schemas.openxmlformats.org/officeDocument/2006/relationships/hyperlink" Target="https://www.casamartelo.com/pt/produto/efapel-48131ccz-tomada-cterra-estanque-cinz/70781049" TargetMode="External"/><Relationship Id="rId311" Type="http://schemas.openxmlformats.org/officeDocument/2006/relationships/hyperlink" Target="https://electropescador.pt/material-eletrico/interruptores-e-tomadas/tomadas/49595-centro-tomada-schuko-usb-ac-efapel-logus-90630-branco.html" TargetMode="External"/><Relationship Id="rId310" Type="http://schemas.openxmlformats.org/officeDocument/2006/relationships/hyperlink" Target="https://www.armazensreis.pt/pt/aparelhagem-electrica/tomada-schuko-monobloco-efapel-logus-90_p11857.html"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showGridLines="0" workbookViewId="0"/>
  </sheetViews>
  <sheetFormatPr customHeight="1" defaultColWidth="12.63" defaultRowHeight="15.0"/>
  <cols>
    <col customWidth="1" min="1" max="1" width="0.88"/>
    <col customWidth="1" min="2" max="2" width="8.0"/>
    <col customWidth="1" min="3" max="3" width="1.0"/>
    <col customWidth="1" min="4" max="4" width="30.38"/>
    <col customWidth="1" min="5" max="5" width="1.0"/>
    <col customWidth="1" min="6" max="6" width="12.88"/>
    <col customWidth="1" min="7" max="7" width="13.38"/>
    <col customWidth="1" min="8" max="8" width="21.63"/>
    <col customWidth="1" min="9" max="9" width="1.0"/>
    <col customWidth="1" min="10" max="10" width="34.5"/>
    <col customWidth="1" min="11" max="11" width="1.0"/>
    <col customWidth="1" min="12" max="12" width="22.5"/>
    <col customWidth="1" min="13" max="13" width="0.38"/>
    <col customWidth="1" min="14" max="26" width="12.25"/>
  </cols>
  <sheetData>
    <row r="1" ht="4.5" customHeight="1">
      <c r="A1" s="1" t="s">
        <v>0</v>
      </c>
      <c r="B1" s="2"/>
      <c r="C1" s="2"/>
      <c r="D1" s="2"/>
      <c r="E1" s="2"/>
      <c r="F1" s="2"/>
      <c r="G1" s="2"/>
      <c r="H1" s="2"/>
      <c r="I1" s="2"/>
      <c r="J1" s="2"/>
      <c r="K1" s="2"/>
      <c r="L1" s="3"/>
      <c r="M1" s="2"/>
    </row>
    <row r="2" ht="24.75" customHeight="1">
      <c r="A2" s="2"/>
      <c r="B2" s="4"/>
      <c r="C2" s="4"/>
      <c r="D2" s="4"/>
      <c r="E2" s="5"/>
      <c r="F2" s="4"/>
      <c r="G2" s="4"/>
      <c r="H2" s="4"/>
      <c r="I2" s="4"/>
      <c r="J2" s="4"/>
      <c r="K2" s="4"/>
      <c r="L2" s="4"/>
      <c r="M2" s="2"/>
    </row>
    <row r="3" ht="24.75" customHeight="1">
      <c r="A3" s="2"/>
      <c r="B3" s="4"/>
      <c r="C3" s="4"/>
      <c r="D3" s="4"/>
      <c r="E3" s="5"/>
      <c r="F3" s="4"/>
      <c r="G3" s="4"/>
      <c r="H3" s="4"/>
      <c r="I3" s="4"/>
      <c r="J3" s="4"/>
      <c r="K3" s="4"/>
      <c r="L3" s="4"/>
      <c r="M3" s="2"/>
    </row>
    <row r="4" ht="24.75" customHeight="1">
      <c r="A4" s="2"/>
      <c r="B4" s="4"/>
      <c r="C4" s="4"/>
      <c r="D4" s="4"/>
      <c r="E4" s="5"/>
      <c r="F4" s="4"/>
      <c r="G4" s="4"/>
      <c r="H4" s="4"/>
      <c r="I4" s="4"/>
      <c r="J4" s="4"/>
      <c r="K4" s="4"/>
      <c r="L4" s="4"/>
      <c r="M4" s="2"/>
    </row>
    <row r="5" ht="24.75" customHeight="1">
      <c r="A5" s="2"/>
      <c r="B5" s="4"/>
      <c r="C5" s="4"/>
      <c r="D5" s="4"/>
      <c r="E5" s="5"/>
      <c r="F5" s="4"/>
      <c r="G5" s="4"/>
      <c r="H5" s="4"/>
      <c r="I5" s="4"/>
      <c r="J5" s="4"/>
      <c r="K5" s="4"/>
      <c r="L5" s="4"/>
      <c r="M5" s="2"/>
    </row>
    <row r="6" ht="24.75" customHeight="1">
      <c r="A6" s="2"/>
      <c r="B6" s="4"/>
      <c r="C6" s="4"/>
      <c r="D6" s="4"/>
      <c r="E6" s="5"/>
      <c r="F6" s="4"/>
      <c r="G6" s="4"/>
      <c r="H6" s="4"/>
      <c r="I6" s="4"/>
      <c r="J6" s="4"/>
      <c r="K6" s="4"/>
      <c r="L6" s="4"/>
      <c r="M6" s="2"/>
    </row>
    <row r="7" ht="24.75" customHeight="1">
      <c r="A7" s="2"/>
      <c r="B7" s="4"/>
      <c r="C7" s="4"/>
      <c r="D7" s="4"/>
      <c r="E7" s="5"/>
      <c r="F7" s="4"/>
      <c r="G7" s="4"/>
      <c r="H7" s="4"/>
      <c r="I7" s="4"/>
      <c r="J7" s="4"/>
      <c r="K7" s="4"/>
      <c r="L7" s="4"/>
      <c r="M7" s="2"/>
    </row>
    <row r="8" ht="4.5" customHeight="1">
      <c r="A8" s="2"/>
      <c r="B8" s="6"/>
      <c r="C8" s="6"/>
      <c r="D8" s="7"/>
      <c r="E8" s="7"/>
      <c r="F8" s="2"/>
      <c r="G8" s="8"/>
      <c r="H8" s="2"/>
      <c r="I8" s="2"/>
      <c r="J8" s="2"/>
      <c r="K8" s="2"/>
      <c r="L8" s="2"/>
      <c r="M8" s="2"/>
    </row>
    <row r="9" ht="24.75" customHeight="1">
      <c r="A9" s="2"/>
      <c r="B9" s="9" t="s">
        <v>1</v>
      </c>
      <c r="C9" s="10"/>
      <c r="D9" s="11"/>
      <c r="E9" s="5"/>
      <c r="F9" s="12" t="s">
        <v>2</v>
      </c>
      <c r="G9" s="10"/>
      <c r="H9" s="10"/>
      <c r="I9" s="10"/>
      <c r="J9" s="10"/>
      <c r="K9" s="10"/>
      <c r="L9" s="11"/>
      <c r="M9" s="2"/>
    </row>
    <row r="10" ht="4.5" customHeight="1">
      <c r="A10" s="2"/>
      <c r="B10" s="3"/>
      <c r="C10" s="3"/>
      <c r="D10" s="7"/>
      <c r="E10" s="7"/>
      <c r="F10" s="2"/>
      <c r="G10" s="13"/>
      <c r="H10" s="2"/>
      <c r="I10" s="2"/>
      <c r="J10" s="2"/>
      <c r="K10" s="2"/>
      <c r="L10" s="2"/>
      <c r="M10" s="2"/>
    </row>
    <row r="11" ht="24.75" customHeight="1">
      <c r="A11" s="2"/>
      <c r="B11" s="9" t="s">
        <v>3</v>
      </c>
      <c r="C11" s="10"/>
      <c r="D11" s="11"/>
      <c r="E11" s="5"/>
      <c r="F11" s="12" t="s">
        <v>4</v>
      </c>
      <c r="G11" s="10"/>
      <c r="H11" s="10"/>
      <c r="I11" s="10"/>
      <c r="J11" s="10"/>
      <c r="K11" s="10"/>
      <c r="L11" s="11"/>
      <c r="M11" s="2"/>
    </row>
    <row r="12" ht="4.5" customHeight="1">
      <c r="A12" s="2"/>
      <c r="B12" s="3"/>
      <c r="C12" s="3"/>
      <c r="D12" s="7"/>
      <c r="E12" s="7"/>
      <c r="F12" s="2"/>
      <c r="G12" s="14"/>
      <c r="H12" s="2"/>
      <c r="I12" s="2"/>
      <c r="J12" s="2"/>
      <c r="K12" s="2"/>
      <c r="L12" s="2"/>
      <c r="M12" s="2"/>
    </row>
    <row r="13" ht="24.75" customHeight="1">
      <c r="A13" s="2"/>
      <c r="B13" s="9" t="s">
        <v>5</v>
      </c>
      <c r="C13" s="10"/>
      <c r="D13" s="11"/>
      <c r="E13" s="5"/>
      <c r="F13" s="12"/>
      <c r="G13" s="10"/>
      <c r="H13" s="10"/>
      <c r="I13" s="10"/>
      <c r="J13" s="10"/>
      <c r="K13" s="10"/>
      <c r="L13" s="11"/>
      <c r="M13" s="2"/>
    </row>
    <row r="14" ht="4.5" customHeight="1">
      <c r="A14" s="2"/>
      <c r="B14" s="3"/>
      <c r="C14" s="3"/>
      <c r="D14" s="7"/>
      <c r="E14" s="7"/>
      <c r="F14" s="6"/>
      <c r="G14" s="15"/>
      <c r="H14" s="6"/>
      <c r="I14" s="6"/>
      <c r="J14" s="6"/>
      <c r="K14" s="2"/>
      <c r="L14" s="2"/>
      <c r="M14" s="2"/>
    </row>
    <row r="15" ht="24.75" customHeight="1">
      <c r="A15" s="2"/>
      <c r="B15" s="9" t="s">
        <v>6</v>
      </c>
      <c r="C15" s="10"/>
      <c r="D15" s="11"/>
      <c r="E15" s="5"/>
      <c r="F15" s="16">
        <v>392.8</v>
      </c>
      <c r="G15" s="10"/>
      <c r="H15" s="10"/>
      <c r="I15" s="10"/>
      <c r="J15" s="10"/>
      <c r="K15" s="10"/>
      <c r="L15" s="11"/>
      <c r="M15" s="2"/>
    </row>
    <row r="16" ht="3.75" customHeight="1">
      <c r="A16" s="17"/>
      <c r="B16" s="18"/>
      <c r="C16" s="18"/>
      <c r="D16" s="18"/>
      <c r="E16" s="19"/>
      <c r="F16" s="20"/>
      <c r="G16" s="20"/>
      <c r="H16" s="20"/>
      <c r="I16" s="20"/>
      <c r="J16" s="20"/>
      <c r="K16" s="20"/>
      <c r="L16" s="20"/>
      <c r="M16" s="17"/>
      <c r="N16" s="21"/>
      <c r="O16" s="21"/>
      <c r="P16" s="21"/>
      <c r="Q16" s="21"/>
      <c r="R16" s="21"/>
      <c r="S16" s="21"/>
      <c r="T16" s="21"/>
      <c r="U16" s="21"/>
      <c r="V16" s="21"/>
      <c r="W16" s="21"/>
      <c r="X16" s="21"/>
      <c r="Y16" s="21"/>
      <c r="Z16" s="21"/>
    </row>
    <row r="17" ht="24.75" customHeight="1">
      <c r="A17" s="2"/>
      <c r="B17" s="22" t="s">
        <v>7</v>
      </c>
      <c r="C17" s="22"/>
      <c r="D17" s="22"/>
      <c r="E17" s="5"/>
      <c r="F17" s="23">
        <v>782.27</v>
      </c>
      <c r="G17" s="23"/>
      <c r="H17" s="23"/>
      <c r="I17" s="23"/>
      <c r="J17" s="23"/>
      <c r="K17" s="23"/>
      <c r="L17" s="23"/>
      <c r="M17" s="2"/>
    </row>
    <row r="18" ht="4.5" customHeight="1">
      <c r="A18" s="2"/>
      <c r="B18" s="3"/>
      <c r="C18" s="3"/>
      <c r="D18" s="24"/>
      <c r="E18" s="25"/>
      <c r="F18" s="26"/>
      <c r="G18" s="26"/>
      <c r="H18" s="26"/>
      <c r="I18" s="26"/>
      <c r="J18" s="26"/>
      <c r="K18" s="26"/>
      <c r="L18" s="26"/>
      <c r="M18" s="2"/>
    </row>
    <row r="19" ht="24.75" customHeight="1">
      <c r="A19" s="2"/>
      <c r="B19" s="9" t="s">
        <v>8</v>
      </c>
      <c r="C19" s="10"/>
      <c r="D19" s="11"/>
      <c r="E19" s="5"/>
      <c r="F19" s="16">
        <v>100.0</v>
      </c>
      <c r="G19" s="10"/>
      <c r="H19" s="10"/>
      <c r="I19" s="10"/>
      <c r="J19" s="10"/>
      <c r="K19" s="10"/>
      <c r="L19" s="11"/>
      <c r="M19" s="2"/>
    </row>
    <row r="20" ht="4.5" customHeight="1">
      <c r="A20" s="2"/>
      <c r="B20" s="3"/>
      <c r="C20" s="3"/>
      <c r="D20" s="24"/>
      <c r="E20" s="25"/>
      <c r="F20" s="2"/>
      <c r="G20" s="27"/>
      <c r="H20" s="2"/>
      <c r="I20" s="2"/>
      <c r="J20" s="2"/>
      <c r="K20" s="2"/>
      <c r="L20" s="2"/>
      <c r="M20" s="2"/>
    </row>
    <row r="21" ht="24.75" customHeight="1">
      <c r="A21" s="2"/>
      <c r="B21" s="9" t="s">
        <v>9</v>
      </c>
      <c r="C21" s="10"/>
      <c r="D21" s="11"/>
      <c r="E21" s="5"/>
      <c r="F21" s="28">
        <v>45812.0</v>
      </c>
      <c r="G21" s="10"/>
      <c r="H21" s="10"/>
      <c r="I21" s="10"/>
      <c r="J21" s="10"/>
      <c r="K21" s="10"/>
      <c r="L21" s="11"/>
      <c r="M21" s="2"/>
    </row>
    <row r="22" ht="4.5" customHeight="1">
      <c r="A22" s="2"/>
      <c r="B22" s="2"/>
      <c r="C22" s="2"/>
      <c r="D22" s="25"/>
      <c r="E22" s="25"/>
      <c r="F22" s="2"/>
      <c r="G22" s="27"/>
      <c r="H22" s="2"/>
      <c r="I22" s="2"/>
      <c r="J22" s="2"/>
      <c r="K22" s="2"/>
      <c r="L22" s="2"/>
      <c r="M22" s="2"/>
    </row>
    <row r="23" ht="39.75" customHeight="1">
      <c r="A23" s="2"/>
      <c r="B23" s="29" t="s">
        <v>10</v>
      </c>
      <c r="C23" s="30"/>
      <c r="D23" s="31" t="s">
        <v>11</v>
      </c>
      <c r="E23" s="10"/>
      <c r="F23" s="10"/>
      <c r="G23" s="10"/>
      <c r="H23" s="11"/>
      <c r="I23" s="30"/>
      <c r="J23" s="32" t="s">
        <v>12</v>
      </c>
      <c r="K23" s="33"/>
      <c r="L23" s="32" t="s">
        <v>13</v>
      </c>
      <c r="M23" s="34"/>
    </row>
    <row r="24" ht="15.0" customHeight="1">
      <c r="A24" s="2"/>
      <c r="B24" s="2"/>
      <c r="C24" s="2"/>
      <c r="D24" s="35"/>
      <c r="E24" s="35"/>
      <c r="F24" s="2"/>
      <c r="G24" s="2"/>
      <c r="H24" s="2"/>
      <c r="I24" s="2"/>
      <c r="J24" s="36"/>
      <c r="K24" s="36"/>
      <c r="L24" s="36"/>
      <c r="M24" s="2"/>
    </row>
    <row r="25" ht="24.75" customHeight="1">
      <c r="A25" s="37"/>
      <c r="B25" s="38" t="str">
        <f>'Orcamento RU'!A4</f>
        <v>1</v>
      </c>
      <c r="C25" s="39"/>
      <c r="D25" s="40" t="str">
        <f>'Orcamento RU'!B4</f>
        <v>СТРОИТЕЛЬНАЯ ПЛОЩАДКА</v>
      </c>
      <c r="I25" s="41"/>
      <c r="J25" s="42">
        <f>'Orcamento RU'!C4</f>
        <v>173610.4</v>
      </c>
      <c r="K25" s="43"/>
      <c r="L25" s="43">
        <f t="shared" ref="L25:L54" si="1">+J25/$F$15</f>
        <v>441.9816701</v>
      </c>
      <c r="M25" s="37"/>
    </row>
    <row r="26" ht="24.75" customHeight="1">
      <c r="A26" s="37"/>
      <c r="B26" s="38" t="str">
        <f>'Orcamento RU'!A10</f>
        <v>2.1</v>
      </c>
      <c r="C26" s="39"/>
      <c r="D26" s="40" t="str">
        <f>'Orcamento RU'!B10</f>
        <v>КАМЕННАЯ КЛАДКА И ЛЁГКИЕ ОГРАЖДАЮЩИЕ КОНСТРУКЦИИ</v>
      </c>
      <c r="I26" s="41"/>
      <c r="J26" s="42">
        <f>'Orcamento RU'!C10</f>
        <v>27737.99</v>
      </c>
      <c r="K26" s="43"/>
      <c r="L26" s="43">
        <f t="shared" si="1"/>
        <v>70.61606415</v>
      </c>
      <c r="M26" s="37"/>
    </row>
    <row r="27" ht="24.75" customHeight="1">
      <c r="A27" s="37"/>
      <c r="B27" s="38" t="str">
        <f>'Orcamento RU'!A42</f>
        <v>2.2</v>
      </c>
      <c r="C27" s="39"/>
      <c r="D27" s="40" t="str">
        <f>'Orcamento RU'!B42</f>
        <v>КАМЕННЫЕ ИЗДЕЛИЯ</v>
      </c>
      <c r="I27" s="41"/>
      <c r="J27" s="42">
        <f>'Orcamento RU'!C42</f>
        <v>1453.17</v>
      </c>
      <c r="K27" s="43"/>
      <c r="L27" s="43">
        <f t="shared" si="1"/>
        <v>3.699516293</v>
      </c>
      <c r="M27" s="37"/>
    </row>
    <row r="28" ht="24.75" customHeight="1">
      <c r="A28" s="37"/>
      <c r="B28" s="38" t="str">
        <f>'Orcamento RU'!A68</f>
        <v>2.3</v>
      </c>
      <c r="C28" s="39"/>
      <c r="D28" s="40" t="str">
        <f>'Orcamento RU'!B68</f>
        <v>ГИДРОИЗОЛЯЦИЯ И ТЕПЛОИЗОЛЯЦИЯ</v>
      </c>
      <c r="I28" s="41"/>
      <c r="J28" s="42">
        <f>'Orcamento RU'!C68</f>
        <v>23753.39</v>
      </c>
      <c r="K28" s="43"/>
      <c r="L28" s="43">
        <f t="shared" si="1"/>
        <v>60.47197047</v>
      </c>
      <c r="M28" s="37"/>
    </row>
    <row r="29" ht="24.75" customHeight="1">
      <c r="A29" s="37"/>
      <c r="B29" s="44">
        <f>'Orcamento RU'!A114</f>
        <v>2.4</v>
      </c>
      <c r="C29" s="39"/>
      <c r="D29" s="40" t="str">
        <f>'Orcamento RU'!B114</f>
        <v>КРОВЛЯ</v>
      </c>
      <c r="I29" s="41"/>
      <c r="J29" s="42">
        <f>'Orcamento RU'!C114</f>
        <v>60033.74</v>
      </c>
      <c r="K29" s="43"/>
      <c r="L29" s="43">
        <f t="shared" si="1"/>
        <v>152.835387</v>
      </c>
      <c r="M29" s="37"/>
    </row>
    <row r="30" ht="24.75" customHeight="1">
      <c r="A30" s="37"/>
      <c r="B30" s="44">
        <f>'Orcamento RU'!A124</f>
        <v>2.5</v>
      </c>
      <c r="C30" s="39"/>
      <c r="D30" s="40" t="str">
        <f>'Orcamento RU'!B124</f>
        <v>ОТДЕЛКА ПОТОЛКОВ</v>
      </c>
      <c r="I30" s="41"/>
      <c r="J30" s="42">
        <f>'Orcamento RU'!C124</f>
        <v>15456.87</v>
      </c>
      <c r="K30" s="43"/>
      <c r="L30" s="43">
        <f t="shared" si="1"/>
        <v>39.35048371</v>
      </c>
      <c r="M30" s="37"/>
    </row>
    <row r="31" ht="24.75" customHeight="1">
      <c r="A31" s="37"/>
      <c r="B31" s="44" t="str">
        <f>'Orcamento RU'!A142</f>
        <v>2.6</v>
      </c>
      <c r="C31" s="39"/>
      <c r="D31" s="40" t="str">
        <f>'Orcamento RU'!B142</f>
        <v>ОТДЕЛКА СТЕН</v>
      </c>
      <c r="I31" s="41"/>
      <c r="J31" s="42">
        <f>'Orcamento RU'!C142</f>
        <v>90725.32</v>
      </c>
      <c r="K31" s="43"/>
      <c r="L31" s="43">
        <f t="shared" si="1"/>
        <v>230.9707739</v>
      </c>
      <c r="M31" s="37"/>
    </row>
    <row r="32" ht="24.75" customHeight="1">
      <c r="A32" s="37"/>
      <c r="B32" s="38" t="str">
        <f>'Orcamento RU'!A174</f>
        <v>2.7</v>
      </c>
      <c r="C32" s="39"/>
      <c r="D32" s="40" t="str">
        <f>'Orcamento RU'!B174</f>
        <v>ОТДЕЛКА ПОЛОВ И ПЛИНТУСОВ</v>
      </c>
      <c r="I32" s="41"/>
      <c r="J32" s="42">
        <f>'Orcamento RU'!C174</f>
        <v>125744.31</v>
      </c>
      <c r="K32" s="43"/>
      <c r="L32" s="43">
        <f t="shared" si="1"/>
        <v>320.1229888</v>
      </c>
      <c r="M32" s="37"/>
    </row>
    <row r="33" ht="24.75" customHeight="1">
      <c r="A33" s="37"/>
      <c r="B33" s="38" t="str">
        <f>'Orcamento RU'!A220</f>
        <v>2.8</v>
      </c>
      <c r="C33" s="39"/>
      <c r="D33" s="40" t="str">
        <f>'Orcamento RU'!B220</f>
        <v>СТОЛЯРНЫЕ РАБОТЫ</v>
      </c>
      <c r="I33" s="41"/>
      <c r="J33" s="42">
        <f>'Orcamento RU'!C220</f>
        <v>93859.78</v>
      </c>
      <c r="K33" s="43"/>
      <c r="L33" s="43">
        <f t="shared" si="1"/>
        <v>238.9505601</v>
      </c>
      <c r="M33" s="37"/>
    </row>
    <row r="34" ht="24.75" customHeight="1">
      <c r="A34" s="37"/>
      <c r="B34" s="44">
        <f>'Orcamento RU'!A354</f>
        <v>2.9</v>
      </c>
      <c r="C34" s="39"/>
      <c r="D34" s="40" t="str">
        <f>'Orcamento RU'!B354</f>
        <v>МЕТАЛЛОКОНСТРУКЦИИ И ОКОННЫЕ РАМЫ</v>
      </c>
      <c r="I34" s="41"/>
      <c r="J34" s="42">
        <f>'Orcamento RU'!C354</f>
        <v>279339.11</v>
      </c>
      <c r="K34" s="43"/>
      <c r="L34" s="43">
        <f t="shared" si="1"/>
        <v>711.148447</v>
      </c>
      <c r="M34" s="37"/>
    </row>
    <row r="35" ht="24.75" customHeight="1">
      <c r="A35" s="37"/>
      <c r="B35" s="45">
        <f>'Orcamento RU'!A520</f>
        <v>2.1</v>
      </c>
      <c r="C35" s="39"/>
      <c r="D35" s="40" t="str">
        <f>'Orcamento RU'!B520</f>
        <v>САНТЕХНИЧЕСКОЕ ОБОРУДОВАНИЕ</v>
      </c>
      <c r="I35" s="41"/>
      <c r="J35" s="42">
        <f>'Orcamento RU'!C520</f>
        <v>56234.54</v>
      </c>
      <c r="K35" s="43"/>
      <c r="L35" s="43">
        <f t="shared" si="1"/>
        <v>143.1632892</v>
      </c>
      <c r="M35" s="37"/>
    </row>
    <row r="36" ht="24.75" customHeight="1">
      <c r="A36" s="37"/>
      <c r="B36" s="45">
        <f>'Orcamento RU'!A590</f>
        <v>2.11</v>
      </c>
      <c r="C36" s="39"/>
      <c r="D36" s="40" t="str">
        <f>'Orcamento RU'!B590</f>
        <v>ОБОРУДОВАНИЕ КУХНИ И ПРАЧЕЧНОЙ</v>
      </c>
      <c r="I36" s="41"/>
      <c r="J36" s="42">
        <f>'Orcamento RU'!C590</f>
        <v>19361</v>
      </c>
      <c r="K36" s="43"/>
      <c r="L36" s="43">
        <f t="shared" si="1"/>
        <v>49.28971487</v>
      </c>
      <c r="M36" s="37"/>
    </row>
    <row r="37" ht="24.75" customHeight="1">
      <c r="A37" s="37"/>
      <c r="B37" s="45">
        <f>'Orcamento RU'!A638</f>
        <v>2.12</v>
      </c>
      <c r="C37" s="39"/>
      <c r="D37" s="40" t="str">
        <f>'Orcamento RU'!B638</f>
        <v>ПРОЧЕЕ</v>
      </c>
      <c r="I37" s="41"/>
      <c r="J37" s="42">
        <f>'Orcamento RU'!C638</f>
        <v>34068.69</v>
      </c>
      <c r="K37" s="43"/>
      <c r="L37" s="43">
        <f t="shared" si="1"/>
        <v>86.73291752</v>
      </c>
      <c r="M37" s="37"/>
    </row>
    <row r="38" ht="24.75" customHeight="1">
      <c r="A38" s="37"/>
      <c r="B38" s="45">
        <f>'Orcamento RU'!A698</f>
        <v>2.13</v>
      </c>
      <c r="C38" s="39"/>
      <c r="D38" s="40" t="str">
        <f>'Orcamento RU'!B698</f>
        <v>БЛАГОУСТРОЙСТВО УЧАСТКА</v>
      </c>
      <c r="I38" s="41"/>
      <c r="J38" s="42">
        <f>'Orcamento RU'!C698</f>
        <v>75835.91</v>
      </c>
      <c r="K38" s="43"/>
      <c r="L38" s="43">
        <f t="shared" si="1"/>
        <v>193.064944</v>
      </c>
      <c r="M38" s="37"/>
    </row>
    <row r="39" ht="24.75" customHeight="1">
      <c r="A39" s="37"/>
      <c r="B39" s="46" t="str">
        <f>'Orcamento RU'!A749</f>
        <v>1</v>
      </c>
      <c r="C39" s="39"/>
      <c r="D39" s="40" t="str">
        <f>'Orcamento RU'!B749</f>
        <v>ЗЕМЛЯНЫЕ РАБОТЫ</v>
      </c>
      <c r="I39" s="41"/>
      <c r="J39" s="42">
        <f>'Orcamento RU'!C749</f>
        <v>51415.45</v>
      </c>
      <c r="K39" s="43"/>
      <c r="L39" s="43">
        <f t="shared" si="1"/>
        <v>130.8947301</v>
      </c>
      <c r="M39" s="37"/>
    </row>
    <row r="40" ht="24.75" customHeight="1">
      <c r="A40" s="2"/>
      <c r="B40" s="46">
        <f>'Orcamento RU'!A761</f>
        <v>2</v>
      </c>
      <c r="C40" s="39"/>
      <c r="D40" s="40" t="str">
        <f>'Orcamento RU'!B761</f>
        <v>ФУНДАМЕНТ И НЕСУЩИЕ КОНСТРУКЦИИ</v>
      </c>
      <c r="I40" s="41"/>
      <c r="J40" s="42">
        <f>'Orcamento RU'!C761</f>
        <v>558392.25</v>
      </c>
      <c r="K40" s="47"/>
      <c r="L40" s="43">
        <f t="shared" si="1"/>
        <v>1421.568865</v>
      </c>
      <c r="M40" s="2"/>
    </row>
    <row r="41" ht="24.75" customHeight="1">
      <c r="A41" s="37"/>
      <c r="B41" s="46">
        <f>'Orcamento RU'!A1043</f>
        <v>3</v>
      </c>
      <c r="C41" s="39"/>
      <c r="D41" s="40" t="str">
        <f>'Orcamento RU'!B1043</f>
        <v>ВНУТРЕННЯЯ СЕТЬ ВОДОСНАБЖЕНИЯ, БАССЕЙН И ВОДНЫЕ ЗЕРКАЛА</v>
      </c>
      <c r="I41" s="41"/>
      <c r="J41" s="42">
        <f>'Orcamento RU'!C1043</f>
        <v>40338.6</v>
      </c>
      <c r="K41" s="43"/>
      <c r="L41" s="43">
        <f t="shared" si="1"/>
        <v>102.6950102</v>
      </c>
      <c r="M41" s="37"/>
    </row>
    <row r="42" ht="24.75" customHeight="1">
      <c r="A42" s="2"/>
      <c r="B42" s="46">
        <f>'Orcamento RU'!A1166</f>
        <v>4</v>
      </c>
      <c r="C42" s="39"/>
      <c r="D42" s="40" t="str">
        <f>'Orcamento RU'!B1166</f>
        <v>ВНУТРЕННЯЯ СЕТЬ БЫТОВЫХ И ДОЖДЕВЫХ СТОЧНЫХ ВОД</v>
      </c>
      <c r="I42" s="41"/>
      <c r="J42" s="48">
        <f>'Orcamento RU'!C1166</f>
        <v>74220.75</v>
      </c>
      <c r="K42" s="47"/>
      <c r="L42" s="43">
        <f t="shared" si="1"/>
        <v>188.9530295</v>
      </c>
      <c r="M42" s="2"/>
    </row>
    <row r="43" ht="24.75" customHeight="1">
      <c r="A43" s="2"/>
      <c r="B43" s="46">
        <f>'Orcamento RU'!A1299</f>
        <v>5</v>
      </c>
      <c r="C43" s="39"/>
      <c r="D43" s="40" t="str">
        <f>'Orcamento RU'!B1299</f>
        <v>ГАЗОВАЯ СЕТЬ</v>
      </c>
      <c r="I43" s="41"/>
      <c r="J43" s="42">
        <f>'Orcamento RU'!C1299</f>
        <v>2768.18</v>
      </c>
      <c r="K43" s="47"/>
      <c r="L43" s="43">
        <f t="shared" si="1"/>
        <v>7.047301426</v>
      </c>
      <c r="M43" s="2"/>
    </row>
    <row r="44" ht="24.75" customHeight="1">
      <c r="A44" s="2"/>
      <c r="B44" s="46">
        <f>'Orcamento RU'!A1321</f>
        <v>6</v>
      </c>
      <c r="C44" s="39"/>
      <c r="D44" s="40" t="str">
        <f>'Orcamento RU'!B1321</f>
        <v>ПОСТАВКА И МОНТАЖ ОБОРУДОВАНИЯ И СИСТЕМ КОНДИЦИОНИРОВАНИЯ И ПРОИЗВОДСТВА ГОРЯЧЕЙ САНИТАРНОЙ ВОДЫ</v>
      </c>
      <c r="I44" s="41"/>
      <c r="J44" s="42">
        <f>'Orcamento RU'!C1321</f>
        <v>181241</v>
      </c>
      <c r="K44" s="47"/>
      <c r="L44" s="43">
        <f t="shared" si="1"/>
        <v>461.4078411</v>
      </c>
      <c r="M44" s="2"/>
    </row>
    <row r="45" ht="24.75" customHeight="1">
      <c r="A45" s="2"/>
      <c r="B45" s="46">
        <f>'Orcamento RU'!A1543</f>
        <v>7</v>
      </c>
      <c r="C45" s="39"/>
      <c r="D45" s="40" t="str">
        <f>'Orcamento RU'!B1543</f>
        <v>ЭЛЕКТРИЧЕСКАЯ СЕТЬ</v>
      </c>
      <c r="I45" s="41"/>
      <c r="J45" s="42">
        <f>'Orcamento RU'!C1543</f>
        <v>213667.64</v>
      </c>
      <c r="K45" s="47"/>
      <c r="L45" s="43">
        <f t="shared" si="1"/>
        <v>543.960387</v>
      </c>
      <c r="M45" s="2"/>
    </row>
    <row r="46" ht="24.75" customHeight="1">
      <c r="A46" s="2"/>
      <c r="B46" s="46" t="str">
        <f>'Orcamento RU'!A2127</f>
        <v>8</v>
      </c>
      <c r="C46" s="39"/>
      <c r="D46" s="40" t="str">
        <f>'Orcamento RU'!B2127</f>
        <v>ТЕЛЕКОММУНИКАЦИОННЫЕ УСТАНОВКИ</v>
      </c>
      <c r="I46" s="41"/>
      <c r="J46" s="42">
        <f>'Orcamento RU'!C2127</f>
        <v>14218.6</v>
      </c>
      <c r="K46" s="47"/>
      <c r="L46" s="43">
        <f t="shared" si="1"/>
        <v>36.19806517</v>
      </c>
      <c r="M46" s="2"/>
    </row>
    <row r="47" ht="24.75" customHeight="1">
      <c r="A47" s="2"/>
      <c r="B47" s="49" t="str">
        <f>'Orcamento RU'!A2206</f>
        <v>1.1</v>
      </c>
      <c r="C47" s="39"/>
      <c r="D47" s="40" t="str">
        <f>'Orcamento RU'!B2206</f>
        <v>ПОДГОТОВИТЕЛЬНЫЕ РАБОТЫ</v>
      </c>
      <c r="I47" s="41"/>
      <c r="J47" s="42">
        <f>'Orcamento RU'!C2206</f>
        <v>4600</v>
      </c>
      <c r="K47" s="47"/>
      <c r="L47" s="43">
        <f t="shared" si="1"/>
        <v>11.7107943</v>
      </c>
      <c r="M47" s="2"/>
    </row>
    <row r="48" ht="24.75" customHeight="1">
      <c r="A48" s="2"/>
      <c r="B48" s="49" t="str">
        <f>'Orcamento RU'!A2217</f>
        <v>1.2</v>
      </c>
      <c r="C48" s="39"/>
      <c r="D48" s="40" t="str">
        <f>'Orcamento RU'!B2217</f>
        <v>ЗЕМЛЯНЫЕ РАБОТЫ</v>
      </c>
      <c r="I48" s="41"/>
      <c r="J48" s="42">
        <f>'Orcamento RU'!C2217</f>
        <v>22379.02</v>
      </c>
      <c r="K48" s="47"/>
      <c r="L48" s="43">
        <f t="shared" si="1"/>
        <v>56.97306517</v>
      </c>
      <c r="M48" s="2"/>
    </row>
    <row r="49" ht="24.75" customHeight="1">
      <c r="A49" s="2"/>
      <c r="B49" s="49">
        <f>'Orcamento RU'!A2231</f>
        <v>1.3</v>
      </c>
      <c r="C49" s="39"/>
      <c r="D49" s="40" t="str">
        <f>'Orcamento RU'!B2231</f>
        <v>ПОЛЫ, ПОКРЫТИЯ И СТРОИТЕЛЬНЫЕ ЭЛЕМЕНТЫ</v>
      </c>
      <c r="I49" s="41"/>
      <c r="J49" s="42">
        <f>'Orcamento RU'!C2231</f>
        <v>38104.7</v>
      </c>
      <c r="K49" s="47"/>
      <c r="L49" s="43">
        <f t="shared" si="1"/>
        <v>97.00789206</v>
      </c>
      <c r="M49" s="2"/>
    </row>
    <row r="50" ht="24.75" customHeight="1">
      <c r="A50" s="2"/>
      <c r="B50" s="49">
        <f>'Orcamento RU'!A2261</f>
        <v>1.4</v>
      </c>
      <c r="C50" s="39"/>
      <c r="D50" s="40" t="str">
        <f>'Orcamento RU'!B2261</f>
        <v>ОСВЕЩЕНИЕ - СВЕТОВЫЕ ТОЧКИ</v>
      </c>
      <c r="I50" s="41"/>
      <c r="J50" s="42">
        <f>'Orcamento RU'!C2261</f>
        <v>0</v>
      </c>
      <c r="K50" s="47"/>
      <c r="L50" s="43">
        <f t="shared" si="1"/>
        <v>0</v>
      </c>
      <c r="M50" s="2"/>
    </row>
    <row r="51" ht="24.75" customHeight="1">
      <c r="A51" s="2"/>
      <c r="B51" s="49">
        <f>'Orcamento RU'!A2283</f>
        <v>1.5</v>
      </c>
      <c r="C51" s="39"/>
      <c r="D51" s="40" t="str">
        <f>'Orcamento RU'!B2283</f>
        <v>ОБОРУДОВАНИЕ</v>
      </c>
      <c r="I51" s="41"/>
      <c r="J51" s="42">
        <f>'Orcamento RU'!C2283</f>
        <v>10548</v>
      </c>
      <c r="K51" s="47"/>
      <c r="L51" s="43">
        <f t="shared" si="1"/>
        <v>26.85336049</v>
      </c>
      <c r="M51" s="2"/>
    </row>
    <row r="52" ht="24.75" customHeight="1">
      <c r="A52" s="2"/>
      <c r="B52" s="49" t="str">
        <f>'Orcamento RU'!A2295</f>
        <v>II</v>
      </c>
      <c r="C52" s="39"/>
      <c r="D52" s="40" t="str">
        <f>'Orcamento RU'!B2295</f>
        <v>ПОСАДКИ И ПОСЕВЫ</v>
      </c>
      <c r="I52" s="41"/>
      <c r="J52" s="42">
        <f>'Orcamento RU'!C2295</f>
        <v>73360.69</v>
      </c>
      <c r="K52" s="47"/>
      <c r="L52" s="43">
        <f t="shared" si="1"/>
        <v>186.7634674</v>
      </c>
      <c r="M52" s="2"/>
    </row>
    <row r="53" ht="24.75" customHeight="1">
      <c r="A53" s="2"/>
      <c r="B53" s="49" t="str">
        <f>'Orcamento RU'!A2421</f>
        <v>III</v>
      </c>
      <c r="C53" s="39"/>
      <c r="D53" s="40" t="str">
        <f>'Orcamento RU'!B2421</f>
        <v>ПОЛИВ</v>
      </c>
      <c r="I53" s="41"/>
      <c r="J53" s="42">
        <f>'Orcamento RU'!C2421</f>
        <v>33665.94</v>
      </c>
      <c r="K53" s="47"/>
      <c r="L53" s="43">
        <f t="shared" si="1"/>
        <v>85.70758656</v>
      </c>
      <c r="M53" s="2"/>
    </row>
    <row r="54" ht="24.75" customHeight="1">
      <c r="A54" s="2"/>
      <c r="B54" s="49" t="str">
        <f>'Orcamento RU'!A2497</f>
        <v>IV</v>
      </c>
      <c r="C54" s="39"/>
      <c r="D54" s="40" t="str">
        <f>'Orcamento RU'!B2497</f>
        <v>ОБСЛУЖИВАНИЕ ЗЕЛЕНЫХ ЗОН</v>
      </c>
      <c r="I54" s="41"/>
      <c r="J54" s="42">
        <f>'Orcamento RU'!C2497</f>
        <v>9600</v>
      </c>
      <c r="K54" s="47"/>
      <c r="L54" s="43">
        <f t="shared" si="1"/>
        <v>24.43991853</v>
      </c>
      <c r="M54" s="2"/>
    </row>
    <row r="55" ht="24.75" customHeight="1">
      <c r="A55" s="2"/>
      <c r="B55" s="50"/>
      <c r="C55" s="50"/>
      <c r="D55" s="51"/>
      <c r="E55" s="51"/>
      <c r="F55" s="50"/>
      <c r="G55" s="50"/>
      <c r="H55" s="50"/>
      <c r="I55" s="50"/>
      <c r="J55" s="47"/>
      <c r="K55" s="47"/>
      <c r="L55" s="47"/>
      <c r="M55" s="2"/>
    </row>
    <row r="56" ht="24.75" customHeight="1">
      <c r="A56" s="2"/>
      <c r="B56" s="52" t="s">
        <v>14</v>
      </c>
      <c r="C56" s="10"/>
      <c r="D56" s="10"/>
      <c r="E56" s="10"/>
      <c r="F56" s="10"/>
      <c r="G56" s="10"/>
      <c r="H56" s="11"/>
      <c r="I56" s="53"/>
      <c r="J56" s="54">
        <f>SUM(J25:J54)</f>
        <v>2405735.04</v>
      </c>
      <c r="K56" s="47"/>
      <c r="L56" s="54">
        <f>+J56/$F$15</f>
        <v>6124.580041</v>
      </c>
      <c r="M56" s="2"/>
      <c r="O56" s="55"/>
    </row>
    <row r="57" ht="24.75" customHeight="1">
      <c r="A57" s="2"/>
      <c r="B57" s="53" t="s">
        <v>15</v>
      </c>
      <c r="I57" s="53"/>
      <c r="J57" s="56">
        <f>+J56*0.23</f>
        <v>553319.0592</v>
      </c>
      <c r="K57" s="57"/>
      <c r="L57" s="57"/>
      <c r="M57" s="2"/>
      <c r="O57" s="55"/>
    </row>
    <row r="58" ht="24.75" customHeight="1">
      <c r="A58" s="2"/>
      <c r="B58" s="53" t="s">
        <v>16</v>
      </c>
      <c r="I58" s="53"/>
      <c r="J58" s="56">
        <f>+J57+J56</f>
        <v>2959054.099</v>
      </c>
      <c r="K58" s="57"/>
      <c r="L58" s="57"/>
      <c r="M58" s="2"/>
      <c r="O58" s="55"/>
    </row>
    <row r="59" ht="3.0" customHeight="1">
      <c r="A59" s="2"/>
      <c r="B59" s="58"/>
      <c r="C59" s="58"/>
      <c r="D59" s="58"/>
      <c r="E59" s="58"/>
      <c r="F59" s="58"/>
      <c r="G59" s="58"/>
      <c r="H59" s="58"/>
      <c r="I59" s="50"/>
      <c r="J59" s="57"/>
      <c r="K59" s="57"/>
      <c r="L59" s="57"/>
      <c r="M59" s="2"/>
      <c r="O59" s="59"/>
    </row>
    <row r="60" ht="24.75" customHeight="1">
      <c r="A60" s="2"/>
      <c r="B60" s="52" t="s">
        <v>17</v>
      </c>
      <c r="C60" s="10"/>
      <c r="D60" s="10"/>
      <c r="E60" s="10"/>
      <c r="F60" s="10"/>
      <c r="G60" s="10"/>
      <c r="H60" s="11"/>
      <c r="I60" s="53"/>
      <c r="J60" s="54"/>
      <c r="K60" s="47"/>
      <c r="L60" s="54">
        <f>+J60/$F$19</f>
        <v>0</v>
      </c>
      <c r="M60" s="2"/>
      <c r="O60" s="55"/>
    </row>
    <row r="61" ht="24.75" customHeight="1">
      <c r="A61" s="2"/>
      <c r="B61" s="53" t="s">
        <v>15</v>
      </c>
      <c r="I61" s="53"/>
      <c r="J61" s="56">
        <f>+J60*0.23</f>
        <v>0</v>
      </c>
      <c r="K61" s="57"/>
      <c r="L61" s="57"/>
      <c r="M61" s="2"/>
      <c r="O61" s="55"/>
    </row>
    <row r="62" ht="24.75" customHeight="1">
      <c r="A62" s="2"/>
      <c r="B62" s="60" t="s">
        <v>16</v>
      </c>
      <c r="I62" s="60"/>
      <c r="J62" s="61">
        <f>+J61+J60</f>
        <v>0</v>
      </c>
      <c r="K62" s="62"/>
      <c r="L62" s="62"/>
      <c r="M62" s="2"/>
      <c r="O62" s="55"/>
    </row>
    <row r="63" ht="3.0" customHeight="1">
      <c r="A63" s="2"/>
      <c r="B63" s="63"/>
      <c r="C63" s="63"/>
      <c r="D63" s="63"/>
      <c r="E63" s="63"/>
      <c r="F63" s="63"/>
      <c r="G63" s="63"/>
      <c r="H63" s="63"/>
      <c r="I63" s="2"/>
      <c r="J63" s="62"/>
      <c r="K63" s="62"/>
      <c r="L63" s="62"/>
      <c r="M63" s="2"/>
      <c r="O63" s="59"/>
    </row>
    <row r="64" ht="24.75" customHeight="1">
      <c r="A64" s="2"/>
      <c r="B64" s="64" t="s">
        <v>18</v>
      </c>
      <c r="C64" s="10"/>
      <c r="D64" s="10"/>
      <c r="E64" s="10"/>
      <c r="F64" s="10"/>
      <c r="G64" s="10"/>
      <c r="H64" s="11"/>
      <c r="I64" s="60"/>
      <c r="J64" s="65">
        <f>J56+J60</f>
        <v>2405735.04</v>
      </c>
      <c r="K64" s="36"/>
      <c r="L64" s="62"/>
      <c r="M64" s="2"/>
      <c r="O64" s="55"/>
    </row>
    <row r="65" ht="24.75" customHeight="1">
      <c r="A65" s="2"/>
      <c r="B65" s="60" t="s">
        <v>15</v>
      </c>
      <c r="I65" s="60"/>
      <c r="J65" s="61">
        <f>+J64*0.23</f>
        <v>553319.0592</v>
      </c>
      <c r="K65" s="62"/>
      <c r="L65" s="62"/>
      <c r="M65" s="2"/>
      <c r="O65" s="55"/>
    </row>
    <row r="66" ht="24.75" customHeight="1">
      <c r="A66" s="2"/>
      <c r="B66" s="66" t="s">
        <v>16</v>
      </c>
      <c r="I66" s="66"/>
      <c r="J66" s="67">
        <f>+J65+J64</f>
        <v>2959054.099</v>
      </c>
      <c r="K66" s="62"/>
      <c r="L66" s="62"/>
      <c r="M66" s="2"/>
      <c r="O66" s="55"/>
    </row>
    <row r="67" ht="11.25" customHeight="1">
      <c r="A67" s="2"/>
      <c r="B67" s="2"/>
      <c r="C67" s="2"/>
      <c r="D67" s="2"/>
      <c r="E67" s="2"/>
      <c r="F67" s="2"/>
      <c r="G67" s="2"/>
      <c r="H67" s="2"/>
      <c r="I67" s="2"/>
      <c r="J67" s="2"/>
      <c r="K67" s="2"/>
      <c r="L67" s="2"/>
      <c r="M67" s="2"/>
    </row>
    <row r="68" ht="11.25" customHeight="1">
      <c r="A68" s="2"/>
      <c r="B68" s="2"/>
      <c r="C68" s="2"/>
      <c r="D68" s="2"/>
      <c r="E68" s="2"/>
      <c r="F68" s="2"/>
      <c r="G68" s="2"/>
      <c r="H68" s="2"/>
      <c r="I68" s="2"/>
      <c r="J68" s="2"/>
      <c r="K68" s="2"/>
      <c r="L68" s="2"/>
      <c r="M68" s="2"/>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B9:D9"/>
    <mergeCell ref="F9:L9"/>
    <mergeCell ref="B11:D11"/>
    <mergeCell ref="F11:L11"/>
    <mergeCell ref="B13:D13"/>
    <mergeCell ref="F13:L13"/>
    <mergeCell ref="F15:L15"/>
    <mergeCell ref="B15:D15"/>
    <mergeCell ref="B19:D19"/>
    <mergeCell ref="F19:L19"/>
    <mergeCell ref="B21:D21"/>
    <mergeCell ref="F21:L21"/>
    <mergeCell ref="D23:H23"/>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D48:H48"/>
    <mergeCell ref="D49:H49"/>
    <mergeCell ref="D50:H50"/>
    <mergeCell ref="D51:H51"/>
    <mergeCell ref="D52:H52"/>
    <mergeCell ref="D53:H53"/>
    <mergeCell ref="B64:H64"/>
    <mergeCell ref="B65:H65"/>
    <mergeCell ref="B66:H66"/>
    <mergeCell ref="D54:H54"/>
    <mergeCell ref="B56:H56"/>
    <mergeCell ref="B57:H57"/>
    <mergeCell ref="B58:H58"/>
    <mergeCell ref="B60:H60"/>
    <mergeCell ref="B61:H61"/>
    <mergeCell ref="B62:H62"/>
  </mergeCells>
  <printOptions gridLines="1" horizontalCentered="1"/>
  <pageMargins bottom="0.75" footer="0.0" header="0.0" left="0.7" right="0.7" top="0.75"/>
  <pageSetup fitToWidth="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pageSetUpPr/>
  </sheetPr>
  <sheetViews>
    <sheetView workbookViewId="0"/>
  </sheetViews>
  <sheetFormatPr customHeight="1" defaultColWidth="12.63" defaultRowHeight="15.0" outlineLevelRow="1"/>
  <cols>
    <col customWidth="1" min="1" max="1" width="8.88"/>
    <col customWidth="1" min="2" max="2" width="62.63"/>
    <col customWidth="1" min="3" max="3" width="13.5"/>
    <col customWidth="1" min="4" max="4" width="9.75"/>
    <col customWidth="1" min="5" max="5" width="19.75"/>
    <col customWidth="1" min="6" max="6" width="19.63"/>
    <col customWidth="1" min="7" max="10" width="11.75"/>
    <col customWidth="1" min="11" max="26" width="11.0"/>
  </cols>
  <sheetData>
    <row r="1" ht="12.75" customHeight="1">
      <c r="A1" s="68" t="s">
        <v>19</v>
      </c>
      <c r="B1" s="68" t="s">
        <v>11</v>
      </c>
      <c r="C1" s="68" t="s">
        <v>20</v>
      </c>
      <c r="D1" s="69" t="s">
        <v>21</v>
      </c>
      <c r="E1" s="70" t="s">
        <v>22</v>
      </c>
      <c r="F1" s="71" t="s">
        <v>23</v>
      </c>
      <c r="G1" s="72" t="s">
        <v>24</v>
      </c>
      <c r="H1" s="73" t="s">
        <v>25</v>
      </c>
      <c r="I1" s="73" t="s">
        <v>26</v>
      </c>
      <c r="J1" s="74" t="b">
        <v>0</v>
      </c>
    </row>
    <row r="2" ht="12.75" customHeight="1">
      <c r="A2" s="75"/>
      <c r="B2" s="75"/>
      <c r="C2" s="75"/>
      <c r="D2" s="75"/>
      <c r="E2" s="76"/>
      <c r="F2" s="76"/>
      <c r="G2" s="77"/>
      <c r="H2" s="76"/>
      <c r="I2" s="76"/>
      <c r="J2" s="78" t="b">
        <v>0</v>
      </c>
    </row>
    <row r="3" ht="12.75" customHeight="1">
      <c r="D3" s="79"/>
      <c r="E3" s="80"/>
      <c r="F3" s="80"/>
      <c r="G3" s="81"/>
      <c r="H3" s="80"/>
      <c r="I3" s="80"/>
      <c r="J3" s="82" t="b">
        <v>0</v>
      </c>
    </row>
    <row r="4" ht="17.25" customHeight="1">
      <c r="A4" s="83" t="s">
        <v>27</v>
      </c>
      <c r="B4" s="84" t="s">
        <v>28</v>
      </c>
      <c r="C4" s="85">
        <f>F8</f>
        <v>173610.4</v>
      </c>
      <c r="D4" s="86"/>
      <c r="E4" s="87">
        <v>85000.0</v>
      </c>
      <c r="F4" s="88"/>
      <c r="G4" s="81"/>
      <c r="H4" s="80"/>
      <c r="I4" s="80"/>
      <c r="J4" s="82" t="b">
        <v>0</v>
      </c>
    </row>
    <row r="5" ht="12.75" customHeight="1" outlineLevel="1">
      <c r="D5" s="79"/>
      <c r="E5" s="80"/>
      <c r="F5" s="80"/>
      <c r="G5" s="81"/>
      <c r="H5" s="80"/>
      <c r="I5" s="80"/>
      <c r="J5" s="82" t="b">
        <v>0</v>
      </c>
    </row>
    <row r="6" ht="12.75" customHeight="1" outlineLevel="1">
      <c r="A6" s="89" t="s">
        <v>29</v>
      </c>
      <c r="B6" s="90" t="s">
        <v>30</v>
      </c>
      <c r="D6" s="79"/>
      <c r="E6" s="80"/>
      <c r="F6" s="80"/>
      <c r="G6" s="81"/>
      <c r="H6" s="80"/>
      <c r="I6" s="80"/>
      <c r="J6" s="82" t="b">
        <v>0</v>
      </c>
    </row>
    <row r="7" ht="12.75" customHeight="1" outlineLevel="1">
      <c r="D7" s="79"/>
      <c r="E7" s="80"/>
      <c r="F7" s="80"/>
      <c r="G7" s="81"/>
      <c r="H7" s="80"/>
      <c r="I7" s="80"/>
      <c r="J7" s="82" t="b">
        <v>0</v>
      </c>
    </row>
    <row r="8" ht="12.75" customHeight="1" outlineLevel="1">
      <c r="A8" s="89" t="s">
        <v>31</v>
      </c>
      <c r="B8" s="90" t="s">
        <v>32</v>
      </c>
      <c r="C8" s="89" t="s">
        <v>33</v>
      </c>
      <c r="D8" s="91">
        <v>1.0</v>
      </c>
      <c r="E8" s="92">
        <v>173610.4</v>
      </c>
      <c r="F8" s="92">
        <v>173610.4</v>
      </c>
      <c r="G8" s="93"/>
      <c r="H8" s="92"/>
      <c r="I8" s="92"/>
      <c r="J8" s="82" t="b">
        <v>1</v>
      </c>
    </row>
    <row r="9" ht="12.75" customHeight="1" outlineLevel="1">
      <c r="D9" s="79"/>
      <c r="E9" s="80"/>
      <c r="F9" s="80"/>
      <c r="G9" s="81"/>
      <c r="H9" s="80"/>
      <c r="I9" s="80"/>
      <c r="J9" s="82" t="b">
        <v>0</v>
      </c>
    </row>
    <row r="10" ht="12.75" customHeight="1">
      <c r="A10" s="83" t="s">
        <v>34</v>
      </c>
      <c r="B10" s="84" t="s">
        <v>35</v>
      </c>
      <c r="C10" s="94">
        <f>SUM(F14:F40)</f>
        <v>27737.99</v>
      </c>
      <c r="D10" s="86"/>
      <c r="E10" s="87">
        <v>27000.0</v>
      </c>
      <c r="F10" s="88"/>
      <c r="G10" s="81"/>
      <c r="H10" s="80"/>
      <c r="I10" s="80"/>
      <c r="J10" s="82" t="b">
        <v>0</v>
      </c>
    </row>
    <row r="11" ht="12.75" customHeight="1" outlineLevel="1">
      <c r="D11" s="79"/>
      <c r="E11" s="80"/>
      <c r="F11" s="80"/>
      <c r="G11" s="81"/>
      <c r="H11" s="80"/>
      <c r="I11" s="80"/>
      <c r="J11" s="82" t="b">
        <v>0</v>
      </c>
    </row>
    <row r="12" ht="12.75" customHeight="1" outlineLevel="1">
      <c r="A12" s="89" t="s">
        <v>36</v>
      </c>
      <c r="B12" s="90" t="s">
        <v>37</v>
      </c>
      <c r="D12" s="79"/>
      <c r="E12" s="80"/>
      <c r="F12" s="80"/>
      <c r="G12" s="81"/>
      <c r="H12" s="80"/>
      <c r="I12" s="80"/>
      <c r="J12" s="82" t="b">
        <v>0</v>
      </c>
    </row>
    <row r="13" ht="12.75" customHeight="1" outlineLevel="1">
      <c r="D13" s="79"/>
      <c r="E13" s="80"/>
      <c r="F13" s="80"/>
      <c r="G13" s="81"/>
      <c r="H13" s="80"/>
      <c r="I13" s="80"/>
      <c r="J13" s="82" t="b">
        <v>0</v>
      </c>
    </row>
    <row r="14" ht="12.75" customHeight="1" outlineLevel="1">
      <c r="A14" s="95" t="s">
        <v>38</v>
      </c>
      <c r="B14" s="96" t="s">
        <v>39</v>
      </c>
      <c r="C14" s="95" t="s">
        <v>40</v>
      </c>
      <c r="D14" s="97">
        <v>155.42</v>
      </c>
      <c r="E14" s="98">
        <v>50.66</v>
      </c>
      <c r="F14" s="98">
        <v>7873.58</v>
      </c>
      <c r="G14" s="99"/>
      <c r="H14" s="100"/>
      <c r="I14" s="100"/>
      <c r="J14" s="101" t="b">
        <v>0</v>
      </c>
    </row>
    <row r="15" ht="12.75" customHeight="1" outlineLevel="1">
      <c r="A15" s="102"/>
      <c r="B15" s="102"/>
      <c r="C15" s="102"/>
      <c r="D15" s="103"/>
      <c r="E15" s="104"/>
      <c r="F15" s="104"/>
      <c r="G15" s="105"/>
      <c r="H15" s="106"/>
      <c r="I15" s="106"/>
      <c r="J15" s="101" t="b">
        <v>0</v>
      </c>
    </row>
    <row r="16" ht="12.75" customHeight="1" outlineLevel="1">
      <c r="A16" s="95" t="s">
        <v>41</v>
      </c>
      <c r="B16" s="96" t="s">
        <v>42</v>
      </c>
      <c r="C16" s="95" t="s">
        <v>40</v>
      </c>
      <c r="D16" s="97">
        <v>32.57</v>
      </c>
      <c r="E16" s="98">
        <v>32.0</v>
      </c>
      <c r="F16" s="98">
        <v>1042.24</v>
      </c>
      <c r="G16" s="99"/>
      <c r="H16" s="100"/>
      <c r="I16" s="100"/>
      <c r="J16" s="101" t="b">
        <v>0</v>
      </c>
    </row>
    <row r="17" ht="12.75" customHeight="1" outlineLevel="1">
      <c r="A17" s="102"/>
      <c r="B17" s="102"/>
      <c r="C17" s="102"/>
      <c r="D17" s="103"/>
      <c r="E17" s="104"/>
      <c r="F17" s="104"/>
      <c r="G17" s="105"/>
      <c r="H17" s="106"/>
      <c r="I17" s="106"/>
      <c r="J17" s="101" t="b">
        <v>0</v>
      </c>
    </row>
    <row r="18" ht="12.75" customHeight="1" outlineLevel="1">
      <c r="A18" s="95" t="s">
        <v>43</v>
      </c>
      <c r="B18" s="96" t="s">
        <v>44</v>
      </c>
      <c r="C18" s="95" t="s">
        <v>40</v>
      </c>
      <c r="D18" s="97">
        <v>144.31</v>
      </c>
      <c r="E18" s="98">
        <v>28.06</v>
      </c>
      <c r="F18" s="98">
        <v>4049.34</v>
      </c>
      <c r="G18" s="99"/>
      <c r="H18" s="100"/>
      <c r="I18" s="100"/>
      <c r="J18" s="101" t="b">
        <v>0</v>
      </c>
    </row>
    <row r="19" ht="12.75" customHeight="1" outlineLevel="1">
      <c r="D19" s="79"/>
      <c r="E19" s="80"/>
      <c r="F19" s="80"/>
      <c r="G19" s="81"/>
      <c r="H19" s="80"/>
      <c r="I19" s="80"/>
      <c r="J19" s="82" t="b">
        <v>0</v>
      </c>
    </row>
    <row r="20" ht="12.75" customHeight="1" outlineLevel="1">
      <c r="A20" s="89" t="s">
        <v>45</v>
      </c>
      <c r="B20" s="90" t="s">
        <v>46</v>
      </c>
      <c r="D20" s="79"/>
      <c r="E20" s="80"/>
      <c r="F20" s="80"/>
      <c r="G20" s="81"/>
      <c r="H20" s="80"/>
      <c r="I20" s="80"/>
      <c r="J20" s="82" t="b">
        <v>0</v>
      </c>
    </row>
    <row r="21" ht="12.75" customHeight="1" outlineLevel="1">
      <c r="D21" s="79"/>
      <c r="E21" s="80"/>
      <c r="F21" s="80"/>
      <c r="G21" s="81"/>
      <c r="H21" s="80"/>
      <c r="I21" s="80"/>
      <c r="J21" s="82" t="b">
        <v>0</v>
      </c>
    </row>
    <row r="22" ht="12.75" customHeight="1" outlineLevel="1">
      <c r="A22" s="89" t="s">
        <v>47</v>
      </c>
      <c r="B22" s="90" t="s">
        <v>48</v>
      </c>
      <c r="C22" s="89" t="s">
        <v>40</v>
      </c>
      <c r="D22" s="91">
        <v>152.25</v>
      </c>
      <c r="E22" s="92">
        <v>32.0</v>
      </c>
      <c r="F22" s="92">
        <v>4872.0</v>
      </c>
      <c r="G22" s="93"/>
      <c r="H22" s="92"/>
      <c r="I22" s="92"/>
      <c r="J22" s="82" t="b">
        <v>0</v>
      </c>
    </row>
    <row r="23" ht="12.75" customHeight="1" outlineLevel="1">
      <c r="D23" s="79"/>
      <c r="E23" s="80"/>
      <c r="F23" s="80"/>
      <c r="G23" s="81"/>
      <c r="H23" s="80"/>
      <c r="I23" s="80"/>
      <c r="J23" s="82" t="b">
        <v>0</v>
      </c>
    </row>
    <row r="24" ht="12.75" customHeight="1" outlineLevel="1">
      <c r="A24" s="89" t="s">
        <v>49</v>
      </c>
      <c r="B24" s="90" t="s">
        <v>50</v>
      </c>
      <c r="C24" s="89" t="s">
        <v>40</v>
      </c>
      <c r="D24" s="91">
        <v>14.64</v>
      </c>
      <c r="E24" s="92">
        <v>25.22</v>
      </c>
      <c r="F24" s="92">
        <v>369.22</v>
      </c>
      <c r="G24" s="93"/>
      <c r="H24" s="92"/>
      <c r="I24" s="92"/>
      <c r="J24" s="82" t="b">
        <v>0</v>
      </c>
    </row>
    <row r="25" ht="12.75" customHeight="1" outlineLevel="1">
      <c r="D25" s="79"/>
      <c r="E25" s="80"/>
      <c r="F25" s="80"/>
      <c r="G25" s="81"/>
      <c r="H25" s="80"/>
      <c r="I25" s="80"/>
      <c r="J25" s="82" t="b">
        <v>0</v>
      </c>
    </row>
    <row r="26" ht="12.75" customHeight="1" outlineLevel="1">
      <c r="A26" s="89" t="s">
        <v>51</v>
      </c>
      <c r="B26" s="90" t="s">
        <v>52</v>
      </c>
      <c r="C26" s="89" t="s">
        <v>40</v>
      </c>
      <c r="D26" s="91">
        <v>48.01</v>
      </c>
      <c r="E26" s="92">
        <v>56.13</v>
      </c>
      <c r="F26" s="92">
        <v>2694.8</v>
      </c>
      <c r="G26" s="93"/>
      <c r="H26" s="92"/>
      <c r="I26" s="92"/>
      <c r="J26" s="82" t="b">
        <v>0</v>
      </c>
    </row>
    <row r="27" ht="12.75" customHeight="1" outlineLevel="1">
      <c r="D27" s="79"/>
      <c r="E27" s="80"/>
      <c r="F27" s="80"/>
      <c r="G27" s="81"/>
      <c r="H27" s="80"/>
      <c r="I27" s="80"/>
      <c r="J27" s="82" t="b">
        <v>0</v>
      </c>
    </row>
    <row r="28" ht="12.75" customHeight="1" outlineLevel="1">
      <c r="A28" s="89" t="s">
        <v>53</v>
      </c>
      <c r="B28" s="90" t="s">
        <v>54</v>
      </c>
      <c r="D28" s="79"/>
      <c r="E28" s="80"/>
      <c r="F28" s="80"/>
      <c r="G28" s="81"/>
      <c r="H28" s="80"/>
      <c r="I28" s="80"/>
      <c r="J28" s="82" t="b">
        <v>0</v>
      </c>
    </row>
    <row r="29" ht="12.75" customHeight="1" outlineLevel="1">
      <c r="D29" s="79"/>
      <c r="E29" s="80"/>
      <c r="F29" s="80"/>
      <c r="G29" s="81"/>
      <c r="H29" s="80"/>
      <c r="I29" s="80"/>
      <c r="J29" s="82" t="b">
        <v>0</v>
      </c>
    </row>
    <row r="30" ht="12.75" customHeight="1" outlineLevel="1">
      <c r="A30" s="89" t="s">
        <v>55</v>
      </c>
      <c r="B30" s="90" t="s">
        <v>56</v>
      </c>
      <c r="C30" s="89" t="s">
        <v>40</v>
      </c>
      <c r="D30" s="91">
        <v>19.35</v>
      </c>
      <c r="E30" s="92">
        <v>54.18</v>
      </c>
      <c r="F30" s="92">
        <v>1048.38</v>
      </c>
      <c r="G30" s="93"/>
      <c r="H30" s="92"/>
      <c r="I30" s="92"/>
      <c r="J30" s="82" t="b">
        <v>0</v>
      </c>
    </row>
    <row r="31" ht="12.75" customHeight="1" outlineLevel="1">
      <c r="D31" s="79"/>
      <c r="E31" s="80"/>
      <c r="F31" s="80"/>
      <c r="G31" s="81"/>
      <c r="H31" s="80"/>
      <c r="I31" s="80"/>
      <c r="J31" s="82" t="b">
        <v>0</v>
      </c>
    </row>
    <row r="32" ht="12.75" customHeight="1" outlineLevel="1">
      <c r="A32" s="89" t="s">
        <v>57</v>
      </c>
      <c r="B32" s="90" t="s">
        <v>58</v>
      </c>
      <c r="C32" s="89" t="s">
        <v>40</v>
      </c>
      <c r="D32" s="91">
        <v>37.64</v>
      </c>
      <c r="E32" s="92">
        <v>52.76</v>
      </c>
      <c r="F32" s="92">
        <v>1985.89</v>
      </c>
      <c r="G32" s="93"/>
      <c r="H32" s="92"/>
      <c r="I32" s="92"/>
      <c r="J32" s="82" t="b">
        <v>0</v>
      </c>
    </row>
    <row r="33" ht="12.75" customHeight="1" outlineLevel="1">
      <c r="D33" s="79"/>
      <c r="E33" s="80"/>
      <c r="F33" s="80"/>
      <c r="G33" s="81"/>
      <c r="H33" s="80"/>
      <c r="I33" s="80"/>
      <c r="J33" s="82" t="b">
        <v>0</v>
      </c>
    </row>
    <row r="34" ht="12.75" customHeight="1" outlineLevel="1">
      <c r="A34" s="89" t="s">
        <v>59</v>
      </c>
      <c r="B34" s="90" t="s">
        <v>60</v>
      </c>
      <c r="C34" s="89" t="s">
        <v>40</v>
      </c>
      <c r="D34" s="91">
        <v>20.27</v>
      </c>
      <c r="E34" s="92">
        <v>62.72</v>
      </c>
      <c r="F34" s="92">
        <v>1271.33</v>
      </c>
      <c r="G34" s="93"/>
      <c r="H34" s="92"/>
      <c r="I34" s="92"/>
      <c r="J34" s="82" t="b">
        <v>0</v>
      </c>
    </row>
    <row r="35" ht="12.75" customHeight="1" outlineLevel="1">
      <c r="D35" s="79"/>
      <c r="E35" s="80"/>
      <c r="F35" s="80"/>
      <c r="G35" s="81"/>
      <c r="H35" s="80"/>
      <c r="I35" s="80"/>
      <c r="J35" s="82" t="b">
        <v>0</v>
      </c>
    </row>
    <row r="36" ht="12.75" customHeight="1" outlineLevel="1">
      <c r="A36" s="89" t="s">
        <v>61</v>
      </c>
      <c r="B36" s="90" t="s">
        <v>62</v>
      </c>
      <c r="C36" s="89" t="s">
        <v>40</v>
      </c>
      <c r="D36" s="91">
        <v>10.99</v>
      </c>
      <c r="E36" s="92">
        <v>60.65</v>
      </c>
      <c r="F36" s="92">
        <v>666.54</v>
      </c>
      <c r="G36" s="93"/>
      <c r="H36" s="92"/>
      <c r="I36" s="92"/>
      <c r="J36" s="82" t="b">
        <v>0</v>
      </c>
    </row>
    <row r="37" ht="12.75" customHeight="1" outlineLevel="1">
      <c r="D37" s="79"/>
      <c r="E37" s="80"/>
      <c r="F37" s="80"/>
      <c r="G37" s="81"/>
      <c r="H37" s="80"/>
      <c r="I37" s="80"/>
      <c r="J37" s="82" t="b">
        <v>0</v>
      </c>
    </row>
    <row r="38" ht="12.75" customHeight="1" outlineLevel="1">
      <c r="A38" s="89" t="s">
        <v>63</v>
      </c>
      <c r="B38" s="90" t="s">
        <v>64</v>
      </c>
      <c r="C38" s="89" t="s">
        <v>40</v>
      </c>
      <c r="D38" s="91">
        <v>17.94</v>
      </c>
      <c r="E38" s="92">
        <v>52.76</v>
      </c>
      <c r="F38" s="92">
        <v>946.51</v>
      </c>
      <c r="G38" s="93"/>
      <c r="H38" s="92"/>
      <c r="I38" s="92"/>
      <c r="J38" s="82" t="b">
        <v>0</v>
      </c>
    </row>
    <row r="39" ht="12.75" customHeight="1" outlineLevel="1">
      <c r="D39" s="79"/>
      <c r="E39" s="80"/>
      <c r="F39" s="80"/>
      <c r="G39" s="81"/>
      <c r="H39" s="80"/>
      <c r="I39" s="80"/>
      <c r="J39" s="82" t="b">
        <v>0</v>
      </c>
    </row>
    <row r="40" ht="12.75" customHeight="1" outlineLevel="1">
      <c r="A40" s="89" t="s">
        <v>65</v>
      </c>
      <c r="B40" s="90" t="s">
        <v>66</v>
      </c>
      <c r="C40" s="89" t="s">
        <v>40</v>
      </c>
      <c r="D40" s="91">
        <v>12.91</v>
      </c>
      <c r="E40" s="92">
        <v>71.12</v>
      </c>
      <c r="F40" s="92">
        <v>918.16</v>
      </c>
      <c r="G40" s="93"/>
      <c r="H40" s="92"/>
      <c r="I40" s="92"/>
      <c r="J40" s="82" t="b">
        <v>0</v>
      </c>
    </row>
    <row r="41" ht="12.75" customHeight="1" outlineLevel="1">
      <c r="D41" s="79"/>
      <c r="E41" s="80"/>
      <c r="F41" s="80"/>
      <c r="G41" s="81"/>
      <c r="H41" s="80"/>
      <c r="I41" s="80"/>
      <c r="J41" s="82" t="b">
        <v>0</v>
      </c>
    </row>
    <row r="42" ht="12.75" customHeight="1" collapsed="1">
      <c r="A42" s="83" t="s">
        <v>67</v>
      </c>
      <c r="B42" s="84" t="s">
        <v>68</v>
      </c>
      <c r="C42" s="87">
        <f>SUM(F48:F66)</f>
        <v>1453.17</v>
      </c>
      <c r="D42" s="86"/>
      <c r="E42" s="87">
        <v>3445.0</v>
      </c>
      <c r="F42" s="88"/>
      <c r="G42" s="81"/>
      <c r="H42" s="80"/>
      <c r="I42" s="80"/>
      <c r="J42" s="82" t="b">
        <v>0</v>
      </c>
    </row>
    <row r="43" ht="12.75" hidden="1" customHeight="1" outlineLevel="1">
      <c r="D43" s="79"/>
      <c r="E43" s="80"/>
      <c r="F43" s="80"/>
      <c r="G43" s="81"/>
      <c r="H43" s="80"/>
      <c r="I43" s="80"/>
      <c r="J43" s="82" t="b">
        <v>0</v>
      </c>
    </row>
    <row r="44" ht="12.75" hidden="1" customHeight="1" outlineLevel="1">
      <c r="A44" s="89" t="s">
        <v>69</v>
      </c>
      <c r="B44" s="90" t="s">
        <v>70</v>
      </c>
      <c r="D44" s="79"/>
      <c r="E44" s="80"/>
      <c r="F44" s="80"/>
      <c r="G44" s="81"/>
      <c r="H44" s="80"/>
      <c r="I44" s="80"/>
      <c r="J44" s="82" t="b">
        <v>0</v>
      </c>
    </row>
    <row r="45" ht="12.75" hidden="1" customHeight="1" outlineLevel="1">
      <c r="D45" s="79"/>
      <c r="E45" s="80"/>
      <c r="F45" s="80"/>
      <c r="G45" s="81"/>
      <c r="H45" s="80"/>
      <c r="I45" s="80"/>
      <c r="J45" s="82" t="b">
        <v>0</v>
      </c>
    </row>
    <row r="46" ht="12.75" hidden="1" customHeight="1" outlineLevel="1">
      <c r="A46" s="89" t="s">
        <v>71</v>
      </c>
      <c r="B46" s="90" t="s">
        <v>72</v>
      </c>
      <c r="D46" s="79"/>
      <c r="E46" s="80"/>
      <c r="F46" s="80"/>
      <c r="G46" s="81"/>
      <c r="H46" s="80"/>
      <c r="I46" s="80"/>
      <c r="J46" s="82" t="b">
        <v>0</v>
      </c>
    </row>
    <row r="47" ht="12.75" hidden="1" customHeight="1" outlineLevel="1">
      <c r="D47" s="79"/>
      <c r="E47" s="80"/>
      <c r="F47" s="80"/>
      <c r="G47" s="81"/>
      <c r="H47" s="80"/>
      <c r="I47" s="80"/>
      <c r="J47" s="82" t="b">
        <v>0</v>
      </c>
    </row>
    <row r="48" ht="12.75" hidden="1" customHeight="1" outlineLevel="1">
      <c r="A48" s="89" t="s">
        <v>73</v>
      </c>
      <c r="B48" s="90" t="s">
        <v>74</v>
      </c>
      <c r="C48" s="89" t="s">
        <v>75</v>
      </c>
      <c r="D48" s="91">
        <v>1.0</v>
      </c>
      <c r="E48" s="107">
        <v>45.48</v>
      </c>
      <c r="F48" s="92">
        <v>45.48</v>
      </c>
      <c r="G48" s="93"/>
      <c r="H48" s="92"/>
      <c r="I48" s="92"/>
      <c r="J48" s="82" t="b">
        <v>0</v>
      </c>
    </row>
    <row r="49" ht="12.75" hidden="1" customHeight="1" outlineLevel="1">
      <c r="D49" s="79"/>
      <c r="E49" s="108"/>
      <c r="F49" s="80"/>
      <c r="G49" s="81"/>
      <c r="H49" s="80"/>
      <c r="I49" s="80"/>
      <c r="J49" s="82" t="b">
        <v>0</v>
      </c>
    </row>
    <row r="50" ht="12.75" hidden="1" customHeight="1" outlineLevel="1">
      <c r="A50" s="89" t="s">
        <v>76</v>
      </c>
      <c r="B50" s="90" t="s">
        <v>77</v>
      </c>
      <c r="C50" s="89" t="s">
        <v>75</v>
      </c>
      <c r="D50" s="91">
        <v>1.0</v>
      </c>
      <c r="E50" s="107">
        <v>193.49</v>
      </c>
      <c r="F50" s="92">
        <v>193.49</v>
      </c>
      <c r="G50" s="93"/>
      <c r="H50" s="92"/>
      <c r="I50" s="92"/>
      <c r="J50" s="82" t="b">
        <v>0</v>
      </c>
    </row>
    <row r="51" ht="12.75" hidden="1" customHeight="1" outlineLevel="1">
      <c r="D51" s="79"/>
      <c r="E51" s="108"/>
      <c r="F51" s="80"/>
      <c r="G51" s="81"/>
      <c r="H51" s="80"/>
      <c r="I51" s="80"/>
      <c r="J51" s="82" t="b">
        <v>0</v>
      </c>
    </row>
    <row r="52" ht="12.75" hidden="1" customHeight="1" outlineLevel="1">
      <c r="A52" s="89" t="s">
        <v>78</v>
      </c>
      <c r="B52" s="90" t="s">
        <v>79</v>
      </c>
      <c r="C52" s="89" t="s">
        <v>75</v>
      </c>
      <c r="D52" s="91">
        <v>1.0</v>
      </c>
      <c r="E52" s="107">
        <v>190.6</v>
      </c>
      <c r="F52" s="92">
        <v>190.6</v>
      </c>
      <c r="G52" s="93"/>
      <c r="H52" s="92"/>
      <c r="I52" s="92"/>
      <c r="J52" s="82" t="b">
        <v>0</v>
      </c>
    </row>
    <row r="53" ht="12.75" hidden="1" customHeight="1" outlineLevel="1">
      <c r="D53" s="79"/>
      <c r="E53" s="108"/>
      <c r="F53" s="80"/>
      <c r="G53" s="81"/>
      <c r="H53" s="80"/>
      <c r="I53" s="80"/>
      <c r="J53" s="82" t="b">
        <v>0</v>
      </c>
    </row>
    <row r="54" ht="12.75" hidden="1" customHeight="1" outlineLevel="1">
      <c r="A54" s="89" t="s">
        <v>80</v>
      </c>
      <c r="B54" s="90" t="s">
        <v>81</v>
      </c>
      <c r="C54" s="89" t="s">
        <v>75</v>
      </c>
      <c r="D54" s="91">
        <v>1.0</v>
      </c>
      <c r="E54" s="107">
        <v>125.69</v>
      </c>
      <c r="F54" s="92">
        <v>125.69</v>
      </c>
      <c r="G54" s="93"/>
      <c r="H54" s="92"/>
      <c r="I54" s="92"/>
      <c r="J54" s="82" t="b">
        <v>0</v>
      </c>
    </row>
    <row r="55" ht="12.75" hidden="1" customHeight="1" outlineLevel="1">
      <c r="D55" s="79"/>
      <c r="E55" s="80"/>
      <c r="F55" s="80"/>
      <c r="G55" s="81"/>
      <c r="H55" s="80"/>
      <c r="I55" s="80"/>
      <c r="J55" s="82" t="b">
        <v>0</v>
      </c>
    </row>
    <row r="56" ht="12.75" hidden="1" customHeight="1" outlineLevel="1">
      <c r="A56" s="89" t="s">
        <v>82</v>
      </c>
      <c r="B56" s="90" t="s">
        <v>83</v>
      </c>
      <c r="D56" s="79"/>
      <c r="E56" s="80"/>
      <c r="F56" s="80"/>
      <c r="G56" s="81"/>
      <c r="H56" s="80"/>
      <c r="I56" s="80"/>
      <c r="J56" s="82" t="b">
        <v>0</v>
      </c>
    </row>
    <row r="57" ht="12.75" hidden="1" customHeight="1" outlineLevel="1">
      <c r="D57" s="79"/>
      <c r="E57" s="80"/>
      <c r="F57" s="80"/>
      <c r="G57" s="81"/>
      <c r="H57" s="80"/>
      <c r="I57" s="80"/>
      <c r="J57" s="82" t="b">
        <v>0</v>
      </c>
    </row>
    <row r="58" ht="12.75" hidden="1" customHeight="1" outlineLevel="1">
      <c r="A58" s="89" t="s">
        <v>84</v>
      </c>
      <c r="B58" s="90" t="s">
        <v>85</v>
      </c>
      <c r="C58" s="89" t="s">
        <v>75</v>
      </c>
      <c r="D58" s="91">
        <v>1.0</v>
      </c>
      <c r="E58" s="107">
        <v>14.6</v>
      </c>
      <c r="F58" s="92">
        <v>14.6</v>
      </c>
      <c r="G58" s="93"/>
      <c r="H58" s="92"/>
      <c r="I58" s="92"/>
      <c r="J58" s="82" t="b">
        <v>0</v>
      </c>
    </row>
    <row r="59" ht="12.75" hidden="1" customHeight="1" outlineLevel="1">
      <c r="D59" s="79"/>
      <c r="E59" s="108"/>
      <c r="F59" s="80"/>
      <c r="G59" s="81"/>
      <c r="H59" s="80"/>
      <c r="I59" s="80"/>
      <c r="J59" s="82" t="b">
        <v>0</v>
      </c>
    </row>
    <row r="60" ht="12.75" hidden="1" customHeight="1" outlineLevel="1">
      <c r="A60" s="89" t="s">
        <v>86</v>
      </c>
      <c r="B60" s="90" t="s">
        <v>87</v>
      </c>
      <c r="C60" s="89" t="s">
        <v>75</v>
      </c>
      <c r="D60" s="91">
        <v>1.0</v>
      </c>
      <c r="E60" s="107">
        <v>144.54</v>
      </c>
      <c r="F60" s="92">
        <v>144.54</v>
      </c>
      <c r="G60" s="93"/>
      <c r="H60" s="92"/>
      <c r="I60" s="92"/>
      <c r="J60" s="82" t="b">
        <v>0</v>
      </c>
    </row>
    <row r="61" ht="12.75" hidden="1" customHeight="1" outlineLevel="1">
      <c r="D61" s="79"/>
      <c r="E61" s="108"/>
      <c r="F61" s="80"/>
      <c r="G61" s="81"/>
      <c r="H61" s="80"/>
      <c r="I61" s="80"/>
      <c r="J61" s="82" t="b">
        <v>0</v>
      </c>
    </row>
    <row r="62" ht="12.75" hidden="1" customHeight="1" outlineLevel="1">
      <c r="A62" s="89" t="s">
        <v>88</v>
      </c>
      <c r="B62" s="90" t="s">
        <v>89</v>
      </c>
      <c r="C62" s="89" t="s">
        <v>75</v>
      </c>
      <c r="D62" s="91">
        <v>1.0</v>
      </c>
      <c r="E62" s="107">
        <v>193.45</v>
      </c>
      <c r="F62" s="92">
        <v>193.45</v>
      </c>
      <c r="G62" s="93"/>
      <c r="H62" s="92"/>
      <c r="I62" s="92"/>
      <c r="J62" s="82" t="b">
        <v>0</v>
      </c>
    </row>
    <row r="63" ht="12.75" hidden="1" customHeight="1" outlineLevel="1">
      <c r="D63" s="79"/>
      <c r="E63" s="108"/>
      <c r="F63" s="80"/>
      <c r="G63" s="81"/>
      <c r="H63" s="80"/>
      <c r="I63" s="80"/>
      <c r="J63" s="82" t="b">
        <v>0</v>
      </c>
    </row>
    <row r="64" ht="12.75" hidden="1" customHeight="1" outlineLevel="1">
      <c r="A64" s="89" t="s">
        <v>90</v>
      </c>
      <c r="B64" s="90" t="s">
        <v>91</v>
      </c>
      <c r="C64" s="89" t="s">
        <v>75</v>
      </c>
      <c r="D64" s="91">
        <v>1.0</v>
      </c>
      <c r="E64" s="107">
        <v>507.36</v>
      </c>
      <c r="F64" s="92">
        <v>507.36</v>
      </c>
      <c r="G64" s="93"/>
      <c r="H64" s="92"/>
      <c r="I64" s="92"/>
      <c r="J64" s="82" t="b">
        <v>0</v>
      </c>
    </row>
    <row r="65" ht="12.75" hidden="1" customHeight="1" outlineLevel="1">
      <c r="D65" s="79"/>
      <c r="E65" s="108"/>
      <c r="F65" s="80"/>
      <c r="G65" s="81"/>
      <c r="H65" s="80"/>
      <c r="I65" s="80"/>
      <c r="J65" s="82" t="b">
        <v>0</v>
      </c>
    </row>
    <row r="66" ht="12.75" hidden="1" customHeight="1" outlineLevel="1">
      <c r="A66" s="89" t="s">
        <v>92</v>
      </c>
      <c r="B66" s="90" t="s">
        <v>93</v>
      </c>
      <c r="C66" s="89" t="s">
        <v>75</v>
      </c>
      <c r="D66" s="91">
        <v>1.0</v>
      </c>
      <c r="E66" s="107">
        <v>37.96</v>
      </c>
      <c r="F66" s="92">
        <v>37.96</v>
      </c>
      <c r="G66" s="93"/>
      <c r="H66" s="92"/>
      <c r="I66" s="92"/>
      <c r="J66" s="82" t="b">
        <v>0</v>
      </c>
    </row>
    <row r="67" ht="12.75" hidden="1" customHeight="1" outlineLevel="1">
      <c r="D67" s="79"/>
      <c r="E67" s="80"/>
      <c r="F67" s="80"/>
      <c r="G67" s="81"/>
      <c r="H67" s="80"/>
      <c r="I67" s="80"/>
      <c r="J67" s="82" t="b">
        <v>0</v>
      </c>
    </row>
    <row r="68" ht="12.75" customHeight="1" collapsed="1">
      <c r="A68" s="83" t="s">
        <v>94</v>
      </c>
      <c r="B68" s="84" t="s">
        <v>95</v>
      </c>
      <c r="C68" s="94">
        <f>SUM(F72:F112)</f>
        <v>23753.39</v>
      </c>
      <c r="D68" s="86"/>
      <c r="E68" s="87">
        <v>55065.0</v>
      </c>
      <c r="F68" s="88"/>
      <c r="G68" s="81"/>
      <c r="H68" s="80"/>
      <c r="I68" s="80"/>
      <c r="J68" s="82" t="b">
        <v>0</v>
      </c>
    </row>
    <row r="69" ht="12.75" hidden="1" customHeight="1" outlineLevel="1">
      <c r="D69" s="79"/>
      <c r="E69" s="80"/>
      <c r="F69" s="80"/>
      <c r="G69" s="81"/>
      <c r="H69" s="80"/>
      <c r="I69" s="80"/>
      <c r="J69" s="82" t="b">
        <v>0</v>
      </c>
    </row>
    <row r="70" ht="12.75" hidden="1" customHeight="1" outlineLevel="1">
      <c r="A70" s="89" t="s">
        <v>96</v>
      </c>
      <c r="B70" s="90" t="s">
        <v>97</v>
      </c>
      <c r="D70" s="79"/>
      <c r="E70" s="80"/>
      <c r="F70" s="80"/>
      <c r="G70" s="81"/>
      <c r="H70" s="80"/>
      <c r="I70" s="80"/>
      <c r="J70" s="82" t="b">
        <v>0</v>
      </c>
    </row>
    <row r="71" ht="12.75" hidden="1" customHeight="1" outlineLevel="1">
      <c r="D71" s="79"/>
      <c r="E71" s="80"/>
      <c r="F71" s="80"/>
      <c r="G71" s="81"/>
      <c r="H71" s="80"/>
      <c r="I71" s="80"/>
      <c r="J71" s="82" t="b">
        <v>0</v>
      </c>
    </row>
    <row r="72" ht="12.75" hidden="1" customHeight="1" outlineLevel="1">
      <c r="A72" s="89" t="s">
        <v>98</v>
      </c>
      <c r="B72" s="90" t="s">
        <v>99</v>
      </c>
      <c r="D72" s="79"/>
      <c r="E72" s="80"/>
      <c r="F72" s="80"/>
      <c r="G72" s="81"/>
      <c r="H72" s="80"/>
      <c r="I72" s="80"/>
      <c r="J72" s="82" t="b">
        <v>0</v>
      </c>
    </row>
    <row r="73" ht="12.75" hidden="1" customHeight="1" outlineLevel="1">
      <c r="D73" s="79"/>
      <c r="E73" s="80"/>
      <c r="F73" s="80"/>
      <c r="G73" s="81"/>
      <c r="H73" s="80"/>
      <c r="I73" s="80"/>
      <c r="J73" s="82" t="b">
        <v>0</v>
      </c>
    </row>
    <row r="74" ht="12.75" hidden="1" customHeight="1" outlineLevel="1">
      <c r="A74" s="89" t="s">
        <v>100</v>
      </c>
      <c r="B74" s="90" t="s">
        <v>101</v>
      </c>
      <c r="C74" s="89" t="s">
        <v>40</v>
      </c>
      <c r="D74" s="91">
        <v>37.14</v>
      </c>
      <c r="E74" s="92">
        <v>11.9</v>
      </c>
      <c r="F74" s="92">
        <v>441.97</v>
      </c>
      <c r="G74" s="93"/>
      <c r="H74" s="92"/>
      <c r="I74" s="92"/>
      <c r="J74" s="82" t="b">
        <v>0</v>
      </c>
    </row>
    <row r="75" ht="12.75" hidden="1" customHeight="1" outlineLevel="1">
      <c r="D75" s="79"/>
      <c r="E75" s="80"/>
      <c r="F75" s="80"/>
      <c r="G75" s="81"/>
      <c r="H75" s="80"/>
      <c r="I75" s="80"/>
      <c r="J75" s="82" t="b">
        <v>0</v>
      </c>
    </row>
    <row r="76" ht="12.75" hidden="1" customHeight="1" outlineLevel="1">
      <c r="A76" s="89" t="s">
        <v>102</v>
      </c>
      <c r="B76" s="90" t="s">
        <v>103</v>
      </c>
      <c r="C76" s="89" t="s">
        <v>40</v>
      </c>
      <c r="D76" s="91">
        <v>37.14</v>
      </c>
      <c r="E76" s="92">
        <v>23.36</v>
      </c>
      <c r="F76" s="92">
        <v>867.59</v>
      </c>
      <c r="G76" s="93"/>
      <c r="H76" s="92"/>
      <c r="I76" s="92"/>
      <c r="J76" s="82" t="b">
        <v>0</v>
      </c>
    </row>
    <row r="77" ht="12.75" hidden="1" customHeight="1" outlineLevel="1">
      <c r="D77" s="79"/>
      <c r="E77" s="80"/>
      <c r="F77" s="80"/>
      <c r="G77" s="81"/>
      <c r="H77" s="80"/>
      <c r="I77" s="80"/>
      <c r="J77" s="82" t="b">
        <v>0</v>
      </c>
    </row>
    <row r="78" ht="12.75" hidden="1" customHeight="1" outlineLevel="1">
      <c r="A78" s="89" t="s">
        <v>104</v>
      </c>
      <c r="B78" s="90" t="s">
        <v>105</v>
      </c>
      <c r="C78" s="89" t="s">
        <v>40</v>
      </c>
      <c r="D78" s="91">
        <v>37.14</v>
      </c>
      <c r="E78" s="92">
        <v>31.78</v>
      </c>
      <c r="F78" s="92">
        <v>1180.31</v>
      </c>
      <c r="G78" s="93"/>
      <c r="H78" s="92"/>
      <c r="I78" s="92"/>
      <c r="J78" s="82" t="b">
        <v>0</v>
      </c>
    </row>
    <row r="79" ht="12.75" hidden="1" customHeight="1" outlineLevel="1">
      <c r="D79" s="79"/>
      <c r="E79" s="80"/>
      <c r="F79" s="80"/>
      <c r="G79" s="81"/>
      <c r="H79" s="80"/>
      <c r="I79" s="80"/>
      <c r="J79" s="82" t="b">
        <v>0</v>
      </c>
    </row>
    <row r="80" ht="12.75" hidden="1" customHeight="1" outlineLevel="1">
      <c r="A80" s="89" t="s">
        <v>106</v>
      </c>
      <c r="B80" s="90" t="s">
        <v>107</v>
      </c>
      <c r="D80" s="79"/>
      <c r="E80" s="80"/>
      <c r="F80" s="80"/>
      <c r="G80" s="81"/>
      <c r="H80" s="80"/>
      <c r="I80" s="80"/>
      <c r="J80" s="82" t="b">
        <v>0</v>
      </c>
    </row>
    <row r="81" ht="12.75" hidden="1" customHeight="1" outlineLevel="1">
      <c r="D81" s="79"/>
      <c r="E81" s="80"/>
      <c r="F81" s="80"/>
      <c r="G81" s="81"/>
      <c r="H81" s="80"/>
      <c r="I81" s="80"/>
      <c r="J81" s="82" t="b">
        <v>0</v>
      </c>
    </row>
    <row r="82" ht="12.75" hidden="1" customHeight="1" outlineLevel="1">
      <c r="A82" s="89" t="s">
        <v>108</v>
      </c>
      <c r="B82" s="90" t="s">
        <v>109</v>
      </c>
      <c r="D82" s="79"/>
      <c r="E82" s="80"/>
      <c r="F82" s="80"/>
      <c r="G82" s="81"/>
      <c r="H82" s="80"/>
      <c r="I82" s="80"/>
      <c r="J82" s="82" t="b">
        <v>0</v>
      </c>
    </row>
    <row r="83" ht="12.75" hidden="1" customHeight="1" outlineLevel="1">
      <c r="D83" s="79"/>
      <c r="E83" s="80"/>
      <c r="F83" s="80"/>
      <c r="G83" s="81"/>
      <c r="H83" s="80"/>
      <c r="I83" s="80"/>
      <c r="J83" s="82" t="b">
        <v>0</v>
      </c>
    </row>
    <row r="84" ht="12.75" hidden="1" customHeight="1" outlineLevel="1">
      <c r="A84" s="89" t="s">
        <v>110</v>
      </c>
      <c r="B84" s="90" t="s">
        <v>101</v>
      </c>
      <c r="C84" s="89" t="s">
        <v>40</v>
      </c>
      <c r="D84" s="91">
        <v>53.0</v>
      </c>
      <c r="E84" s="92">
        <v>11.9</v>
      </c>
      <c r="F84" s="92">
        <v>630.7</v>
      </c>
      <c r="G84" s="93"/>
      <c r="H84" s="92"/>
      <c r="I84" s="92"/>
      <c r="J84" s="82" t="b">
        <v>0</v>
      </c>
    </row>
    <row r="85" ht="12.75" hidden="1" customHeight="1" outlineLevel="1">
      <c r="D85" s="79"/>
      <c r="E85" s="80"/>
      <c r="F85" s="80"/>
      <c r="G85" s="81"/>
      <c r="H85" s="80"/>
      <c r="I85" s="80"/>
      <c r="J85" s="82" t="b">
        <v>0</v>
      </c>
    </row>
    <row r="86" ht="12.75" hidden="1" customHeight="1" outlineLevel="1">
      <c r="A86" s="89" t="s">
        <v>111</v>
      </c>
      <c r="B86" s="90" t="s">
        <v>112</v>
      </c>
      <c r="C86" s="89" t="s">
        <v>40</v>
      </c>
      <c r="D86" s="91">
        <v>53.0</v>
      </c>
      <c r="E86" s="92">
        <v>23.36</v>
      </c>
      <c r="F86" s="92">
        <v>1238.08</v>
      </c>
      <c r="G86" s="93"/>
      <c r="H86" s="92"/>
      <c r="I86" s="92"/>
      <c r="J86" s="82" t="b">
        <v>0</v>
      </c>
    </row>
    <row r="87" ht="12.75" hidden="1" customHeight="1" outlineLevel="1">
      <c r="D87" s="79"/>
      <c r="E87" s="80"/>
      <c r="F87" s="80"/>
      <c r="G87" s="81"/>
      <c r="H87" s="80"/>
      <c r="I87" s="80"/>
      <c r="J87" s="82" t="b">
        <v>0</v>
      </c>
    </row>
    <row r="88" ht="12.75" hidden="1" customHeight="1" outlineLevel="1">
      <c r="A88" s="89" t="s">
        <v>113</v>
      </c>
      <c r="B88" s="90" t="s">
        <v>114</v>
      </c>
      <c r="C88" s="89" t="s">
        <v>40</v>
      </c>
      <c r="D88" s="91">
        <v>53.0</v>
      </c>
      <c r="E88" s="92">
        <v>31.78</v>
      </c>
      <c r="F88" s="92">
        <v>1684.34</v>
      </c>
      <c r="G88" s="93"/>
      <c r="H88" s="92"/>
      <c r="I88" s="92"/>
      <c r="J88" s="82" t="b">
        <v>0</v>
      </c>
    </row>
    <row r="89" ht="12.75" hidden="1" customHeight="1" outlineLevel="1">
      <c r="D89" s="79"/>
      <c r="E89" s="80"/>
      <c r="F89" s="80"/>
      <c r="G89" s="81"/>
      <c r="H89" s="80"/>
      <c r="I89" s="80"/>
      <c r="J89" s="82" t="b">
        <v>0</v>
      </c>
    </row>
    <row r="90" ht="12.75" hidden="1" customHeight="1" outlineLevel="1">
      <c r="A90" s="89" t="s">
        <v>115</v>
      </c>
      <c r="B90" s="90" t="s">
        <v>116</v>
      </c>
      <c r="D90" s="79"/>
      <c r="E90" s="80"/>
      <c r="F90" s="80"/>
      <c r="G90" s="81"/>
      <c r="H90" s="80"/>
      <c r="I90" s="80"/>
      <c r="J90" s="82" t="b">
        <v>0</v>
      </c>
    </row>
    <row r="91" ht="12.75" hidden="1" customHeight="1" outlineLevel="1">
      <c r="D91" s="79"/>
      <c r="E91" s="80"/>
      <c r="F91" s="80"/>
      <c r="G91" s="81"/>
      <c r="H91" s="80"/>
      <c r="I91" s="80"/>
      <c r="J91" s="82" t="b">
        <v>0</v>
      </c>
    </row>
    <row r="92" ht="12.75" hidden="1" customHeight="1" outlineLevel="1">
      <c r="A92" s="89" t="s">
        <v>117</v>
      </c>
      <c r="B92" s="90" t="s">
        <v>118</v>
      </c>
      <c r="D92" s="79"/>
      <c r="E92" s="80"/>
      <c r="F92" s="80"/>
      <c r="G92" s="81"/>
      <c r="H92" s="80"/>
      <c r="I92" s="80"/>
      <c r="J92" s="82" t="b">
        <v>0</v>
      </c>
    </row>
    <row r="93" ht="12.75" hidden="1" customHeight="1" outlineLevel="1">
      <c r="D93" s="79"/>
      <c r="E93" s="80"/>
      <c r="F93" s="80"/>
      <c r="G93" s="81"/>
      <c r="H93" s="80"/>
      <c r="I93" s="80"/>
      <c r="J93" s="82" t="b">
        <v>0</v>
      </c>
    </row>
    <row r="94" ht="12.75" hidden="1" customHeight="1" outlineLevel="1">
      <c r="A94" s="89" t="s">
        <v>119</v>
      </c>
      <c r="B94" s="90" t="s">
        <v>112</v>
      </c>
      <c r="C94" s="89" t="s">
        <v>40</v>
      </c>
      <c r="D94" s="91">
        <v>32.4</v>
      </c>
      <c r="E94" s="92">
        <v>23.36</v>
      </c>
      <c r="F94" s="92">
        <v>756.86</v>
      </c>
      <c r="G94" s="93"/>
      <c r="H94" s="92"/>
      <c r="I94" s="92"/>
      <c r="J94" s="82" t="b">
        <v>0</v>
      </c>
    </row>
    <row r="95" ht="12.75" hidden="1" customHeight="1" outlineLevel="1">
      <c r="D95" s="79"/>
      <c r="E95" s="80"/>
      <c r="F95" s="80"/>
      <c r="G95" s="81"/>
      <c r="H95" s="80"/>
      <c r="I95" s="80"/>
      <c r="J95" s="82" t="b">
        <v>0</v>
      </c>
    </row>
    <row r="96" ht="12.75" hidden="1" customHeight="1" outlineLevel="1">
      <c r="A96" s="89" t="s">
        <v>120</v>
      </c>
      <c r="B96" s="90" t="s">
        <v>114</v>
      </c>
      <c r="C96" s="89" t="s">
        <v>40</v>
      </c>
      <c r="D96" s="91">
        <v>32.4</v>
      </c>
      <c r="E96" s="92">
        <v>31.78</v>
      </c>
      <c r="F96" s="92">
        <v>1029.67</v>
      </c>
      <c r="G96" s="93"/>
      <c r="H96" s="92"/>
      <c r="I96" s="92"/>
      <c r="J96" s="82" t="b">
        <v>0</v>
      </c>
    </row>
    <row r="97" ht="12.75" hidden="1" customHeight="1" outlineLevel="1">
      <c r="D97" s="79"/>
      <c r="E97" s="80"/>
      <c r="F97" s="80"/>
      <c r="G97" s="81"/>
      <c r="H97" s="80"/>
      <c r="I97" s="80"/>
      <c r="J97" s="82" t="b">
        <v>0</v>
      </c>
    </row>
    <row r="98" ht="12.75" hidden="1" customHeight="1" outlineLevel="1">
      <c r="A98" s="89" t="s">
        <v>121</v>
      </c>
      <c r="B98" s="90" t="s">
        <v>122</v>
      </c>
      <c r="D98" s="79"/>
      <c r="E98" s="80"/>
      <c r="F98" s="80"/>
      <c r="G98" s="81"/>
      <c r="H98" s="80"/>
      <c r="I98" s="80"/>
      <c r="J98" s="82" t="b">
        <v>0</v>
      </c>
    </row>
    <row r="99" ht="12.75" hidden="1" customHeight="1" outlineLevel="1">
      <c r="D99" s="79"/>
      <c r="E99" s="80"/>
      <c r="F99" s="80"/>
      <c r="G99" s="81"/>
      <c r="H99" s="80"/>
      <c r="I99" s="80"/>
      <c r="J99" s="82" t="b">
        <v>0</v>
      </c>
    </row>
    <row r="100" ht="12.75" hidden="1" customHeight="1" outlineLevel="1">
      <c r="A100" s="89" t="s">
        <v>123</v>
      </c>
      <c r="B100" s="90" t="s">
        <v>124</v>
      </c>
      <c r="C100" s="89" t="s">
        <v>40</v>
      </c>
      <c r="D100" s="91">
        <v>303.47</v>
      </c>
      <c r="E100" s="92">
        <v>22.54</v>
      </c>
      <c r="F100" s="92">
        <v>6840.21</v>
      </c>
      <c r="G100" s="93"/>
      <c r="H100" s="92"/>
      <c r="I100" s="92"/>
      <c r="J100" s="82" t="b">
        <v>0</v>
      </c>
    </row>
    <row r="101" ht="12.75" hidden="1" customHeight="1" outlineLevel="1">
      <c r="D101" s="79"/>
      <c r="E101" s="80"/>
      <c r="F101" s="80"/>
      <c r="G101" s="81"/>
      <c r="H101" s="80"/>
      <c r="I101" s="80"/>
      <c r="J101" s="82" t="b">
        <v>0</v>
      </c>
    </row>
    <row r="102" ht="12.75" hidden="1" customHeight="1" outlineLevel="1">
      <c r="A102" s="89" t="s">
        <v>125</v>
      </c>
      <c r="B102" s="90" t="s">
        <v>126</v>
      </c>
      <c r="D102" s="79"/>
      <c r="E102" s="80"/>
      <c r="F102" s="80"/>
      <c r="G102" s="81"/>
      <c r="H102" s="80"/>
      <c r="I102" s="80"/>
      <c r="J102" s="82" t="b">
        <v>0</v>
      </c>
    </row>
    <row r="103" ht="12.75" hidden="1" customHeight="1" outlineLevel="1">
      <c r="D103" s="79"/>
      <c r="E103" s="80"/>
      <c r="F103" s="80"/>
      <c r="G103" s="81"/>
      <c r="H103" s="80"/>
      <c r="I103" s="80"/>
      <c r="J103" s="82" t="b">
        <v>0</v>
      </c>
    </row>
    <row r="104" ht="12.75" hidden="1" customHeight="1" outlineLevel="1">
      <c r="A104" s="89" t="s">
        <v>127</v>
      </c>
      <c r="B104" s="90" t="s">
        <v>128</v>
      </c>
      <c r="C104" s="89" t="s">
        <v>40</v>
      </c>
      <c r="D104" s="91">
        <v>320.7</v>
      </c>
      <c r="E104" s="92">
        <v>11.9</v>
      </c>
      <c r="F104" s="92">
        <v>3816.33</v>
      </c>
      <c r="G104" s="93"/>
      <c r="H104" s="92"/>
      <c r="I104" s="92"/>
      <c r="J104" s="82" t="b">
        <v>0</v>
      </c>
    </row>
    <row r="105" ht="12.75" hidden="1" customHeight="1" outlineLevel="1">
      <c r="D105" s="79"/>
      <c r="E105" s="80"/>
      <c r="F105" s="80"/>
      <c r="G105" s="81"/>
      <c r="H105" s="80"/>
      <c r="I105" s="80"/>
      <c r="J105" s="82" t="b">
        <v>0</v>
      </c>
    </row>
    <row r="106" ht="12.75" hidden="1" customHeight="1" outlineLevel="1">
      <c r="A106" s="89" t="s">
        <v>129</v>
      </c>
      <c r="B106" s="90" t="s">
        <v>130</v>
      </c>
      <c r="D106" s="79"/>
      <c r="E106" s="80"/>
      <c r="F106" s="80"/>
      <c r="G106" s="81"/>
      <c r="H106" s="80"/>
      <c r="I106" s="80"/>
      <c r="J106" s="82" t="b">
        <v>0</v>
      </c>
    </row>
    <row r="107" ht="12.75" hidden="1" customHeight="1" outlineLevel="1">
      <c r="D107" s="79"/>
      <c r="E107" s="80"/>
      <c r="F107" s="80"/>
      <c r="G107" s="81"/>
      <c r="H107" s="80"/>
      <c r="I107" s="80"/>
      <c r="J107" s="82" t="b">
        <v>0</v>
      </c>
    </row>
    <row r="108" ht="12.75" hidden="1" customHeight="1" outlineLevel="1">
      <c r="A108" s="89" t="s">
        <v>131</v>
      </c>
      <c r="B108" s="90" t="s">
        <v>132</v>
      </c>
      <c r="C108" s="89" t="s">
        <v>75</v>
      </c>
      <c r="D108" s="91">
        <v>22.19</v>
      </c>
      <c r="E108" s="92">
        <v>29.09</v>
      </c>
      <c r="F108" s="92">
        <v>645.51</v>
      </c>
      <c r="G108" s="93"/>
      <c r="H108" s="92"/>
      <c r="I108" s="92"/>
      <c r="J108" s="82" t="b">
        <v>0</v>
      </c>
    </row>
    <row r="109" ht="12.75" hidden="1" customHeight="1" outlineLevel="1">
      <c r="D109" s="79"/>
      <c r="E109" s="80"/>
      <c r="F109" s="80"/>
      <c r="G109" s="81"/>
      <c r="H109" s="80"/>
      <c r="I109" s="80"/>
      <c r="J109" s="82" t="b">
        <v>0</v>
      </c>
    </row>
    <row r="110" ht="12.75" hidden="1" customHeight="1" outlineLevel="1">
      <c r="A110" s="89" t="s">
        <v>133</v>
      </c>
      <c r="B110" s="90" t="s">
        <v>134</v>
      </c>
      <c r="D110" s="79"/>
      <c r="E110" s="80"/>
      <c r="F110" s="80"/>
      <c r="G110" s="81"/>
      <c r="H110" s="80"/>
      <c r="I110" s="80"/>
      <c r="J110" s="82" t="b">
        <v>0</v>
      </c>
    </row>
    <row r="111" ht="12.75" hidden="1" customHeight="1" outlineLevel="1">
      <c r="D111" s="79"/>
      <c r="E111" s="80"/>
      <c r="F111" s="80"/>
      <c r="G111" s="81"/>
      <c r="H111" s="80"/>
      <c r="I111" s="80"/>
      <c r="J111" s="82" t="b">
        <v>0</v>
      </c>
    </row>
    <row r="112" ht="12.75" hidden="1" customHeight="1" outlineLevel="1">
      <c r="A112" s="89" t="s">
        <v>135</v>
      </c>
      <c r="B112" s="90" t="s">
        <v>136</v>
      </c>
      <c r="C112" s="89" t="s">
        <v>40</v>
      </c>
      <c r="D112" s="91">
        <v>200.6</v>
      </c>
      <c r="E112" s="92">
        <v>23.04</v>
      </c>
      <c r="F112" s="92">
        <v>4621.82</v>
      </c>
      <c r="G112" s="93"/>
      <c r="H112" s="92"/>
      <c r="I112" s="92"/>
      <c r="J112" s="82" t="b">
        <v>0</v>
      </c>
    </row>
    <row r="113" ht="12.75" hidden="1" customHeight="1" outlineLevel="1">
      <c r="D113" s="79"/>
      <c r="E113" s="80"/>
      <c r="F113" s="80"/>
      <c r="G113" s="81"/>
      <c r="H113" s="80"/>
      <c r="I113" s="80"/>
      <c r="J113" s="82" t="b">
        <v>0</v>
      </c>
    </row>
    <row r="114" ht="12.75" customHeight="1" collapsed="1">
      <c r="A114" s="83">
        <v>2.4</v>
      </c>
      <c r="B114" s="84" t="s">
        <v>137</v>
      </c>
      <c r="C114" s="87">
        <f>SUM(F116:F122)</f>
        <v>60033.74</v>
      </c>
      <c r="D114" s="86"/>
      <c r="E114" s="88"/>
      <c r="F114" s="88"/>
      <c r="G114" s="81"/>
      <c r="H114" s="80"/>
      <c r="I114" s="80"/>
      <c r="J114" s="82" t="b">
        <v>0</v>
      </c>
    </row>
    <row r="115" ht="12.75" hidden="1" customHeight="1" outlineLevel="1">
      <c r="D115" s="79"/>
      <c r="E115" s="80"/>
      <c r="F115" s="80"/>
      <c r="G115" s="81"/>
      <c r="H115" s="80"/>
      <c r="I115" s="80"/>
      <c r="J115" s="82" t="b">
        <v>0</v>
      </c>
    </row>
    <row r="116" ht="12.75" hidden="1" customHeight="1" outlineLevel="1">
      <c r="A116" s="89" t="s">
        <v>138</v>
      </c>
      <c r="B116" s="90" t="s">
        <v>139</v>
      </c>
      <c r="C116" s="89" t="s">
        <v>40</v>
      </c>
      <c r="D116" s="91">
        <v>181.91</v>
      </c>
      <c r="E116" s="92">
        <v>290.82</v>
      </c>
      <c r="F116" s="92">
        <v>52903.07</v>
      </c>
      <c r="G116" s="93"/>
      <c r="H116" s="92"/>
      <c r="I116" s="92"/>
      <c r="J116" s="82" t="b">
        <v>0</v>
      </c>
    </row>
    <row r="117" ht="12.75" hidden="1" customHeight="1" outlineLevel="1">
      <c r="D117" s="79"/>
      <c r="E117" s="80"/>
      <c r="F117" s="80"/>
      <c r="G117" s="81"/>
      <c r="H117" s="80"/>
      <c r="I117" s="80"/>
      <c r="J117" s="82" t="b">
        <v>0</v>
      </c>
    </row>
    <row r="118" ht="12.75" hidden="1" customHeight="1" outlineLevel="1">
      <c r="A118" s="89" t="s">
        <v>140</v>
      </c>
      <c r="B118" s="90" t="s">
        <v>141</v>
      </c>
      <c r="C118" s="89" t="s">
        <v>40</v>
      </c>
      <c r="D118" s="91">
        <v>37.14</v>
      </c>
      <c r="E118" s="92">
        <v>29.31</v>
      </c>
      <c r="F118" s="92">
        <v>1088.57</v>
      </c>
      <c r="G118" s="93"/>
      <c r="H118" s="92"/>
      <c r="I118" s="92"/>
      <c r="J118" s="82" t="b">
        <v>0</v>
      </c>
    </row>
    <row r="119" ht="12.75" hidden="1" customHeight="1" outlineLevel="1">
      <c r="D119" s="79"/>
      <c r="E119" s="80"/>
      <c r="F119" s="80"/>
      <c r="G119" s="81"/>
      <c r="H119" s="80"/>
      <c r="I119" s="80"/>
      <c r="J119" s="82" t="b">
        <v>0</v>
      </c>
    </row>
    <row r="120" ht="12.75" hidden="1" customHeight="1" outlineLevel="1">
      <c r="A120" s="89" t="s">
        <v>142</v>
      </c>
      <c r="B120" s="90" t="s">
        <v>143</v>
      </c>
      <c r="C120" s="89" t="s">
        <v>40</v>
      </c>
      <c r="D120" s="91">
        <v>15.09</v>
      </c>
      <c r="E120" s="92">
        <v>323.28</v>
      </c>
      <c r="F120" s="92">
        <v>4878.3</v>
      </c>
      <c r="G120" s="93"/>
      <c r="H120" s="92"/>
      <c r="I120" s="92"/>
      <c r="J120" s="82" t="b">
        <v>0</v>
      </c>
    </row>
    <row r="121" ht="12.75" hidden="1" customHeight="1" outlineLevel="1">
      <c r="D121" s="79"/>
      <c r="E121" s="80"/>
      <c r="F121" s="80"/>
      <c r="G121" s="81"/>
      <c r="H121" s="80"/>
      <c r="I121" s="80"/>
      <c r="J121" s="82" t="b">
        <v>0</v>
      </c>
    </row>
    <row r="122" ht="12.75" hidden="1" customHeight="1" outlineLevel="1">
      <c r="A122" s="89" t="s">
        <v>144</v>
      </c>
      <c r="B122" s="90" t="s">
        <v>145</v>
      </c>
      <c r="C122" s="89" t="s">
        <v>75</v>
      </c>
      <c r="D122" s="91">
        <v>2.0</v>
      </c>
      <c r="E122" s="92">
        <v>581.9</v>
      </c>
      <c r="F122" s="92">
        <v>1163.8</v>
      </c>
      <c r="G122" s="93"/>
      <c r="H122" s="92"/>
      <c r="I122" s="92"/>
      <c r="J122" s="82" t="b">
        <v>0</v>
      </c>
    </row>
    <row r="123" ht="12.75" hidden="1" customHeight="1" outlineLevel="1">
      <c r="D123" s="79"/>
      <c r="E123" s="80"/>
      <c r="F123" s="80"/>
      <c r="G123" s="81"/>
      <c r="H123" s="80"/>
      <c r="I123" s="80"/>
      <c r="J123" s="82" t="b">
        <v>0</v>
      </c>
    </row>
    <row r="124" ht="12.75" customHeight="1" collapsed="1">
      <c r="A124" s="83">
        <v>2.5</v>
      </c>
      <c r="B124" s="84" t="s">
        <v>146</v>
      </c>
      <c r="C124" s="87">
        <f>SUM(F128:F140)</f>
        <v>15456.87</v>
      </c>
      <c r="D124" s="86"/>
      <c r="E124" s="88"/>
      <c r="F124" s="88"/>
      <c r="G124" s="81"/>
      <c r="H124" s="80"/>
      <c r="I124" s="80"/>
      <c r="J124" s="82" t="b">
        <v>0</v>
      </c>
    </row>
    <row r="125" ht="12.75" hidden="1" customHeight="1" outlineLevel="1">
      <c r="D125" s="79"/>
      <c r="E125" s="80"/>
      <c r="F125" s="80"/>
      <c r="G125" s="81"/>
      <c r="H125" s="80"/>
      <c r="I125" s="80"/>
      <c r="J125" s="82" t="b">
        <v>0</v>
      </c>
    </row>
    <row r="126" ht="12.75" hidden="1" customHeight="1" outlineLevel="1">
      <c r="A126" s="89" t="s">
        <v>147</v>
      </c>
      <c r="B126" s="90" t="s">
        <v>148</v>
      </c>
      <c r="D126" s="79"/>
      <c r="E126" s="80"/>
      <c r="F126" s="80"/>
      <c r="G126" s="81"/>
      <c r="H126" s="80"/>
      <c r="I126" s="80"/>
      <c r="J126" s="82" t="b">
        <v>0</v>
      </c>
    </row>
    <row r="127" ht="12.75" hidden="1" customHeight="1" outlineLevel="1">
      <c r="D127" s="79"/>
      <c r="E127" s="80"/>
      <c r="F127" s="80"/>
      <c r="G127" s="81"/>
      <c r="H127" s="80"/>
      <c r="I127" s="80"/>
      <c r="J127" s="82" t="b">
        <v>0</v>
      </c>
    </row>
    <row r="128" ht="12.75" hidden="1" customHeight="1" outlineLevel="1">
      <c r="A128" s="89" t="s">
        <v>149</v>
      </c>
      <c r="B128" s="90" t="s">
        <v>150</v>
      </c>
      <c r="C128" s="89" t="s">
        <v>40</v>
      </c>
      <c r="D128" s="91">
        <v>42.56</v>
      </c>
      <c r="E128" s="92">
        <v>12.93</v>
      </c>
      <c r="F128" s="92">
        <v>550.3</v>
      </c>
      <c r="G128" s="93"/>
      <c r="H128" s="92"/>
      <c r="I128" s="92"/>
      <c r="J128" s="82" t="b">
        <v>0</v>
      </c>
    </row>
    <row r="129" ht="12.75" hidden="1" customHeight="1" outlineLevel="1">
      <c r="D129" s="79"/>
      <c r="E129" s="80"/>
      <c r="F129" s="80"/>
      <c r="G129" s="81"/>
      <c r="H129" s="80"/>
      <c r="I129" s="80"/>
      <c r="J129" s="82" t="b">
        <v>0</v>
      </c>
    </row>
    <row r="130" ht="12.75" hidden="1" customHeight="1" outlineLevel="1">
      <c r="A130" s="89" t="s">
        <v>151</v>
      </c>
      <c r="B130" s="90" t="s">
        <v>152</v>
      </c>
      <c r="D130" s="79"/>
      <c r="E130" s="80"/>
      <c r="F130" s="80"/>
      <c r="G130" s="81"/>
      <c r="H130" s="80"/>
      <c r="I130" s="80"/>
      <c r="J130" s="82" t="b">
        <v>0</v>
      </c>
    </row>
    <row r="131" ht="12.75" hidden="1" customHeight="1" outlineLevel="1">
      <c r="D131" s="79"/>
      <c r="E131" s="80"/>
      <c r="F131" s="80"/>
      <c r="G131" s="81"/>
      <c r="H131" s="80"/>
      <c r="I131" s="80"/>
      <c r="J131" s="82" t="b">
        <v>0</v>
      </c>
    </row>
    <row r="132" ht="12.75" hidden="1" customHeight="1" outlineLevel="1">
      <c r="A132" s="89" t="s">
        <v>153</v>
      </c>
      <c r="B132" s="90" t="s">
        <v>154</v>
      </c>
      <c r="C132" s="89" t="s">
        <v>40</v>
      </c>
      <c r="D132" s="91">
        <v>331.34</v>
      </c>
      <c r="E132" s="92">
        <v>12.93</v>
      </c>
      <c r="F132" s="92">
        <v>4284.23</v>
      </c>
      <c r="G132" s="93"/>
      <c r="H132" s="92"/>
      <c r="I132" s="92"/>
      <c r="J132" s="82" t="b">
        <v>0</v>
      </c>
    </row>
    <row r="133" ht="12.75" hidden="1" customHeight="1" outlineLevel="1">
      <c r="D133" s="79"/>
      <c r="E133" s="80"/>
      <c r="F133" s="80"/>
      <c r="G133" s="81"/>
      <c r="H133" s="80"/>
      <c r="I133" s="80"/>
      <c r="J133" s="82" t="b">
        <v>0</v>
      </c>
    </row>
    <row r="134" ht="12.75" hidden="1" customHeight="1" outlineLevel="1">
      <c r="A134" s="89" t="s">
        <v>155</v>
      </c>
      <c r="B134" s="90" t="s">
        <v>156</v>
      </c>
      <c r="C134" s="89" t="s">
        <v>40</v>
      </c>
      <c r="D134" s="91">
        <v>170.41</v>
      </c>
      <c r="E134" s="92">
        <v>32.2</v>
      </c>
      <c r="F134" s="92">
        <v>5487.2</v>
      </c>
      <c r="G134" s="93"/>
      <c r="H134" s="92"/>
      <c r="I134" s="92"/>
      <c r="J134" s="82" t="b">
        <v>0</v>
      </c>
    </row>
    <row r="135" ht="12.75" hidden="1" customHeight="1" outlineLevel="1">
      <c r="D135" s="79"/>
      <c r="E135" s="80"/>
      <c r="F135" s="80"/>
      <c r="G135" s="81"/>
      <c r="H135" s="80"/>
      <c r="I135" s="80"/>
      <c r="J135" s="82" t="b">
        <v>0</v>
      </c>
    </row>
    <row r="136" ht="12.75" hidden="1" customHeight="1" outlineLevel="1">
      <c r="A136" s="89" t="s">
        <v>157</v>
      </c>
      <c r="B136" s="90" t="s">
        <v>158</v>
      </c>
      <c r="C136" s="89" t="s">
        <v>40</v>
      </c>
      <c r="D136" s="91">
        <v>59.45</v>
      </c>
      <c r="E136" s="92">
        <v>38.66</v>
      </c>
      <c r="F136" s="92">
        <v>2298.34</v>
      </c>
      <c r="G136" s="93"/>
      <c r="H136" s="92"/>
      <c r="I136" s="92"/>
      <c r="J136" s="82" t="b">
        <v>0</v>
      </c>
    </row>
    <row r="137" ht="12.75" hidden="1" customHeight="1" outlineLevel="1">
      <c r="D137" s="79"/>
      <c r="E137" s="80"/>
      <c r="F137" s="80"/>
      <c r="G137" s="81"/>
      <c r="H137" s="80"/>
      <c r="I137" s="80"/>
      <c r="J137" s="82" t="b">
        <v>0</v>
      </c>
    </row>
    <row r="138" ht="12.75" hidden="1" customHeight="1" outlineLevel="1">
      <c r="A138" s="89" t="s">
        <v>159</v>
      </c>
      <c r="B138" s="90" t="s">
        <v>160</v>
      </c>
      <c r="C138" s="89" t="s">
        <v>161</v>
      </c>
      <c r="D138" s="91">
        <v>11.9</v>
      </c>
      <c r="E138" s="92">
        <v>38.66</v>
      </c>
      <c r="F138" s="92">
        <v>460.05</v>
      </c>
      <c r="G138" s="93"/>
      <c r="H138" s="92"/>
      <c r="I138" s="92"/>
      <c r="J138" s="82" t="b">
        <v>0</v>
      </c>
    </row>
    <row r="139" ht="12.75" hidden="1" customHeight="1" outlineLevel="1">
      <c r="D139" s="79"/>
      <c r="E139" s="80"/>
      <c r="F139" s="80"/>
      <c r="G139" s="81"/>
      <c r="H139" s="80"/>
      <c r="I139" s="80"/>
      <c r="J139" s="82" t="b">
        <v>0</v>
      </c>
    </row>
    <row r="140" ht="12.75" hidden="1" customHeight="1" outlineLevel="1">
      <c r="A140" s="89" t="s">
        <v>162</v>
      </c>
      <c r="B140" s="90" t="s">
        <v>163</v>
      </c>
      <c r="C140" s="89" t="s">
        <v>40</v>
      </c>
      <c r="D140" s="91">
        <v>229.86</v>
      </c>
      <c r="E140" s="92">
        <v>10.34</v>
      </c>
      <c r="F140" s="92">
        <v>2376.75</v>
      </c>
      <c r="G140" s="93"/>
      <c r="H140" s="92"/>
      <c r="I140" s="92"/>
      <c r="J140" s="82" t="b">
        <v>0</v>
      </c>
    </row>
    <row r="141" ht="12.75" hidden="1" customHeight="1" outlineLevel="1">
      <c r="D141" s="79"/>
      <c r="E141" s="80"/>
      <c r="F141" s="80"/>
      <c r="G141" s="81"/>
      <c r="H141" s="80"/>
      <c r="I141" s="80"/>
      <c r="J141" s="82" t="b">
        <v>0</v>
      </c>
    </row>
    <row r="142" ht="12.75" customHeight="1" collapsed="1">
      <c r="A142" s="83" t="s">
        <v>164</v>
      </c>
      <c r="B142" s="84" t="s">
        <v>165</v>
      </c>
      <c r="C142" s="87">
        <f>SUM(F146:F172)</f>
        <v>90725.32</v>
      </c>
      <c r="D142" s="86"/>
      <c r="E142" s="88"/>
      <c r="F142" s="88"/>
      <c r="G142" s="81"/>
      <c r="H142" s="80"/>
      <c r="I142" s="80"/>
      <c r="J142" s="82" t="b">
        <v>0</v>
      </c>
    </row>
    <row r="143" ht="12.75" hidden="1" customHeight="1" outlineLevel="1">
      <c r="D143" s="79"/>
      <c r="E143" s="80"/>
      <c r="F143" s="80"/>
      <c r="G143" s="81"/>
      <c r="H143" s="80"/>
      <c r="I143" s="80"/>
      <c r="J143" s="82" t="b">
        <v>0</v>
      </c>
    </row>
    <row r="144" ht="12.75" hidden="1" customHeight="1" outlineLevel="1">
      <c r="A144" s="89" t="s">
        <v>166</v>
      </c>
      <c r="B144" s="90" t="s">
        <v>167</v>
      </c>
      <c r="D144" s="79"/>
      <c r="E144" s="80"/>
      <c r="F144" s="80"/>
      <c r="G144" s="81"/>
      <c r="H144" s="80"/>
      <c r="I144" s="80"/>
      <c r="J144" s="82" t="b">
        <v>0</v>
      </c>
    </row>
    <row r="145" ht="12.75" hidden="1" customHeight="1" outlineLevel="1">
      <c r="D145" s="79"/>
      <c r="E145" s="80"/>
      <c r="F145" s="80"/>
      <c r="G145" s="81"/>
      <c r="H145" s="80"/>
      <c r="I145" s="80"/>
      <c r="J145" s="82" t="b">
        <v>0</v>
      </c>
    </row>
    <row r="146" ht="12.75" hidden="1" customHeight="1" outlineLevel="1">
      <c r="A146" s="89" t="s">
        <v>168</v>
      </c>
      <c r="B146" s="90" t="s">
        <v>169</v>
      </c>
      <c r="C146" s="89" t="s">
        <v>40</v>
      </c>
      <c r="D146" s="91">
        <v>110.6</v>
      </c>
      <c r="E146" s="92">
        <v>12.93</v>
      </c>
      <c r="F146" s="92">
        <v>1430.06</v>
      </c>
      <c r="G146" s="93"/>
      <c r="H146" s="92"/>
      <c r="I146" s="92"/>
      <c r="J146" s="82" t="b">
        <v>0</v>
      </c>
    </row>
    <row r="147" ht="12.75" hidden="1" customHeight="1" outlineLevel="1">
      <c r="D147" s="79"/>
      <c r="E147" s="80"/>
      <c r="F147" s="80"/>
      <c r="G147" s="81"/>
      <c r="H147" s="80"/>
      <c r="I147" s="80"/>
      <c r="J147" s="82" t="b">
        <v>0</v>
      </c>
    </row>
    <row r="148" ht="12.75" hidden="1" customHeight="1" outlineLevel="1">
      <c r="A148" s="89" t="s">
        <v>170</v>
      </c>
      <c r="B148" s="90" t="s">
        <v>171</v>
      </c>
      <c r="C148" s="89" t="s">
        <v>40</v>
      </c>
      <c r="D148" s="91">
        <v>319.19</v>
      </c>
      <c r="E148" s="92">
        <v>35.96</v>
      </c>
      <c r="F148" s="92">
        <v>11478.07</v>
      </c>
      <c r="G148" s="93"/>
      <c r="H148" s="92"/>
      <c r="I148" s="92"/>
      <c r="J148" s="82" t="b">
        <v>0</v>
      </c>
    </row>
    <row r="149" ht="12.75" hidden="1" customHeight="1" outlineLevel="1">
      <c r="D149" s="79"/>
      <c r="E149" s="80"/>
      <c r="F149" s="80"/>
      <c r="G149" s="81"/>
      <c r="H149" s="80"/>
      <c r="I149" s="80"/>
      <c r="J149" s="82" t="b">
        <v>0</v>
      </c>
    </row>
    <row r="150" ht="12.75" hidden="1" customHeight="1" outlineLevel="1">
      <c r="A150" s="89" t="s">
        <v>172</v>
      </c>
      <c r="B150" s="90" t="s">
        <v>173</v>
      </c>
      <c r="C150" s="89" t="s">
        <v>40</v>
      </c>
      <c r="D150" s="91">
        <v>131.48</v>
      </c>
      <c r="E150" s="92">
        <v>75.0</v>
      </c>
      <c r="F150" s="92">
        <v>9861.0</v>
      </c>
      <c r="G150" s="93"/>
      <c r="H150" s="92"/>
      <c r="I150" s="92"/>
      <c r="J150" s="82" t="b">
        <v>0</v>
      </c>
    </row>
    <row r="151" ht="12.75" hidden="1" customHeight="1" outlineLevel="1">
      <c r="D151" s="79"/>
      <c r="E151" s="80"/>
      <c r="F151" s="80"/>
      <c r="G151" s="81"/>
      <c r="H151" s="80"/>
      <c r="I151" s="80"/>
      <c r="J151" s="82" t="b">
        <v>0</v>
      </c>
    </row>
    <row r="152" ht="12.75" hidden="1" customHeight="1" outlineLevel="1">
      <c r="A152" s="89" t="s">
        <v>174</v>
      </c>
      <c r="B152" s="90" t="s">
        <v>175</v>
      </c>
      <c r="C152" s="89" t="s">
        <v>40</v>
      </c>
      <c r="D152" s="91">
        <v>106.79</v>
      </c>
      <c r="E152" s="92">
        <v>234.7</v>
      </c>
      <c r="F152" s="92">
        <v>25063.61</v>
      </c>
      <c r="G152" s="93"/>
      <c r="H152" s="92"/>
      <c r="I152" s="92"/>
      <c r="J152" s="82" t="b">
        <v>0</v>
      </c>
    </row>
    <row r="153" ht="12.75" hidden="1" customHeight="1" outlineLevel="1">
      <c r="D153" s="79"/>
      <c r="E153" s="80"/>
      <c r="F153" s="80"/>
      <c r="G153" s="81"/>
      <c r="H153" s="80"/>
      <c r="I153" s="80"/>
      <c r="J153" s="82" t="b">
        <v>0</v>
      </c>
    </row>
    <row r="154" ht="12.75" hidden="1" customHeight="1" outlineLevel="1">
      <c r="A154" s="89" t="s">
        <v>176</v>
      </c>
      <c r="B154" s="90" t="s">
        <v>177</v>
      </c>
      <c r="C154" s="89" t="s">
        <v>40</v>
      </c>
      <c r="D154" s="91">
        <v>353.75</v>
      </c>
      <c r="E154" s="92">
        <v>31.79</v>
      </c>
      <c r="F154" s="92">
        <v>11245.71</v>
      </c>
      <c r="G154" s="93"/>
      <c r="H154" s="92"/>
      <c r="I154" s="92"/>
      <c r="J154" s="82" t="b">
        <v>0</v>
      </c>
    </row>
    <row r="155" ht="12.75" hidden="1" customHeight="1" outlineLevel="1">
      <c r="D155" s="79"/>
      <c r="E155" s="80"/>
      <c r="F155" s="80"/>
      <c r="G155" s="81"/>
      <c r="H155" s="80"/>
      <c r="I155" s="80"/>
      <c r="J155" s="82" t="b">
        <v>0</v>
      </c>
    </row>
    <row r="156" ht="12.75" hidden="1" customHeight="1" outlineLevel="1">
      <c r="A156" s="89" t="s">
        <v>178</v>
      </c>
      <c r="B156" s="90" t="s">
        <v>179</v>
      </c>
      <c r="C156" s="89" t="s">
        <v>40</v>
      </c>
      <c r="D156" s="91">
        <v>34.56</v>
      </c>
      <c r="E156" s="92">
        <v>12.93</v>
      </c>
      <c r="F156" s="92">
        <v>446.86</v>
      </c>
      <c r="G156" s="93"/>
      <c r="H156" s="92"/>
      <c r="I156" s="92"/>
      <c r="J156" s="82" t="b">
        <v>0</v>
      </c>
    </row>
    <row r="157" ht="12.75" hidden="1" customHeight="1" outlineLevel="1">
      <c r="D157" s="79"/>
      <c r="E157" s="80"/>
      <c r="F157" s="80"/>
      <c r="G157" s="81"/>
      <c r="H157" s="80"/>
      <c r="I157" s="80"/>
      <c r="J157" s="82" t="b">
        <v>0</v>
      </c>
    </row>
    <row r="158" ht="12.75" hidden="1" customHeight="1" outlineLevel="1">
      <c r="A158" s="89" t="s">
        <v>180</v>
      </c>
      <c r="B158" s="90" t="s">
        <v>181</v>
      </c>
      <c r="D158" s="79"/>
      <c r="E158" s="80"/>
      <c r="F158" s="80"/>
      <c r="G158" s="81"/>
      <c r="H158" s="80"/>
      <c r="I158" s="80"/>
      <c r="J158" s="82" t="b">
        <v>0</v>
      </c>
    </row>
    <row r="159" ht="12.75" hidden="1" customHeight="1" outlineLevel="1">
      <c r="D159" s="79"/>
      <c r="E159" s="80"/>
      <c r="F159" s="80"/>
      <c r="G159" s="81"/>
      <c r="H159" s="80"/>
      <c r="I159" s="80"/>
      <c r="J159" s="82" t="b">
        <v>0</v>
      </c>
    </row>
    <row r="160" ht="12.75" hidden="1" customHeight="1" outlineLevel="1">
      <c r="A160" s="89" t="s">
        <v>182</v>
      </c>
      <c r="B160" s="90" t="s">
        <v>183</v>
      </c>
      <c r="C160" s="89" t="s">
        <v>40</v>
      </c>
      <c r="D160" s="91">
        <v>52.0</v>
      </c>
      <c r="E160" s="92">
        <v>12.93</v>
      </c>
      <c r="F160" s="92">
        <v>672.36</v>
      </c>
      <c r="G160" s="93"/>
      <c r="H160" s="92"/>
      <c r="I160" s="92"/>
      <c r="J160" s="82" t="b">
        <v>0</v>
      </c>
    </row>
    <row r="161" ht="12.75" hidden="1" customHeight="1" outlineLevel="1">
      <c r="D161" s="79"/>
      <c r="E161" s="80"/>
      <c r="F161" s="80"/>
      <c r="G161" s="81"/>
      <c r="H161" s="80"/>
      <c r="I161" s="80"/>
      <c r="J161" s="82" t="b">
        <v>0</v>
      </c>
    </row>
    <row r="162" ht="12.75" hidden="1" customHeight="1" outlineLevel="1">
      <c r="A162" s="89" t="s">
        <v>184</v>
      </c>
      <c r="B162" s="90" t="s">
        <v>185</v>
      </c>
      <c r="C162" s="89" t="s">
        <v>40</v>
      </c>
      <c r="D162" s="91">
        <v>466.94</v>
      </c>
      <c r="E162" s="92">
        <v>19.4</v>
      </c>
      <c r="F162" s="92">
        <v>9058.64</v>
      </c>
      <c r="G162" s="93"/>
      <c r="H162" s="92"/>
      <c r="I162" s="92"/>
      <c r="J162" s="82" t="b">
        <v>0</v>
      </c>
    </row>
    <row r="163" ht="12.75" hidden="1" customHeight="1" outlineLevel="1">
      <c r="D163" s="79"/>
      <c r="E163" s="80"/>
      <c r="F163" s="80"/>
      <c r="G163" s="81"/>
      <c r="H163" s="80"/>
      <c r="I163" s="80"/>
      <c r="J163" s="82" t="b">
        <v>0</v>
      </c>
    </row>
    <row r="164" ht="12.75" hidden="1" customHeight="1" outlineLevel="1">
      <c r="A164" s="89" t="s">
        <v>186</v>
      </c>
      <c r="B164" s="90" t="s">
        <v>187</v>
      </c>
      <c r="C164" s="89" t="s">
        <v>40</v>
      </c>
      <c r="D164" s="91">
        <v>81.43</v>
      </c>
      <c r="E164" s="92">
        <v>103.64</v>
      </c>
      <c r="F164" s="92">
        <v>8439.41</v>
      </c>
      <c r="G164" s="93"/>
      <c r="H164" s="92"/>
      <c r="I164" s="92"/>
      <c r="J164" s="82" t="b">
        <v>0</v>
      </c>
    </row>
    <row r="165" ht="12.75" hidden="1" customHeight="1" outlineLevel="1">
      <c r="D165" s="79"/>
      <c r="E165" s="80"/>
      <c r="F165" s="80"/>
      <c r="G165" s="81"/>
      <c r="H165" s="80"/>
      <c r="I165" s="80"/>
      <c r="J165" s="82" t="b">
        <v>0</v>
      </c>
    </row>
    <row r="166" ht="12.75" hidden="1" customHeight="1" outlineLevel="1">
      <c r="A166" s="89" t="s">
        <v>188</v>
      </c>
      <c r="B166" s="90" t="s">
        <v>189</v>
      </c>
      <c r="C166" s="89" t="s">
        <v>40</v>
      </c>
      <c r="D166" s="91">
        <v>46.05</v>
      </c>
      <c r="E166" s="92">
        <v>118.58</v>
      </c>
      <c r="F166" s="92">
        <v>5460.61</v>
      </c>
      <c r="G166" s="93"/>
      <c r="H166" s="92"/>
      <c r="I166" s="92"/>
      <c r="J166" s="82" t="b">
        <v>0</v>
      </c>
    </row>
    <row r="167" ht="12.75" hidden="1" customHeight="1" outlineLevel="1">
      <c r="D167" s="79"/>
      <c r="E167" s="80"/>
      <c r="F167" s="80"/>
      <c r="G167" s="81"/>
      <c r="H167" s="80"/>
      <c r="I167" s="80"/>
      <c r="J167" s="82" t="b">
        <v>0</v>
      </c>
    </row>
    <row r="168" ht="12.75" hidden="1" customHeight="1" outlineLevel="1">
      <c r="A168" s="89" t="s">
        <v>190</v>
      </c>
      <c r="B168" s="90" t="s">
        <v>191</v>
      </c>
      <c r="C168" s="89" t="s">
        <v>40</v>
      </c>
      <c r="D168" s="91">
        <v>50.7</v>
      </c>
      <c r="E168" s="92">
        <v>32.46</v>
      </c>
      <c r="F168" s="92">
        <v>1645.72</v>
      </c>
      <c r="G168" s="93"/>
      <c r="H168" s="92"/>
      <c r="I168" s="92"/>
      <c r="J168" s="82" t="b">
        <v>0</v>
      </c>
    </row>
    <row r="169" ht="12.75" hidden="1" customHeight="1" outlineLevel="1">
      <c r="D169" s="79"/>
      <c r="E169" s="80"/>
      <c r="F169" s="80"/>
      <c r="G169" s="81"/>
      <c r="H169" s="80"/>
      <c r="I169" s="80"/>
      <c r="J169" s="82" t="b">
        <v>0</v>
      </c>
    </row>
    <row r="170" ht="12.75" hidden="1" customHeight="1" outlineLevel="1">
      <c r="A170" s="89" t="s">
        <v>192</v>
      </c>
      <c r="B170" s="90" t="s">
        <v>193</v>
      </c>
      <c r="C170" s="89" t="s">
        <v>40</v>
      </c>
      <c r="D170" s="91">
        <v>551.51</v>
      </c>
      <c r="E170" s="92">
        <v>10.34</v>
      </c>
      <c r="F170" s="92">
        <v>5702.61</v>
      </c>
      <c r="G170" s="93"/>
      <c r="H170" s="92"/>
      <c r="I170" s="92"/>
      <c r="J170" s="82" t="b">
        <v>0</v>
      </c>
    </row>
    <row r="171" ht="12.75" hidden="1" customHeight="1" outlineLevel="1">
      <c r="D171" s="79"/>
      <c r="E171" s="80"/>
      <c r="F171" s="80"/>
      <c r="G171" s="81"/>
      <c r="H171" s="80"/>
      <c r="I171" s="80"/>
      <c r="J171" s="82" t="b">
        <v>0</v>
      </c>
    </row>
    <row r="172" ht="12.75" hidden="1" customHeight="1" outlineLevel="1">
      <c r="A172" s="89" t="s">
        <v>194</v>
      </c>
      <c r="B172" s="90" t="s">
        <v>195</v>
      </c>
      <c r="C172" s="89" t="s">
        <v>40</v>
      </c>
      <c r="D172" s="91">
        <v>21.34</v>
      </c>
      <c r="E172" s="92">
        <v>10.34</v>
      </c>
      <c r="F172" s="92">
        <v>220.66</v>
      </c>
      <c r="G172" s="93"/>
      <c r="H172" s="92"/>
      <c r="I172" s="92"/>
      <c r="J172" s="82" t="b">
        <v>0</v>
      </c>
    </row>
    <row r="173" ht="12.75" hidden="1" customHeight="1" outlineLevel="1">
      <c r="D173" s="79"/>
      <c r="E173" s="80"/>
      <c r="F173" s="80"/>
      <c r="G173" s="81"/>
      <c r="H173" s="80"/>
      <c r="I173" s="80"/>
      <c r="J173" s="82" t="b">
        <v>0</v>
      </c>
    </row>
    <row r="174" ht="12.75" customHeight="1" collapsed="1">
      <c r="A174" s="83" t="s">
        <v>196</v>
      </c>
      <c r="B174" s="84" t="s">
        <v>197</v>
      </c>
      <c r="C174" s="87">
        <f>SUM(F178:F218)</f>
        <v>125744.31</v>
      </c>
      <c r="D174" s="86"/>
      <c r="E174" s="88"/>
      <c r="F174" s="88"/>
      <c r="G174" s="81"/>
      <c r="H174" s="80"/>
      <c r="I174" s="80"/>
      <c r="J174" s="82" t="b">
        <v>0</v>
      </c>
    </row>
    <row r="175" ht="12.75" hidden="1" customHeight="1" outlineLevel="1">
      <c r="D175" s="79"/>
      <c r="E175" s="80"/>
      <c r="F175" s="80"/>
      <c r="G175" s="81"/>
      <c r="H175" s="80"/>
      <c r="I175" s="80"/>
      <c r="J175" s="82" t="b">
        <v>0</v>
      </c>
    </row>
    <row r="176" ht="12.75" hidden="1" customHeight="1" outlineLevel="1">
      <c r="A176" s="89" t="s">
        <v>198</v>
      </c>
      <c r="B176" s="90" t="s">
        <v>199</v>
      </c>
      <c r="D176" s="79"/>
      <c r="E176" s="80"/>
      <c r="F176" s="80"/>
      <c r="G176" s="81"/>
      <c r="H176" s="80"/>
      <c r="I176" s="80"/>
      <c r="J176" s="82" t="b">
        <v>0</v>
      </c>
    </row>
    <row r="177" ht="12.75" hidden="1" customHeight="1" outlineLevel="1">
      <c r="D177" s="79"/>
      <c r="E177" s="80"/>
      <c r="F177" s="80"/>
      <c r="G177" s="81"/>
      <c r="H177" s="80"/>
      <c r="I177" s="80"/>
      <c r="J177" s="82" t="b">
        <v>0</v>
      </c>
    </row>
    <row r="178" ht="12.75" hidden="1" customHeight="1" outlineLevel="1">
      <c r="A178" s="89" t="s">
        <v>200</v>
      </c>
      <c r="B178" s="90" t="s">
        <v>201</v>
      </c>
      <c r="C178" s="89" t="s">
        <v>40</v>
      </c>
      <c r="D178" s="91">
        <v>228.22</v>
      </c>
      <c r="E178" s="92">
        <v>47.62</v>
      </c>
      <c r="F178" s="92">
        <v>10867.84</v>
      </c>
      <c r="G178" s="93"/>
      <c r="H178" s="92"/>
      <c r="I178" s="92"/>
      <c r="J178" s="82" t="b">
        <v>0</v>
      </c>
    </row>
    <row r="179" ht="12.75" hidden="1" customHeight="1" outlineLevel="1">
      <c r="D179" s="79"/>
      <c r="E179" s="80"/>
      <c r="F179" s="80"/>
      <c r="G179" s="81"/>
      <c r="H179" s="80"/>
      <c r="I179" s="80"/>
      <c r="J179" s="82" t="b">
        <v>0</v>
      </c>
    </row>
    <row r="180" ht="12.75" hidden="1" customHeight="1" outlineLevel="1">
      <c r="A180" s="89" t="s">
        <v>202</v>
      </c>
      <c r="B180" s="90" t="s">
        <v>203</v>
      </c>
      <c r="C180" s="89" t="s">
        <v>40</v>
      </c>
      <c r="D180" s="91">
        <v>153.22</v>
      </c>
      <c r="E180" s="92">
        <v>26.74</v>
      </c>
      <c r="F180" s="92">
        <v>4097.1</v>
      </c>
      <c r="G180" s="93"/>
      <c r="H180" s="92"/>
      <c r="I180" s="92"/>
      <c r="J180" s="82" t="b">
        <v>0</v>
      </c>
    </row>
    <row r="181" ht="12.75" hidden="1" customHeight="1" outlineLevel="1">
      <c r="D181" s="79"/>
      <c r="E181" s="80"/>
      <c r="F181" s="80"/>
      <c r="G181" s="81"/>
      <c r="H181" s="80"/>
      <c r="I181" s="80"/>
      <c r="J181" s="82" t="b">
        <v>0</v>
      </c>
    </row>
    <row r="182" ht="12.75" hidden="1" customHeight="1" outlineLevel="1">
      <c r="A182" s="89" t="s">
        <v>204</v>
      </c>
      <c r="B182" s="90" t="s">
        <v>205</v>
      </c>
      <c r="C182" s="89" t="s">
        <v>40</v>
      </c>
      <c r="D182" s="91">
        <v>50.95</v>
      </c>
      <c r="E182" s="92">
        <v>60.72</v>
      </c>
      <c r="F182" s="92">
        <v>3093.68</v>
      </c>
      <c r="G182" s="93"/>
      <c r="H182" s="92"/>
      <c r="I182" s="92"/>
      <c r="J182" s="82" t="b">
        <v>0</v>
      </c>
    </row>
    <row r="183" ht="12.75" hidden="1" customHeight="1" outlineLevel="1">
      <c r="D183" s="79"/>
      <c r="E183" s="80"/>
      <c r="F183" s="80"/>
      <c r="G183" s="81"/>
      <c r="H183" s="80"/>
      <c r="I183" s="80"/>
      <c r="J183" s="82" t="b">
        <v>0</v>
      </c>
    </row>
    <row r="184" ht="12.75" hidden="1" customHeight="1" outlineLevel="1">
      <c r="A184" s="89" t="s">
        <v>206</v>
      </c>
      <c r="B184" s="90" t="s">
        <v>207</v>
      </c>
      <c r="D184" s="79"/>
      <c r="E184" s="80"/>
      <c r="F184" s="80"/>
      <c r="G184" s="81"/>
      <c r="H184" s="80"/>
      <c r="I184" s="80"/>
      <c r="J184" s="82" t="b">
        <v>0</v>
      </c>
    </row>
    <row r="185" ht="12.75" hidden="1" customHeight="1" outlineLevel="1">
      <c r="D185" s="79"/>
      <c r="E185" s="80"/>
      <c r="F185" s="80"/>
      <c r="G185" s="81"/>
      <c r="H185" s="80"/>
      <c r="I185" s="80"/>
      <c r="J185" s="82" t="b">
        <v>0</v>
      </c>
    </row>
    <row r="186" ht="12.75" hidden="1" customHeight="1" outlineLevel="1">
      <c r="A186" s="89" t="s">
        <v>208</v>
      </c>
      <c r="B186" s="90" t="s">
        <v>209</v>
      </c>
      <c r="C186" s="89" t="s">
        <v>40</v>
      </c>
      <c r="D186" s="91">
        <v>1.27</v>
      </c>
      <c r="E186" s="92">
        <v>159.62</v>
      </c>
      <c r="F186" s="92">
        <v>202.72</v>
      </c>
      <c r="G186" s="93"/>
      <c r="H186" s="92"/>
      <c r="I186" s="92"/>
      <c r="J186" s="82" t="b">
        <v>0</v>
      </c>
    </row>
    <row r="187" ht="12.75" hidden="1" customHeight="1" outlineLevel="1">
      <c r="D187" s="79"/>
      <c r="E187" s="80"/>
      <c r="F187" s="80"/>
      <c r="G187" s="81"/>
      <c r="H187" s="80"/>
      <c r="I187" s="80"/>
      <c r="J187" s="82" t="b">
        <v>0</v>
      </c>
    </row>
    <row r="188" ht="12.75" hidden="1" customHeight="1" outlineLevel="1">
      <c r="A188" s="89" t="s">
        <v>210</v>
      </c>
      <c r="B188" s="90" t="s">
        <v>211</v>
      </c>
      <c r="C188" s="89" t="s">
        <v>40</v>
      </c>
      <c r="D188" s="91">
        <v>5.38</v>
      </c>
      <c r="E188" s="92">
        <v>162.54</v>
      </c>
      <c r="F188" s="92">
        <v>874.47</v>
      </c>
      <c r="G188" s="93"/>
      <c r="H188" s="92"/>
      <c r="I188" s="92"/>
      <c r="J188" s="82" t="b">
        <v>0</v>
      </c>
    </row>
    <row r="189" ht="12.75" hidden="1" customHeight="1" outlineLevel="1">
      <c r="D189" s="79"/>
      <c r="E189" s="80"/>
      <c r="F189" s="80"/>
      <c r="G189" s="81"/>
      <c r="H189" s="80"/>
      <c r="I189" s="80"/>
      <c r="J189" s="82" t="b">
        <v>0</v>
      </c>
    </row>
    <row r="190" ht="12.75" hidden="1" customHeight="1" outlineLevel="1">
      <c r="A190" s="89" t="s">
        <v>212</v>
      </c>
      <c r="B190" s="90" t="s">
        <v>213</v>
      </c>
      <c r="C190" s="89" t="s">
        <v>40</v>
      </c>
      <c r="D190" s="91">
        <v>5.54</v>
      </c>
      <c r="E190" s="92">
        <v>296.22</v>
      </c>
      <c r="F190" s="92">
        <v>1641.06</v>
      </c>
      <c r="G190" s="93"/>
      <c r="H190" s="92"/>
      <c r="I190" s="92"/>
      <c r="J190" s="82" t="b">
        <v>0</v>
      </c>
    </row>
    <row r="191" ht="12.75" hidden="1" customHeight="1" outlineLevel="1">
      <c r="D191" s="79"/>
      <c r="E191" s="80"/>
      <c r="F191" s="80"/>
      <c r="G191" s="81"/>
      <c r="H191" s="80"/>
      <c r="I191" s="80"/>
      <c r="J191" s="82" t="b">
        <v>0</v>
      </c>
    </row>
    <row r="192" ht="12.75" hidden="1" customHeight="1" outlineLevel="1">
      <c r="A192" s="89" t="s">
        <v>214</v>
      </c>
      <c r="B192" s="90" t="s">
        <v>215</v>
      </c>
      <c r="C192" s="89" t="s">
        <v>40</v>
      </c>
      <c r="D192" s="91">
        <v>116.49</v>
      </c>
      <c r="E192" s="92">
        <v>80.74</v>
      </c>
      <c r="F192" s="92">
        <v>9405.4</v>
      </c>
      <c r="G192" s="93"/>
      <c r="H192" s="92"/>
      <c r="I192" s="92"/>
      <c r="J192" s="82" t="b">
        <v>0</v>
      </c>
    </row>
    <row r="193" ht="12.75" hidden="1" customHeight="1" outlineLevel="1">
      <c r="D193" s="79"/>
      <c r="E193" s="80"/>
      <c r="F193" s="80"/>
      <c r="G193" s="81"/>
      <c r="H193" s="80"/>
      <c r="I193" s="80"/>
      <c r="J193" s="82" t="b">
        <v>0</v>
      </c>
    </row>
    <row r="194" ht="12.75" hidden="1" customHeight="1" outlineLevel="1">
      <c r="A194" s="89" t="s">
        <v>216</v>
      </c>
      <c r="B194" s="90" t="s">
        <v>217</v>
      </c>
      <c r="C194" s="89" t="s">
        <v>40</v>
      </c>
      <c r="D194" s="91">
        <v>50.0</v>
      </c>
      <c r="E194" s="92">
        <v>151.87</v>
      </c>
      <c r="F194" s="92">
        <v>7593.5</v>
      </c>
      <c r="G194" s="93"/>
      <c r="H194" s="92"/>
      <c r="I194" s="92"/>
      <c r="J194" s="82" t="b">
        <v>0</v>
      </c>
    </row>
    <row r="195" ht="12.75" hidden="1" customHeight="1" outlineLevel="1">
      <c r="D195" s="79"/>
      <c r="E195" s="80"/>
      <c r="F195" s="80"/>
      <c r="G195" s="81"/>
      <c r="H195" s="80"/>
      <c r="I195" s="80"/>
      <c r="J195" s="82" t="b">
        <v>0</v>
      </c>
    </row>
    <row r="196" ht="12.75" hidden="1" customHeight="1" outlineLevel="1">
      <c r="A196" s="89" t="s">
        <v>218</v>
      </c>
      <c r="B196" s="90" t="s">
        <v>219</v>
      </c>
      <c r="C196" s="89" t="s">
        <v>40</v>
      </c>
      <c r="D196" s="91">
        <v>5.75</v>
      </c>
      <c r="E196" s="92">
        <v>30.57</v>
      </c>
      <c r="F196" s="92">
        <v>175.78</v>
      </c>
      <c r="G196" s="93"/>
      <c r="H196" s="92"/>
      <c r="I196" s="92"/>
      <c r="J196" s="82" t="b">
        <v>0</v>
      </c>
    </row>
    <row r="197" ht="12.75" hidden="1" customHeight="1" outlineLevel="1">
      <c r="D197" s="79"/>
      <c r="E197" s="80"/>
      <c r="F197" s="80"/>
      <c r="G197" s="81"/>
      <c r="H197" s="80"/>
      <c r="I197" s="80"/>
      <c r="J197" s="82" t="b">
        <v>0</v>
      </c>
    </row>
    <row r="198" ht="12.75" hidden="1" customHeight="1" outlineLevel="1">
      <c r="A198" s="89" t="s">
        <v>220</v>
      </c>
      <c r="B198" s="90" t="s">
        <v>221</v>
      </c>
      <c r="C198" s="89" t="s">
        <v>40</v>
      </c>
      <c r="D198" s="91">
        <v>17.54</v>
      </c>
      <c r="E198" s="92">
        <v>16.3</v>
      </c>
      <c r="F198" s="92">
        <v>285.9</v>
      </c>
      <c r="G198" s="93"/>
      <c r="H198" s="92"/>
      <c r="I198" s="92"/>
      <c r="J198" s="82" t="b">
        <v>0</v>
      </c>
    </row>
    <row r="199" ht="12.75" hidden="1" customHeight="1" outlineLevel="1">
      <c r="D199" s="79"/>
      <c r="E199" s="80"/>
      <c r="F199" s="80"/>
      <c r="G199" s="81"/>
      <c r="H199" s="80"/>
      <c r="I199" s="80"/>
      <c r="J199" s="82" t="b">
        <v>0</v>
      </c>
    </row>
    <row r="200" ht="12.75" hidden="1" customHeight="1" outlineLevel="1">
      <c r="A200" s="109" t="s">
        <v>222</v>
      </c>
      <c r="B200" s="110" t="s">
        <v>223</v>
      </c>
      <c r="C200" s="109" t="s">
        <v>40</v>
      </c>
      <c r="D200" s="111">
        <v>200.6</v>
      </c>
      <c r="E200" s="112">
        <v>176.77</v>
      </c>
      <c r="F200" s="112">
        <v>35460.06</v>
      </c>
      <c r="G200" s="113" t="s">
        <v>224</v>
      </c>
      <c r="H200" s="112"/>
      <c r="I200" s="112"/>
      <c r="J200" s="114" t="b">
        <v>0</v>
      </c>
    </row>
    <row r="201" ht="12.75" hidden="1" customHeight="1" outlineLevel="1">
      <c r="D201" s="79"/>
      <c r="E201" s="80"/>
      <c r="F201" s="80"/>
      <c r="G201" s="81"/>
      <c r="H201" s="80"/>
      <c r="I201" s="80"/>
      <c r="J201" s="82" t="b">
        <v>0</v>
      </c>
    </row>
    <row r="202" ht="12.75" hidden="1" customHeight="1" outlineLevel="1">
      <c r="A202" s="89" t="s">
        <v>225</v>
      </c>
      <c r="B202" s="90" t="s">
        <v>226</v>
      </c>
      <c r="C202" s="89" t="s">
        <v>227</v>
      </c>
      <c r="D202" s="91">
        <v>1.0</v>
      </c>
      <c r="E202" s="92">
        <v>1477.41</v>
      </c>
      <c r="F202" s="92">
        <v>1477.41</v>
      </c>
      <c r="G202" s="93"/>
      <c r="H202" s="92"/>
      <c r="I202" s="92"/>
      <c r="J202" s="82" t="b">
        <v>0</v>
      </c>
    </row>
    <row r="203" ht="12.75" hidden="1" customHeight="1" outlineLevel="1">
      <c r="D203" s="79"/>
      <c r="E203" s="80"/>
      <c r="F203" s="80"/>
      <c r="G203" s="81"/>
      <c r="H203" s="80"/>
      <c r="I203" s="80"/>
      <c r="J203" s="82" t="b">
        <v>0</v>
      </c>
    </row>
    <row r="204" ht="12.75" hidden="1" customHeight="1" outlineLevel="1">
      <c r="A204" s="89" t="s">
        <v>228</v>
      </c>
      <c r="B204" s="90" t="s">
        <v>229</v>
      </c>
      <c r="C204" s="89" t="s">
        <v>227</v>
      </c>
      <c r="D204" s="91">
        <v>1.0</v>
      </c>
      <c r="E204" s="92">
        <v>3438.08</v>
      </c>
      <c r="F204" s="92">
        <v>3438.08</v>
      </c>
      <c r="G204" s="93"/>
      <c r="H204" s="92"/>
      <c r="I204" s="92"/>
      <c r="J204" s="82" t="b">
        <v>0</v>
      </c>
    </row>
    <row r="205" ht="12.75" hidden="1" customHeight="1" outlineLevel="1">
      <c r="D205" s="79"/>
      <c r="E205" s="80"/>
      <c r="F205" s="80"/>
      <c r="G205" s="81"/>
      <c r="H205" s="80"/>
      <c r="I205" s="80"/>
      <c r="J205" s="82" t="b">
        <v>0</v>
      </c>
    </row>
    <row r="206" ht="12.75" hidden="1" customHeight="1" outlineLevel="1">
      <c r="A206" s="89" t="s">
        <v>230</v>
      </c>
      <c r="B206" s="90" t="s">
        <v>231</v>
      </c>
      <c r="D206" s="79"/>
      <c r="E206" s="80"/>
      <c r="F206" s="80"/>
      <c r="G206" s="81"/>
      <c r="H206" s="80"/>
      <c r="I206" s="80"/>
      <c r="J206" s="82" t="b">
        <v>0</v>
      </c>
    </row>
    <row r="207" ht="12.75" hidden="1" customHeight="1" outlineLevel="1">
      <c r="D207" s="79"/>
      <c r="E207" s="80"/>
      <c r="F207" s="80"/>
      <c r="G207" s="81"/>
      <c r="H207" s="80"/>
      <c r="I207" s="80"/>
      <c r="J207" s="82" t="b">
        <v>0</v>
      </c>
    </row>
    <row r="208" ht="12.75" hidden="1" customHeight="1" outlineLevel="1">
      <c r="A208" s="89" t="s">
        <v>232</v>
      </c>
      <c r="B208" s="90" t="s">
        <v>233</v>
      </c>
      <c r="C208" s="89" t="s">
        <v>40</v>
      </c>
      <c r="D208" s="91">
        <v>277.52</v>
      </c>
      <c r="E208" s="92">
        <v>12.93</v>
      </c>
      <c r="F208" s="92">
        <v>3588.33</v>
      </c>
      <c r="G208" s="93"/>
      <c r="H208" s="92"/>
      <c r="I208" s="92"/>
      <c r="J208" s="82" t="b">
        <v>0</v>
      </c>
    </row>
    <row r="209" ht="12.75" hidden="1" customHeight="1" outlineLevel="1">
      <c r="D209" s="79"/>
      <c r="E209" s="80"/>
      <c r="F209" s="80"/>
      <c r="G209" s="81"/>
      <c r="H209" s="80"/>
      <c r="I209" s="80"/>
      <c r="J209" s="82" t="b">
        <v>0</v>
      </c>
    </row>
    <row r="210" ht="12.75" hidden="1" customHeight="1" outlineLevel="1">
      <c r="A210" s="89" t="s">
        <v>234</v>
      </c>
      <c r="B210" s="90" t="s">
        <v>235</v>
      </c>
      <c r="C210" s="89" t="s">
        <v>40</v>
      </c>
      <c r="D210" s="91">
        <v>239.8</v>
      </c>
      <c r="E210" s="92">
        <v>155.17</v>
      </c>
      <c r="F210" s="92">
        <v>37209.77</v>
      </c>
      <c r="G210" s="93"/>
      <c r="H210" s="92"/>
      <c r="I210" s="92"/>
      <c r="J210" s="82" t="b">
        <v>0</v>
      </c>
    </row>
    <row r="211" ht="12.75" hidden="1" customHeight="1" outlineLevel="1">
      <c r="D211" s="79"/>
      <c r="E211" s="80"/>
      <c r="F211" s="80"/>
      <c r="G211" s="81"/>
      <c r="H211" s="80"/>
      <c r="I211" s="80"/>
      <c r="J211" s="82" t="b">
        <v>0</v>
      </c>
    </row>
    <row r="212" ht="12.75" hidden="1" customHeight="1" outlineLevel="1">
      <c r="A212" s="89" t="s">
        <v>236</v>
      </c>
      <c r="B212" s="90" t="s">
        <v>237</v>
      </c>
      <c r="C212" s="89" t="s">
        <v>40</v>
      </c>
      <c r="D212" s="91">
        <v>16.81</v>
      </c>
      <c r="E212" s="92">
        <v>55.57</v>
      </c>
      <c r="F212" s="92">
        <v>934.13</v>
      </c>
      <c r="G212" s="93"/>
      <c r="H212" s="92"/>
      <c r="I212" s="92"/>
      <c r="J212" s="82" t="b">
        <v>0</v>
      </c>
    </row>
    <row r="213" ht="12.75" hidden="1" customHeight="1" outlineLevel="1">
      <c r="D213" s="79"/>
      <c r="E213" s="80"/>
      <c r="F213" s="80"/>
      <c r="G213" s="81"/>
      <c r="H213" s="80"/>
      <c r="I213" s="80"/>
      <c r="J213" s="82" t="b">
        <v>0</v>
      </c>
    </row>
    <row r="214" ht="12.75" hidden="1" customHeight="1" outlineLevel="1">
      <c r="A214" s="89" t="s">
        <v>238</v>
      </c>
      <c r="B214" s="90" t="s">
        <v>239</v>
      </c>
      <c r="C214" s="89" t="s">
        <v>40</v>
      </c>
      <c r="D214" s="91">
        <v>29.1</v>
      </c>
      <c r="E214" s="92">
        <v>55.57</v>
      </c>
      <c r="F214" s="92">
        <v>1617.09</v>
      </c>
      <c r="G214" s="93"/>
      <c r="H214" s="92"/>
      <c r="I214" s="92"/>
      <c r="J214" s="82" t="b">
        <v>0</v>
      </c>
    </row>
    <row r="215" ht="12.75" hidden="1" customHeight="1" outlineLevel="1">
      <c r="D215" s="79"/>
      <c r="E215" s="80"/>
      <c r="F215" s="80"/>
      <c r="G215" s="81"/>
      <c r="H215" s="80"/>
      <c r="I215" s="80"/>
      <c r="J215" s="82" t="b">
        <v>0</v>
      </c>
    </row>
    <row r="216" ht="12.75" hidden="1" customHeight="1" outlineLevel="1">
      <c r="A216" s="89" t="s">
        <v>240</v>
      </c>
      <c r="B216" s="90" t="s">
        <v>241</v>
      </c>
      <c r="D216" s="79"/>
      <c r="E216" s="80"/>
      <c r="F216" s="80"/>
      <c r="G216" s="81"/>
      <c r="H216" s="80"/>
      <c r="I216" s="80"/>
      <c r="J216" s="82" t="b">
        <v>0</v>
      </c>
    </row>
    <row r="217" ht="12.75" hidden="1" customHeight="1" outlineLevel="1">
      <c r="D217" s="79"/>
      <c r="E217" s="80"/>
      <c r="F217" s="80"/>
      <c r="G217" s="81"/>
      <c r="H217" s="80"/>
      <c r="I217" s="80"/>
      <c r="J217" s="82" t="b">
        <v>0</v>
      </c>
    </row>
    <row r="218" ht="12.75" hidden="1" customHeight="1" outlineLevel="1">
      <c r="A218" s="89" t="s">
        <v>242</v>
      </c>
      <c r="B218" s="90" t="s">
        <v>243</v>
      </c>
      <c r="C218" s="89" t="s">
        <v>161</v>
      </c>
      <c r="D218" s="91">
        <v>130.01</v>
      </c>
      <c r="E218" s="92">
        <v>29.09</v>
      </c>
      <c r="F218" s="92">
        <v>3781.99</v>
      </c>
      <c r="G218" s="93"/>
      <c r="H218" s="92"/>
      <c r="I218" s="92"/>
      <c r="J218" s="82" t="b">
        <v>0</v>
      </c>
    </row>
    <row r="219" ht="12.75" hidden="1" customHeight="1" outlineLevel="1">
      <c r="D219" s="79"/>
      <c r="E219" s="80"/>
      <c r="F219" s="80"/>
      <c r="G219" s="81"/>
      <c r="H219" s="80"/>
      <c r="I219" s="80"/>
      <c r="J219" s="82" t="b">
        <v>0</v>
      </c>
    </row>
    <row r="220" ht="12.75" customHeight="1" collapsed="1">
      <c r="A220" s="83" t="s">
        <v>244</v>
      </c>
      <c r="B220" s="84" t="s">
        <v>245</v>
      </c>
      <c r="C220" s="87">
        <f>SUM(F226:F352)</f>
        <v>93859.78</v>
      </c>
      <c r="D220" s="86"/>
      <c r="E220" s="88"/>
      <c r="F220" s="88"/>
      <c r="G220" s="81"/>
      <c r="H220" s="80"/>
      <c r="I220" s="80"/>
      <c r="J220" s="82" t="b">
        <v>0</v>
      </c>
    </row>
    <row r="221" ht="12.75" hidden="1" customHeight="1" outlineLevel="1">
      <c r="D221" s="79"/>
      <c r="E221" s="80"/>
      <c r="F221" s="80"/>
      <c r="G221" s="81"/>
      <c r="H221" s="80"/>
      <c r="I221" s="80"/>
      <c r="J221" s="82" t="b">
        <v>0</v>
      </c>
    </row>
    <row r="222" ht="12.75" hidden="1" customHeight="1" outlineLevel="1">
      <c r="A222" s="89" t="s">
        <v>246</v>
      </c>
      <c r="B222" s="90" t="s">
        <v>247</v>
      </c>
      <c r="D222" s="79"/>
      <c r="E222" s="80"/>
      <c r="F222" s="80"/>
      <c r="G222" s="81"/>
      <c r="H222" s="80"/>
      <c r="I222" s="80"/>
      <c r="J222" s="82" t="b">
        <v>0</v>
      </c>
    </row>
    <row r="223" ht="12.75" hidden="1" customHeight="1" outlineLevel="1">
      <c r="A223" s="21"/>
      <c r="B223" s="21"/>
      <c r="C223" s="21"/>
      <c r="D223" s="115"/>
      <c r="E223" s="116"/>
      <c r="F223" s="116"/>
      <c r="G223" s="117"/>
      <c r="H223" s="116"/>
      <c r="I223" s="116"/>
      <c r="J223" s="118" t="b">
        <v>0</v>
      </c>
    </row>
    <row r="224" ht="12.75" hidden="1" customHeight="1" outlineLevel="1">
      <c r="A224" s="89" t="s">
        <v>248</v>
      </c>
      <c r="B224" s="90" t="s">
        <v>249</v>
      </c>
      <c r="D224" s="79"/>
      <c r="E224" s="80"/>
      <c r="F224" s="80"/>
      <c r="G224" s="81" t="s">
        <v>250</v>
      </c>
      <c r="H224" s="80"/>
      <c r="I224" s="80"/>
      <c r="J224" s="82" t="b">
        <v>0</v>
      </c>
    </row>
    <row r="225" ht="12.75" hidden="1" customHeight="1" outlineLevel="1">
      <c r="D225" s="79"/>
      <c r="E225" s="80"/>
      <c r="F225" s="80"/>
      <c r="G225" s="81"/>
      <c r="H225" s="80"/>
      <c r="I225" s="80"/>
      <c r="J225" s="82" t="b">
        <v>0</v>
      </c>
    </row>
    <row r="226" ht="12.75" hidden="1" customHeight="1" outlineLevel="1">
      <c r="A226" s="89" t="s">
        <v>251</v>
      </c>
      <c r="B226" s="90" t="s">
        <v>252</v>
      </c>
      <c r="C226" s="89" t="s">
        <v>75</v>
      </c>
      <c r="D226" s="91">
        <v>1.0</v>
      </c>
      <c r="E226" s="92">
        <v>1293.1</v>
      </c>
      <c r="F226" s="92">
        <v>1293.1</v>
      </c>
      <c r="G226" s="93"/>
      <c r="H226" s="92"/>
      <c r="I226" s="92"/>
      <c r="J226" s="82" t="b">
        <v>0</v>
      </c>
    </row>
    <row r="227" ht="12.75" hidden="1" customHeight="1" outlineLevel="1">
      <c r="D227" s="79"/>
      <c r="E227" s="80"/>
      <c r="F227" s="80"/>
      <c r="G227" s="81"/>
      <c r="H227" s="80"/>
      <c r="I227" s="80"/>
      <c r="J227" s="82" t="b">
        <v>0</v>
      </c>
    </row>
    <row r="228" ht="12.75" hidden="1" customHeight="1" outlineLevel="1">
      <c r="A228" s="89" t="s">
        <v>253</v>
      </c>
      <c r="B228" s="90" t="s">
        <v>254</v>
      </c>
      <c r="C228" s="89" t="s">
        <v>75</v>
      </c>
      <c r="D228" s="91">
        <v>1.0</v>
      </c>
      <c r="E228" s="92">
        <v>1293.1</v>
      </c>
      <c r="F228" s="92">
        <v>1293.1</v>
      </c>
      <c r="G228" s="93"/>
      <c r="H228" s="92"/>
      <c r="I228" s="92"/>
      <c r="J228" s="82" t="b">
        <v>0</v>
      </c>
    </row>
    <row r="229" ht="12.75" hidden="1" customHeight="1" outlineLevel="1">
      <c r="D229" s="79"/>
      <c r="E229" s="80"/>
      <c r="F229" s="80"/>
      <c r="G229" s="81"/>
      <c r="H229" s="80"/>
      <c r="I229" s="80"/>
      <c r="J229" s="82" t="b">
        <v>0</v>
      </c>
    </row>
    <row r="230" ht="12.75" hidden="1" customHeight="1" outlineLevel="1">
      <c r="A230" s="89" t="s">
        <v>255</v>
      </c>
      <c r="B230" s="90" t="s">
        <v>256</v>
      </c>
      <c r="C230" s="89" t="s">
        <v>75</v>
      </c>
      <c r="D230" s="91">
        <v>1.0</v>
      </c>
      <c r="E230" s="92">
        <v>1293.1</v>
      </c>
      <c r="F230" s="92">
        <v>1293.1</v>
      </c>
      <c r="G230" s="93"/>
      <c r="H230" s="92"/>
      <c r="I230" s="92"/>
      <c r="J230" s="82" t="b">
        <v>0</v>
      </c>
    </row>
    <row r="231" ht="12.75" hidden="1" customHeight="1" outlineLevel="1">
      <c r="D231" s="79"/>
      <c r="E231" s="80"/>
      <c r="F231" s="80"/>
      <c r="G231" s="81"/>
      <c r="H231" s="80"/>
      <c r="I231" s="80"/>
      <c r="J231" s="82" t="b">
        <v>0</v>
      </c>
    </row>
    <row r="232" ht="12.75" hidden="1" customHeight="1" outlineLevel="1">
      <c r="A232" s="89" t="s">
        <v>257</v>
      </c>
      <c r="B232" s="90" t="s">
        <v>258</v>
      </c>
      <c r="C232" s="89" t="s">
        <v>75</v>
      </c>
      <c r="D232" s="91">
        <v>1.0</v>
      </c>
      <c r="E232" s="92">
        <v>1293.1</v>
      </c>
      <c r="F232" s="92">
        <v>1293.1</v>
      </c>
      <c r="G232" s="93"/>
      <c r="H232" s="92"/>
      <c r="I232" s="92"/>
      <c r="J232" s="82" t="b">
        <v>0</v>
      </c>
    </row>
    <row r="233" ht="12.75" hidden="1" customHeight="1" outlineLevel="1">
      <c r="D233" s="79"/>
      <c r="E233" s="80"/>
      <c r="F233" s="80"/>
      <c r="G233" s="81"/>
      <c r="H233" s="80"/>
      <c r="I233" s="80"/>
      <c r="J233" s="82" t="b">
        <v>0</v>
      </c>
    </row>
    <row r="234" ht="12.75" hidden="1" customHeight="1" outlineLevel="1">
      <c r="A234" s="89" t="s">
        <v>259</v>
      </c>
      <c r="B234" s="90" t="s">
        <v>260</v>
      </c>
      <c r="D234" s="79"/>
      <c r="E234" s="80"/>
      <c r="F234" s="80"/>
      <c r="G234" s="81"/>
      <c r="H234" s="80"/>
      <c r="I234" s="80"/>
      <c r="J234" s="82" t="b">
        <v>0</v>
      </c>
    </row>
    <row r="235" ht="12.75" hidden="1" customHeight="1" outlineLevel="1">
      <c r="D235" s="79"/>
      <c r="E235" s="80"/>
      <c r="F235" s="80"/>
      <c r="G235" s="81"/>
      <c r="H235" s="80"/>
      <c r="I235" s="80"/>
      <c r="J235" s="82" t="b">
        <v>0</v>
      </c>
    </row>
    <row r="236" ht="12.75" hidden="1" customHeight="1" outlineLevel="1">
      <c r="A236" s="89" t="s">
        <v>261</v>
      </c>
      <c r="B236" s="90" t="s">
        <v>262</v>
      </c>
      <c r="C236" s="89" t="s">
        <v>75</v>
      </c>
      <c r="D236" s="91">
        <v>1.0</v>
      </c>
      <c r="E236" s="92">
        <v>1487.07</v>
      </c>
      <c r="F236" s="92">
        <v>1487.07</v>
      </c>
      <c r="G236" s="93"/>
      <c r="H236" s="92"/>
      <c r="I236" s="92"/>
      <c r="J236" s="82" t="b">
        <v>0</v>
      </c>
    </row>
    <row r="237" ht="12.75" hidden="1" customHeight="1" outlineLevel="1">
      <c r="D237" s="79"/>
      <c r="E237" s="80"/>
      <c r="F237" s="80"/>
      <c r="G237" s="81"/>
      <c r="H237" s="80"/>
      <c r="I237" s="80"/>
      <c r="J237" s="82" t="b">
        <v>0</v>
      </c>
    </row>
    <row r="238" ht="12.75" hidden="1" customHeight="1" outlineLevel="1">
      <c r="A238" s="89" t="s">
        <v>263</v>
      </c>
      <c r="B238" s="90" t="s">
        <v>264</v>
      </c>
      <c r="C238" s="89" t="s">
        <v>75</v>
      </c>
      <c r="D238" s="91">
        <v>1.0</v>
      </c>
      <c r="E238" s="92">
        <v>1487.07</v>
      </c>
      <c r="F238" s="92">
        <v>1487.07</v>
      </c>
      <c r="G238" s="93"/>
      <c r="H238" s="92"/>
      <c r="I238" s="92"/>
      <c r="J238" s="82" t="b">
        <v>0</v>
      </c>
    </row>
    <row r="239" ht="12.75" hidden="1" customHeight="1" outlineLevel="1">
      <c r="D239" s="79"/>
      <c r="E239" s="80"/>
      <c r="F239" s="80"/>
      <c r="G239" s="81"/>
      <c r="H239" s="80"/>
      <c r="I239" s="80"/>
      <c r="J239" s="82" t="b">
        <v>0</v>
      </c>
    </row>
    <row r="240" ht="12.75" hidden="1" customHeight="1" outlineLevel="1">
      <c r="A240" s="89" t="s">
        <v>265</v>
      </c>
      <c r="B240" s="90" t="s">
        <v>266</v>
      </c>
      <c r="C240" s="89" t="s">
        <v>75</v>
      </c>
      <c r="D240" s="91">
        <v>1.0</v>
      </c>
      <c r="E240" s="92">
        <v>1487.07</v>
      </c>
      <c r="F240" s="92">
        <v>1487.07</v>
      </c>
      <c r="G240" s="93"/>
      <c r="H240" s="92"/>
      <c r="I240" s="92"/>
      <c r="J240" s="82" t="b">
        <v>0</v>
      </c>
    </row>
    <row r="241" ht="12.75" hidden="1" customHeight="1" outlineLevel="1">
      <c r="D241" s="79"/>
      <c r="E241" s="80"/>
      <c r="F241" s="80"/>
      <c r="G241" s="81"/>
      <c r="H241" s="80"/>
      <c r="I241" s="80"/>
      <c r="J241" s="82" t="b">
        <v>0</v>
      </c>
    </row>
    <row r="242" ht="12.75" hidden="1" customHeight="1" outlineLevel="1">
      <c r="A242" s="89" t="s">
        <v>267</v>
      </c>
      <c r="B242" s="90" t="s">
        <v>268</v>
      </c>
      <c r="C242" s="89" t="s">
        <v>75</v>
      </c>
      <c r="D242" s="91">
        <v>1.0</v>
      </c>
      <c r="E242" s="92">
        <v>1487.07</v>
      </c>
      <c r="F242" s="92">
        <v>1487.07</v>
      </c>
      <c r="G242" s="93"/>
      <c r="H242" s="92"/>
      <c r="I242" s="92"/>
      <c r="J242" s="82" t="b">
        <v>0</v>
      </c>
    </row>
    <row r="243" ht="12.75" hidden="1" customHeight="1" outlineLevel="1">
      <c r="D243" s="79"/>
      <c r="E243" s="80"/>
      <c r="F243" s="80"/>
      <c r="G243" s="81"/>
      <c r="H243" s="80"/>
      <c r="I243" s="80"/>
      <c r="J243" s="82" t="b">
        <v>0</v>
      </c>
    </row>
    <row r="244" ht="12.75" hidden="1" customHeight="1" outlineLevel="1">
      <c r="A244" s="89" t="s">
        <v>269</v>
      </c>
      <c r="B244" s="90" t="s">
        <v>270</v>
      </c>
      <c r="C244" s="89" t="s">
        <v>75</v>
      </c>
      <c r="D244" s="91">
        <v>1.0</v>
      </c>
      <c r="E244" s="92">
        <v>1487.07</v>
      </c>
      <c r="F244" s="92">
        <v>1487.07</v>
      </c>
      <c r="G244" s="93"/>
      <c r="H244" s="92"/>
      <c r="I244" s="92"/>
      <c r="J244" s="82" t="b">
        <v>0</v>
      </c>
    </row>
    <row r="245" ht="12.75" hidden="1" customHeight="1" outlineLevel="1">
      <c r="D245" s="79"/>
      <c r="E245" s="80"/>
      <c r="F245" s="80"/>
      <c r="G245" s="81"/>
      <c r="H245" s="80"/>
      <c r="I245" s="80"/>
      <c r="J245" s="82" t="b">
        <v>0</v>
      </c>
    </row>
    <row r="246" ht="12.75" hidden="1" customHeight="1" outlineLevel="1">
      <c r="A246" s="89" t="s">
        <v>271</v>
      </c>
      <c r="B246" s="90" t="s">
        <v>272</v>
      </c>
      <c r="D246" s="79"/>
      <c r="E246" s="80"/>
      <c r="F246" s="80"/>
      <c r="G246" s="81"/>
      <c r="H246" s="80"/>
      <c r="I246" s="80"/>
      <c r="J246" s="82" t="b">
        <v>0</v>
      </c>
    </row>
    <row r="247" ht="12.75" hidden="1" customHeight="1" outlineLevel="1">
      <c r="D247" s="79"/>
      <c r="E247" s="80"/>
      <c r="F247" s="80"/>
      <c r="G247" s="81"/>
      <c r="H247" s="80"/>
      <c r="I247" s="80"/>
      <c r="J247" s="82" t="b">
        <v>0</v>
      </c>
    </row>
    <row r="248" ht="12.75" hidden="1" customHeight="1" outlineLevel="1">
      <c r="A248" s="89" t="s">
        <v>273</v>
      </c>
      <c r="B248" s="90" t="s">
        <v>274</v>
      </c>
      <c r="C248" s="89" t="s">
        <v>75</v>
      </c>
      <c r="D248" s="91">
        <v>1.0</v>
      </c>
      <c r="E248" s="92">
        <v>1681.03</v>
      </c>
      <c r="F248" s="92">
        <v>1681.03</v>
      </c>
      <c r="G248" s="93"/>
      <c r="H248" s="92"/>
      <c r="I248" s="92"/>
      <c r="J248" s="82" t="b">
        <v>0</v>
      </c>
    </row>
    <row r="249" ht="12.75" hidden="1" customHeight="1" outlineLevel="1">
      <c r="D249" s="79"/>
      <c r="E249" s="80"/>
      <c r="F249" s="80"/>
      <c r="G249" s="81"/>
      <c r="H249" s="80"/>
      <c r="I249" s="80"/>
      <c r="J249" s="82" t="b">
        <v>0</v>
      </c>
    </row>
    <row r="250" ht="12.75" hidden="1" customHeight="1" outlineLevel="1">
      <c r="A250" s="89" t="s">
        <v>275</v>
      </c>
      <c r="B250" s="90" t="s">
        <v>276</v>
      </c>
      <c r="D250" s="79"/>
      <c r="E250" s="80"/>
      <c r="F250" s="80"/>
      <c r="G250" s="81"/>
      <c r="H250" s="80"/>
      <c r="I250" s="80"/>
      <c r="J250" s="82" t="b">
        <v>0</v>
      </c>
    </row>
    <row r="251" ht="12.75" hidden="1" customHeight="1" outlineLevel="1">
      <c r="D251" s="79"/>
      <c r="E251" s="80"/>
      <c r="F251" s="80"/>
      <c r="G251" s="81"/>
      <c r="H251" s="80"/>
      <c r="I251" s="80"/>
      <c r="J251" s="82" t="b">
        <v>0</v>
      </c>
    </row>
    <row r="252" ht="12.75" hidden="1" customHeight="1" outlineLevel="1">
      <c r="A252" s="89" t="s">
        <v>277</v>
      </c>
      <c r="B252" s="90" t="s">
        <v>278</v>
      </c>
      <c r="D252" s="79"/>
      <c r="E252" s="80"/>
      <c r="F252" s="80"/>
      <c r="G252" s="81"/>
      <c r="H252" s="80"/>
      <c r="I252" s="80"/>
      <c r="J252" s="82" t="b">
        <v>0</v>
      </c>
    </row>
    <row r="253" ht="12.75" hidden="1" customHeight="1" outlineLevel="1">
      <c r="D253" s="79"/>
      <c r="E253" s="80"/>
      <c r="F253" s="80"/>
      <c r="G253" s="81"/>
      <c r="H253" s="80"/>
      <c r="I253" s="80"/>
      <c r="J253" s="82" t="b">
        <v>0</v>
      </c>
    </row>
    <row r="254" ht="12.75" hidden="1" customHeight="1" outlineLevel="1">
      <c r="A254" s="89" t="s">
        <v>279</v>
      </c>
      <c r="B254" s="90" t="s">
        <v>280</v>
      </c>
      <c r="C254" s="89" t="s">
        <v>75</v>
      </c>
      <c r="D254" s="91">
        <v>1.0</v>
      </c>
      <c r="E254" s="92">
        <v>1293.1</v>
      </c>
      <c r="F254" s="92">
        <v>1293.1</v>
      </c>
      <c r="G254" s="93"/>
      <c r="H254" s="92"/>
      <c r="I254" s="92"/>
      <c r="J254" s="82" t="b">
        <v>0</v>
      </c>
    </row>
    <row r="255" ht="12.75" hidden="1" customHeight="1" outlineLevel="1">
      <c r="D255" s="79"/>
      <c r="E255" s="80"/>
      <c r="F255" s="80"/>
      <c r="G255" s="81"/>
      <c r="H255" s="80"/>
      <c r="I255" s="80"/>
      <c r="J255" s="82" t="b">
        <v>0</v>
      </c>
    </row>
    <row r="256" ht="12.75" hidden="1" customHeight="1" outlineLevel="1">
      <c r="A256" s="89" t="s">
        <v>281</v>
      </c>
      <c r="B256" s="90" t="s">
        <v>282</v>
      </c>
      <c r="D256" s="79"/>
      <c r="E256" s="80"/>
      <c r="F256" s="80"/>
      <c r="G256" s="81"/>
      <c r="H256" s="80"/>
      <c r="I256" s="80"/>
      <c r="J256" s="82" t="b">
        <v>0</v>
      </c>
    </row>
    <row r="257" ht="12.75" hidden="1" customHeight="1" outlineLevel="1">
      <c r="D257" s="79"/>
      <c r="E257" s="80"/>
      <c r="F257" s="80"/>
      <c r="G257" s="81"/>
      <c r="H257" s="80"/>
      <c r="I257" s="80"/>
      <c r="J257" s="82" t="b">
        <v>0</v>
      </c>
    </row>
    <row r="258" ht="12.75" hidden="1" customHeight="1" outlineLevel="1">
      <c r="A258" s="89" t="s">
        <v>283</v>
      </c>
      <c r="B258" s="90" t="s">
        <v>284</v>
      </c>
      <c r="C258" s="89" t="s">
        <v>75</v>
      </c>
      <c r="D258" s="91">
        <v>1.0</v>
      </c>
      <c r="E258" s="92">
        <v>1616.38</v>
      </c>
      <c r="F258" s="92">
        <v>1616.38</v>
      </c>
      <c r="G258" s="93"/>
      <c r="H258" s="92"/>
      <c r="I258" s="92"/>
      <c r="J258" s="82" t="b">
        <v>0</v>
      </c>
    </row>
    <row r="259" ht="12.75" hidden="1" customHeight="1" outlineLevel="1">
      <c r="D259" s="79"/>
      <c r="E259" s="80"/>
      <c r="F259" s="80"/>
      <c r="G259" s="81"/>
      <c r="H259" s="80"/>
      <c r="I259" s="80"/>
      <c r="J259" s="82" t="b">
        <v>0</v>
      </c>
    </row>
    <row r="260" ht="12.75" hidden="1" customHeight="1" outlineLevel="1">
      <c r="A260" s="89" t="s">
        <v>285</v>
      </c>
      <c r="B260" s="90" t="s">
        <v>286</v>
      </c>
      <c r="D260" s="79"/>
      <c r="E260" s="80"/>
      <c r="F260" s="80"/>
      <c r="G260" s="81"/>
      <c r="H260" s="80"/>
      <c r="I260" s="80"/>
      <c r="J260" s="82" t="b">
        <v>0</v>
      </c>
    </row>
    <row r="261" ht="12.75" hidden="1" customHeight="1" outlineLevel="1">
      <c r="D261" s="79"/>
      <c r="E261" s="80"/>
      <c r="F261" s="80"/>
      <c r="G261" s="81"/>
      <c r="H261" s="80"/>
      <c r="I261" s="80"/>
      <c r="J261" s="82" t="b">
        <v>0</v>
      </c>
    </row>
    <row r="262" ht="12.75" hidden="1" customHeight="1" outlineLevel="1">
      <c r="A262" s="89" t="s">
        <v>287</v>
      </c>
      <c r="B262" s="90" t="s">
        <v>288</v>
      </c>
      <c r="C262" s="89" t="s">
        <v>75</v>
      </c>
      <c r="D262" s="91">
        <v>1.0</v>
      </c>
      <c r="E262" s="92">
        <v>1616.38</v>
      </c>
      <c r="F262" s="92">
        <v>1616.38</v>
      </c>
      <c r="G262" s="93"/>
      <c r="H262" s="92"/>
      <c r="I262" s="92"/>
      <c r="J262" s="82" t="b">
        <v>0</v>
      </c>
    </row>
    <row r="263" ht="12.75" hidden="1" customHeight="1" outlineLevel="1">
      <c r="D263" s="79"/>
      <c r="E263" s="80"/>
      <c r="F263" s="80"/>
      <c r="G263" s="81"/>
      <c r="H263" s="80"/>
      <c r="I263" s="80"/>
      <c r="J263" s="82" t="b">
        <v>0</v>
      </c>
    </row>
    <row r="264" ht="12.75" hidden="1" customHeight="1" outlineLevel="1">
      <c r="A264" s="89" t="s">
        <v>289</v>
      </c>
      <c r="B264" s="90" t="s">
        <v>290</v>
      </c>
      <c r="D264" s="79"/>
      <c r="E264" s="80"/>
      <c r="F264" s="80"/>
      <c r="G264" s="81"/>
      <c r="H264" s="80"/>
      <c r="I264" s="80"/>
      <c r="J264" s="82" t="b">
        <v>0</v>
      </c>
    </row>
    <row r="265" ht="12.75" hidden="1" customHeight="1" outlineLevel="1">
      <c r="D265" s="79"/>
      <c r="E265" s="80"/>
      <c r="F265" s="80"/>
      <c r="G265" s="81"/>
      <c r="H265" s="80"/>
      <c r="I265" s="80"/>
      <c r="J265" s="82" t="b">
        <v>0</v>
      </c>
    </row>
    <row r="266" ht="12.75" hidden="1" customHeight="1" outlineLevel="1">
      <c r="A266" s="89" t="s">
        <v>291</v>
      </c>
      <c r="B266" s="90" t="s">
        <v>292</v>
      </c>
      <c r="C266" s="89" t="s">
        <v>75</v>
      </c>
      <c r="D266" s="91">
        <v>1.0</v>
      </c>
      <c r="E266" s="92">
        <v>1260.77</v>
      </c>
      <c r="F266" s="92">
        <v>1260.77</v>
      </c>
      <c r="G266" s="93"/>
      <c r="H266" s="92"/>
      <c r="I266" s="92"/>
      <c r="J266" s="82" t="b">
        <v>0</v>
      </c>
    </row>
    <row r="267" ht="12.75" hidden="1" customHeight="1" outlineLevel="1">
      <c r="D267" s="79"/>
      <c r="E267" s="80"/>
      <c r="F267" s="80"/>
      <c r="G267" s="81"/>
      <c r="H267" s="80"/>
      <c r="I267" s="80"/>
      <c r="J267" s="82" t="b">
        <v>0</v>
      </c>
    </row>
    <row r="268" ht="12.75" hidden="1" customHeight="1" outlineLevel="1">
      <c r="A268" s="89" t="s">
        <v>293</v>
      </c>
      <c r="B268" s="90" t="s">
        <v>294</v>
      </c>
      <c r="C268" s="89" t="s">
        <v>75</v>
      </c>
      <c r="D268" s="91">
        <v>1.0</v>
      </c>
      <c r="E268" s="92">
        <v>1260.77</v>
      </c>
      <c r="F268" s="92">
        <v>1260.77</v>
      </c>
      <c r="G268" s="93"/>
      <c r="H268" s="92"/>
      <c r="I268" s="92"/>
      <c r="J268" s="82" t="b">
        <v>0</v>
      </c>
    </row>
    <row r="269" ht="12.75" hidden="1" customHeight="1" outlineLevel="1">
      <c r="D269" s="79"/>
      <c r="E269" s="80"/>
      <c r="F269" s="80"/>
      <c r="G269" s="81"/>
      <c r="H269" s="80"/>
      <c r="I269" s="80"/>
      <c r="J269" s="82" t="b">
        <v>0</v>
      </c>
    </row>
    <row r="270" ht="12.75" hidden="1" customHeight="1" outlineLevel="1">
      <c r="A270" s="89" t="s">
        <v>295</v>
      </c>
      <c r="B270" s="90" t="s">
        <v>296</v>
      </c>
      <c r="D270" s="79"/>
      <c r="E270" s="80"/>
      <c r="F270" s="80"/>
      <c r="G270" s="81"/>
      <c r="H270" s="80"/>
      <c r="I270" s="80"/>
      <c r="J270" s="82" t="b">
        <v>0</v>
      </c>
    </row>
    <row r="271" ht="12.75" hidden="1" customHeight="1" outlineLevel="1">
      <c r="A271" s="119"/>
      <c r="B271" s="119"/>
      <c r="C271" s="119"/>
      <c r="D271" s="120"/>
      <c r="E271" s="108"/>
      <c r="F271" s="108"/>
      <c r="G271" s="121"/>
      <c r="H271" s="108"/>
      <c r="I271" s="108"/>
      <c r="J271" s="122" t="b">
        <v>0</v>
      </c>
    </row>
    <row r="272" ht="12.75" hidden="1" customHeight="1" outlineLevel="1">
      <c r="A272" s="89" t="s">
        <v>297</v>
      </c>
      <c r="B272" s="90" t="s">
        <v>298</v>
      </c>
      <c r="D272" s="79"/>
      <c r="E272" s="80"/>
      <c r="F272" s="80"/>
      <c r="G272" s="81" t="s">
        <v>299</v>
      </c>
      <c r="H272" s="80"/>
      <c r="I272" s="80"/>
      <c r="J272" s="82" t="b">
        <v>0</v>
      </c>
    </row>
    <row r="273" ht="12.75" hidden="1" customHeight="1" outlineLevel="1">
      <c r="D273" s="79"/>
      <c r="E273" s="80"/>
      <c r="F273" s="80"/>
      <c r="G273" s="81"/>
      <c r="H273" s="80"/>
      <c r="I273" s="80"/>
      <c r="J273" s="82" t="b">
        <v>0</v>
      </c>
    </row>
    <row r="274" ht="12.75" hidden="1" customHeight="1" outlineLevel="1">
      <c r="A274" s="89" t="s">
        <v>300</v>
      </c>
      <c r="B274" s="90" t="s">
        <v>301</v>
      </c>
      <c r="C274" s="89" t="s">
        <v>75</v>
      </c>
      <c r="D274" s="91">
        <v>1.0</v>
      </c>
      <c r="E274" s="92">
        <v>2456.89</v>
      </c>
      <c r="F274" s="92">
        <v>2456.89</v>
      </c>
      <c r="G274" s="93"/>
      <c r="H274" s="92"/>
      <c r="I274" s="92"/>
      <c r="J274" s="82" t="b">
        <v>0</v>
      </c>
    </row>
    <row r="275" ht="12.75" hidden="1" customHeight="1" outlineLevel="1">
      <c r="D275" s="79"/>
      <c r="E275" s="80"/>
      <c r="F275" s="80"/>
      <c r="G275" s="81"/>
      <c r="H275" s="80"/>
      <c r="I275" s="80"/>
      <c r="J275" s="82" t="b">
        <v>0</v>
      </c>
    </row>
    <row r="276" ht="12.75" hidden="1" customHeight="1" outlineLevel="1">
      <c r="A276" s="89" t="s">
        <v>302</v>
      </c>
      <c r="B276" s="90" t="s">
        <v>303</v>
      </c>
      <c r="D276" s="79"/>
      <c r="E276" s="80"/>
      <c r="F276" s="80"/>
      <c r="G276" s="81"/>
      <c r="H276" s="80"/>
      <c r="I276" s="80"/>
      <c r="J276" s="82" t="b">
        <v>0</v>
      </c>
    </row>
    <row r="277" ht="12.75" hidden="1" customHeight="1" outlineLevel="1">
      <c r="D277" s="79"/>
      <c r="E277" s="80"/>
      <c r="F277" s="80"/>
      <c r="G277" s="81"/>
      <c r="H277" s="80"/>
      <c r="I277" s="80"/>
      <c r="J277" s="82" t="b">
        <v>0</v>
      </c>
    </row>
    <row r="278" ht="12.75" hidden="1" customHeight="1" outlineLevel="1">
      <c r="A278" s="89" t="s">
        <v>304</v>
      </c>
      <c r="B278" s="90" t="s">
        <v>305</v>
      </c>
      <c r="C278" s="89" t="s">
        <v>75</v>
      </c>
      <c r="D278" s="91">
        <v>1.0</v>
      </c>
      <c r="E278" s="92">
        <v>1778.01</v>
      </c>
      <c r="F278" s="92">
        <v>1778.01</v>
      </c>
      <c r="G278" s="93"/>
      <c r="H278" s="92"/>
      <c r="I278" s="92"/>
      <c r="J278" s="82" t="b">
        <v>0</v>
      </c>
    </row>
    <row r="279" ht="12.75" hidden="1" customHeight="1" outlineLevel="1">
      <c r="D279" s="79"/>
      <c r="E279" s="80"/>
      <c r="F279" s="80"/>
      <c r="G279" s="81"/>
      <c r="H279" s="80"/>
      <c r="I279" s="80"/>
      <c r="J279" s="82" t="b">
        <v>0</v>
      </c>
    </row>
    <row r="280" ht="12.75" hidden="1" customHeight="1" outlineLevel="1">
      <c r="A280" s="89" t="s">
        <v>306</v>
      </c>
      <c r="B280" s="90" t="s">
        <v>307</v>
      </c>
      <c r="C280" s="89" t="s">
        <v>75</v>
      </c>
      <c r="D280" s="91">
        <v>1.0</v>
      </c>
      <c r="E280" s="92">
        <v>969.83</v>
      </c>
      <c r="F280" s="92">
        <v>969.83</v>
      </c>
      <c r="G280" s="93"/>
      <c r="H280" s="92"/>
      <c r="I280" s="92"/>
      <c r="J280" s="82" t="b">
        <v>0</v>
      </c>
    </row>
    <row r="281" ht="12.75" hidden="1" customHeight="1" outlineLevel="1">
      <c r="D281" s="79"/>
      <c r="E281" s="80"/>
      <c r="F281" s="80"/>
      <c r="G281" s="81"/>
      <c r="H281" s="80"/>
      <c r="I281" s="80"/>
      <c r="J281" s="82" t="b">
        <v>0</v>
      </c>
    </row>
    <row r="282" ht="12.75" hidden="1" customHeight="1" outlineLevel="1">
      <c r="A282" s="89" t="s">
        <v>308</v>
      </c>
      <c r="B282" s="90" t="s">
        <v>309</v>
      </c>
      <c r="D282" s="79"/>
      <c r="E282" s="80"/>
      <c r="F282" s="80"/>
      <c r="G282" s="81"/>
      <c r="H282" s="80"/>
      <c r="I282" s="80"/>
      <c r="J282" s="82" t="b">
        <v>0</v>
      </c>
    </row>
    <row r="283" ht="12.75" hidden="1" customHeight="1" outlineLevel="1">
      <c r="D283" s="79"/>
      <c r="E283" s="80"/>
      <c r="F283" s="80"/>
      <c r="G283" s="81"/>
      <c r="H283" s="80"/>
      <c r="I283" s="80"/>
      <c r="J283" s="82" t="b">
        <v>0</v>
      </c>
    </row>
    <row r="284" ht="12.75" hidden="1" customHeight="1" outlineLevel="1">
      <c r="A284" s="89" t="s">
        <v>310</v>
      </c>
      <c r="B284" s="90" t="s">
        <v>311</v>
      </c>
      <c r="C284" s="89" t="s">
        <v>75</v>
      </c>
      <c r="D284" s="91">
        <v>1.0</v>
      </c>
      <c r="E284" s="92">
        <v>969.83</v>
      </c>
      <c r="F284" s="92">
        <v>969.83</v>
      </c>
      <c r="G284" s="93"/>
      <c r="H284" s="92"/>
      <c r="I284" s="92"/>
      <c r="J284" s="82" t="b">
        <v>0</v>
      </c>
    </row>
    <row r="285" ht="12.75" hidden="1" customHeight="1" outlineLevel="1">
      <c r="D285" s="79"/>
      <c r="E285" s="80"/>
      <c r="F285" s="80"/>
      <c r="G285" s="81"/>
      <c r="H285" s="80"/>
      <c r="I285" s="80"/>
      <c r="J285" s="82" t="b">
        <v>0</v>
      </c>
    </row>
    <row r="286" ht="12.75" hidden="1" customHeight="1" outlineLevel="1">
      <c r="A286" s="89" t="s">
        <v>312</v>
      </c>
      <c r="B286" s="90" t="s">
        <v>313</v>
      </c>
      <c r="D286" s="79"/>
      <c r="E286" s="80"/>
      <c r="F286" s="80"/>
      <c r="G286" s="81"/>
      <c r="H286" s="80"/>
      <c r="I286" s="80"/>
      <c r="J286" s="82" t="b">
        <v>0</v>
      </c>
    </row>
    <row r="287" ht="12.75" hidden="1" customHeight="1" outlineLevel="1">
      <c r="D287" s="79"/>
      <c r="E287" s="80"/>
      <c r="F287" s="80"/>
      <c r="G287" s="81"/>
      <c r="H287" s="80"/>
      <c r="I287" s="80"/>
      <c r="J287" s="82" t="b">
        <v>0</v>
      </c>
    </row>
    <row r="288" ht="12.75" hidden="1" customHeight="1" outlineLevel="1">
      <c r="A288" s="89" t="s">
        <v>314</v>
      </c>
      <c r="B288" s="90" t="s">
        <v>315</v>
      </c>
      <c r="C288" s="89" t="s">
        <v>75</v>
      </c>
      <c r="D288" s="91">
        <v>1.0</v>
      </c>
      <c r="E288" s="92">
        <v>5495.68</v>
      </c>
      <c r="F288" s="92">
        <v>5495.68</v>
      </c>
      <c r="G288" s="93"/>
      <c r="H288" s="92"/>
      <c r="I288" s="92"/>
      <c r="J288" s="82" t="b">
        <v>0</v>
      </c>
    </row>
    <row r="289" ht="12.75" hidden="1" customHeight="1" outlineLevel="1">
      <c r="D289" s="79"/>
      <c r="E289" s="80"/>
      <c r="F289" s="80"/>
      <c r="G289" s="81"/>
      <c r="H289" s="80"/>
      <c r="I289" s="80"/>
      <c r="J289" s="82" t="b">
        <v>0</v>
      </c>
    </row>
    <row r="290" ht="12.75" hidden="1" customHeight="1" outlineLevel="1">
      <c r="A290" s="89" t="s">
        <v>316</v>
      </c>
      <c r="B290" s="90" t="s">
        <v>317</v>
      </c>
      <c r="D290" s="79"/>
      <c r="E290" s="80"/>
      <c r="F290" s="80"/>
      <c r="G290" s="81"/>
      <c r="H290" s="80"/>
      <c r="I290" s="80"/>
      <c r="J290" s="82" t="b">
        <v>0</v>
      </c>
    </row>
    <row r="291" ht="12.75" hidden="1" customHeight="1" outlineLevel="1">
      <c r="D291" s="79"/>
      <c r="E291" s="80"/>
      <c r="F291" s="80"/>
      <c r="G291" s="81"/>
      <c r="H291" s="80"/>
      <c r="I291" s="80"/>
      <c r="J291" s="82" t="b">
        <v>0</v>
      </c>
    </row>
    <row r="292" ht="12.75" hidden="1" customHeight="1" outlineLevel="1">
      <c r="A292" s="89" t="s">
        <v>318</v>
      </c>
      <c r="B292" s="90" t="s">
        <v>319</v>
      </c>
      <c r="C292" s="89" t="s">
        <v>75</v>
      </c>
      <c r="D292" s="91">
        <v>1.0</v>
      </c>
      <c r="E292" s="92">
        <v>3297.41</v>
      </c>
      <c r="F292" s="92">
        <v>3297.41</v>
      </c>
      <c r="G292" s="93"/>
      <c r="H292" s="92"/>
      <c r="I292" s="92"/>
      <c r="J292" s="82" t="b">
        <v>0</v>
      </c>
    </row>
    <row r="293" ht="12.75" hidden="1" customHeight="1" outlineLevel="1">
      <c r="D293" s="79"/>
      <c r="E293" s="80"/>
      <c r="F293" s="80"/>
      <c r="G293" s="81"/>
      <c r="H293" s="80"/>
      <c r="I293" s="80"/>
      <c r="J293" s="82" t="b">
        <v>0</v>
      </c>
    </row>
    <row r="294" ht="12.75" hidden="1" customHeight="1" outlineLevel="1">
      <c r="A294" s="89" t="s">
        <v>320</v>
      </c>
      <c r="B294" s="90" t="s">
        <v>321</v>
      </c>
      <c r="D294" s="79"/>
      <c r="E294" s="80"/>
      <c r="F294" s="80"/>
      <c r="G294" s="81"/>
      <c r="H294" s="80"/>
      <c r="I294" s="80"/>
      <c r="J294" s="82" t="b">
        <v>0</v>
      </c>
    </row>
    <row r="295" ht="12.75" hidden="1" customHeight="1" outlineLevel="1">
      <c r="D295" s="79"/>
      <c r="E295" s="80"/>
      <c r="F295" s="80"/>
      <c r="G295" s="81"/>
      <c r="H295" s="80"/>
      <c r="I295" s="80"/>
      <c r="J295" s="82" t="b">
        <v>0</v>
      </c>
    </row>
    <row r="296" ht="12.75" hidden="1" customHeight="1" outlineLevel="1">
      <c r="A296" s="89" t="s">
        <v>322</v>
      </c>
      <c r="B296" s="90" t="s">
        <v>323</v>
      </c>
      <c r="C296" s="89" t="s">
        <v>75</v>
      </c>
      <c r="D296" s="91">
        <v>1.0</v>
      </c>
      <c r="E296" s="92">
        <v>1875.0</v>
      </c>
      <c r="F296" s="92">
        <v>1875.0</v>
      </c>
      <c r="G296" s="93"/>
      <c r="H296" s="92"/>
      <c r="I296" s="92"/>
      <c r="J296" s="82" t="b">
        <v>0</v>
      </c>
    </row>
    <row r="297" ht="12.75" hidden="1" customHeight="1" outlineLevel="1">
      <c r="D297" s="79"/>
      <c r="E297" s="80"/>
      <c r="F297" s="80"/>
      <c r="G297" s="81"/>
      <c r="H297" s="80"/>
      <c r="I297" s="80"/>
      <c r="J297" s="82" t="b">
        <v>0</v>
      </c>
    </row>
    <row r="298" ht="12.75" hidden="1" customHeight="1" outlineLevel="1">
      <c r="A298" s="89" t="s">
        <v>324</v>
      </c>
      <c r="B298" s="90" t="s">
        <v>325</v>
      </c>
      <c r="D298" s="79"/>
      <c r="E298" s="80"/>
      <c r="F298" s="80"/>
      <c r="G298" s="81"/>
      <c r="H298" s="80"/>
      <c r="I298" s="80"/>
      <c r="J298" s="82" t="b">
        <v>0</v>
      </c>
    </row>
    <row r="299" ht="12.75" hidden="1" customHeight="1" outlineLevel="1">
      <c r="D299" s="79"/>
      <c r="E299" s="80"/>
      <c r="F299" s="80"/>
      <c r="G299" s="81"/>
      <c r="H299" s="80"/>
      <c r="I299" s="80"/>
      <c r="J299" s="82" t="b">
        <v>0</v>
      </c>
    </row>
    <row r="300" ht="12.75" hidden="1" customHeight="1" outlineLevel="1">
      <c r="A300" s="89" t="s">
        <v>326</v>
      </c>
      <c r="B300" s="90" t="s">
        <v>327</v>
      </c>
      <c r="C300" s="89" t="s">
        <v>75</v>
      </c>
      <c r="D300" s="91">
        <v>1.0</v>
      </c>
      <c r="E300" s="92">
        <v>3038.79</v>
      </c>
      <c r="F300" s="92">
        <v>3038.79</v>
      </c>
      <c r="G300" s="93"/>
      <c r="H300" s="92"/>
      <c r="I300" s="92"/>
      <c r="J300" s="82" t="b">
        <v>0</v>
      </c>
    </row>
    <row r="301" ht="12.75" hidden="1" customHeight="1" outlineLevel="1">
      <c r="D301" s="79"/>
      <c r="E301" s="80"/>
      <c r="F301" s="80"/>
      <c r="G301" s="81"/>
      <c r="H301" s="80"/>
      <c r="I301" s="80"/>
      <c r="J301" s="82" t="b">
        <v>0</v>
      </c>
    </row>
    <row r="302" ht="12.75" hidden="1" customHeight="1" outlineLevel="1">
      <c r="A302" s="89" t="s">
        <v>328</v>
      </c>
      <c r="B302" s="90" t="s">
        <v>329</v>
      </c>
      <c r="D302" s="79"/>
      <c r="E302" s="80"/>
      <c r="F302" s="80"/>
      <c r="G302" s="81"/>
      <c r="H302" s="80"/>
      <c r="I302" s="80"/>
      <c r="J302" s="82" t="b">
        <v>0</v>
      </c>
    </row>
    <row r="303" ht="12.75" hidden="1" customHeight="1" outlineLevel="1">
      <c r="D303" s="79"/>
      <c r="E303" s="80"/>
      <c r="F303" s="80"/>
      <c r="G303" s="81"/>
      <c r="H303" s="80"/>
      <c r="I303" s="80"/>
      <c r="J303" s="82" t="b">
        <v>0</v>
      </c>
    </row>
    <row r="304" ht="12.75" hidden="1" customHeight="1" outlineLevel="1">
      <c r="A304" s="89" t="s">
        <v>330</v>
      </c>
      <c r="B304" s="90" t="s">
        <v>331</v>
      </c>
      <c r="C304" s="89" t="s">
        <v>75</v>
      </c>
      <c r="D304" s="91">
        <v>1.0</v>
      </c>
      <c r="E304" s="92">
        <v>1357.76</v>
      </c>
      <c r="F304" s="92">
        <v>1357.76</v>
      </c>
      <c r="G304" s="93"/>
      <c r="H304" s="92"/>
      <c r="I304" s="92"/>
      <c r="J304" s="82" t="b">
        <v>0</v>
      </c>
    </row>
    <row r="305" ht="12.75" hidden="1" customHeight="1" outlineLevel="1">
      <c r="D305" s="79"/>
      <c r="E305" s="80"/>
      <c r="F305" s="80"/>
      <c r="G305" s="81"/>
      <c r="H305" s="80"/>
      <c r="I305" s="80"/>
      <c r="J305" s="82" t="b">
        <v>0</v>
      </c>
    </row>
    <row r="306" ht="12.75" hidden="1" customHeight="1" outlineLevel="1">
      <c r="A306" s="89" t="s">
        <v>332</v>
      </c>
      <c r="B306" s="90" t="s">
        <v>333</v>
      </c>
      <c r="C306" s="89" t="s">
        <v>75</v>
      </c>
      <c r="D306" s="91">
        <v>1.0</v>
      </c>
      <c r="E306" s="92">
        <v>1616.38</v>
      </c>
      <c r="F306" s="92">
        <v>1616.38</v>
      </c>
      <c r="G306" s="93"/>
      <c r="H306" s="92"/>
      <c r="I306" s="92"/>
      <c r="J306" s="82" t="b">
        <v>0</v>
      </c>
    </row>
    <row r="307" ht="12.75" hidden="1" customHeight="1" outlineLevel="1">
      <c r="D307" s="79"/>
      <c r="E307" s="80"/>
      <c r="F307" s="80"/>
      <c r="G307" s="81"/>
      <c r="H307" s="80"/>
      <c r="I307" s="80"/>
      <c r="J307" s="82" t="b">
        <v>0</v>
      </c>
    </row>
    <row r="308" ht="12.75" hidden="1" customHeight="1" outlineLevel="1">
      <c r="A308" s="89" t="s">
        <v>334</v>
      </c>
      <c r="B308" s="90" t="s">
        <v>335</v>
      </c>
      <c r="D308" s="79"/>
      <c r="E308" s="80"/>
      <c r="F308" s="80"/>
      <c r="G308" s="81"/>
      <c r="H308" s="80"/>
      <c r="I308" s="80"/>
      <c r="J308" s="82" t="b">
        <v>0</v>
      </c>
    </row>
    <row r="309" ht="12.75" hidden="1" customHeight="1" outlineLevel="1">
      <c r="D309" s="79"/>
      <c r="E309" s="80"/>
      <c r="F309" s="80"/>
      <c r="G309" s="81"/>
      <c r="H309" s="80"/>
      <c r="I309" s="80"/>
      <c r="J309" s="82" t="b">
        <v>0</v>
      </c>
    </row>
    <row r="310" ht="12.75" hidden="1" customHeight="1" outlineLevel="1">
      <c r="A310" s="89" t="s">
        <v>336</v>
      </c>
      <c r="B310" s="90" t="s">
        <v>337</v>
      </c>
      <c r="C310" s="89" t="s">
        <v>75</v>
      </c>
      <c r="D310" s="91">
        <v>2.0</v>
      </c>
      <c r="E310" s="92">
        <v>4461.2</v>
      </c>
      <c r="F310" s="92">
        <v>8922.4</v>
      </c>
      <c r="G310" s="93"/>
      <c r="H310" s="92"/>
      <c r="I310" s="92"/>
      <c r="J310" s="82" t="b">
        <v>0</v>
      </c>
    </row>
    <row r="311" ht="12.75" hidden="1" customHeight="1" outlineLevel="1">
      <c r="D311" s="79"/>
      <c r="E311" s="80"/>
      <c r="F311" s="80"/>
      <c r="G311" s="81"/>
      <c r="H311" s="80"/>
      <c r="I311" s="80"/>
      <c r="J311" s="82" t="b">
        <v>0</v>
      </c>
    </row>
    <row r="312" ht="12.75" hidden="1" customHeight="1" outlineLevel="1">
      <c r="A312" s="89" t="s">
        <v>338</v>
      </c>
      <c r="B312" s="90" t="s">
        <v>339</v>
      </c>
      <c r="D312" s="79"/>
      <c r="E312" s="80"/>
      <c r="F312" s="80"/>
      <c r="G312" s="81"/>
      <c r="H312" s="80"/>
      <c r="I312" s="80"/>
      <c r="J312" s="82" t="b">
        <v>0</v>
      </c>
    </row>
    <row r="313" ht="12.75" hidden="1" customHeight="1" outlineLevel="1">
      <c r="D313" s="79"/>
      <c r="E313" s="80"/>
      <c r="F313" s="80"/>
      <c r="G313" s="81"/>
      <c r="H313" s="80"/>
      <c r="I313" s="80"/>
      <c r="J313" s="82" t="b">
        <v>0</v>
      </c>
    </row>
    <row r="314" ht="12.75" hidden="1" customHeight="1" outlineLevel="1">
      <c r="A314" s="89" t="s">
        <v>340</v>
      </c>
      <c r="B314" s="90" t="s">
        <v>341</v>
      </c>
      <c r="C314" s="89" t="s">
        <v>75</v>
      </c>
      <c r="D314" s="91">
        <v>1.0</v>
      </c>
      <c r="E314" s="92">
        <v>3620.68</v>
      </c>
      <c r="F314" s="92">
        <v>3620.68</v>
      </c>
      <c r="G314" s="93"/>
      <c r="H314" s="92"/>
      <c r="I314" s="92"/>
      <c r="J314" s="82" t="b">
        <v>0</v>
      </c>
    </row>
    <row r="315" ht="12.75" hidden="1" customHeight="1" outlineLevel="1">
      <c r="D315" s="79"/>
      <c r="E315" s="80"/>
      <c r="F315" s="80"/>
      <c r="G315" s="81"/>
      <c r="H315" s="80"/>
      <c r="I315" s="80"/>
      <c r="J315" s="82" t="b">
        <v>0</v>
      </c>
    </row>
    <row r="316" ht="12.75" hidden="1" customHeight="1" outlineLevel="1">
      <c r="A316" s="89" t="s">
        <v>342</v>
      </c>
      <c r="B316" s="90" t="s">
        <v>343</v>
      </c>
      <c r="D316" s="79"/>
      <c r="E316" s="80"/>
      <c r="F316" s="80"/>
      <c r="G316" s="81"/>
      <c r="H316" s="80"/>
      <c r="I316" s="80"/>
      <c r="J316" s="82" t="b">
        <v>0</v>
      </c>
    </row>
    <row r="317" ht="12.75" hidden="1" customHeight="1" outlineLevel="1">
      <c r="D317" s="79"/>
      <c r="E317" s="80"/>
      <c r="F317" s="80"/>
      <c r="G317" s="81"/>
      <c r="H317" s="80"/>
      <c r="I317" s="80"/>
      <c r="J317" s="82" t="b">
        <v>0</v>
      </c>
    </row>
    <row r="318" ht="12.75" hidden="1" customHeight="1" outlineLevel="1">
      <c r="A318" s="89" t="s">
        <v>344</v>
      </c>
      <c r="B318" s="90" t="s">
        <v>345</v>
      </c>
      <c r="C318" s="89" t="s">
        <v>75</v>
      </c>
      <c r="D318" s="91">
        <v>1.0</v>
      </c>
      <c r="E318" s="92">
        <v>4377.14</v>
      </c>
      <c r="F318" s="92">
        <v>4377.14</v>
      </c>
      <c r="G318" s="93"/>
      <c r="H318" s="92"/>
      <c r="I318" s="92"/>
      <c r="J318" s="82" t="b">
        <v>0</v>
      </c>
    </row>
    <row r="319" ht="12.75" hidden="1" customHeight="1" outlineLevel="1">
      <c r="D319" s="79"/>
      <c r="E319" s="80"/>
      <c r="F319" s="80"/>
      <c r="G319" s="81"/>
      <c r="H319" s="80"/>
      <c r="I319" s="80"/>
      <c r="J319" s="82" t="b">
        <v>0</v>
      </c>
    </row>
    <row r="320" ht="12.75" hidden="1" customHeight="1" outlineLevel="1">
      <c r="A320" s="89" t="s">
        <v>346</v>
      </c>
      <c r="B320" s="90" t="s">
        <v>347</v>
      </c>
      <c r="D320" s="79"/>
      <c r="E320" s="80"/>
      <c r="F320" s="80"/>
      <c r="G320" s="81"/>
      <c r="H320" s="80"/>
      <c r="I320" s="80"/>
      <c r="J320" s="82" t="b">
        <v>0</v>
      </c>
    </row>
    <row r="321" ht="12.75" hidden="1" customHeight="1" outlineLevel="1">
      <c r="D321" s="79"/>
      <c r="E321" s="80"/>
      <c r="F321" s="80"/>
      <c r="G321" s="81"/>
      <c r="H321" s="80"/>
      <c r="I321" s="80"/>
      <c r="J321" s="82" t="b">
        <v>0</v>
      </c>
    </row>
    <row r="322" ht="12.75" hidden="1" customHeight="1" outlineLevel="1">
      <c r="A322" s="89" t="s">
        <v>348</v>
      </c>
      <c r="B322" s="90" t="s">
        <v>349</v>
      </c>
      <c r="C322" s="89" t="s">
        <v>75</v>
      </c>
      <c r="D322" s="91">
        <v>1.0</v>
      </c>
      <c r="E322" s="92">
        <v>4377.14</v>
      </c>
      <c r="F322" s="92">
        <v>4377.14</v>
      </c>
      <c r="G322" s="93"/>
      <c r="H322" s="92"/>
      <c r="I322" s="92"/>
      <c r="J322" s="82" t="b">
        <v>0</v>
      </c>
    </row>
    <row r="323" ht="12.75" hidden="1" customHeight="1" outlineLevel="1">
      <c r="D323" s="79"/>
      <c r="E323" s="80"/>
      <c r="F323" s="80"/>
      <c r="G323" s="81"/>
      <c r="H323" s="80"/>
      <c r="I323" s="80"/>
      <c r="J323" s="82" t="b">
        <v>0</v>
      </c>
    </row>
    <row r="324" ht="12.75" hidden="1" customHeight="1" outlineLevel="1">
      <c r="A324" s="89" t="s">
        <v>350</v>
      </c>
      <c r="B324" s="90" t="s">
        <v>351</v>
      </c>
      <c r="C324" s="89" t="s">
        <v>75</v>
      </c>
      <c r="D324" s="91">
        <v>1.0</v>
      </c>
      <c r="E324" s="92">
        <v>3219.82</v>
      </c>
      <c r="F324" s="92">
        <v>3219.82</v>
      </c>
      <c r="G324" s="93"/>
      <c r="H324" s="92"/>
      <c r="I324" s="92"/>
      <c r="J324" s="82" t="b">
        <v>0</v>
      </c>
    </row>
    <row r="325" ht="12.75" hidden="1" customHeight="1" outlineLevel="1">
      <c r="D325" s="79"/>
      <c r="E325" s="80"/>
      <c r="F325" s="80"/>
      <c r="G325" s="81"/>
      <c r="H325" s="80"/>
      <c r="I325" s="80"/>
      <c r="J325" s="82" t="b">
        <v>0</v>
      </c>
    </row>
    <row r="326" ht="12.75" hidden="1" customHeight="1" outlineLevel="1">
      <c r="A326" s="89" t="s">
        <v>352</v>
      </c>
      <c r="B326" s="90" t="s">
        <v>353</v>
      </c>
      <c r="C326" s="89" t="s">
        <v>75</v>
      </c>
      <c r="D326" s="91">
        <v>1.0</v>
      </c>
      <c r="E326" s="92">
        <v>581.9</v>
      </c>
      <c r="F326" s="92">
        <v>581.9</v>
      </c>
      <c r="G326" s="93"/>
      <c r="H326" s="92"/>
      <c r="I326" s="92"/>
      <c r="J326" s="82" t="b">
        <v>0</v>
      </c>
    </row>
    <row r="327" ht="12.75" hidden="1" customHeight="1" outlineLevel="1">
      <c r="D327" s="79"/>
      <c r="E327" s="80"/>
      <c r="F327" s="80"/>
      <c r="G327" s="81"/>
      <c r="H327" s="80"/>
      <c r="I327" s="80"/>
      <c r="J327" s="82" t="b">
        <v>0</v>
      </c>
    </row>
    <row r="328" ht="12.75" hidden="1" customHeight="1" outlineLevel="1">
      <c r="A328" s="89" t="s">
        <v>354</v>
      </c>
      <c r="B328" s="90" t="s">
        <v>355</v>
      </c>
      <c r="D328" s="79"/>
      <c r="E328" s="80"/>
      <c r="F328" s="80"/>
      <c r="G328" s="81"/>
      <c r="H328" s="80"/>
      <c r="I328" s="80"/>
      <c r="J328" s="82" t="b">
        <v>0</v>
      </c>
    </row>
    <row r="329" ht="12.75" hidden="1" customHeight="1" outlineLevel="1">
      <c r="D329" s="79"/>
      <c r="E329" s="80"/>
      <c r="F329" s="80"/>
      <c r="G329" s="81"/>
      <c r="H329" s="80"/>
      <c r="I329" s="80"/>
      <c r="J329" s="82" t="b">
        <v>0</v>
      </c>
    </row>
    <row r="330" ht="12.75" hidden="1" customHeight="1" outlineLevel="1">
      <c r="A330" s="89" t="s">
        <v>356</v>
      </c>
      <c r="B330" s="90" t="s">
        <v>357</v>
      </c>
      <c r="C330" s="89" t="s">
        <v>75</v>
      </c>
      <c r="D330" s="91">
        <v>1.0</v>
      </c>
      <c r="E330" s="92">
        <v>4655.16</v>
      </c>
      <c r="F330" s="92">
        <v>4655.16</v>
      </c>
      <c r="G330" s="93"/>
      <c r="H330" s="92"/>
      <c r="I330" s="92"/>
      <c r="J330" s="82" t="b">
        <v>0</v>
      </c>
    </row>
    <row r="331" ht="12.75" hidden="1" customHeight="1" outlineLevel="1">
      <c r="D331" s="79"/>
      <c r="E331" s="80"/>
      <c r="F331" s="80"/>
      <c r="G331" s="81"/>
      <c r="H331" s="80"/>
      <c r="I331" s="80"/>
      <c r="J331" s="82" t="b">
        <v>0</v>
      </c>
    </row>
    <row r="332" ht="12.75" hidden="1" customHeight="1" outlineLevel="1">
      <c r="A332" s="89" t="s">
        <v>358</v>
      </c>
      <c r="B332" s="90" t="s">
        <v>359</v>
      </c>
      <c r="D332" s="79"/>
      <c r="E332" s="80"/>
      <c r="F332" s="80"/>
      <c r="G332" s="81"/>
      <c r="H332" s="80"/>
      <c r="I332" s="80"/>
      <c r="J332" s="82" t="b">
        <v>0</v>
      </c>
    </row>
    <row r="333" ht="12.75" hidden="1" customHeight="1" outlineLevel="1">
      <c r="D333" s="79"/>
      <c r="E333" s="80"/>
      <c r="F333" s="80"/>
      <c r="G333" s="81"/>
      <c r="H333" s="80"/>
      <c r="I333" s="80"/>
      <c r="J333" s="82" t="b">
        <v>0</v>
      </c>
    </row>
    <row r="334" ht="12.75" hidden="1" customHeight="1" outlineLevel="1">
      <c r="A334" s="89" t="s">
        <v>360</v>
      </c>
      <c r="B334" s="90" t="s">
        <v>361</v>
      </c>
      <c r="C334" s="89" t="s">
        <v>75</v>
      </c>
      <c r="D334" s="91">
        <v>1.0</v>
      </c>
      <c r="E334" s="92">
        <v>4461.2</v>
      </c>
      <c r="F334" s="92">
        <v>4461.2</v>
      </c>
      <c r="G334" s="93"/>
      <c r="H334" s="92"/>
      <c r="I334" s="92"/>
      <c r="J334" s="82" t="b">
        <v>0</v>
      </c>
    </row>
    <row r="335" ht="12.75" hidden="1" customHeight="1" outlineLevel="1">
      <c r="D335" s="79"/>
      <c r="E335" s="80"/>
      <c r="F335" s="80"/>
      <c r="G335" s="81"/>
      <c r="H335" s="80"/>
      <c r="I335" s="80"/>
      <c r="J335" s="82" t="b">
        <v>0</v>
      </c>
    </row>
    <row r="336" ht="12.75" hidden="1" customHeight="1" outlineLevel="1">
      <c r="A336" s="89" t="s">
        <v>362</v>
      </c>
      <c r="B336" s="90" t="s">
        <v>363</v>
      </c>
      <c r="D336" s="79"/>
      <c r="E336" s="80"/>
      <c r="F336" s="80"/>
      <c r="G336" s="81"/>
      <c r="H336" s="80"/>
      <c r="I336" s="80"/>
      <c r="J336" s="82" t="b">
        <v>0</v>
      </c>
    </row>
    <row r="337" ht="12.75" hidden="1" customHeight="1" outlineLevel="1">
      <c r="D337" s="79"/>
      <c r="E337" s="80"/>
      <c r="F337" s="80"/>
      <c r="G337" s="81"/>
      <c r="H337" s="80"/>
      <c r="I337" s="80"/>
      <c r="J337" s="82" t="b">
        <v>0</v>
      </c>
    </row>
    <row r="338" ht="12.75" hidden="1" customHeight="1" outlineLevel="1">
      <c r="A338" s="89" t="s">
        <v>364</v>
      </c>
      <c r="B338" s="90" t="s">
        <v>365</v>
      </c>
      <c r="C338" s="89" t="s">
        <v>75</v>
      </c>
      <c r="D338" s="91">
        <v>1.0</v>
      </c>
      <c r="E338" s="92">
        <v>581.9</v>
      </c>
      <c r="F338" s="92">
        <v>581.9</v>
      </c>
      <c r="G338" s="93"/>
      <c r="H338" s="92"/>
      <c r="I338" s="92"/>
      <c r="J338" s="82" t="b">
        <v>0</v>
      </c>
    </row>
    <row r="339" ht="12.75" hidden="1" customHeight="1" outlineLevel="1">
      <c r="D339" s="79"/>
      <c r="E339" s="80"/>
      <c r="F339" s="80"/>
      <c r="G339" s="81"/>
      <c r="H339" s="80"/>
      <c r="I339" s="80"/>
      <c r="J339" s="82" t="b">
        <v>0</v>
      </c>
    </row>
    <row r="340" ht="12.75" hidden="1" customHeight="1" outlineLevel="1">
      <c r="A340" s="89" t="s">
        <v>366</v>
      </c>
      <c r="B340" s="90" t="s">
        <v>367</v>
      </c>
      <c r="D340" s="79"/>
      <c r="E340" s="80"/>
      <c r="F340" s="80"/>
      <c r="G340" s="81"/>
      <c r="H340" s="80"/>
      <c r="I340" s="80"/>
      <c r="J340" s="82" t="b">
        <v>0</v>
      </c>
    </row>
    <row r="341" ht="12.75" hidden="1" customHeight="1" outlineLevel="1">
      <c r="D341" s="79"/>
      <c r="E341" s="80"/>
      <c r="F341" s="80"/>
      <c r="G341" s="81"/>
      <c r="H341" s="80"/>
      <c r="I341" s="80"/>
      <c r="J341" s="82" t="b">
        <v>0</v>
      </c>
    </row>
    <row r="342" ht="12.75" hidden="1" customHeight="1" outlineLevel="1">
      <c r="A342" s="89" t="s">
        <v>368</v>
      </c>
      <c r="B342" s="90" t="s">
        <v>369</v>
      </c>
      <c r="C342" s="89" t="s">
        <v>75</v>
      </c>
      <c r="D342" s="91">
        <v>1.0</v>
      </c>
      <c r="E342" s="92">
        <v>3426.72</v>
      </c>
      <c r="F342" s="92">
        <v>3426.72</v>
      </c>
      <c r="G342" s="93"/>
      <c r="H342" s="92"/>
      <c r="I342" s="92"/>
      <c r="J342" s="82" t="b">
        <v>0</v>
      </c>
    </row>
    <row r="343" ht="12.75" hidden="1" customHeight="1" outlineLevel="1">
      <c r="D343" s="79"/>
      <c r="E343" s="80"/>
      <c r="F343" s="80"/>
      <c r="G343" s="81"/>
      <c r="H343" s="80"/>
      <c r="I343" s="80"/>
      <c r="J343" s="82" t="b">
        <v>0</v>
      </c>
    </row>
    <row r="344" ht="12.75" hidden="1" customHeight="1" outlineLevel="1">
      <c r="A344" s="89" t="s">
        <v>370</v>
      </c>
      <c r="B344" s="90" t="s">
        <v>371</v>
      </c>
      <c r="C344" s="89" t="s">
        <v>75</v>
      </c>
      <c r="D344" s="91">
        <v>1.0</v>
      </c>
      <c r="E344" s="92">
        <v>3426.72</v>
      </c>
      <c r="F344" s="92">
        <v>3426.72</v>
      </c>
      <c r="G344" s="93"/>
      <c r="H344" s="92"/>
      <c r="I344" s="92"/>
      <c r="J344" s="82" t="b">
        <v>0</v>
      </c>
    </row>
    <row r="345" ht="12.75" hidden="1" customHeight="1" outlineLevel="1">
      <c r="D345" s="79"/>
      <c r="E345" s="80"/>
      <c r="F345" s="80"/>
      <c r="G345" s="81"/>
      <c r="H345" s="80"/>
      <c r="I345" s="80"/>
      <c r="J345" s="82" t="b">
        <v>0</v>
      </c>
    </row>
    <row r="346" ht="12.75" hidden="1" customHeight="1" outlineLevel="1">
      <c r="A346" s="89" t="s">
        <v>372</v>
      </c>
      <c r="B346" s="90" t="s">
        <v>373</v>
      </c>
      <c r="C346" s="89" t="s">
        <v>75</v>
      </c>
      <c r="D346" s="91">
        <v>1.0</v>
      </c>
      <c r="E346" s="92">
        <v>581.9</v>
      </c>
      <c r="F346" s="92">
        <v>581.9</v>
      </c>
      <c r="G346" s="93"/>
      <c r="H346" s="92"/>
      <c r="I346" s="92"/>
      <c r="J346" s="82" t="b">
        <v>0</v>
      </c>
    </row>
    <row r="347" ht="12.75" hidden="1" customHeight="1" outlineLevel="1">
      <c r="D347" s="79"/>
      <c r="E347" s="80"/>
      <c r="F347" s="80"/>
      <c r="G347" s="81"/>
      <c r="H347" s="80"/>
      <c r="I347" s="80"/>
      <c r="J347" s="82" t="b">
        <v>0</v>
      </c>
    </row>
    <row r="348" ht="12.75" hidden="1" customHeight="1" outlineLevel="1">
      <c r="A348" s="89" t="s">
        <v>374</v>
      </c>
      <c r="B348" s="90" t="s">
        <v>375</v>
      </c>
      <c r="C348" s="89" t="s">
        <v>75</v>
      </c>
      <c r="D348" s="91">
        <v>1.0</v>
      </c>
      <c r="E348" s="92">
        <v>3426.72</v>
      </c>
      <c r="F348" s="92">
        <v>3426.72</v>
      </c>
      <c r="G348" s="93"/>
      <c r="H348" s="92"/>
      <c r="I348" s="92"/>
      <c r="J348" s="82" t="b">
        <v>0</v>
      </c>
    </row>
    <row r="349" ht="12.75" hidden="1" customHeight="1" outlineLevel="1">
      <c r="D349" s="79"/>
      <c r="E349" s="80"/>
      <c r="F349" s="80"/>
      <c r="G349" s="81"/>
      <c r="H349" s="80"/>
      <c r="I349" s="80"/>
      <c r="J349" s="82" t="b">
        <v>0</v>
      </c>
    </row>
    <row r="350" ht="12.75" hidden="1" customHeight="1" outlineLevel="1">
      <c r="A350" s="89" t="s">
        <v>376</v>
      </c>
      <c r="B350" s="90" t="s">
        <v>377</v>
      </c>
      <c r="C350" s="89" t="s">
        <v>75</v>
      </c>
      <c r="D350" s="91">
        <v>1.0</v>
      </c>
      <c r="E350" s="92">
        <v>3426.72</v>
      </c>
      <c r="F350" s="92">
        <v>3426.72</v>
      </c>
      <c r="G350" s="93"/>
      <c r="H350" s="92"/>
      <c r="I350" s="92"/>
      <c r="J350" s="82" t="b">
        <v>0</v>
      </c>
    </row>
    <row r="351" ht="12.75" hidden="1" customHeight="1" outlineLevel="1">
      <c r="D351" s="79"/>
      <c r="E351" s="80"/>
      <c r="F351" s="80"/>
      <c r="G351" s="81"/>
      <c r="H351" s="80"/>
      <c r="I351" s="80"/>
      <c r="J351" s="82" t="b">
        <v>0</v>
      </c>
    </row>
    <row r="352" ht="12.75" hidden="1" customHeight="1" outlineLevel="1">
      <c r="A352" s="89" t="s">
        <v>378</v>
      </c>
      <c r="B352" s="90" t="s">
        <v>379</v>
      </c>
      <c r="C352" s="89" t="s">
        <v>75</v>
      </c>
      <c r="D352" s="91">
        <v>1.0</v>
      </c>
      <c r="E352" s="92">
        <v>581.9</v>
      </c>
      <c r="F352" s="92">
        <v>581.9</v>
      </c>
      <c r="G352" s="93"/>
      <c r="H352" s="92"/>
      <c r="I352" s="92"/>
      <c r="J352" s="82" t="b">
        <v>0</v>
      </c>
    </row>
    <row r="353" ht="12.75" hidden="1" customHeight="1" outlineLevel="1">
      <c r="D353" s="79"/>
      <c r="E353" s="80"/>
      <c r="F353" s="80"/>
      <c r="G353" s="81"/>
      <c r="H353" s="80"/>
      <c r="I353" s="80"/>
      <c r="J353" s="82" t="b">
        <v>0</v>
      </c>
    </row>
    <row r="354" ht="12.75" customHeight="1" collapsed="1">
      <c r="A354" s="83">
        <v>2.9</v>
      </c>
      <c r="B354" s="84" t="s">
        <v>380</v>
      </c>
      <c r="C354" s="85">
        <f>SUM(F360:F518)</f>
        <v>279339.11</v>
      </c>
      <c r="D354" s="86"/>
      <c r="E354" s="88"/>
      <c r="F354" s="88"/>
      <c r="G354" s="81"/>
      <c r="H354" s="80"/>
      <c r="I354" s="80"/>
      <c r="J354" s="82" t="b">
        <v>0</v>
      </c>
    </row>
    <row r="355" ht="12.75" hidden="1" customHeight="1" outlineLevel="1">
      <c r="D355" s="79"/>
      <c r="E355" s="80"/>
      <c r="F355" s="80"/>
      <c r="G355" s="81"/>
      <c r="H355" s="80"/>
      <c r="I355" s="80"/>
      <c r="J355" s="82" t="b">
        <v>0</v>
      </c>
    </row>
    <row r="356" ht="15.75" hidden="1" customHeight="1" outlineLevel="1">
      <c r="A356" s="89" t="s">
        <v>381</v>
      </c>
      <c r="B356" s="90" t="s">
        <v>382</v>
      </c>
      <c r="D356" s="79" t="s">
        <v>383</v>
      </c>
      <c r="E356" s="80"/>
      <c r="F356" s="80"/>
      <c r="G356" s="81"/>
      <c r="H356" s="80"/>
      <c r="I356" s="80"/>
      <c r="J356" s="82" t="b">
        <v>0</v>
      </c>
    </row>
    <row r="357" ht="18.0" hidden="1" customHeight="1" outlineLevel="1">
      <c r="A357" s="21"/>
      <c r="B357" s="21"/>
      <c r="C357" s="21"/>
      <c r="D357" s="115"/>
      <c r="E357" s="116"/>
      <c r="F357" s="116"/>
      <c r="G357" s="117"/>
      <c r="H357" s="116"/>
      <c r="I357" s="116"/>
      <c r="J357" s="118" t="b">
        <v>0</v>
      </c>
    </row>
    <row r="358" ht="12.75" hidden="1" customHeight="1" outlineLevel="1">
      <c r="A358" s="89" t="s">
        <v>384</v>
      </c>
      <c r="B358" s="90" t="s">
        <v>385</v>
      </c>
      <c r="D358" s="79"/>
      <c r="E358" s="80"/>
      <c r="F358" s="80"/>
      <c r="G358" s="81"/>
      <c r="H358" s="80"/>
      <c r="I358" s="80"/>
      <c r="J358" s="82" t="b">
        <v>0</v>
      </c>
    </row>
    <row r="359" ht="12.75" hidden="1" customHeight="1" outlineLevel="1">
      <c r="D359" s="79"/>
      <c r="E359" s="80"/>
      <c r="F359" s="80"/>
      <c r="G359" s="81"/>
      <c r="H359" s="80"/>
      <c r="I359" s="80"/>
      <c r="J359" s="82" t="b">
        <v>0</v>
      </c>
    </row>
    <row r="360" ht="12.75" hidden="1" customHeight="1" outlineLevel="1">
      <c r="A360" s="89" t="s">
        <v>386</v>
      </c>
      <c r="B360" s="90" t="s">
        <v>387</v>
      </c>
      <c r="C360" s="89" t="s">
        <v>75</v>
      </c>
      <c r="D360" s="91">
        <v>1.0</v>
      </c>
      <c r="E360" s="92">
        <v>1665.41</v>
      </c>
      <c r="F360" s="92">
        <v>1665.41</v>
      </c>
      <c r="G360" s="93"/>
      <c r="H360" s="92"/>
      <c r="I360" s="92"/>
      <c r="J360" s="82" t="b">
        <v>0</v>
      </c>
    </row>
    <row r="361" ht="12.75" hidden="1" customHeight="1" outlineLevel="1">
      <c r="D361" s="79"/>
      <c r="E361" s="80"/>
      <c r="F361" s="80"/>
      <c r="G361" s="81"/>
      <c r="H361" s="80"/>
      <c r="I361" s="80"/>
      <c r="J361" s="82" t="b">
        <v>0</v>
      </c>
    </row>
    <row r="362" ht="12.75" hidden="1" customHeight="1" outlineLevel="1">
      <c r="A362" s="89" t="s">
        <v>388</v>
      </c>
      <c r="B362" s="90" t="s">
        <v>389</v>
      </c>
      <c r="C362" s="89" t="s">
        <v>75</v>
      </c>
      <c r="D362" s="91">
        <v>1.0</v>
      </c>
      <c r="E362" s="92">
        <v>6936.85</v>
      </c>
      <c r="F362" s="92">
        <v>6936.85</v>
      </c>
      <c r="G362" s="93"/>
      <c r="H362" s="92"/>
      <c r="I362" s="92"/>
      <c r="J362" s="82" t="b">
        <v>0</v>
      </c>
    </row>
    <row r="363" ht="12.75" hidden="1" customHeight="1" outlineLevel="1">
      <c r="D363" s="79"/>
      <c r="E363" s="80"/>
      <c r="F363" s="80"/>
      <c r="G363" s="81"/>
      <c r="H363" s="80"/>
      <c r="I363" s="80"/>
      <c r="J363" s="82" t="b">
        <v>0</v>
      </c>
    </row>
    <row r="364" ht="12.75" hidden="1" customHeight="1" outlineLevel="1">
      <c r="A364" s="89" t="s">
        <v>390</v>
      </c>
      <c r="B364" s="90" t="s">
        <v>391</v>
      </c>
      <c r="C364" s="89" t="s">
        <v>75</v>
      </c>
      <c r="D364" s="91">
        <v>1.0</v>
      </c>
      <c r="E364" s="92">
        <v>6859.59</v>
      </c>
      <c r="F364" s="92">
        <v>6859.59</v>
      </c>
      <c r="G364" s="93"/>
      <c r="H364" s="92"/>
      <c r="I364" s="92"/>
      <c r="J364" s="82" t="b">
        <v>0</v>
      </c>
    </row>
    <row r="365" ht="12.75" hidden="1" customHeight="1" outlineLevel="1">
      <c r="D365" s="79"/>
      <c r="E365" s="80"/>
      <c r="F365" s="80"/>
      <c r="G365" s="81"/>
      <c r="H365" s="80"/>
      <c r="I365" s="80"/>
      <c r="J365" s="82" t="b">
        <v>0</v>
      </c>
    </row>
    <row r="366" ht="12.75" hidden="1" customHeight="1" outlineLevel="1">
      <c r="A366" s="89" t="s">
        <v>392</v>
      </c>
      <c r="B366" s="90" t="s">
        <v>393</v>
      </c>
      <c r="C366" s="89" t="s">
        <v>75</v>
      </c>
      <c r="D366" s="91">
        <v>1.0</v>
      </c>
      <c r="E366" s="92">
        <v>5117.07</v>
      </c>
      <c r="F366" s="92">
        <v>5117.07</v>
      </c>
      <c r="G366" s="93"/>
      <c r="H366" s="92"/>
      <c r="I366" s="92"/>
      <c r="J366" s="82" t="b">
        <v>0</v>
      </c>
    </row>
    <row r="367" ht="12.75" hidden="1" customHeight="1" outlineLevel="1">
      <c r="D367" s="79"/>
      <c r="E367" s="80"/>
      <c r="F367" s="80"/>
      <c r="G367" s="81"/>
      <c r="H367" s="80"/>
      <c r="I367" s="80"/>
      <c r="J367" s="82" t="b">
        <v>0</v>
      </c>
    </row>
    <row r="368" ht="12.75" hidden="1" customHeight="1" outlineLevel="1">
      <c r="A368" s="89" t="s">
        <v>394</v>
      </c>
      <c r="B368" s="90" t="s">
        <v>395</v>
      </c>
      <c r="C368" s="89" t="s">
        <v>75</v>
      </c>
      <c r="D368" s="91">
        <v>1.0</v>
      </c>
      <c r="E368" s="92">
        <v>8348.21</v>
      </c>
      <c r="F368" s="92">
        <v>8348.21</v>
      </c>
      <c r="G368" s="93"/>
      <c r="H368" s="92"/>
      <c r="I368" s="92"/>
      <c r="J368" s="82" t="b">
        <v>0</v>
      </c>
    </row>
    <row r="369" ht="12.75" hidden="1" customHeight="1" outlineLevel="1">
      <c r="D369" s="79"/>
      <c r="E369" s="80"/>
      <c r="F369" s="80"/>
      <c r="G369" s="81"/>
      <c r="H369" s="80"/>
      <c r="I369" s="80"/>
      <c r="J369" s="82" t="b">
        <v>0</v>
      </c>
    </row>
    <row r="370" ht="12.75" hidden="1" customHeight="1" outlineLevel="1">
      <c r="A370" s="89" t="s">
        <v>396</v>
      </c>
      <c r="B370" s="90" t="s">
        <v>397</v>
      </c>
      <c r="C370" s="89" t="s">
        <v>75</v>
      </c>
      <c r="D370" s="91">
        <v>1.0</v>
      </c>
      <c r="E370" s="92">
        <v>8645.02</v>
      </c>
      <c r="F370" s="92">
        <v>8645.02</v>
      </c>
      <c r="G370" s="93"/>
      <c r="H370" s="92"/>
      <c r="I370" s="92"/>
      <c r="J370" s="82" t="b">
        <v>0</v>
      </c>
    </row>
    <row r="371" ht="12.75" hidden="1" customHeight="1" outlineLevel="1">
      <c r="D371" s="79"/>
      <c r="E371" s="80"/>
      <c r="F371" s="80"/>
      <c r="G371" s="81"/>
      <c r="H371" s="80"/>
      <c r="I371" s="80"/>
      <c r="J371" s="82" t="b">
        <v>0</v>
      </c>
    </row>
    <row r="372" ht="12.75" hidden="1" customHeight="1" outlineLevel="1">
      <c r="A372" s="89" t="s">
        <v>398</v>
      </c>
      <c r="B372" s="90" t="s">
        <v>399</v>
      </c>
      <c r="C372" s="89" t="s">
        <v>75</v>
      </c>
      <c r="D372" s="91">
        <v>1.0</v>
      </c>
      <c r="E372" s="92">
        <v>7254.03</v>
      </c>
      <c r="F372" s="92">
        <v>7254.03</v>
      </c>
      <c r="G372" s="93"/>
      <c r="H372" s="92"/>
      <c r="I372" s="92"/>
      <c r="J372" s="82" t="b">
        <v>0</v>
      </c>
    </row>
    <row r="373" ht="12.75" hidden="1" customHeight="1" outlineLevel="1">
      <c r="D373" s="79"/>
      <c r="E373" s="80"/>
      <c r="F373" s="80"/>
      <c r="G373" s="81"/>
      <c r="H373" s="80"/>
      <c r="I373" s="80"/>
      <c r="J373" s="82" t="b">
        <v>0</v>
      </c>
    </row>
    <row r="374" ht="12.75" hidden="1" customHeight="1" outlineLevel="1">
      <c r="A374" s="89" t="s">
        <v>400</v>
      </c>
      <c r="B374" s="90" t="s">
        <v>401</v>
      </c>
      <c r="C374" s="89" t="s">
        <v>75</v>
      </c>
      <c r="D374" s="91">
        <v>1.0</v>
      </c>
      <c r="E374" s="92">
        <v>9842.38</v>
      </c>
      <c r="F374" s="92">
        <v>9842.38</v>
      </c>
      <c r="G374" s="93"/>
      <c r="H374" s="92"/>
      <c r="I374" s="92"/>
      <c r="J374" s="82" t="b">
        <v>0</v>
      </c>
    </row>
    <row r="375" ht="12.75" hidden="1" customHeight="1" outlineLevel="1">
      <c r="D375" s="79"/>
      <c r="E375" s="80"/>
      <c r="F375" s="80"/>
      <c r="G375" s="81"/>
      <c r="H375" s="80"/>
      <c r="I375" s="80"/>
      <c r="J375" s="82" t="b">
        <v>0</v>
      </c>
    </row>
    <row r="376" ht="12.75" hidden="1" customHeight="1" outlineLevel="1">
      <c r="A376" s="89" t="s">
        <v>402</v>
      </c>
      <c r="B376" s="90" t="s">
        <v>403</v>
      </c>
      <c r="C376" s="89" t="s">
        <v>75</v>
      </c>
      <c r="D376" s="91">
        <v>1.0</v>
      </c>
      <c r="E376" s="92">
        <v>9959.03</v>
      </c>
      <c r="F376" s="92">
        <v>9959.03</v>
      </c>
      <c r="G376" s="93"/>
      <c r="H376" s="92"/>
      <c r="I376" s="92"/>
      <c r="J376" s="82" t="b">
        <v>0</v>
      </c>
    </row>
    <row r="377" ht="12.75" hidden="1" customHeight="1" outlineLevel="1">
      <c r="D377" s="79"/>
      <c r="E377" s="80"/>
      <c r="F377" s="80"/>
      <c r="G377" s="81"/>
      <c r="H377" s="80"/>
      <c r="I377" s="80"/>
      <c r="J377" s="82" t="b">
        <v>0</v>
      </c>
    </row>
    <row r="378" ht="12.75" hidden="1" customHeight="1" outlineLevel="1">
      <c r="A378" s="89" t="s">
        <v>404</v>
      </c>
      <c r="B378" s="90" t="s">
        <v>405</v>
      </c>
      <c r="C378" s="89" t="s">
        <v>75</v>
      </c>
      <c r="D378" s="91">
        <v>1.0</v>
      </c>
      <c r="E378" s="92">
        <v>2212.66</v>
      </c>
      <c r="F378" s="92">
        <v>2212.66</v>
      </c>
      <c r="G378" s="93"/>
      <c r="H378" s="92"/>
      <c r="I378" s="92"/>
      <c r="J378" s="82" t="b">
        <v>0</v>
      </c>
    </row>
    <row r="379" ht="12.75" hidden="1" customHeight="1" outlineLevel="1">
      <c r="D379" s="79"/>
      <c r="E379" s="80"/>
      <c r="F379" s="80"/>
      <c r="G379" s="81"/>
      <c r="H379" s="80"/>
      <c r="I379" s="80"/>
      <c r="J379" s="82" t="b">
        <v>0</v>
      </c>
    </row>
    <row r="380" ht="12.75" hidden="1" customHeight="1" outlineLevel="1">
      <c r="A380" s="89" t="s">
        <v>406</v>
      </c>
      <c r="B380" s="90" t="s">
        <v>407</v>
      </c>
      <c r="C380" s="89" t="s">
        <v>75</v>
      </c>
      <c r="D380" s="91">
        <v>1.0</v>
      </c>
      <c r="E380" s="92">
        <v>5003.66</v>
      </c>
      <c r="F380" s="92">
        <v>5003.66</v>
      </c>
      <c r="G380" s="93"/>
      <c r="H380" s="92"/>
      <c r="I380" s="92"/>
      <c r="J380" s="82" t="b">
        <v>0</v>
      </c>
    </row>
    <row r="381" ht="12.75" hidden="1" customHeight="1" outlineLevel="1">
      <c r="D381" s="79"/>
      <c r="E381" s="80"/>
      <c r="F381" s="80"/>
      <c r="G381" s="81"/>
      <c r="H381" s="80"/>
      <c r="I381" s="80"/>
      <c r="J381" s="82" t="b">
        <v>0</v>
      </c>
    </row>
    <row r="382" ht="12.75" hidden="1" customHeight="1" outlineLevel="1">
      <c r="A382" s="89" t="s">
        <v>408</v>
      </c>
      <c r="B382" s="90" t="s">
        <v>409</v>
      </c>
      <c r="C382" s="89" t="s">
        <v>75</v>
      </c>
      <c r="D382" s="91">
        <v>1.0</v>
      </c>
      <c r="E382" s="92">
        <v>2343.99</v>
      </c>
      <c r="F382" s="92">
        <v>2343.99</v>
      </c>
      <c r="G382" s="93"/>
      <c r="H382" s="92"/>
      <c r="I382" s="92"/>
      <c r="J382" s="82" t="b">
        <v>0</v>
      </c>
    </row>
    <row r="383" ht="12.75" hidden="1" customHeight="1" outlineLevel="1">
      <c r="D383" s="79"/>
      <c r="E383" s="80"/>
      <c r="F383" s="80"/>
      <c r="G383" s="81"/>
      <c r="H383" s="80"/>
      <c r="I383" s="80"/>
      <c r="J383" s="82" t="b">
        <v>0</v>
      </c>
    </row>
    <row r="384" ht="12.75" hidden="1" customHeight="1" outlineLevel="1">
      <c r="A384" s="89" t="s">
        <v>410</v>
      </c>
      <c r="B384" s="90" t="s">
        <v>411</v>
      </c>
      <c r="C384" s="89" t="s">
        <v>75</v>
      </c>
      <c r="D384" s="91">
        <v>1.0</v>
      </c>
      <c r="E384" s="92">
        <v>29659.94</v>
      </c>
      <c r="F384" s="92">
        <v>29659.94</v>
      </c>
      <c r="G384" s="93"/>
      <c r="H384" s="92"/>
      <c r="I384" s="92"/>
      <c r="J384" s="82" t="b">
        <v>0</v>
      </c>
    </row>
    <row r="385" ht="12.75" hidden="1" customHeight="1" outlineLevel="1">
      <c r="D385" s="79"/>
      <c r="E385" s="80"/>
      <c r="F385" s="80"/>
      <c r="G385" s="81"/>
      <c r="H385" s="80"/>
      <c r="I385" s="80"/>
      <c r="J385" s="82" t="b">
        <v>0</v>
      </c>
    </row>
    <row r="386" ht="12.75" hidden="1" customHeight="1" outlineLevel="1">
      <c r="A386" s="89" t="s">
        <v>412</v>
      </c>
      <c r="B386" s="90" t="s">
        <v>413</v>
      </c>
      <c r="C386" s="89" t="s">
        <v>75</v>
      </c>
      <c r="D386" s="91">
        <v>1.0</v>
      </c>
      <c r="E386" s="92">
        <v>8245.19</v>
      </c>
      <c r="F386" s="92">
        <v>8245.19</v>
      </c>
      <c r="G386" s="93"/>
      <c r="H386" s="92"/>
      <c r="I386" s="92"/>
      <c r="J386" s="82" t="b">
        <v>0</v>
      </c>
    </row>
    <row r="387" ht="12.75" hidden="1" customHeight="1" outlineLevel="1">
      <c r="D387" s="79"/>
      <c r="E387" s="80"/>
      <c r="F387" s="80"/>
      <c r="G387" s="81"/>
      <c r="H387" s="80"/>
      <c r="I387" s="80"/>
      <c r="J387" s="82" t="b">
        <v>0</v>
      </c>
    </row>
    <row r="388" ht="12.75" hidden="1" customHeight="1" outlineLevel="1">
      <c r="A388" s="89" t="s">
        <v>414</v>
      </c>
      <c r="B388" s="90" t="s">
        <v>415</v>
      </c>
      <c r="C388" s="89" t="s">
        <v>75</v>
      </c>
      <c r="D388" s="91">
        <v>1.0</v>
      </c>
      <c r="E388" s="92">
        <v>6157.46</v>
      </c>
      <c r="F388" s="92">
        <v>6157.46</v>
      </c>
      <c r="G388" s="93"/>
      <c r="H388" s="92"/>
      <c r="I388" s="92"/>
      <c r="J388" s="82" t="b">
        <v>0</v>
      </c>
    </row>
    <row r="389" ht="12.75" hidden="1" customHeight="1" outlineLevel="1">
      <c r="D389" s="79"/>
      <c r="E389" s="80"/>
      <c r="F389" s="80"/>
      <c r="G389" s="81"/>
      <c r="H389" s="80"/>
      <c r="I389" s="80"/>
      <c r="J389" s="82" t="b">
        <v>0</v>
      </c>
    </row>
    <row r="390" ht="12.75" hidden="1" customHeight="1" outlineLevel="1">
      <c r="A390" s="89" t="s">
        <v>416</v>
      </c>
      <c r="B390" s="90" t="s">
        <v>417</v>
      </c>
      <c r="C390" s="89" t="s">
        <v>75</v>
      </c>
      <c r="D390" s="91">
        <v>1.0</v>
      </c>
      <c r="E390" s="92">
        <v>4489.9</v>
      </c>
      <c r="F390" s="92">
        <v>4489.9</v>
      </c>
      <c r="G390" s="93"/>
      <c r="H390" s="92"/>
      <c r="I390" s="92"/>
      <c r="J390" s="82" t="b">
        <v>0</v>
      </c>
    </row>
    <row r="391" ht="12.75" hidden="1" customHeight="1" outlineLevel="1">
      <c r="D391" s="79"/>
      <c r="E391" s="80"/>
      <c r="F391" s="80"/>
      <c r="G391" s="81"/>
      <c r="H391" s="80"/>
      <c r="I391" s="80"/>
      <c r="J391" s="82" t="b">
        <v>0</v>
      </c>
    </row>
    <row r="392" ht="12.75" hidden="1" customHeight="1" outlineLevel="1">
      <c r="A392" s="89" t="s">
        <v>418</v>
      </c>
      <c r="B392" s="90" t="s">
        <v>419</v>
      </c>
      <c r="C392" s="89" t="s">
        <v>75</v>
      </c>
      <c r="D392" s="91">
        <v>1.0</v>
      </c>
      <c r="E392" s="92">
        <v>5300.08</v>
      </c>
      <c r="F392" s="92">
        <v>5300.08</v>
      </c>
      <c r="G392" s="93"/>
      <c r="H392" s="92"/>
      <c r="I392" s="92"/>
      <c r="J392" s="82" t="b">
        <v>0</v>
      </c>
    </row>
    <row r="393" ht="12.75" hidden="1" customHeight="1" outlineLevel="1">
      <c r="D393" s="79"/>
      <c r="E393" s="80"/>
      <c r="F393" s="80"/>
      <c r="G393" s="81"/>
      <c r="H393" s="80"/>
      <c r="I393" s="80"/>
      <c r="J393" s="82" t="b">
        <v>0</v>
      </c>
    </row>
    <row r="394" ht="12.75" hidden="1" customHeight="1" outlineLevel="1">
      <c r="A394" s="89" t="s">
        <v>420</v>
      </c>
      <c r="B394" s="90" t="s">
        <v>421</v>
      </c>
      <c r="C394" s="89" t="s">
        <v>75</v>
      </c>
      <c r="D394" s="91">
        <v>1.0</v>
      </c>
      <c r="E394" s="92">
        <v>5491.28</v>
      </c>
      <c r="F394" s="92">
        <v>5491.28</v>
      </c>
      <c r="G394" s="93"/>
      <c r="H394" s="92"/>
      <c r="I394" s="92"/>
      <c r="J394" s="82" t="b">
        <v>0</v>
      </c>
    </row>
    <row r="395" ht="12.75" hidden="1" customHeight="1" outlineLevel="1">
      <c r="D395" s="79"/>
      <c r="E395" s="80"/>
      <c r="F395" s="80"/>
      <c r="G395" s="81"/>
      <c r="H395" s="80"/>
      <c r="I395" s="80"/>
      <c r="J395" s="82" t="b">
        <v>0</v>
      </c>
    </row>
    <row r="396" ht="12.75" hidden="1" customHeight="1" outlineLevel="1">
      <c r="A396" s="89" t="s">
        <v>422</v>
      </c>
      <c r="B396" s="90" t="s">
        <v>423</v>
      </c>
      <c r="C396" s="89" t="s">
        <v>75</v>
      </c>
      <c r="D396" s="91">
        <v>1.0</v>
      </c>
      <c r="E396" s="92">
        <v>1697.15</v>
      </c>
      <c r="F396" s="92">
        <v>1697.15</v>
      </c>
      <c r="G396" s="93"/>
      <c r="H396" s="92"/>
      <c r="I396" s="92"/>
      <c r="J396" s="82" t="b">
        <v>0</v>
      </c>
    </row>
    <row r="397" ht="12.75" hidden="1" customHeight="1" outlineLevel="1">
      <c r="D397" s="79"/>
      <c r="E397" s="80"/>
      <c r="F397" s="80"/>
      <c r="G397" s="81"/>
      <c r="H397" s="80"/>
      <c r="I397" s="80"/>
      <c r="J397" s="82" t="b">
        <v>0</v>
      </c>
    </row>
    <row r="398" ht="12.75" hidden="1" customHeight="1" outlineLevel="1">
      <c r="A398" s="89" t="s">
        <v>424</v>
      </c>
      <c r="B398" s="90" t="s">
        <v>425</v>
      </c>
      <c r="C398" s="89" t="s">
        <v>75</v>
      </c>
      <c r="D398" s="91">
        <v>1.0</v>
      </c>
      <c r="E398" s="92">
        <v>5003.66</v>
      </c>
      <c r="F398" s="92">
        <v>5003.66</v>
      </c>
      <c r="G398" s="93"/>
      <c r="H398" s="92"/>
      <c r="I398" s="92"/>
      <c r="J398" s="82" t="b">
        <v>0</v>
      </c>
    </row>
    <row r="399" ht="12.75" hidden="1" customHeight="1" outlineLevel="1">
      <c r="D399" s="79"/>
      <c r="E399" s="80"/>
      <c r="F399" s="80"/>
      <c r="G399" s="81"/>
      <c r="H399" s="80"/>
      <c r="I399" s="80"/>
      <c r="J399" s="82" t="b">
        <v>0</v>
      </c>
    </row>
    <row r="400" ht="12.75" hidden="1" customHeight="1" outlineLevel="1">
      <c r="A400" s="89" t="s">
        <v>426</v>
      </c>
      <c r="B400" s="90" t="s">
        <v>427</v>
      </c>
      <c r="C400" s="89" t="s">
        <v>75</v>
      </c>
      <c r="D400" s="91">
        <v>1.0</v>
      </c>
      <c r="E400" s="92">
        <v>1269.31</v>
      </c>
      <c r="F400" s="92">
        <v>1269.31</v>
      </c>
      <c r="G400" s="93"/>
      <c r="H400" s="92"/>
      <c r="I400" s="92"/>
      <c r="J400" s="82" t="b">
        <v>0</v>
      </c>
    </row>
    <row r="401" ht="12.75" hidden="1" customHeight="1" outlineLevel="1">
      <c r="D401" s="79"/>
      <c r="E401" s="80"/>
      <c r="F401" s="80"/>
      <c r="G401" s="81"/>
      <c r="H401" s="80"/>
      <c r="I401" s="80"/>
      <c r="J401" s="82" t="b">
        <v>0</v>
      </c>
    </row>
    <row r="402" ht="12.75" hidden="1" customHeight="1" outlineLevel="1">
      <c r="A402" s="89" t="s">
        <v>428</v>
      </c>
      <c r="B402" s="90" t="s">
        <v>429</v>
      </c>
      <c r="D402" s="79"/>
      <c r="E402" s="80"/>
      <c r="F402" s="80"/>
      <c r="G402" s="81"/>
      <c r="H402" s="80"/>
      <c r="I402" s="80"/>
      <c r="J402" s="82" t="b">
        <v>0</v>
      </c>
    </row>
    <row r="403" ht="12.75" hidden="1" customHeight="1" outlineLevel="1">
      <c r="D403" s="79"/>
      <c r="E403" s="80"/>
      <c r="F403" s="80"/>
      <c r="G403" s="81"/>
      <c r="H403" s="80"/>
      <c r="I403" s="80"/>
      <c r="J403" s="82" t="b">
        <v>0</v>
      </c>
    </row>
    <row r="404" ht="12.75" hidden="1" customHeight="1" outlineLevel="1">
      <c r="A404" s="89" t="s">
        <v>430</v>
      </c>
      <c r="B404" s="90" t="s">
        <v>431</v>
      </c>
      <c r="C404" s="89" t="s">
        <v>75</v>
      </c>
      <c r="D404" s="91">
        <v>1.0</v>
      </c>
      <c r="E404" s="92">
        <v>403.01</v>
      </c>
      <c r="F404" s="92">
        <v>403.01</v>
      </c>
      <c r="G404" s="93"/>
      <c r="H404" s="92"/>
      <c r="I404" s="92"/>
      <c r="J404" s="82" t="b">
        <v>0</v>
      </c>
    </row>
    <row r="405" ht="12.75" hidden="1" customHeight="1" outlineLevel="1">
      <c r="D405" s="79"/>
      <c r="E405" s="80"/>
      <c r="F405" s="80"/>
      <c r="G405" s="81"/>
      <c r="H405" s="80"/>
      <c r="I405" s="80"/>
      <c r="J405" s="82" t="b">
        <v>0</v>
      </c>
    </row>
    <row r="406" ht="12.75" hidden="1" customHeight="1" outlineLevel="1">
      <c r="A406" s="89" t="s">
        <v>432</v>
      </c>
      <c r="B406" s="90" t="s">
        <v>433</v>
      </c>
      <c r="D406" s="79"/>
      <c r="E406" s="80"/>
      <c r="F406" s="80"/>
      <c r="G406" s="81"/>
      <c r="H406" s="80"/>
      <c r="I406" s="80"/>
      <c r="J406" s="82" t="b">
        <v>0</v>
      </c>
    </row>
    <row r="407" ht="12.75" hidden="1" customHeight="1" outlineLevel="1">
      <c r="D407" s="79"/>
      <c r="E407" s="80"/>
      <c r="F407" s="80"/>
      <c r="G407" s="81"/>
      <c r="H407" s="80"/>
      <c r="I407" s="80"/>
      <c r="J407" s="82" t="b">
        <v>0</v>
      </c>
    </row>
    <row r="408" ht="12.75" hidden="1" customHeight="1" outlineLevel="1">
      <c r="A408" s="89" t="s">
        <v>434</v>
      </c>
      <c r="B408" s="90" t="s">
        <v>435</v>
      </c>
      <c r="D408" s="79"/>
      <c r="E408" s="80"/>
      <c r="F408" s="80"/>
      <c r="G408" s="81"/>
      <c r="H408" s="80"/>
      <c r="I408" s="80"/>
      <c r="J408" s="82" t="b">
        <v>0</v>
      </c>
    </row>
    <row r="409" ht="12.75" hidden="1" customHeight="1" outlineLevel="1">
      <c r="D409" s="79"/>
      <c r="E409" s="80"/>
      <c r="F409" s="80"/>
      <c r="G409" s="81"/>
      <c r="H409" s="80"/>
      <c r="I409" s="80"/>
      <c r="J409" s="82" t="b">
        <v>0</v>
      </c>
    </row>
    <row r="410" ht="12.75" hidden="1" customHeight="1" outlineLevel="1">
      <c r="A410" s="89" t="s">
        <v>436</v>
      </c>
      <c r="B410" s="90" t="s">
        <v>437</v>
      </c>
      <c r="C410" s="89" t="s">
        <v>75</v>
      </c>
      <c r="D410" s="91">
        <v>1.0</v>
      </c>
      <c r="E410" s="92">
        <v>1435.6</v>
      </c>
      <c r="F410" s="92">
        <v>1435.6</v>
      </c>
      <c r="G410" s="93"/>
      <c r="H410" s="92"/>
      <c r="I410" s="92"/>
      <c r="J410" s="82" t="b">
        <v>0</v>
      </c>
    </row>
    <row r="411" ht="12.75" hidden="1" customHeight="1" outlineLevel="1">
      <c r="D411" s="79"/>
      <c r="E411" s="80"/>
      <c r="F411" s="80"/>
      <c r="G411" s="81"/>
      <c r="H411" s="80"/>
      <c r="I411" s="80"/>
      <c r="J411" s="82" t="b">
        <v>0</v>
      </c>
    </row>
    <row r="412" ht="12.75" hidden="1" customHeight="1" outlineLevel="1">
      <c r="A412" s="89" t="s">
        <v>438</v>
      </c>
      <c r="B412" s="90" t="s">
        <v>439</v>
      </c>
      <c r="D412" s="79"/>
      <c r="E412" s="80"/>
      <c r="F412" s="80"/>
      <c r="G412" s="81"/>
      <c r="H412" s="80"/>
      <c r="I412" s="80"/>
      <c r="J412" s="82" t="b">
        <v>0</v>
      </c>
    </row>
    <row r="413" ht="12.75" hidden="1" customHeight="1" outlineLevel="1">
      <c r="D413" s="79"/>
      <c r="E413" s="80"/>
      <c r="F413" s="80"/>
      <c r="G413" s="81"/>
      <c r="H413" s="80"/>
      <c r="I413" s="80"/>
      <c r="J413" s="82" t="b">
        <v>0</v>
      </c>
    </row>
    <row r="414" ht="12.75" hidden="1" customHeight="1" outlineLevel="1">
      <c r="A414" s="89" t="s">
        <v>440</v>
      </c>
      <c r="B414" s="90" t="s">
        <v>441</v>
      </c>
      <c r="C414" s="89" t="s">
        <v>75</v>
      </c>
      <c r="D414" s="91">
        <v>1.0</v>
      </c>
      <c r="E414" s="92">
        <v>1435.6</v>
      </c>
      <c r="F414" s="92">
        <v>1435.6</v>
      </c>
      <c r="G414" s="93"/>
      <c r="H414" s="92"/>
      <c r="I414" s="92"/>
      <c r="J414" s="82" t="b">
        <v>0</v>
      </c>
    </row>
    <row r="415" ht="12.75" hidden="1" customHeight="1" outlineLevel="1">
      <c r="D415" s="79"/>
      <c r="E415" s="80"/>
      <c r="F415" s="80"/>
      <c r="G415" s="81"/>
      <c r="H415" s="80"/>
      <c r="I415" s="80"/>
      <c r="J415" s="82" t="b">
        <v>0</v>
      </c>
    </row>
    <row r="416" ht="12.75" hidden="1" customHeight="1" outlineLevel="1">
      <c r="A416" s="89" t="s">
        <v>442</v>
      </c>
      <c r="B416" s="90" t="s">
        <v>443</v>
      </c>
      <c r="D416" s="79"/>
      <c r="E416" s="80"/>
      <c r="F416" s="80"/>
      <c r="G416" s="81"/>
      <c r="H416" s="80"/>
      <c r="I416" s="80"/>
      <c r="J416" s="82" t="b">
        <v>0</v>
      </c>
    </row>
    <row r="417" ht="12.75" hidden="1" customHeight="1" outlineLevel="1">
      <c r="D417" s="79"/>
      <c r="E417" s="80"/>
      <c r="F417" s="80"/>
      <c r="G417" s="81"/>
      <c r="H417" s="80"/>
      <c r="I417" s="80"/>
      <c r="J417" s="82" t="b">
        <v>0</v>
      </c>
    </row>
    <row r="418" ht="12.75" hidden="1" customHeight="1" outlineLevel="1">
      <c r="A418" s="89" t="s">
        <v>444</v>
      </c>
      <c r="B418" s="90" t="s">
        <v>445</v>
      </c>
      <c r="C418" s="89" t="s">
        <v>75</v>
      </c>
      <c r="D418" s="91">
        <v>1.0</v>
      </c>
      <c r="E418" s="92">
        <v>1507.46</v>
      </c>
      <c r="F418" s="92">
        <v>1507.46</v>
      </c>
      <c r="G418" s="93"/>
      <c r="H418" s="92"/>
      <c r="I418" s="92"/>
      <c r="J418" s="82" t="b">
        <v>0</v>
      </c>
    </row>
    <row r="419" ht="12.75" hidden="1" customHeight="1" outlineLevel="1">
      <c r="D419" s="79"/>
      <c r="E419" s="80"/>
      <c r="F419" s="80"/>
      <c r="G419" s="81"/>
      <c r="H419" s="80"/>
      <c r="I419" s="80"/>
      <c r="J419" s="82" t="b">
        <v>0</v>
      </c>
    </row>
    <row r="420" ht="12.75" hidden="1" customHeight="1" outlineLevel="1">
      <c r="A420" s="89" t="s">
        <v>446</v>
      </c>
      <c r="B420" s="90" t="s">
        <v>447</v>
      </c>
      <c r="C420" s="89" t="s">
        <v>75</v>
      </c>
      <c r="D420" s="91">
        <v>1.0</v>
      </c>
      <c r="E420" s="92">
        <v>1507.46</v>
      </c>
      <c r="F420" s="92">
        <v>1507.46</v>
      </c>
      <c r="G420" s="93"/>
      <c r="H420" s="92"/>
      <c r="I420" s="92"/>
      <c r="J420" s="82" t="b">
        <v>0</v>
      </c>
    </row>
    <row r="421" ht="12.75" hidden="1" customHeight="1" outlineLevel="1">
      <c r="D421" s="79"/>
      <c r="E421" s="80"/>
      <c r="F421" s="80"/>
      <c r="G421" s="81"/>
      <c r="H421" s="80"/>
      <c r="I421" s="80"/>
      <c r="J421" s="82" t="b">
        <v>0</v>
      </c>
    </row>
    <row r="422" ht="12.75" hidden="1" customHeight="1" outlineLevel="1">
      <c r="A422" s="89" t="s">
        <v>448</v>
      </c>
      <c r="B422" s="90" t="s">
        <v>449</v>
      </c>
      <c r="D422" s="79"/>
      <c r="E422" s="80"/>
      <c r="F422" s="80"/>
      <c r="G422" s="81"/>
      <c r="H422" s="80"/>
      <c r="I422" s="80"/>
      <c r="J422" s="82" t="b">
        <v>0</v>
      </c>
    </row>
    <row r="423" ht="12.75" hidden="1" customHeight="1" outlineLevel="1">
      <c r="D423" s="79"/>
      <c r="E423" s="80"/>
      <c r="F423" s="80"/>
      <c r="G423" s="81"/>
      <c r="H423" s="80"/>
      <c r="I423" s="80"/>
      <c r="J423" s="82" t="b">
        <v>0</v>
      </c>
    </row>
    <row r="424" ht="12.75" hidden="1" customHeight="1" outlineLevel="1">
      <c r="A424" s="89" t="s">
        <v>450</v>
      </c>
      <c r="B424" s="90" t="s">
        <v>451</v>
      </c>
      <c r="C424" s="89" t="s">
        <v>75</v>
      </c>
      <c r="D424" s="91">
        <v>1.0</v>
      </c>
      <c r="E424" s="92">
        <v>1432.24</v>
      </c>
      <c r="F424" s="92">
        <v>1432.24</v>
      </c>
      <c r="G424" s="93"/>
      <c r="H424" s="92"/>
      <c r="I424" s="92"/>
      <c r="J424" s="82" t="b">
        <v>0</v>
      </c>
    </row>
    <row r="425" ht="12.75" hidden="1" customHeight="1" outlineLevel="1">
      <c r="D425" s="79"/>
      <c r="E425" s="80"/>
      <c r="F425" s="80"/>
      <c r="G425" s="81"/>
      <c r="H425" s="80"/>
      <c r="I425" s="80"/>
      <c r="J425" s="82" t="b">
        <v>0</v>
      </c>
    </row>
    <row r="426" ht="12.75" hidden="1" customHeight="1" outlineLevel="1">
      <c r="A426" s="89" t="s">
        <v>452</v>
      </c>
      <c r="B426" s="90" t="s">
        <v>453</v>
      </c>
      <c r="D426" s="79"/>
      <c r="E426" s="80"/>
      <c r="F426" s="80"/>
      <c r="G426" s="81"/>
      <c r="H426" s="80"/>
      <c r="I426" s="80"/>
      <c r="J426" s="82" t="b">
        <v>0</v>
      </c>
    </row>
    <row r="427" ht="12.75" hidden="1" customHeight="1" outlineLevel="1">
      <c r="D427" s="79"/>
      <c r="E427" s="80"/>
      <c r="F427" s="80"/>
      <c r="G427" s="81"/>
      <c r="H427" s="80"/>
      <c r="I427" s="80"/>
      <c r="J427" s="82" t="b">
        <v>0</v>
      </c>
    </row>
    <row r="428" ht="12.75" hidden="1" customHeight="1" outlineLevel="1">
      <c r="A428" s="89" t="s">
        <v>454</v>
      </c>
      <c r="B428" s="90" t="s">
        <v>455</v>
      </c>
      <c r="C428" s="89" t="s">
        <v>75</v>
      </c>
      <c r="D428" s="91">
        <v>1.0</v>
      </c>
      <c r="E428" s="92">
        <v>1275.9</v>
      </c>
      <c r="F428" s="92">
        <v>1275.9</v>
      </c>
      <c r="G428" s="93"/>
      <c r="H428" s="92"/>
      <c r="I428" s="92"/>
      <c r="J428" s="82" t="b">
        <v>0</v>
      </c>
    </row>
    <row r="429" ht="12.75" hidden="1" customHeight="1" outlineLevel="1">
      <c r="D429" s="79"/>
      <c r="E429" s="80"/>
      <c r="F429" s="80"/>
      <c r="G429" s="81"/>
      <c r="H429" s="80"/>
      <c r="I429" s="80"/>
      <c r="J429" s="82" t="b">
        <v>0</v>
      </c>
    </row>
    <row r="430" ht="12.75" hidden="1" customHeight="1" outlineLevel="1">
      <c r="A430" s="89" t="s">
        <v>456</v>
      </c>
      <c r="B430" s="90" t="s">
        <v>457</v>
      </c>
      <c r="D430" s="79"/>
      <c r="E430" s="80"/>
      <c r="F430" s="80"/>
      <c r="G430" s="81"/>
      <c r="H430" s="80"/>
      <c r="I430" s="80"/>
      <c r="J430" s="82" t="b">
        <v>0</v>
      </c>
    </row>
    <row r="431" ht="12.75" hidden="1" customHeight="1" outlineLevel="1">
      <c r="D431" s="79"/>
      <c r="E431" s="80"/>
      <c r="F431" s="80"/>
      <c r="G431" s="81"/>
      <c r="H431" s="80"/>
      <c r="I431" s="80"/>
      <c r="J431" s="82" t="b">
        <v>0</v>
      </c>
    </row>
    <row r="432" ht="12.75" hidden="1" customHeight="1" outlineLevel="1">
      <c r="A432" s="89" t="s">
        <v>458</v>
      </c>
      <c r="B432" s="90" t="s">
        <v>459</v>
      </c>
      <c r="C432" s="89" t="s">
        <v>75</v>
      </c>
      <c r="D432" s="91">
        <v>1.0</v>
      </c>
      <c r="E432" s="92">
        <v>1430.56</v>
      </c>
      <c r="F432" s="92">
        <v>1430.56</v>
      </c>
      <c r="G432" s="93"/>
      <c r="H432" s="92"/>
      <c r="I432" s="92"/>
      <c r="J432" s="82" t="b">
        <v>0</v>
      </c>
    </row>
    <row r="433" ht="12.75" hidden="1" customHeight="1" outlineLevel="1">
      <c r="D433" s="79"/>
      <c r="E433" s="80"/>
      <c r="F433" s="80"/>
      <c r="G433" s="81"/>
      <c r="H433" s="80"/>
      <c r="I433" s="80"/>
      <c r="J433" s="82" t="b">
        <v>0</v>
      </c>
    </row>
    <row r="434" ht="12.75" hidden="1" customHeight="1" outlineLevel="1">
      <c r="A434" s="89" t="s">
        <v>460</v>
      </c>
      <c r="B434" s="90" t="s">
        <v>461</v>
      </c>
      <c r="C434" s="89" t="s">
        <v>75</v>
      </c>
      <c r="D434" s="91">
        <v>1.0</v>
      </c>
      <c r="E434" s="92">
        <v>3363.74</v>
      </c>
      <c r="F434" s="92">
        <v>3363.74</v>
      </c>
      <c r="G434" s="93"/>
      <c r="H434" s="92"/>
      <c r="I434" s="92"/>
      <c r="J434" s="82" t="b">
        <v>0</v>
      </c>
    </row>
    <row r="435" ht="12.75" hidden="1" customHeight="1" outlineLevel="1">
      <c r="D435" s="79"/>
      <c r="E435" s="80"/>
      <c r="F435" s="80"/>
      <c r="G435" s="81"/>
      <c r="H435" s="80"/>
      <c r="I435" s="80"/>
      <c r="J435" s="82" t="b">
        <v>0</v>
      </c>
    </row>
    <row r="436" ht="12.75" hidden="1" customHeight="1" outlineLevel="1">
      <c r="A436" s="89" t="s">
        <v>462</v>
      </c>
      <c r="B436" s="90" t="s">
        <v>463</v>
      </c>
      <c r="C436" s="89" t="s">
        <v>75</v>
      </c>
      <c r="D436" s="91">
        <v>1.0</v>
      </c>
      <c r="E436" s="92">
        <v>1386.85</v>
      </c>
      <c r="F436" s="92">
        <v>1386.85</v>
      </c>
      <c r="G436" s="93"/>
      <c r="H436" s="92"/>
      <c r="I436" s="92"/>
      <c r="J436" s="82" t="b">
        <v>0</v>
      </c>
    </row>
    <row r="437" ht="12.75" hidden="1" customHeight="1" outlineLevel="1">
      <c r="D437" s="79"/>
      <c r="E437" s="80"/>
      <c r="F437" s="80"/>
      <c r="G437" s="81"/>
      <c r="H437" s="80"/>
      <c r="I437" s="80"/>
      <c r="J437" s="82" t="b">
        <v>0</v>
      </c>
    </row>
    <row r="438" ht="12.75" hidden="1" customHeight="1" outlineLevel="1">
      <c r="A438" s="89" t="s">
        <v>464</v>
      </c>
      <c r="B438" s="90" t="s">
        <v>465</v>
      </c>
      <c r="D438" s="79"/>
      <c r="E438" s="80"/>
      <c r="F438" s="80"/>
      <c r="G438" s="81"/>
      <c r="H438" s="80"/>
      <c r="I438" s="80"/>
      <c r="J438" s="82" t="b">
        <v>0</v>
      </c>
    </row>
    <row r="439" ht="12.75" hidden="1" customHeight="1" outlineLevel="1">
      <c r="D439" s="79"/>
      <c r="E439" s="80"/>
      <c r="F439" s="80"/>
      <c r="G439" s="81"/>
      <c r="H439" s="80"/>
      <c r="I439" s="80"/>
      <c r="J439" s="82" t="b">
        <v>0</v>
      </c>
    </row>
    <row r="440" ht="12.75" hidden="1" customHeight="1" outlineLevel="1">
      <c r="A440" s="89" t="s">
        <v>466</v>
      </c>
      <c r="B440" s="90" t="s">
        <v>467</v>
      </c>
      <c r="D440" s="79"/>
      <c r="E440" s="80"/>
      <c r="F440" s="80"/>
      <c r="G440" s="81"/>
      <c r="H440" s="80"/>
      <c r="I440" s="80"/>
      <c r="J440" s="82" t="b">
        <v>0</v>
      </c>
    </row>
    <row r="441" ht="12.75" hidden="1" customHeight="1" outlineLevel="1">
      <c r="D441" s="79"/>
      <c r="E441" s="80"/>
      <c r="F441" s="80"/>
      <c r="G441" s="81"/>
      <c r="H441" s="80"/>
      <c r="I441" s="80"/>
      <c r="J441" s="82" t="b">
        <v>0</v>
      </c>
    </row>
    <row r="442" ht="12.75" hidden="1" customHeight="1" outlineLevel="1">
      <c r="A442" s="89" t="s">
        <v>468</v>
      </c>
      <c r="B442" s="90" t="s">
        <v>469</v>
      </c>
      <c r="C442" s="89" t="s">
        <v>75</v>
      </c>
      <c r="D442" s="91">
        <v>1.0</v>
      </c>
      <c r="E442" s="92">
        <v>1913.56</v>
      </c>
      <c r="F442" s="92">
        <v>1913.56</v>
      </c>
      <c r="G442" s="93"/>
      <c r="H442" s="92"/>
      <c r="I442" s="92"/>
      <c r="J442" s="82" t="b">
        <v>0</v>
      </c>
    </row>
    <row r="443" ht="12.75" hidden="1" customHeight="1" outlineLevel="1">
      <c r="D443" s="79"/>
      <c r="E443" s="80"/>
      <c r="F443" s="80"/>
      <c r="G443" s="81"/>
      <c r="H443" s="80"/>
      <c r="I443" s="80"/>
      <c r="J443" s="82" t="b">
        <v>0</v>
      </c>
    </row>
    <row r="444" ht="12.75" hidden="1" customHeight="1" outlineLevel="1">
      <c r="A444" s="89" t="s">
        <v>470</v>
      </c>
      <c r="B444" s="90" t="s">
        <v>471</v>
      </c>
      <c r="D444" s="79"/>
      <c r="E444" s="80"/>
      <c r="F444" s="80"/>
      <c r="G444" s="81"/>
      <c r="H444" s="80"/>
      <c r="I444" s="80"/>
      <c r="J444" s="82" t="b">
        <v>0</v>
      </c>
    </row>
    <row r="445" ht="12.75" hidden="1" customHeight="1" outlineLevel="1">
      <c r="D445" s="79"/>
      <c r="E445" s="80"/>
      <c r="F445" s="80"/>
      <c r="G445" s="81"/>
      <c r="H445" s="80"/>
      <c r="I445" s="80"/>
      <c r="J445" s="82" t="b">
        <v>0</v>
      </c>
    </row>
    <row r="446" ht="12.75" hidden="1" customHeight="1" outlineLevel="1">
      <c r="A446" s="89" t="s">
        <v>472</v>
      </c>
      <c r="B446" s="90" t="s">
        <v>473</v>
      </c>
      <c r="D446" s="79"/>
      <c r="E446" s="80"/>
      <c r="F446" s="80"/>
      <c r="G446" s="81"/>
      <c r="H446" s="80"/>
      <c r="I446" s="80"/>
      <c r="J446" s="82" t="b">
        <v>0</v>
      </c>
    </row>
    <row r="447" ht="12.75" hidden="1" customHeight="1" outlineLevel="1">
      <c r="D447" s="79"/>
      <c r="E447" s="80"/>
      <c r="F447" s="80"/>
      <c r="G447" s="81"/>
      <c r="H447" s="80"/>
      <c r="I447" s="80"/>
      <c r="J447" s="82" t="b">
        <v>0</v>
      </c>
    </row>
    <row r="448" ht="12.75" hidden="1" customHeight="1" outlineLevel="1">
      <c r="A448" s="89" t="s">
        <v>474</v>
      </c>
      <c r="B448" s="90" t="s">
        <v>475</v>
      </c>
      <c r="C448" s="89" t="s">
        <v>75</v>
      </c>
      <c r="D448" s="91">
        <v>1.0</v>
      </c>
      <c r="E448" s="92">
        <v>4214.86</v>
      </c>
      <c r="F448" s="92">
        <v>4214.86</v>
      </c>
      <c r="G448" s="93"/>
      <c r="H448" s="92"/>
      <c r="I448" s="92"/>
      <c r="J448" s="82" t="b">
        <v>0</v>
      </c>
    </row>
    <row r="449" ht="12.75" hidden="1" customHeight="1" outlineLevel="1">
      <c r="D449" s="79"/>
      <c r="E449" s="80"/>
      <c r="F449" s="80"/>
      <c r="G449" s="81"/>
      <c r="H449" s="80"/>
      <c r="I449" s="80"/>
      <c r="J449" s="82" t="b">
        <v>0</v>
      </c>
    </row>
    <row r="450" ht="12.75" hidden="1" customHeight="1" outlineLevel="1">
      <c r="A450" s="89" t="s">
        <v>476</v>
      </c>
      <c r="B450" s="90" t="s">
        <v>477</v>
      </c>
      <c r="D450" s="79"/>
      <c r="E450" s="80"/>
      <c r="F450" s="80"/>
      <c r="G450" s="81"/>
      <c r="H450" s="80"/>
      <c r="I450" s="80"/>
      <c r="J450" s="82" t="b">
        <v>0</v>
      </c>
    </row>
    <row r="451" ht="12.75" hidden="1" customHeight="1" outlineLevel="1">
      <c r="D451" s="79"/>
      <c r="E451" s="80"/>
      <c r="F451" s="80"/>
      <c r="G451" s="81"/>
      <c r="H451" s="80"/>
      <c r="I451" s="80"/>
      <c r="J451" s="82" t="b">
        <v>0</v>
      </c>
    </row>
    <row r="452" ht="12.75" hidden="1" customHeight="1" outlineLevel="1">
      <c r="A452" s="89" t="s">
        <v>478</v>
      </c>
      <c r="B452" s="90" t="s">
        <v>479</v>
      </c>
      <c r="C452" s="89" t="s">
        <v>227</v>
      </c>
      <c r="D452" s="91">
        <v>1.0</v>
      </c>
      <c r="E452" s="92">
        <v>38793.0</v>
      </c>
      <c r="F452" s="92">
        <v>38793.0</v>
      </c>
      <c r="G452" s="93"/>
      <c r="H452" s="92"/>
      <c r="I452" s="92"/>
      <c r="J452" s="82" t="b">
        <v>0</v>
      </c>
    </row>
    <row r="453" ht="12.75" hidden="1" customHeight="1" outlineLevel="1">
      <c r="D453" s="79"/>
      <c r="E453" s="80"/>
      <c r="F453" s="80"/>
      <c r="G453" s="81"/>
      <c r="H453" s="80"/>
      <c r="I453" s="80"/>
      <c r="J453" s="82" t="b">
        <v>0</v>
      </c>
    </row>
    <row r="454" ht="12.75" hidden="1" customHeight="1" outlineLevel="1">
      <c r="A454" s="89" t="s">
        <v>480</v>
      </c>
      <c r="B454" s="90" t="s">
        <v>481</v>
      </c>
      <c r="D454" s="79"/>
      <c r="E454" s="80"/>
      <c r="F454" s="80"/>
      <c r="G454" s="81"/>
      <c r="H454" s="80"/>
      <c r="I454" s="80"/>
      <c r="J454" s="82" t="b">
        <v>0</v>
      </c>
    </row>
    <row r="455" ht="12.75" hidden="1" customHeight="1" outlineLevel="1">
      <c r="D455" s="79"/>
      <c r="E455" s="80"/>
      <c r="F455" s="80"/>
      <c r="G455" s="81"/>
      <c r="H455" s="80"/>
      <c r="I455" s="80"/>
      <c r="J455" s="82" t="b">
        <v>0</v>
      </c>
    </row>
    <row r="456" ht="12.75" hidden="1" customHeight="1" outlineLevel="1">
      <c r="A456" s="89" t="s">
        <v>482</v>
      </c>
      <c r="B456" s="90" t="s">
        <v>483</v>
      </c>
      <c r="D456" s="79"/>
      <c r="E456" s="80"/>
      <c r="F456" s="80"/>
      <c r="G456" s="81"/>
      <c r="H456" s="80"/>
      <c r="I456" s="80"/>
      <c r="J456" s="82" t="b">
        <v>0</v>
      </c>
    </row>
    <row r="457" ht="12.75" hidden="1" customHeight="1" outlineLevel="1">
      <c r="D457" s="79"/>
      <c r="E457" s="80"/>
      <c r="F457" s="80"/>
      <c r="G457" s="81"/>
      <c r="H457" s="80"/>
      <c r="I457" s="80"/>
      <c r="J457" s="82" t="b">
        <v>0</v>
      </c>
    </row>
    <row r="458" ht="12.75" hidden="1" customHeight="1" outlineLevel="1">
      <c r="A458" s="89" t="s">
        <v>484</v>
      </c>
      <c r="B458" s="90" t="s">
        <v>485</v>
      </c>
      <c r="C458" s="89" t="s">
        <v>75</v>
      </c>
      <c r="D458" s="91">
        <v>1.0</v>
      </c>
      <c r="E458" s="92">
        <v>3106.17</v>
      </c>
      <c r="F458" s="92">
        <v>3106.17</v>
      </c>
      <c r="G458" s="93"/>
      <c r="H458" s="92"/>
      <c r="I458" s="92"/>
      <c r="J458" s="82" t="b">
        <v>0</v>
      </c>
    </row>
    <row r="459" ht="12.75" hidden="1" customHeight="1" outlineLevel="1">
      <c r="D459" s="79"/>
      <c r="E459" s="80"/>
      <c r="F459" s="80"/>
      <c r="G459" s="81"/>
      <c r="H459" s="80"/>
      <c r="I459" s="80"/>
      <c r="J459" s="82" t="b">
        <v>0</v>
      </c>
    </row>
    <row r="460" ht="12.75" hidden="1" customHeight="1" outlineLevel="1">
      <c r="A460" s="89" t="s">
        <v>486</v>
      </c>
      <c r="B460" s="90" t="s">
        <v>487</v>
      </c>
      <c r="C460" s="89" t="s">
        <v>75</v>
      </c>
      <c r="D460" s="91">
        <v>1.0</v>
      </c>
      <c r="E460" s="92">
        <v>3171.27</v>
      </c>
      <c r="F460" s="92">
        <v>3171.27</v>
      </c>
      <c r="G460" s="93"/>
      <c r="H460" s="92"/>
      <c r="I460" s="92"/>
      <c r="J460" s="82" t="b">
        <v>0</v>
      </c>
    </row>
    <row r="461" ht="12.75" hidden="1" customHeight="1" outlineLevel="1">
      <c r="D461" s="79"/>
      <c r="E461" s="80"/>
      <c r="F461" s="80"/>
      <c r="G461" s="81"/>
      <c r="H461" s="80"/>
      <c r="I461" s="80"/>
      <c r="J461" s="82" t="b">
        <v>0</v>
      </c>
    </row>
    <row r="462" ht="12.75" hidden="1" customHeight="1" outlineLevel="1">
      <c r="A462" s="89" t="s">
        <v>488</v>
      </c>
      <c r="B462" s="90" t="s">
        <v>489</v>
      </c>
      <c r="C462" s="89" t="s">
        <v>75</v>
      </c>
      <c r="D462" s="91">
        <v>1.0</v>
      </c>
      <c r="E462" s="92">
        <v>2283.49</v>
      </c>
      <c r="F462" s="92">
        <v>2283.49</v>
      </c>
      <c r="G462" s="93"/>
      <c r="H462" s="92"/>
      <c r="I462" s="92"/>
      <c r="J462" s="82" t="b">
        <v>0</v>
      </c>
    </row>
    <row r="463" ht="12.75" hidden="1" customHeight="1" outlineLevel="1">
      <c r="D463" s="79"/>
      <c r="E463" s="80"/>
      <c r="F463" s="80"/>
      <c r="G463" s="81"/>
      <c r="H463" s="80"/>
      <c r="I463" s="80"/>
      <c r="J463" s="82" t="b">
        <v>0</v>
      </c>
    </row>
    <row r="464" ht="12.75" hidden="1" customHeight="1" outlineLevel="1">
      <c r="A464" s="89" t="s">
        <v>490</v>
      </c>
      <c r="B464" s="90" t="s">
        <v>491</v>
      </c>
      <c r="C464" s="89" t="s">
        <v>75</v>
      </c>
      <c r="D464" s="91">
        <v>1.0</v>
      </c>
      <c r="E464" s="92">
        <v>3402.81</v>
      </c>
      <c r="F464" s="92">
        <v>3402.81</v>
      </c>
      <c r="G464" s="93"/>
      <c r="H464" s="92"/>
      <c r="I464" s="92"/>
      <c r="J464" s="82" t="b">
        <v>0</v>
      </c>
    </row>
    <row r="465" ht="12.75" hidden="1" customHeight="1" outlineLevel="1">
      <c r="D465" s="79"/>
      <c r="E465" s="80"/>
      <c r="F465" s="80"/>
      <c r="G465" s="81"/>
      <c r="H465" s="80"/>
      <c r="I465" s="80"/>
      <c r="J465" s="82" t="b">
        <v>0</v>
      </c>
    </row>
    <row r="466" ht="12.75" hidden="1" customHeight="1" outlineLevel="1">
      <c r="A466" s="89" t="s">
        <v>492</v>
      </c>
      <c r="B466" s="90" t="s">
        <v>493</v>
      </c>
      <c r="C466" s="89" t="s">
        <v>75</v>
      </c>
      <c r="D466" s="91">
        <v>1.0</v>
      </c>
      <c r="E466" s="92">
        <v>1164.15</v>
      </c>
      <c r="F466" s="92">
        <v>1164.15</v>
      </c>
      <c r="G466" s="93"/>
      <c r="H466" s="92"/>
      <c r="I466" s="92"/>
      <c r="J466" s="82" t="b">
        <v>0</v>
      </c>
    </row>
    <row r="467" ht="12.75" hidden="1" customHeight="1" outlineLevel="1">
      <c r="D467" s="79"/>
      <c r="E467" s="80"/>
      <c r="F467" s="80"/>
      <c r="G467" s="81"/>
      <c r="H467" s="80"/>
      <c r="I467" s="80"/>
      <c r="J467" s="82" t="b">
        <v>0</v>
      </c>
    </row>
    <row r="468" ht="12.75" hidden="1" customHeight="1" outlineLevel="1">
      <c r="A468" s="89" t="s">
        <v>494</v>
      </c>
      <c r="B468" s="90" t="s">
        <v>495</v>
      </c>
      <c r="C468" s="89" t="s">
        <v>75</v>
      </c>
      <c r="D468" s="91">
        <v>1.0</v>
      </c>
      <c r="E468" s="92">
        <v>1914.29</v>
      </c>
      <c r="F468" s="92">
        <v>1914.29</v>
      </c>
      <c r="G468" s="93"/>
      <c r="H468" s="92"/>
      <c r="I468" s="92"/>
      <c r="J468" s="82" t="b">
        <v>0</v>
      </c>
    </row>
    <row r="469" ht="12.75" hidden="1" customHeight="1" outlineLevel="1">
      <c r="D469" s="79"/>
      <c r="E469" s="80"/>
      <c r="F469" s="80"/>
      <c r="G469" s="81"/>
      <c r="H469" s="80"/>
      <c r="I469" s="80"/>
      <c r="J469" s="82" t="b">
        <v>0</v>
      </c>
    </row>
    <row r="470" ht="12.75" hidden="1" customHeight="1" outlineLevel="1">
      <c r="A470" s="89" t="s">
        <v>470</v>
      </c>
      <c r="B470" s="90" t="s">
        <v>496</v>
      </c>
      <c r="D470" s="79"/>
      <c r="E470" s="80"/>
      <c r="F470" s="80"/>
      <c r="G470" s="81"/>
      <c r="H470" s="80"/>
      <c r="I470" s="80"/>
      <c r="J470" s="82" t="b">
        <v>0</v>
      </c>
    </row>
    <row r="471" ht="12.75" hidden="1" customHeight="1" outlineLevel="1">
      <c r="D471" s="79"/>
      <c r="E471" s="80"/>
      <c r="F471" s="80"/>
      <c r="G471" s="81"/>
      <c r="H471" s="80"/>
      <c r="I471" s="80"/>
      <c r="J471" s="82" t="b">
        <v>0</v>
      </c>
    </row>
    <row r="472" ht="12.75" hidden="1" customHeight="1" outlineLevel="1">
      <c r="A472" s="89" t="s">
        <v>472</v>
      </c>
      <c r="B472" s="90" t="s">
        <v>497</v>
      </c>
      <c r="D472" s="79"/>
      <c r="E472" s="80"/>
      <c r="F472" s="80"/>
      <c r="G472" s="81"/>
      <c r="H472" s="80"/>
      <c r="I472" s="80"/>
      <c r="J472" s="82" t="b">
        <v>0</v>
      </c>
    </row>
    <row r="473" ht="12.75" hidden="1" customHeight="1" outlineLevel="1">
      <c r="D473" s="79"/>
      <c r="E473" s="80"/>
      <c r="F473" s="80"/>
      <c r="G473" s="81"/>
      <c r="H473" s="80"/>
      <c r="I473" s="80"/>
      <c r="J473" s="82" t="b">
        <v>0</v>
      </c>
    </row>
    <row r="474" ht="12.75" hidden="1" customHeight="1" outlineLevel="1">
      <c r="A474" s="89" t="s">
        <v>474</v>
      </c>
      <c r="B474" s="90" t="s">
        <v>498</v>
      </c>
      <c r="C474" s="89" t="s">
        <v>161</v>
      </c>
      <c r="D474" s="91">
        <v>4.53</v>
      </c>
      <c r="E474" s="92">
        <v>161.64</v>
      </c>
      <c r="F474" s="92">
        <v>732.23</v>
      </c>
      <c r="G474" s="93"/>
      <c r="H474" s="92"/>
      <c r="I474" s="92"/>
      <c r="J474" s="82" t="b">
        <v>0</v>
      </c>
    </row>
    <row r="475" ht="12.75" hidden="1" customHeight="1" outlineLevel="1">
      <c r="D475" s="79"/>
      <c r="E475" s="80"/>
      <c r="F475" s="80"/>
      <c r="G475" s="81"/>
      <c r="H475" s="80"/>
      <c r="I475" s="80"/>
      <c r="J475" s="82" t="b">
        <v>0</v>
      </c>
    </row>
    <row r="476" ht="12.75" hidden="1" customHeight="1" outlineLevel="1">
      <c r="A476" s="89" t="s">
        <v>499</v>
      </c>
      <c r="B476" s="90" t="s">
        <v>500</v>
      </c>
      <c r="C476" s="89" t="s">
        <v>161</v>
      </c>
      <c r="D476" s="91">
        <v>8.7</v>
      </c>
      <c r="E476" s="92">
        <v>161.64</v>
      </c>
      <c r="F476" s="92">
        <v>1406.27</v>
      </c>
      <c r="G476" s="93"/>
      <c r="H476" s="92"/>
      <c r="I476" s="92"/>
      <c r="J476" s="82" t="b">
        <v>0</v>
      </c>
    </row>
    <row r="477" ht="12.75" hidden="1" customHeight="1" outlineLevel="1">
      <c r="D477" s="79"/>
      <c r="E477" s="80"/>
      <c r="F477" s="80"/>
      <c r="G477" s="81"/>
      <c r="H477" s="80"/>
      <c r="I477" s="80"/>
      <c r="J477" s="82" t="b">
        <v>0</v>
      </c>
    </row>
    <row r="478" ht="12.75" hidden="1" customHeight="1" outlineLevel="1">
      <c r="A478" s="89" t="s">
        <v>501</v>
      </c>
      <c r="B478" s="90" t="s">
        <v>502</v>
      </c>
      <c r="C478" s="89" t="s">
        <v>161</v>
      </c>
      <c r="D478" s="91">
        <v>14.0</v>
      </c>
      <c r="E478" s="92">
        <v>161.64</v>
      </c>
      <c r="F478" s="92">
        <v>2262.96</v>
      </c>
      <c r="G478" s="93"/>
      <c r="H478" s="92"/>
      <c r="I478" s="92"/>
      <c r="J478" s="82" t="b">
        <v>0</v>
      </c>
    </row>
    <row r="479" ht="12.75" hidden="1" customHeight="1" outlineLevel="1">
      <c r="D479" s="79"/>
      <c r="E479" s="80"/>
      <c r="F479" s="80"/>
      <c r="G479" s="81"/>
      <c r="H479" s="80"/>
      <c r="I479" s="80"/>
      <c r="J479" s="82" t="b">
        <v>0</v>
      </c>
    </row>
    <row r="480" ht="12.75" hidden="1" customHeight="1" outlineLevel="1">
      <c r="A480" s="89" t="s">
        <v>503</v>
      </c>
      <c r="B480" s="90" t="s">
        <v>504</v>
      </c>
      <c r="C480" s="89" t="s">
        <v>161</v>
      </c>
      <c r="D480" s="91">
        <v>8.44</v>
      </c>
      <c r="E480" s="92">
        <v>161.64</v>
      </c>
      <c r="F480" s="92">
        <v>1364.24</v>
      </c>
      <c r="G480" s="93"/>
      <c r="H480" s="92"/>
      <c r="I480" s="92"/>
      <c r="J480" s="82" t="b">
        <v>0</v>
      </c>
    </row>
    <row r="481" ht="12.75" hidden="1" customHeight="1" outlineLevel="1">
      <c r="D481" s="79"/>
      <c r="E481" s="80"/>
      <c r="F481" s="80"/>
      <c r="G481" s="81"/>
      <c r="H481" s="80"/>
      <c r="I481" s="80"/>
      <c r="J481" s="82" t="b">
        <v>0</v>
      </c>
    </row>
    <row r="482" ht="12.75" hidden="1" customHeight="1" outlineLevel="1">
      <c r="A482" s="89" t="s">
        <v>505</v>
      </c>
      <c r="B482" s="90" t="s">
        <v>506</v>
      </c>
      <c r="D482" s="79"/>
      <c r="E482" s="80"/>
      <c r="F482" s="80"/>
      <c r="G482" s="81"/>
      <c r="H482" s="80"/>
      <c r="I482" s="80"/>
      <c r="J482" s="82" t="b">
        <v>0</v>
      </c>
    </row>
    <row r="483" ht="12.75" hidden="1" customHeight="1" outlineLevel="1">
      <c r="D483" s="79"/>
      <c r="E483" s="80"/>
      <c r="F483" s="80"/>
      <c r="G483" s="81"/>
      <c r="H483" s="80"/>
      <c r="I483" s="80"/>
      <c r="J483" s="82" t="b">
        <v>0</v>
      </c>
    </row>
    <row r="484" ht="12.75" hidden="1" customHeight="1" outlineLevel="1">
      <c r="A484" s="89" t="s">
        <v>507</v>
      </c>
      <c r="B484" s="90" t="s">
        <v>508</v>
      </c>
      <c r="C484" s="89" t="s">
        <v>161</v>
      </c>
      <c r="D484" s="91">
        <v>2.65</v>
      </c>
      <c r="E484" s="92">
        <v>484.91</v>
      </c>
      <c r="F484" s="92">
        <v>1285.01</v>
      </c>
      <c r="G484" s="93"/>
      <c r="H484" s="92"/>
      <c r="I484" s="92"/>
      <c r="J484" s="82" t="b">
        <v>0</v>
      </c>
    </row>
    <row r="485" ht="12.75" hidden="1" customHeight="1" outlineLevel="1">
      <c r="D485" s="79"/>
      <c r="E485" s="80"/>
      <c r="F485" s="80"/>
      <c r="G485" s="81"/>
      <c r="H485" s="80"/>
      <c r="I485" s="80"/>
      <c r="J485" s="82" t="b">
        <v>0</v>
      </c>
    </row>
    <row r="486" ht="12.75" hidden="1" customHeight="1" outlineLevel="1">
      <c r="A486" s="89" t="s">
        <v>509</v>
      </c>
      <c r="B486" s="90" t="s">
        <v>510</v>
      </c>
      <c r="C486" s="89" t="s">
        <v>161</v>
      </c>
      <c r="D486" s="91">
        <v>25.15</v>
      </c>
      <c r="E486" s="92">
        <v>484.91</v>
      </c>
      <c r="F486" s="92">
        <v>12195.49</v>
      </c>
      <c r="G486" s="93"/>
      <c r="H486" s="92"/>
      <c r="I486" s="92"/>
      <c r="J486" s="82" t="b">
        <v>0</v>
      </c>
    </row>
    <row r="487" ht="12.75" hidden="1" customHeight="1" outlineLevel="1">
      <c r="D487" s="79"/>
      <c r="E487" s="80"/>
      <c r="F487" s="80"/>
      <c r="G487" s="81"/>
      <c r="H487" s="80"/>
      <c r="I487" s="80"/>
      <c r="J487" s="82" t="b">
        <v>0</v>
      </c>
    </row>
    <row r="488" ht="12.75" hidden="1" customHeight="1" outlineLevel="1">
      <c r="A488" s="89" t="s">
        <v>476</v>
      </c>
      <c r="B488" s="90" t="s">
        <v>511</v>
      </c>
      <c r="D488" s="79"/>
      <c r="E488" s="80"/>
      <c r="F488" s="80"/>
      <c r="G488" s="81"/>
      <c r="H488" s="80"/>
      <c r="I488" s="80"/>
      <c r="J488" s="82" t="b">
        <v>0</v>
      </c>
    </row>
    <row r="489" ht="12.75" hidden="1" customHeight="1" outlineLevel="1">
      <c r="D489" s="79"/>
      <c r="E489" s="80"/>
      <c r="F489" s="80"/>
      <c r="G489" s="81"/>
      <c r="H489" s="80"/>
      <c r="I489" s="80"/>
      <c r="J489" s="82" t="b">
        <v>0</v>
      </c>
    </row>
    <row r="490" ht="12.75" hidden="1" customHeight="1" outlineLevel="1">
      <c r="A490" s="89" t="s">
        <v>478</v>
      </c>
      <c r="B490" s="90" t="s">
        <v>512</v>
      </c>
      <c r="D490" s="79"/>
      <c r="E490" s="80"/>
      <c r="F490" s="80"/>
      <c r="G490" s="81"/>
      <c r="H490" s="80"/>
      <c r="I490" s="80"/>
      <c r="J490" s="82" t="b">
        <v>0</v>
      </c>
    </row>
    <row r="491" ht="12.75" hidden="1" customHeight="1" outlineLevel="1">
      <c r="D491" s="79"/>
      <c r="E491" s="80"/>
      <c r="F491" s="80"/>
      <c r="G491" s="81"/>
      <c r="H491" s="80"/>
      <c r="I491" s="80"/>
      <c r="J491" s="82" t="b">
        <v>0</v>
      </c>
    </row>
    <row r="492" ht="12.75" hidden="1" customHeight="1" outlineLevel="1">
      <c r="A492" s="89" t="s">
        <v>513</v>
      </c>
      <c r="B492" s="90" t="s">
        <v>514</v>
      </c>
      <c r="C492" s="89" t="s">
        <v>40</v>
      </c>
      <c r="D492" s="91">
        <v>70.44</v>
      </c>
      <c r="E492" s="92">
        <v>232.76</v>
      </c>
      <c r="F492" s="92">
        <v>16395.61</v>
      </c>
      <c r="G492" s="93"/>
      <c r="H492" s="92"/>
      <c r="I492" s="92"/>
      <c r="J492" s="82" t="b">
        <v>0</v>
      </c>
    </row>
    <row r="493" ht="12.75" hidden="1" customHeight="1" outlineLevel="1">
      <c r="D493" s="79"/>
      <c r="E493" s="80"/>
      <c r="F493" s="80"/>
      <c r="G493" s="81"/>
      <c r="H493" s="80"/>
      <c r="I493" s="80"/>
      <c r="J493" s="82" t="b">
        <v>0</v>
      </c>
    </row>
    <row r="494" ht="12.75" hidden="1" customHeight="1" outlineLevel="1">
      <c r="A494" s="89" t="s">
        <v>515</v>
      </c>
      <c r="B494" s="90" t="s">
        <v>516</v>
      </c>
      <c r="D494" s="79"/>
      <c r="E494" s="80"/>
      <c r="F494" s="80"/>
      <c r="G494" s="81"/>
      <c r="H494" s="80"/>
      <c r="I494" s="80"/>
      <c r="J494" s="82" t="b">
        <v>0</v>
      </c>
    </row>
    <row r="495" ht="12.75" hidden="1" customHeight="1" outlineLevel="1">
      <c r="D495" s="79"/>
      <c r="E495" s="80"/>
      <c r="F495" s="80"/>
      <c r="G495" s="81"/>
      <c r="H495" s="80"/>
      <c r="I495" s="80"/>
      <c r="J495" s="82" t="b">
        <v>0</v>
      </c>
    </row>
    <row r="496" ht="12.75" hidden="1" customHeight="1" outlineLevel="1">
      <c r="A496" s="89" t="s">
        <v>517</v>
      </c>
      <c r="B496" s="90" t="s">
        <v>518</v>
      </c>
      <c r="C496" s="89" t="s">
        <v>40</v>
      </c>
      <c r="D496" s="91">
        <v>39.46</v>
      </c>
      <c r="E496" s="92">
        <v>232.76</v>
      </c>
      <c r="F496" s="92">
        <v>9184.71</v>
      </c>
      <c r="G496" s="93"/>
      <c r="H496" s="92"/>
      <c r="I496" s="92"/>
      <c r="J496" s="82" t="b">
        <v>0</v>
      </c>
    </row>
    <row r="497" ht="12.75" hidden="1" customHeight="1" outlineLevel="1">
      <c r="D497" s="79"/>
      <c r="E497" s="80"/>
      <c r="F497" s="80"/>
      <c r="G497" s="81"/>
      <c r="H497" s="80"/>
      <c r="I497" s="80"/>
      <c r="J497" s="82" t="b">
        <v>0</v>
      </c>
    </row>
    <row r="498" ht="12.75" hidden="1" customHeight="1" outlineLevel="1">
      <c r="A498" s="89" t="s">
        <v>519</v>
      </c>
      <c r="B498" s="90" t="s">
        <v>520</v>
      </c>
      <c r="D498" s="79"/>
      <c r="E498" s="80"/>
      <c r="F498" s="80"/>
      <c r="G498" s="81"/>
      <c r="H498" s="80"/>
      <c r="I498" s="80"/>
      <c r="J498" s="82" t="b">
        <v>0</v>
      </c>
    </row>
    <row r="499" ht="12.75" hidden="1" customHeight="1" outlineLevel="1">
      <c r="D499" s="79"/>
      <c r="E499" s="80"/>
      <c r="F499" s="80"/>
      <c r="G499" s="81"/>
      <c r="H499" s="80"/>
      <c r="I499" s="80"/>
      <c r="J499" s="82" t="b">
        <v>0</v>
      </c>
    </row>
    <row r="500" ht="12.75" hidden="1" customHeight="1" outlineLevel="1">
      <c r="A500" s="89" t="s">
        <v>521</v>
      </c>
      <c r="B500" s="90" t="s">
        <v>522</v>
      </c>
      <c r="C500" s="89" t="s">
        <v>40</v>
      </c>
      <c r="D500" s="91">
        <v>40.81</v>
      </c>
      <c r="E500" s="92">
        <v>232.76</v>
      </c>
      <c r="F500" s="92">
        <v>9498.94</v>
      </c>
      <c r="G500" s="93"/>
      <c r="H500" s="92"/>
      <c r="I500" s="92"/>
      <c r="J500" s="82" t="b">
        <v>0</v>
      </c>
    </row>
    <row r="501" ht="12.75" hidden="1" customHeight="1" outlineLevel="1">
      <c r="D501" s="79"/>
      <c r="E501" s="80"/>
      <c r="F501" s="80"/>
      <c r="G501" s="81"/>
      <c r="H501" s="80"/>
      <c r="I501" s="80"/>
      <c r="J501" s="82" t="b">
        <v>0</v>
      </c>
    </row>
    <row r="502" ht="12.75" hidden="1" customHeight="1" outlineLevel="1">
      <c r="A502" s="89" t="s">
        <v>523</v>
      </c>
      <c r="B502" s="90" t="s">
        <v>524</v>
      </c>
      <c r="D502" s="79"/>
      <c r="E502" s="80"/>
      <c r="F502" s="80"/>
      <c r="G502" s="81"/>
      <c r="H502" s="80"/>
      <c r="I502" s="80"/>
      <c r="J502" s="82" t="b">
        <v>0</v>
      </c>
    </row>
    <row r="503" ht="12.75" hidden="1" customHeight="1" outlineLevel="1">
      <c r="D503" s="79"/>
      <c r="E503" s="80"/>
      <c r="F503" s="80"/>
      <c r="G503" s="81"/>
      <c r="H503" s="80"/>
      <c r="I503" s="80"/>
      <c r="J503" s="82" t="b">
        <v>0</v>
      </c>
    </row>
    <row r="504" ht="12.75" hidden="1" customHeight="1" outlineLevel="1">
      <c r="A504" s="89" t="s">
        <v>525</v>
      </c>
      <c r="B504" s="90" t="s">
        <v>526</v>
      </c>
      <c r="C504" s="89" t="s">
        <v>40</v>
      </c>
      <c r="D504" s="91">
        <v>7.9</v>
      </c>
      <c r="E504" s="92">
        <v>232.76</v>
      </c>
      <c r="F504" s="92">
        <v>1838.8</v>
      </c>
      <c r="G504" s="93"/>
      <c r="H504" s="92"/>
      <c r="I504" s="92"/>
      <c r="J504" s="82" t="b">
        <v>0</v>
      </c>
    </row>
    <row r="505" ht="12.75" hidden="1" customHeight="1" outlineLevel="1">
      <c r="D505" s="79"/>
      <c r="E505" s="80"/>
      <c r="F505" s="80"/>
      <c r="G505" s="81"/>
      <c r="H505" s="80"/>
      <c r="I505" s="80"/>
      <c r="J505" s="82" t="b">
        <v>0</v>
      </c>
    </row>
    <row r="506" ht="12.75" hidden="1" customHeight="1" outlineLevel="1">
      <c r="A506" s="89" t="s">
        <v>480</v>
      </c>
      <c r="B506" s="90" t="s">
        <v>527</v>
      </c>
      <c r="D506" s="79"/>
      <c r="E506" s="80"/>
      <c r="F506" s="80"/>
      <c r="G506" s="81"/>
      <c r="H506" s="80"/>
      <c r="I506" s="80"/>
      <c r="J506" s="82" t="b">
        <v>0</v>
      </c>
    </row>
    <row r="507" ht="12.75" hidden="1" customHeight="1" outlineLevel="1">
      <c r="D507" s="79"/>
      <c r="E507" s="80"/>
      <c r="F507" s="80"/>
      <c r="G507" s="81"/>
      <c r="H507" s="80"/>
      <c r="I507" s="80"/>
      <c r="J507" s="82" t="b">
        <v>0</v>
      </c>
    </row>
    <row r="508" ht="12.75" hidden="1" customHeight="1" outlineLevel="1">
      <c r="A508" s="89" t="s">
        <v>482</v>
      </c>
      <c r="B508" s="90" t="s">
        <v>528</v>
      </c>
      <c r="D508" s="79"/>
      <c r="E508" s="80"/>
      <c r="F508" s="80"/>
      <c r="G508" s="81"/>
      <c r="H508" s="80"/>
      <c r="I508" s="80"/>
      <c r="J508" s="82" t="b">
        <v>0</v>
      </c>
    </row>
    <row r="509" ht="12.75" hidden="1" customHeight="1" outlineLevel="1">
      <c r="D509" s="79"/>
      <c r="E509" s="80"/>
      <c r="F509" s="80"/>
      <c r="G509" s="81"/>
      <c r="H509" s="80"/>
      <c r="I509" s="80"/>
      <c r="J509" s="82" t="b">
        <v>0</v>
      </c>
    </row>
    <row r="510" ht="12.75" hidden="1" customHeight="1" outlineLevel="1">
      <c r="A510" s="89" t="s">
        <v>484</v>
      </c>
      <c r="B510" s="90" t="s">
        <v>529</v>
      </c>
      <c r="C510" s="89" t="s">
        <v>161</v>
      </c>
      <c r="D510" s="91">
        <v>3.6</v>
      </c>
      <c r="E510" s="92">
        <v>139.41</v>
      </c>
      <c r="F510" s="92">
        <v>501.88</v>
      </c>
      <c r="G510" s="93"/>
      <c r="H510" s="92"/>
      <c r="I510" s="92"/>
      <c r="J510" s="82" t="b">
        <v>0</v>
      </c>
    </row>
    <row r="511" ht="12.75" hidden="1" customHeight="1" outlineLevel="1">
      <c r="D511" s="79"/>
      <c r="E511" s="80"/>
      <c r="F511" s="80"/>
      <c r="G511" s="81"/>
      <c r="H511" s="80"/>
      <c r="I511" s="80"/>
      <c r="J511" s="82" t="b">
        <v>0</v>
      </c>
    </row>
    <row r="512" ht="12.75" hidden="1" customHeight="1" outlineLevel="1">
      <c r="A512" s="89" t="s">
        <v>486</v>
      </c>
      <c r="B512" s="90" t="s">
        <v>530</v>
      </c>
      <c r="C512" s="89" t="s">
        <v>161</v>
      </c>
      <c r="D512" s="91">
        <v>22.07</v>
      </c>
      <c r="E512" s="92">
        <v>187.9</v>
      </c>
      <c r="F512" s="92">
        <v>4146.95</v>
      </c>
      <c r="G512" s="93"/>
      <c r="H512" s="92"/>
      <c r="I512" s="92"/>
      <c r="J512" s="82" t="b">
        <v>0</v>
      </c>
    </row>
    <row r="513" ht="12.75" hidden="1" customHeight="1" outlineLevel="1">
      <c r="D513" s="79"/>
      <c r="E513" s="80"/>
      <c r="F513" s="80"/>
      <c r="G513" s="81"/>
      <c r="H513" s="80"/>
      <c r="I513" s="80"/>
      <c r="J513" s="82" t="b">
        <v>0</v>
      </c>
    </row>
    <row r="514" ht="12.75" hidden="1" customHeight="1" outlineLevel="1">
      <c r="A514" s="89" t="s">
        <v>488</v>
      </c>
      <c r="B514" s="90" t="s">
        <v>531</v>
      </c>
      <c r="C514" s="89" t="s">
        <v>161</v>
      </c>
      <c r="D514" s="91">
        <v>0.85</v>
      </c>
      <c r="E514" s="92">
        <v>84.46</v>
      </c>
      <c r="F514" s="92">
        <v>71.79</v>
      </c>
      <c r="G514" s="93"/>
      <c r="H514" s="92"/>
      <c r="I514" s="92"/>
      <c r="J514" s="82" t="b">
        <v>0</v>
      </c>
    </row>
    <row r="515" ht="12.75" hidden="1" customHeight="1" outlineLevel="1">
      <c r="D515" s="79"/>
      <c r="E515" s="80"/>
      <c r="F515" s="80"/>
      <c r="G515" s="81"/>
      <c r="H515" s="80"/>
      <c r="I515" s="80"/>
      <c r="J515" s="82" t="b">
        <v>0</v>
      </c>
    </row>
    <row r="516" ht="12.75" hidden="1" customHeight="1" outlineLevel="1">
      <c r="A516" s="89" t="s">
        <v>532</v>
      </c>
      <c r="B516" s="90" t="s">
        <v>533</v>
      </c>
      <c r="D516" s="79"/>
      <c r="E516" s="80"/>
      <c r="F516" s="80"/>
      <c r="G516" s="81"/>
      <c r="H516" s="80"/>
      <c r="I516" s="80"/>
      <c r="J516" s="82" t="b">
        <v>0</v>
      </c>
    </row>
    <row r="517" ht="12.75" hidden="1" customHeight="1" outlineLevel="1">
      <c r="D517" s="79"/>
      <c r="E517" s="80"/>
      <c r="F517" s="80"/>
      <c r="G517" s="81"/>
      <c r="H517" s="80"/>
      <c r="I517" s="80"/>
      <c r="J517" s="82" t="b">
        <v>0</v>
      </c>
    </row>
    <row r="518" ht="12.75" hidden="1" customHeight="1" outlineLevel="1">
      <c r="A518" s="89" t="s">
        <v>534</v>
      </c>
      <c r="B518" s="90" t="s">
        <v>535</v>
      </c>
      <c r="C518" s="89" t="s">
        <v>75</v>
      </c>
      <c r="D518" s="91">
        <v>1.0</v>
      </c>
      <c r="E518" s="92">
        <v>1810.34</v>
      </c>
      <c r="F518" s="92">
        <v>1810.34</v>
      </c>
      <c r="G518" s="93"/>
      <c r="H518" s="92"/>
      <c r="I518" s="92"/>
      <c r="J518" s="82" t="b">
        <v>0</v>
      </c>
    </row>
    <row r="519" ht="12.75" hidden="1" customHeight="1" outlineLevel="1">
      <c r="D519" s="79"/>
      <c r="E519" s="80"/>
      <c r="F519" s="80"/>
      <c r="G519" s="81"/>
      <c r="H519" s="80"/>
      <c r="I519" s="80"/>
      <c r="J519" s="82" t="b">
        <v>0</v>
      </c>
    </row>
    <row r="520" ht="12.75" customHeight="1" collapsed="1">
      <c r="A520" s="123">
        <v>2.1</v>
      </c>
      <c r="B520" s="84" t="s">
        <v>536</v>
      </c>
      <c r="C520" s="87">
        <f>SUM(F526:F588)</f>
        <v>56234.54</v>
      </c>
      <c r="D520" s="86"/>
      <c r="E520" s="88"/>
      <c r="F520" s="88"/>
      <c r="G520" s="81"/>
      <c r="H520" s="80"/>
      <c r="I520" s="80"/>
      <c r="J520" s="82" t="b">
        <v>0</v>
      </c>
    </row>
    <row r="521" ht="12.75" hidden="1" customHeight="1" outlineLevel="1">
      <c r="D521" s="79"/>
      <c r="E521" s="80"/>
      <c r="F521" s="80"/>
      <c r="G521" s="81"/>
      <c r="H521" s="80"/>
      <c r="I521" s="80"/>
      <c r="J521" s="82" t="b">
        <v>0</v>
      </c>
    </row>
    <row r="522" ht="12.75" hidden="1" customHeight="1" outlineLevel="1">
      <c r="A522" s="89" t="s">
        <v>537</v>
      </c>
      <c r="B522" s="90" t="s">
        <v>538</v>
      </c>
      <c r="D522" s="79"/>
      <c r="E522" s="80"/>
      <c r="F522" s="80"/>
      <c r="G522" s="81"/>
      <c r="H522" s="80"/>
      <c r="I522" s="80"/>
      <c r="J522" s="82" t="b">
        <v>0</v>
      </c>
    </row>
    <row r="523" ht="12.75" hidden="1" customHeight="1" outlineLevel="1">
      <c r="D523" s="79"/>
      <c r="E523" s="80"/>
      <c r="F523" s="80"/>
      <c r="G523" s="81"/>
      <c r="H523" s="80"/>
      <c r="I523" s="80"/>
      <c r="J523" s="82" t="b">
        <v>0</v>
      </c>
    </row>
    <row r="524" ht="12.75" hidden="1" customHeight="1" outlineLevel="1">
      <c r="A524" s="89" t="s">
        <v>539</v>
      </c>
      <c r="B524" s="90" t="s">
        <v>540</v>
      </c>
      <c r="D524" s="79"/>
      <c r="E524" s="80"/>
      <c r="F524" s="80"/>
      <c r="G524" s="81"/>
      <c r="H524" s="80"/>
      <c r="I524" s="80"/>
      <c r="J524" s="82" t="b">
        <v>0</v>
      </c>
    </row>
    <row r="525" ht="12.75" hidden="1" customHeight="1" outlineLevel="1">
      <c r="D525" s="79"/>
      <c r="E525" s="80"/>
      <c r="F525" s="80"/>
      <c r="G525" s="81"/>
      <c r="H525" s="80"/>
      <c r="I525" s="80"/>
      <c r="J525" s="82" t="b">
        <v>0</v>
      </c>
    </row>
    <row r="526" ht="12.75" hidden="1" customHeight="1" outlineLevel="1">
      <c r="A526" s="89" t="s">
        <v>541</v>
      </c>
      <c r="B526" s="90" t="s">
        <v>542</v>
      </c>
      <c r="C526" s="89" t="s">
        <v>227</v>
      </c>
      <c r="D526" s="91">
        <v>1.0</v>
      </c>
      <c r="E526" s="92">
        <v>3735.61</v>
      </c>
      <c r="F526" s="92">
        <v>3735.61</v>
      </c>
      <c r="G526" s="93"/>
      <c r="H526" s="92"/>
      <c r="I526" s="92"/>
      <c r="J526" s="82" t="b">
        <v>0</v>
      </c>
    </row>
    <row r="527" ht="12.75" hidden="1" customHeight="1" outlineLevel="1">
      <c r="D527" s="79"/>
      <c r="E527" s="80"/>
      <c r="F527" s="80"/>
      <c r="G527" s="81"/>
      <c r="H527" s="80"/>
      <c r="I527" s="80"/>
      <c r="J527" s="82" t="b">
        <v>0</v>
      </c>
    </row>
    <row r="528" ht="12.75" hidden="1" customHeight="1" outlineLevel="1">
      <c r="A528" s="89" t="s">
        <v>543</v>
      </c>
      <c r="B528" s="90" t="s">
        <v>544</v>
      </c>
      <c r="C528" s="89" t="s">
        <v>227</v>
      </c>
      <c r="D528" s="91">
        <v>1.0</v>
      </c>
      <c r="E528" s="92">
        <v>3735.61</v>
      </c>
      <c r="F528" s="92">
        <v>3735.61</v>
      </c>
      <c r="G528" s="93"/>
      <c r="H528" s="92"/>
      <c r="I528" s="92"/>
      <c r="J528" s="82" t="b">
        <v>0</v>
      </c>
    </row>
    <row r="529" ht="12.75" hidden="1" customHeight="1" outlineLevel="1">
      <c r="D529" s="79"/>
      <c r="E529" s="80"/>
      <c r="F529" s="80"/>
      <c r="G529" s="81"/>
      <c r="H529" s="80"/>
      <c r="I529" s="80"/>
      <c r="J529" s="82" t="b">
        <v>0</v>
      </c>
    </row>
    <row r="530" ht="12.75" hidden="1" customHeight="1" outlineLevel="1">
      <c r="A530" s="89" t="s">
        <v>545</v>
      </c>
      <c r="B530" s="90" t="s">
        <v>546</v>
      </c>
      <c r="C530" s="89" t="s">
        <v>227</v>
      </c>
      <c r="D530" s="91">
        <v>1.0</v>
      </c>
      <c r="E530" s="92">
        <v>2791.65</v>
      </c>
      <c r="F530" s="92">
        <v>2791.65</v>
      </c>
      <c r="G530" s="93"/>
      <c r="H530" s="92"/>
      <c r="I530" s="92"/>
      <c r="J530" s="82" t="b">
        <v>0</v>
      </c>
    </row>
    <row r="531" ht="12.75" hidden="1" customHeight="1" outlineLevel="1">
      <c r="D531" s="79"/>
      <c r="E531" s="80"/>
      <c r="F531" s="80"/>
      <c r="G531" s="81"/>
      <c r="H531" s="80"/>
      <c r="I531" s="80"/>
      <c r="J531" s="82" t="b">
        <v>0</v>
      </c>
    </row>
    <row r="532" ht="12.75" hidden="1" customHeight="1" outlineLevel="1">
      <c r="A532" s="89" t="s">
        <v>547</v>
      </c>
      <c r="B532" s="90" t="s">
        <v>548</v>
      </c>
      <c r="D532" s="79"/>
      <c r="E532" s="80"/>
      <c r="F532" s="80"/>
      <c r="G532" s="81"/>
      <c r="H532" s="80"/>
      <c r="I532" s="80"/>
      <c r="J532" s="82" t="b">
        <v>0</v>
      </c>
    </row>
    <row r="533" ht="12.75" hidden="1" customHeight="1" outlineLevel="1">
      <c r="D533" s="79"/>
      <c r="E533" s="80"/>
      <c r="F533" s="80"/>
      <c r="G533" s="81"/>
      <c r="H533" s="80"/>
      <c r="I533" s="80"/>
      <c r="J533" s="82" t="b">
        <v>0</v>
      </c>
    </row>
    <row r="534" ht="12.75" hidden="1" customHeight="1" outlineLevel="1">
      <c r="A534" s="109" t="s">
        <v>549</v>
      </c>
      <c r="B534" s="110" t="s">
        <v>550</v>
      </c>
      <c r="C534" s="124"/>
      <c r="D534" s="125"/>
      <c r="E534" s="126"/>
      <c r="F534" s="126"/>
      <c r="G534" s="127"/>
      <c r="H534" s="126"/>
      <c r="I534" s="126"/>
      <c r="J534" s="114" t="b">
        <v>0</v>
      </c>
    </row>
    <row r="535" ht="12.75" hidden="1" customHeight="1" outlineLevel="1">
      <c r="A535" s="124"/>
      <c r="B535" s="124"/>
      <c r="C535" s="124"/>
      <c r="D535" s="125"/>
      <c r="E535" s="126"/>
      <c r="F535" s="126"/>
      <c r="G535" s="127"/>
      <c r="H535" s="126"/>
      <c r="I535" s="126"/>
      <c r="J535" s="114" t="b">
        <v>0</v>
      </c>
    </row>
    <row r="536" ht="12.75" hidden="1" customHeight="1" outlineLevel="1">
      <c r="A536" s="109" t="s">
        <v>551</v>
      </c>
      <c r="B536" s="110" t="s">
        <v>552</v>
      </c>
      <c r="C536" s="109" t="s">
        <v>75</v>
      </c>
      <c r="D536" s="111">
        <v>1.0</v>
      </c>
      <c r="E536" s="112">
        <v>3980.2</v>
      </c>
      <c r="F536" s="112">
        <v>3980.2</v>
      </c>
      <c r="G536" s="113"/>
      <c r="H536" s="112"/>
      <c r="I536" s="112"/>
      <c r="J536" s="114" t="b">
        <v>0</v>
      </c>
    </row>
    <row r="537" ht="12.75" hidden="1" customHeight="1" outlineLevel="1">
      <c r="A537" s="124"/>
      <c r="B537" s="124"/>
      <c r="C537" s="124"/>
      <c r="D537" s="125"/>
      <c r="E537" s="126"/>
      <c r="F537" s="126"/>
      <c r="G537" s="127"/>
      <c r="H537" s="126"/>
      <c r="I537" s="126"/>
      <c r="J537" s="114" t="b">
        <v>0</v>
      </c>
    </row>
    <row r="538" ht="12.75" hidden="1" customHeight="1" outlineLevel="1">
      <c r="A538" s="109" t="s">
        <v>553</v>
      </c>
      <c r="B538" s="110" t="s">
        <v>554</v>
      </c>
      <c r="C538" s="109" t="s">
        <v>75</v>
      </c>
      <c r="D538" s="111">
        <v>1.0</v>
      </c>
      <c r="E538" s="112">
        <v>3980.2</v>
      </c>
      <c r="F538" s="112">
        <v>3980.2</v>
      </c>
      <c r="G538" s="113"/>
      <c r="H538" s="112"/>
      <c r="I538" s="112"/>
      <c r="J538" s="114" t="b">
        <v>0</v>
      </c>
    </row>
    <row r="539" ht="12.75" hidden="1" customHeight="1" outlineLevel="1">
      <c r="A539" s="124"/>
      <c r="B539" s="124"/>
      <c r="C539" s="124"/>
      <c r="D539" s="125"/>
      <c r="E539" s="126"/>
      <c r="F539" s="126"/>
      <c r="G539" s="127"/>
      <c r="H539" s="126"/>
      <c r="I539" s="126"/>
      <c r="J539" s="114" t="b">
        <v>0</v>
      </c>
    </row>
    <row r="540" ht="12.75" hidden="1" customHeight="1" outlineLevel="1">
      <c r="A540" s="109" t="s">
        <v>555</v>
      </c>
      <c r="B540" s="110" t="s">
        <v>556</v>
      </c>
      <c r="C540" s="109" t="s">
        <v>75</v>
      </c>
      <c r="D540" s="111">
        <v>1.0</v>
      </c>
      <c r="E540" s="112">
        <v>3980.2</v>
      </c>
      <c r="F540" s="112">
        <v>3980.2</v>
      </c>
      <c r="G540" s="113"/>
      <c r="H540" s="112"/>
      <c r="I540" s="128"/>
      <c r="J540" s="114" t="b">
        <v>0</v>
      </c>
    </row>
    <row r="541" ht="12.75" hidden="1" customHeight="1" outlineLevel="1">
      <c r="D541" s="79"/>
      <c r="E541" s="80"/>
      <c r="F541" s="80"/>
      <c r="G541" s="81"/>
      <c r="H541" s="80"/>
      <c r="I541" s="80"/>
      <c r="J541" s="82" t="b">
        <v>0</v>
      </c>
    </row>
    <row r="542" ht="12.75" hidden="1" customHeight="1" outlineLevel="1">
      <c r="A542" s="89" t="s">
        <v>547</v>
      </c>
      <c r="B542" s="90" t="s">
        <v>557</v>
      </c>
      <c r="D542" s="79"/>
      <c r="E542" s="80"/>
      <c r="F542" s="80"/>
      <c r="G542" s="81"/>
      <c r="H542" s="80"/>
      <c r="I542" s="80"/>
      <c r="J542" s="82" t="b">
        <v>0</v>
      </c>
    </row>
    <row r="543" ht="12.75" hidden="1" customHeight="1" outlineLevel="1">
      <c r="D543" s="79"/>
      <c r="E543" s="80"/>
      <c r="F543" s="80"/>
      <c r="G543" s="81"/>
      <c r="H543" s="80"/>
      <c r="I543" s="80"/>
      <c r="J543" s="82" t="b">
        <v>0</v>
      </c>
    </row>
    <row r="544" ht="12.75" hidden="1" customHeight="1" outlineLevel="1">
      <c r="A544" s="89" t="s">
        <v>549</v>
      </c>
      <c r="B544" s="90" t="s">
        <v>558</v>
      </c>
      <c r="C544" s="89" t="s">
        <v>75</v>
      </c>
      <c r="D544" s="91">
        <v>7.0</v>
      </c>
      <c r="E544" s="92">
        <v>538.27</v>
      </c>
      <c r="F544" s="92">
        <v>3767.89</v>
      </c>
      <c r="G544" s="93">
        <v>261.0</v>
      </c>
      <c r="H544" s="92">
        <f>D544*G544</f>
        <v>1827</v>
      </c>
      <c r="I544" s="129" t="s">
        <v>559</v>
      </c>
      <c r="J544" s="130" t="b">
        <v>0</v>
      </c>
    </row>
    <row r="545" ht="12.75" hidden="1" customHeight="1" outlineLevel="1">
      <c r="D545" s="79"/>
      <c r="E545" s="80"/>
      <c r="F545" s="80"/>
      <c r="G545" s="81"/>
      <c r="H545" s="80"/>
      <c r="I545" s="80"/>
      <c r="J545" s="82" t="b">
        <v>0</v>
      </c>
    </row>
    <row r="546" ht="12.75" hidden="1" customHeight="1" outlineLevel="1">
      <c r="A546" s="89" t="s">
        <v>560</v>
      </c>
      <c r="B546" s="90" t="s">
        <v>561</v>
      </c>
      <c r="C546" s="89" t="s">
        <v>75</v>
      </c>
      <c r="D546" s="91">
        <v>1.0</v>
      </c>
      <c r="E546" s="92">
        <v>1789.25</v>
      </c>
      <c r="F546" s="92">
        <v>1789.25</v>
      </c>
      <c r="G546" s="93">
        <v>889.0</v>
      </c>
      <c r="H546" s="92"/>
      <c r="I546" s="129" t="s">
        <v>559</v>
      </c>
      <c r="J546" s="131" t="b">
        <v>0</v>
      </c>
    </row>
    <row r="547" ht="12.75" hidden="1" customHeight="1" outlineLevel="1">
      <c r="D547" s="79"/>
      <c r="E547" s="80"/>
      <c r="F547" s="80"/>
      <c r="G547" s="81"/>
      <c r="H547" s="80"/>
      <c r="I547" s="80"/>
      <c r="J547" s="82" t="b">
        <v>0</v>
      </c>
    </row>
    <row r="548" ht="12.75" hidden="1" customHeight="1" outlineLevel="1">
      <c r="A548" s="89" t="s">
        <v>562</v>
      </c>
      <c r="B548" s="90" t="s">
        <v>563</v>
      </c>
      <c r="C548" s="89" t="s">
        <v>75</v>
      </c>
      <c r="D548" s="91">
        <v>6.0</v>
      </c>
      <c r="E548" s="92">
        <v>640.5</v>
      </c>
      <c r="F548" s="92">
        <v>3843.0</v>
      </c>
      <c r="G548" s="132">
        <v>299.0</v>
      </c>
      <c r="H548" s="92">
        <v>1794.0</v>
      </c>
      <c r="I548" s="133" t="s">
        <v>559</v>
      </c>
      <c r="J548" s="130" t="b">
        <v>0</v>
      </c>
    </row>
    <row r="549" ht="12.75" hidden="1" customHeight="1" outlineLevel="1">
      <c r="D549" s="79"/>
      <c r="E549" s="80"/>
      <c r="F549" s="80"/>
      <c r="G549" s="81"/>
      <c r="H549" s="80"/>
      <c r="I549" s="80"/>
      <c r="J549" s="82" t="b">
        <v>0</v>
      </c>
    </row>
    <row r="550" ht="12.75" hidden="1" customHeight="1" outlineLevel="1">
      <c r="A550" s="89" t="s">
        <v>564</v>
      </c>
      <c r="B550" s="90" t="s">
        <v>565</v>
      </c>
      <c r="C550" s="89" t="s">
        <v>75</v>
      </c>
      <c r="D550" s="91">
        <v>2.0</v>
      </c>
      <c r="E550" s="92">
        <v>278.83</v>
      </c>
      <c r="F550" s="92">
        <v>557.66</v>
      </c>
      <c r="G550" s="93">
        <v>58.9</v>
      </c>
      <c r="H550" s="92">
        <f>G550*D550</f>
        <v>117.8</v>
      </c>
      <c r="I550" s="129" t="s">
        <v>559</v>
      </c>
      <c r="J550" s="130" t="b">
        <v>0</v>
      </c>
    </row>
    <row r="551" ht="12.75" hidden="1" customHeight="1" outlineLevel="1">
      <c r="D551" s="79"/>
      <c r="E551" s="80"/>
      <c r="F551" s="80"/>
      <c r="G551" s="81"/>
      <c r="H551" s="80"/>
      <c r="I551" s="80"/>
      <c r="J551" s="82" t="b">
        <v>0</v>
      </c>
    </row>
    <row r="552" ht="12.75" hidden="1" customHeight="1" outlineLevel="1">
      <c r="A552" s="89" t="s">
        <v>566</v>
      </c>
      <c r="B552" s="90" t="s">
        <v>567</v>
      </c>
      <c r="C552" s="89" t="s">
        <v>75</v>
      </c>
      <c r="D552" s="91">
        <v>4.0</v>
      </c>
      <c r="E552" s="92">
        <v>226.98</v>
      </c>
      <c r="F552" s="92">
        <v>907.92</v>
      </c>
      <c r="G552" s="93">
        <v>99.29</v>
      </c>
      <c r="H552" s="92">
        <f>G552*D552</f>
        <v>397.16</v>
      </c>
      <c r="I552" s="129" t="s">
        <v>568</v>
      </c>
      <c r="J552" s="130" t="b">
        <v>0</v>
      </c>
    </row>
    <row r="553" ht="12.75" hidden="1" customHeight="1" outlineLevel="1">
      <c r="D553" s="79"/>
      <c r="E553" s="80"/>
      <c r="F553" s="80"/>
      <c r="G553" s="81"/>
      <c r="H553" s="80"/>
      <c r="I553" s="80"/>
      <c r="J553" s="82" t="b">
        <v>0</v>
      </c>
    </row>
    <row r="554" ht="12.75" hidden="1" customHeight="1" outlineLevel="1">
      <c r="A554" s="89" t="s">
        <v>569</v>
      </c>
      <c r="B554" s="90" t="s">
        <v>570</v>
      </c>
      <c r="D554" s="79"/>
      <c r="E554" s="80"/>
      <c r="F554" s="80"/>
      <c r="G554" s="81"/>
      <c r="H554" s="80"/>
      <c r="I554" s="80"/>
      <c r="J554" s="82" t="b">
        <v>0</v>
      </c>
    </row>
    <row r="555" ht="12.75" hidden="1" customHeight="1" outlineLevel="1">
      <c r="D555" s="79"/>
      <c r="E555" s="80"/>
      <c r="F555" s="80"/>
      <c r="G555" s="81"/>
      <c r="H555" s="80"/>
      <c r="I555" s="80"/>
      <c r="J555" s="82" t="b">
        <v>0</v>
      </c>
    </row>
    <row r="556" ht="12.75" hidden="1" customHeight="1" outlineLevel="1">
      <c r="A556" s="89" t="s">
        <v>571</v>
      </c>
      <c r="B556" s="90" t="s">
        <v>572</v>
      </c>
      <c r="C556" s="89" t="s">
        <v>75</v>
      </c>
      <c r="D556" s="91">
        <v>14.0</v>
      </c>
      <c r="E556" s="92">
        <v>56.55</v>
      </c>
      <c r="F556" s="92">
        <v>791.7</v>
      </c>
      <c r="G556" s="93">
        <v>33.99</v>
      </c>
      <c r="H556" s="92">
        <v>475.86</v>
      </c>
      <c r="I556" s="129" t="s">
        <v>573</v>
      </c>
      <c r="J556" s="130" t="b">
        <v>0</v>
      </c>
    </row>
    <row r="557" ht="12.75" hidden="1" customHeight="1" outlineLevel="1">
      <c r="D557" s="79"/>
      <c r="E557" s="80"/>
      <c r="F557" s="80"/>
      <c r="G557" s="81"/>
      <c r="H557" s="80"/>
      <c r="I557" s="80"/>
      <c r="J557" s="82" t="b">
        <v>0</v>
      </c>
    </row>
    <row r="558" ht="12.75" hidden="1" customHeight="1" outlineLevel="1">
      <c r="A558" s="89" t="s">
        <v>574</v>
      </c>
      <c r="B558" s="90" t="s">
        <v>575</v>
      </c>
      <c r="C558" s="89" t="s">
        <v>75</v>
      </c>
      <c r="D558" s="91">
        <v>6.0</v>
      </c>
      <c r="E558" s="92">
        <v>41.21</v>
      </c>
      <c r="F558" s="92">
        <v>247.26</v>
      </c>
      <c r="G558" s="93"/>
      <c r="H558" s="92"/>
      <c r="I558" s="92"/>
      <c r="J558" s="82" t="b">
        <v>0</v>
      </c>
    </row>
    <row r="559" ht="12.75" hidden="1" customHeight="1" outlineLevel="1">
      <c r="D559" s="79"/>
      <c r="E559" s="80"/>
      <c r="F559" s="80"/>
      <c r="G559" s="81"/>
      <c r="H559" s="80"/>
      <c r="I559" s="80"/>
      <c r="J559" s="82" t="b">
        <v>0</v>
      </c>
    </row>
    <row r="560" ht="12.75" hidden="1" customHeight="1" outlineLevel="1">
      <c r="A560" s="89" t="s">
        <v>576</v>
      </c>
      <c r="B560" s="90" t="s">
        <v>577</v>
      </c>
      <c r="C560" s="89" t="s">
        <v>75</v>
      </c>
      <c r="D560" s="91">
        <v>1.0</v>
      </c>
      <c r="E560" s="92">
        <v>299.86</v>
      </c>
      <c r="F560" s="92">
        <v>299.86</v>
      </c>
      <c r="G560" s="93"/>
      <c r="H560" s="92"/>
      <c r="I560" s="92"/>
      <c r="J560" s="82" t="b">
        <v>0</v>
      </c>
    </row>
    <row r="561" ht="12.75" hidden="1" customHeight="1" outlineLevel="1">
      <c r="D561" s="79"/>
      <c r="E561" s="80"/>
      <c r="F561" s="80"/>
      <c r="G561" s="81"/>
      <c r="H561" s="80"/>
      <c r="I561" s="80"/>
      <c r="J561" s="82" t="b">
        <v>0</v>
      </c>
    </row>
    <row r="562" ht="12.75" hidden="1" customHeight="1" outlineLevel="1">
      <c r="A562" s="89" t="s">
        <v>578</v>
      </c>
      <c r="B562" s="90" t="s">
        <v>579</v>
      </c>
      <c r="C562" s="89" t="s">
        <v>75</v>
      </c>
      <c r="D562" s="91">
        <v>2.0</v>
      </c>
      <c r="E562" s="92">
        <v>249.03</v>
      </c>
      <c r="F562" s="92">
        <v>498.06</v>
      </c>
      <c r="G562" s="93"/>
      <c r="H562" s="92"/>
      <c r="I562" s="92"/>
      <c r="J562" s="82" t="b">
        <v>0</v>
      </c>
    </row>
    <row r="563" ht="12.75" hidden="1" customHeight="1" outlineLevel="1">
      <c r="D563" s="79"/>
      <c r="E563" s="80"/>
      <c r="F563" s="80"/>
      <c r="G563" s="81"/>
      <c r="H563" s="80"/>
      <c r="I563" s="80"/>
      <c r="J563" s="82" t="b">
        <v>0</v>
      </c>
    </row>
    <row r="564" ht="12.75" hidden="1" customHeight="1" outlineLevel="1">
      <c r="A564" s="89" t="s">
        <v>580</v>
      </c>
      <c r="B564" s="90" t="s">
        <v>581</v>
      </c>
      <c r="C564" s="89" t="s">
        <v>75</v>
      </c>
      <c r="D564" s="91">
        <v>1.0</v>
      </c>
      <c r="E564" s="92">
        <v>1109.73</v>
      </c>
      <c r="F564" s="92">
        <v>1109.73</v>
      </c>
      <c r="G564" s="93" t="s">
        <v>582</v>
      </c>
      <c r="H564" s="92"/>
      <c r="I564" s="129" t="s">
        <v>583</v>
      </c>
      <c r="J564" s="82" t="b">
        <v>0</v>
      </c>
    </row>
    <row r="565" ht="12.75" hidden="1" customHeight="1" outlineLevel="1">
      <c r="D565" s="79"/>
      <c r="E565" s="80"/>
      <c r="F565" s="80"/>
      <c r="G565" s="81"/>
      <c r="H565" s="80"/>
      <c r="I565" s="80"/>
      <c r="J565" s="82" t="b">
        <v>0</v>
      </c>
    </row>
    <row r="566" ht="12.75" hidden="1" customHeight="1" outlineLevel="1">
      <c r="A566" s="89" t="s">
        <v>584</v>
      </c>
      <c r="B566" s="90" t="s">
        <v>585</v>
      </c>
      <c r="C566" s="89" t="s">
        <v>75</v>
      </c>
      <c r="D566" s="91">
        <v>6.0</v>
      </c>
      <c r="E566" s="92">
        <v>288.22</v>
      </c>
      <c r="F566" s="92">
        <v>1729.32</v>
      </c>
      <c r="G566" s="81" t="s">
        <v>586</v>
      </c>
      <c r="H566" s="92"/>
      <c r="I566" s="92"/>
      <c r="J566" s="82" t="b">
        <v>0</v>
      </c>
    </row>
    <row r="567" ht="12.75" hidden="1" customHeight="1" outlineLevel="1">
      <c r="D567" s="79"/>
      <c r="E567" s="80"/>
      <c r="F567" s="80"/>
      <c r="G567" s="81"/>
      <c r="H567" s="80"/>
      <c r="I567" s="80"/>
      <c r="J567" s="82" t="b">
        <v>0</v>
      </c>
    </row>
    <row r="568" ht="12.75" hidden="1" customHeight="1" outlineLevel="1">
      <c r="A568" s="89" t="s">
        <v>587</v>
      </c>
      <c r="B568" s="90" t="s">
        <v>588</v>
      </c>
      <c r="C568" s="89" t="s">
        <v>75</v>
      </c>
      <c r="D568" s="91">
        <v>7.0</v>
      </c>
      <c r="E568" s="92">
        <v>729.86</v>
      </c>
      <c r="F568" s="92">
        <v>5109.02</v>
      </c>
      <c r="G568" s="93"/>
      <c r="H568" s="92"/>
      <c r="I568" s="92"/>
      <c r="J568" s="82" t="b">
        <v>0</v>
      </c>
    </row>
    <row r="569" ht="12.75" hidden="1" customHeight="1" outlineLevel="1">
      <c r="D569" s="79"/>
      <c r="E569" s="80"/>
      <c r="F569" s="80"/>
      <c r="G569" s="81"/>
      <c r="H569" s="80"/>
      <c r="I569" s="80"/>
      <c r="J569" s="82" t="b">
        <v>0</v>
      </c>
    </row>
    <row r="570" ht="12.75" hidden="1" customHeight="1" outlineLevel="1">
      <c r="A570" s="89" t="s">
        <v>589</v>
      </c>
      <c r="B570" s="90" t="s">
        <v>590</v>
      </c>
      <c r="C570" s="89" t="s">
        <v>75</v>
      </c>
      <c r="D570" s="91">
        <v>3.0</v>
      </c>
      <c r="E570" s="92">
        <v>299.6</v>
      </c>
      <c r="F570" s="92">
        <v>898.8</v>
      </c>
      <c r="G570" s="93"/>
      <c r="H570" s="92"/>
      <c r="I570" s="92"/>
      <c r="J570" s="82" t="b">
        <v>0</v>
      </c>
    </row>
    <row r="571" ht="12.75" hidden="1" customHeight="1" outlineLevel="1">
      <c r="D571" s="79"/>
      <c r="E571" s="80"/>
      <c r="F571" s="80"/>
      <c r="G571" s="81"/>
      <c r="H571" s="80"/>
      <c r="I571" s="80"/>
      <c r="J571" s="82" t="b">
        <v>0</v>
      </c>
    </row>
    <row r="572" ht="12.75" hidden="1" customHeight="1" outlineLevel="1">
      <c r="A572" s="89" t="s">
        <v>591</v>
      </c>
      <c r="B572" s="90" t="s">
        <v>592</v>
      </c>
      <c r="D572" s="79"/>
      <c r="E572" s="80"/>
      <c r="F572" s="80"/>
      <c r="G572" s="81"/>
      <c r="H572" s="80"/>
      <c r="I572" s="80"/>
      <c r="J572" s="82" t="b">
        <v>0</v>
      </c>
    </row>
    <row r="573" ht="12.75" hidden="1" customHeight="1" outlineLevel="1">
      <c r="D573" s="79"/>
      <c r="E573" s="80"/>
      <c r="F573" s="80"/>
      <c r="G573" s="81"/>
      <c r="H573" s="80"/>
      <c r="I573" s="80"/>
      <c r="J573" s="82" t="b">
        <v>0</v>
      </c>
    </row>
    <row r="574" ht="12.75" hidden="1" customHeight="1" outlineLevel="1">
      <c r="A574" s="89" t="s">
        <v>593</v>
      </c>
      <c r="B574" s="90" t="s">
        <v>594</v>
      </c>
      <c r="C574" s="89" t="s">
        <v>75</v>
      </c>
      <c r="D574" s="91">
        <v>6.0</v>
      </c>
      <c r="E574" s="92">
        <v>53.6</v>
      </c>
      <c r="F574" s="92">
        <v>321.6</v>
      </c>
      <c r="G574" s="93"/>
      <c r="H574" s="92"/>
      <c r="I574" s="92"/>
      <c r="J574" s="82" t="b">
        <v>0</v>
      </c>
    </row>
    <row r="575" ht="12.75" hidden="1" customHeight="1" outlineLevel="1">
      <c r="D575" s="79"/>
      <c r="E575" s="80"/>
      <c r="F575" s="80"/>
      <c r="G575" s="81"/>
      <c r="H575" s="80"/>
      <c r="I575" s="80"/>
      <c r="J575" s="82" t="b">
        <v>0</v>
      </c>
    </row>
    <row r="576" ht="12.75" hidden="1" customHeight="1" outlineLevel="1">
      <c r="A576" s="89" t="s">
        <v>595</v>
      </c>
      <c r="B576" s="90" t="s">
        <v>596</v>
      </c>
      <c r="C576" s="89" t="s">
        <v>75</v>
      </c>
      <c r="D576" s="91">
        <v>11.0</v>
      </c>
      <c r="E576" s="92">
        <v>92.39</v>
      </c>
      <c r="F576" s="92">
        <v>1016.29</v>
      </c>
      <c r="G576" s="93"/>
      <c r="H576" s="92"/>
      <c r="I576" s="92"/>
      <c r="J576" s="82" t="b">
        <v>0</v>
      </c>
    </row>
    <row r="577" ht="12.75" hidden="1" customHeight="1" outlineLevel="1">
      <c r="D577" s="79"/>
      <c r="E577" s="80"/>
      <c r="F577" s="80"/>
      <c r="G577" s="81"/>
      <c r="H577" s="80"/>
      <c r="I577" s="80"/>
      <c r="J577" s="82" t="b">
        <v>0</v>
      </c>
    </row>
    <row r="578" ht="12.75" hidden="1" customHeight="1" outlineLevel="1">
      <c r="A578" s="89" t="s">
        <v>597</v>
      </c>
      <c r="B578" s="90" t="s">
        <v>598</v>
      </c>
      <c r="C578" s="89" t="s">
        <v>75</v>
      </c>
      <c r="D578" s="91">
        <v>3.0</v>
      </c>
      <c r="E578" s="92">
        <v>66.37</v>
      </c>
      <c r="F578" s="92">
        <v>199.11</v>
      </c>
      <c r="G578" s="93"/>
      <c r="H578" s="92"/>
      <c r="I578" s="92"/>
      <c r="J578" s="82" t="b">
        <v>0</v>
      </c>
    </row>
    <row r="579" ht="12.75" hidden="1" customHeight="1" outlineLevel="1">
      <c r="D579" s="79"/>
      <c r="E579" s="80"/>
      <c r="F579" s="80"/>
      <c r="G579" s="81"/>
      <c r="H579" s="80"/>
      <c r="I579" s="80"/>
      <c r="J579" s="82" t="b">
        <v>0</v>
      </c>
    </row>
    <row r="580" ht="12.75" hidden="1" customHeight="1" outlineLevel="1">
      <c r="A580" s="89" t="s">
        <v>599</v>
      </c>
      <c r="B580" s="90" t="s">
        <v>600</v>
      </c>
      <c r="C580" s="89" t="s">
        <v>75</v>
      </c>
      <c r="D580" s="91">
        <v>3.0</v>
      </c>
      <c r="E580" s="92">
        <v>64.54</v>
      </c>
      <c r="F580" s="92">
        <v>193.62</v>
      </c>
      <c r="G580" s="93"/>
      <c r="H580" s="92"/>
      <c r="I580" s="92"/>
      <c r="J580" s="82" t="b">
        <v>0</v>
      </c>
    </row>
    <row r="581" ht="12.75" hidden="1" customHeight="1" outlineLevel="1">
      <c r="D581" s="79"/>
      <c r="E581" s="80"/>
      <c r="F581" s="80"/>
      <c r="G581" s="81"/>
      <c r="H581" s="80"/>
      <c r="I581" s="80"/>
      <c r="J581" s="82" t="b">
        <v>0</v>
      </c>
    </row>
    <row r="582" ht="12.75" hidden="1" customHeight="1" outlineLevel="1">
      <c r="A582" s="89" t="s">
        <v>601</v>
      </c>
      <c r="B582" s="90" t="s">
        <v>602</v>
      </c>
      <c r="C582" s="89" t="s">
        <v>75</v>
      </c>
      <c r="D582" s="91">
        <v>1.0</v>
      </c>
      <c r="E582" s="92">
        <v>789.54</v>
      </c>
      <c r="F582" s="92">
        <v>789.54</v>
      </c>
      <c r="G582" s="93"/>
      <c r="H582" s="92"/>
      <c r="I582" s="92"/>
      <c r="J582" s="82" t="b">
        <v>0</v>
      </c>
    </row>
    <row r="583" ht="12.75" hidden="1" customHeight="1" outlineLevel="1">
      <c r="D583" s="79"/>
      <c r="E583" s="80"/>
      <c r="F583" s="80"/>
      <c r="G583" s="81"/>
      <c r="H583" s="80"/>
      <c r="I583" s="80"/>
      <c r="J583" s="82" t="b">
        <v>0</v>
      </c>
    </row>
    <row r="584" ht="12.75" hidden="1" customHeight="1" outlineLevel="1">
      <c r="A584" s="89" t="s">
        <v>603</v>
      </c>
      <c r="B584" s="90" t="s">
        <v>604</v>
      </c>
      <c r="C584" s="89" t="s">
        <v>40</v>
      </c>
      <c r="D584" s="91">
        <v>21.85</v>
      </c>
      <c r="E584" s="92">
        <v>323.28</v>
      </c>
      <c r="F584" s="92">
        <v>7063.67</v>
      </c>
      <c r="G584" s="93"/>
      <c r="H584" s="92"/>
      <c r="I584" s="92"/>
      <c r="J584" s="82" t="b">
        <v>0</v>
      </c>
    </row>
    <row r="585" ht="12.75" hidden="1" customHeight="1" outlineLevel="1">
      <c r="D585" s="79"/>
      <c r="E585" s="80"/>
      <c r="F585" s="80"/>
      <c r="G585" s="81"/>
      <c r="H585" s="80"/>
      <c r="I585" s="80"/>
      <c r="J585" s="82" t="b">
        <v>0</v>
      </c>
    </row>
    <row r="586" ht="12.75" hidden="1" customHeight="1" outlineLevel="1">
      <c r="A586" s="89" t="s">
        <v>605</v>
      </c>
      <c r="B586" s="90" t="s">
        <v>606</v>
      </c>
      <c r="C586" s="89" t="s">
        <v>75</v>
      </c>
      <c r="D586" s="91">
        <v>2.0</v>
      </c>
      <c r="E586" s="92">
        <v>206.9</v>
      </c>
      <c r="F586" s="92">
        <v>413.8</v>
      </c>
      <c r="G586" s="93"/>
      <c r="H586" s="92"/>
      <c r="I586" s="92"/>
      <c r="J586" s="82" t="b">
        <v>0</v>
      </c>
    </row>
    <row r="587" ht="12.75" hidden="1" customHeight="1" outlineLevel="1">
      <c r="D587" s="79"/>
      <c r="E587" s="80"/>
      <c r="F587" s="80"/>
      <c r="G587" s="81"/>
      <c r="H587" s="80"/>
      <c r="I587" s="80"/>
      <c r="J587" s="82" t="b">
        <v>0</v>
      </c>
    </row>
    <row r="588" ht="12.75" hidden="1" customHeight="1" outlineLevel="1">
      <c r="A588" s="89" t="s">
        <v>607</v>
      </c>
      <c r="B588" s="90" t="s">
        <v>608</v>
      </c>
      <c r="C588" s="89" t="s">
        <v>40</v>
      </c>
      <c r="D588" s="91">
        <v>22.6</v>
      </c>
      <c r="E588" s="92">
        <v>109.91</v>
      </c>
      <c r="F588" s="92">
        <v>2483.97</v>
      </c>
      <c r="G588" s="93"/>
      <c r="H588" s="92"/>
      <c r="I588" s="92"/>
      <c r="J588" s="82" t="b">
        <v>0</v>
      </c>
    </row>
    <row r="589" ht="12.75" hidden="1" customHeight="1" outlineLevel="1">
      <c r="D589" s="79"/>
      <c r="E589" s="80"/>
      <c r="F589" s="80"/>
      <c r="G589" s="81"/>
      <c r="H589" s="80"/>
      <c r="I589" s="80"/>
      <c r="J589" s="82" t="b">
        <v>0</v>
      </c>
    </row>
    <row r="590" ht="12.75" customHeight="1" collapsed="1">
      <c r="A590" s="134">
        <v>2.11</v>
      </c>
      <c r="B590" s="84" t="s">
        <v>609</v>
      </c>
      <c r="C590" s="87">
        <f>SUM(F596:F636)</f>
        <v>19361</v>
      </c>
      <c r="D590" s="86"/>
      <c r="E590" s="88"/>
      <c r="F590" s="88"/>
      <c r="G590" s="81"/>
      <c r="H590" s="80"/>
      <c r="I590" s="80"/>
      <c r="J590" s="82" t="b">
        <v>0</v>
      </c>
    </row>
    <row r="591" ht="12.75" hidden="1" customHeight="1" outlineLevel="1">
      <c r="D591" s="79"/>
      <c r="E591" s="80"/>
      <c r="F591" s="80"/>
      <c r="G591" s="81"/>
      <c r="H591" s="80"/>
      <c r="I591" s="80"/>
      <c r="J591" s="82" t="b">
        <v>0</v>
      </c>
    </row>
    <row r="592" ht="12.75" hidden="1" customHeight="1" outlineLevel="1">
      <c r="A592" s="89" t="s">
        <v>610</v>
      </c>
      <c r="B592" s="90" t="s">
        <v>611</v>
      </c>
      <c r="D592" s="79"/>
      <c r="E592" s="80"/>
      <c r="F592" s="80"/>
      <c r="G592" s="81"/>
      <c r="H592" s="80"/>
      <c r="I592" s="80"/>
      <c r="J592" s="82" t="b">
        <v>0</v>
      </c>
    </row>
    <row r="593" ht="12.75" hidden="1" customHeight="1" outlineLevel="1">
      <c r="D593" s="79"/>
      <c r="E593" s="80"/>
      <c r="F593" s="80"/>
      <c r="G593" s="81"/>
      <c r="H593" s="80"/>
      <c r="I593" s="80"/>
      <c r="J593" s="82" t="b">
        <v>0</v>
      </c>
    </row>
    <row r="594" ht="12.75" hidden="1" customHeight="1" outlineLevel="1">
      <c r="A594" s="109" t="s">
        <v>612</v>
      </c>
      <c r="B594" s="110" t="s">
        <v>613</v>
      </c>
      <c r="C594" s="124"/>
      <c r="D594" s="125"/>
      <c r="E594" s="126"/>
      <c r="F594" s="126"/>
      <c r="G594" s="127"/>
      <c r="H594" s="126" t="s">
        <v>614</v>
      </c>
      <c r="I594" s="126"/>
      <c r="J594" s="114" t="b">
        <v>0</v>
      </c>
    </row>
    <row r="595" ht="12.75" hidden="1" customHeight="1" outlineLevel="1">
      <c r="D595" s="79"/>
      <c r="E595" s="80"/>
      <c r="F595" s="80"/>
      <c r="G595" s="81"/>
      <c r="H595" s="80"/>
      <c r="I595" s="80"/>
      <c r="J595" s="82" t="b">
        <v>0</v>
      </c>
    </row>
    <row r="596" ht="12.75" hidden="1" customHeight="1" outlineLevel="1">
      <c r="A596" s="89" t="s">
        <v>615</v>
      </c>
      <c r="B596" s="90" t="s">
        <v>616</v>
      </c>
      <c r="C596" s="89" t="s">
        <v>227</v>
      </c>
      <c r="D596" s="91">
        <v>1.0</v>
      </c>
      <c r="E596" s="92">
        <v>9100.0</v>
      </c>
      <c r="F596" s="92">
        <v>9100.0</v>
      </c>
      <c r="G596" s="93"/>
      <c r="H596" s="92"/>
      <c r="I596" s="92"/>
      <c r="J596" s="82" t="b">
        <v>0</v>
      </c>
    </row>
    <row r="597" ht="12.75" hidden="1" customHeight="1" outlineLevel="1">
      <c r="D597" s="79"/>
      <c r="E597" s="80"/>
      <c r="F597" s="80"/>
      <c r="G597" s="81"/>
      <c r="H597" s="80"/>
      <c r="I597" s="80"/>
      <c r="J597" s="82" t="b">
        <v>0</v>
      </c>
    </row>
    <row r="598" ht="12.75" hidden="1" customHeight="1" outlineLevel="1">
      <c r="A598" s="89" t="s">
        <v>617</v>
      </c>
      <c r="B598" s="90" t="s">
        <v>618</v>
      </c>
      <c r="C598" s="89" t="s">
        <v>227</v>
      </c>
      <c r="D598" s="91">
        <v>1.0</v>
      </c>
      <c r="E598" s="80"/>
      <c r="G598" s="135" t="s">
        <v>619</v>
      </c>
      <c r="H598" s="135"/>
      <c r="I598" s="135"/>
      <c r="J598" s="82" t="b">
        <v>0</v>
      </c>
    </row>
    <row r="599" ht="12.75" hidden="1" customHeight="1" outlineLevel="1">
      <c r="D599" s="79"/>
      <c r="E599" s="80"/>
      <c r="G599" s="80"/>
      <c r="H599" s="80"/>
      <c r="I599" s="80"/>
      <c r="J599" s="82" t="b">
        <v>0</v>
      </c>
    </row>
    <row r="600" ht="12.75" hidden="1" customHeight="1" outlineLevel="1">
      <c r="A600" s="89" t="s">
        <v>620</v>
      </c>
      <c r="B600" s="90" t="s">
        <v>621</v>
      </c>
      <c r="D600" s="79"/>
      <c r="E600" s="80"/>
      <c r="G600" s="80"/>
      <c r="H600" s="80"/>
      <c r="I600" s="80"/>
      <c r="J600" s="82" t="b">
        <v>0</v>
      </c>
    </row>
    <row r="601" ht="12.75" hidden="1" customHeight="1" outlineLevel="1">
      <c r="D601" s="79"/>
      <c r="E601" s="80"/>
      <c r="G601" s="80"/>
      <c r="H601" s="80"/>
      <c r="I601" s="80"/>
      <c r="J601" s="82" t="b">
        <v>0</v>
      </c>
    </row>
    <row r="602" ht="12.75" hidden="1" customHeight="1" outlineLevel="1">
      <c r="A602" s="89" t="s">
        <v>622</v>
      </c>
      <c r="B602" s="90" t="s">
        <v>623</v>
      </c>
      <c r="C602" s="89" t="s">
        <v>227</v>
      </c>
      <c r="D602" s="91">
        <v>1.0</v>
      </c>
      <c r="E602" s="80"/>
      <c r="G602" s="135" t="s">
        <v>619</v>
      </c>
      <c r="H602" s="135"/>
      <c r="I602" s="135"/>
      <c r="J602" s="82" t="b">
        <v>0</v>
      </c>
    </row>
    <row r="603" ht="12.75" hidden="1" customHeight="1" outlineLevel="1">
      <c r="D603" s="79"/>
      <c r="E603" s="80"/>
      <c r="G603" s="80"/>
      <c r="H603" s="80"/>
      <c r="I603" s="80"/>
      <c r="J603" s="82" t="b">
        <v>0</v>
      </c>
    </row>
    <row r="604" ht="12.75" hidden="1" customHeight="1" outlineLevel="1">
      <c r="A604" s="89" t="s">
        <v>624</v>
      </c>
      <c r="B604" s="90" t="s">
        <v>625</v>
      </c>
      <c r="C604" s="89" t="s">
        <v>227</v>
      </c>
      <c r="D604" s="91">
        <v>1.0</v>
      </c>
      <c r="E604" s="80"/>
      <c r="G604" s="135" t="s">
        <v>619</v>
      </c>
      <c r="H604" s="135"/>
      <c r="I604" s="135"/>
      <c r="J604" s="82" t="b">
        <v>0</v>
      </c>
    </row>
    <row r="605" ht="12.75" hidden="1" customHeight="1" outlineLevel="1">
      <c r="D605" s="79"/>
      <c r="E605" s="80"/>
      <c r="F605" s="80"/>
      <c r="G605" s="81"/>
      <c r="H605" s="80"/>
      <c r="I605" s="80"/>
      <c r="J605" s="82" t="b">
        <v>0</v>
      </c>
    </row>
    <row r="606" ht="12.75" hidden="1" customHeight="1" outlineLevel="1">
      <c r="A606" s="89" t="s">
        <v>626</v>
      </c>
      <c r="B606" s="90" t="s">
        <v>627</v>
      </c>
      <c r="C606" s="89" t="s">
        <v>75</v>
      </c>
      <c r="D606" s="91">
        <v>1.0</v>
      </c>
      <c r="E606" s="92">
        <v>298.0</v>
      </c>
      <c r="F606" s="92">
        <v>298.0</v>
      </c>
      <c r="G606" s="93"/>
      <c r="H606" s="92"/>
      <c r="I606" s="92"/>
      <c r="J606" s="82" t="b">
        <v>0</v>
      </c>
    </row>
    <row r="607" ht="12.75" hidden="1" customHeight="1" outlineLevel="1">
      <c r="D607" s="79"/>
      <c r="E607" s="80"/>
      <c r="F607" s="80"/>
      <c r="G607" s="81"/>
      <c r="H607" s="80"/>
      <c r="I607" s="80"/>
      <c r="J607" s="82" t="b">
        <v>0</v>
      </c>
    </row>
    <row r="608" ht="12.75" hidden="1" customHeight="1" outlineLevel="1">
      <c r="A608" s="89" t="s">
        <v>628</v>
      </c>
      <c r="B608" s="90" t="s">
        <v>629</v>
      </c>
      <c r="C608" s="89" t="s">
        <v>75</v>
      </c>
      <c r="D608" s="91">
        <v>1.0</v>
      </c>
      <c r="E608" s="92">
        <v>300.0</v>
      </c>
      <c r="F608" s="92">
        <v>300.0</v>
      </c>
      <c r="G608" s="93"/>
      <c r="H608" s="92"/>
      <c r="I608" s="92"/>
      <c r="J608" s="82" t="b">
        <v>0</v>
      </c>
    </row>
    <row r="609" ht="12.75" hidden="1" customHeight="1" outlineLevel="1">
      <c r="D609" s="79"/>
      <c r="E609" s="80"/>
      <c r="F609" s="80"/>
      <c r="G609" s="81"/>
      <c r="H609" s="80"/>
      <c r="I609" s="80"/>
      <c r="J609" s="82" t="b">
        <v>0</v>
      </c>
    </row>
    <row r="610" ht="12.75" hidden="1" customHeight="1" outlineLevel="1">
      <c r="A610" s="89" t="s">
        <v>630</v>
      </c>
      <c r="B610" s="90" t="s">
        <v>631</v>
      </c>
      <c r="C610" s="89" t="s">
        <v>75</v>
      </c>
      <c r="D610" s="91">
        <v>1.0</v>
      </c>
      <c r="E610" s="92">
        <v>230.0</v>
      </c>
      <c r="F610" s="92">
        <v>230.0</v>
      </c>
      <c r="G610" s="93"/>
      <c r="H610" s="92"/>
      <c r="I610" s="92"/>
      <c r="J610" s="82" t="b">
        <v>0</v>
      </c>
    </row>
    <row r="611" ht="12.75" hidden="1" customHeight="1" outlineLevel="1">
      <c r="D611" s="79"/>
      <c r="E611" s="80"/>
      <c r="F611" s="80"/>
      <c r="G611" s="81"/>
      <c r="H611" s="80"/>
      <c r="I611" s="80"/>
      <c r="J611" s="82" t="b">
        <v>0</v>
      </c>
    </row>
    <row r="612" ht="12.75" hidden="1" customHeight="1" outlineLevel="1">
      <c r="A612" s="89" t="s">
        <v>632</v>
      </c>
      <c r="B612" s="90" t="s">
        <v>633</v>
      </c>
      <c r="C612" s="89" t="s">
        <v>75</v>
      </c>
      <c r="D612" s="91">
        <v>1.0</v>
      </c>
      <c r="E612" s="92">
        <v>1800.0</v>
      </c>
      <c r="F612" s="92">
        <v>1800.0</v>
      </c>
      <c r="G612" s="93"/>
      <c r="H612" s="92" t="s">
        <v>634</v>
      </c>
      <c r="I612" s="92"/>
      <c r="J612" s="82" t="b">
        <v>0</v>
      </c>
    </row>
    <row r="613" ht="12.75" hidden="1" customHeight="1" outlineLevel="1">
      <c r="D613" s="79"/>
      <c r="E613" s="80"/>
      <c r="F613" s="80"/>
      <c r="G613" s="81"/>
      <c r="H613" s="80"/>
      <c r="I613" s="80"/>
      <c r="J613" s="82" t="b">
        <v>0</v>
      </c>
    </row>
    <row r="614" ht="12.75" hidden="1" customHeight="1" outlineLevel="1">
      <c r="A614" s="89" t="s">
        <v>635</v>
      </c>
      <c r="B614" s="90" t="s">
        <v>636</v>
      </c>
      <c r="C614" s="89" t="s">
        <v>75</v>
      </c>
      <c r="D614" s="91">
        <v>1.0</v>
      </c>
      <c r="E614" s="92">
        <v>998.0</v>
      </c>
      <c r="F614" s="92">
        <v>998.0</v>
      </c>
      <c r="G614" s="93">
        <v>750.0</v>
      </c>
      <c r="H614" s="92" t="s">
        <v>637</v>
      </c>
      <c r="I614" s="92"/>
      <c r="J614" s="130" t="b">
        <v>0</v>
      </c>
    </row>
    <row r="615" ht="12.75" hidden="1" customHeight="1" outlineLevel="1">
      <c r="D615" s="79"/>
      <c r="E615" s="80"/>
      <c r="F615" s="80"/>
      <c r="G615" s="81"/>
      <c r="H615" s="80"/>
      <c r="I615" s="80"/>
      <c r="J615" s="82" t="b">
        <v>0</v>
      </c>
    </row>
    <row r="616" ht="12.75" hidden="1" customHeight="1" outlineLevel="1">
      <c r="A616" s="89" t="s">
        <v>638</v>
      </c>
      <c r="B616" s="90" t="s">
        <v>639</v>
      </c>
      <c r="C616" s="89" t="s">
        <v>75</v>
      </c>
      <c r="D616" s="91">
        <v>1.0</v>
      </c>
      <c r="E616" s="92">
        <v>1144.0</v>
      </c>
      <c r="F616" s="92">
        <v>1144.0</v>
      </c>
      <c r="G616" s="93">
        <v>750.0</v>
      </c>
      <c r="H616" s="92" t="s">
        <v>640</v>
      </c>
      <c r="I616" s="92"/>
      <c r="J616" s="130" t="b">
        <v>0</v>
      </c>
    </row>
    <row r="617" ht="12.75" hidden="1" customHeight="1" outlineLevel="1">
      <c r="D617" s="79"/>
      <c r="E617" s="80"/>
      <c r="F617" s="80"/>
      <c r="G617" s="81"/>
      <c r="H617" s="80"/>
      <c r="I617" s="80"/>
      <c r="J617" s="82" t="b">
        <v>0</v>
      </c>
    </row>
    <row r="618" ht="12.75" hidden="1" customHeight="1" outlineLevel="1">
      <c r="A618" s="89" t="s">
        <v>641</v>
      </c>
      <c r="B618" s="90" t="s">
        <v>642</v>
      </c>
      <c r="C618" s="89" t="s">
        <v>75</v>
      </c>
      <c r="D618" s="91">
        <v>1.0</v>
      </c>
      <c r="E618" s="92">
        <v>330.0</v>
      </c>
      <c r="F618" s="92">
        <v>330.0</v>
      </c>
      <c r="G618" s="93" t="s">
        <v>643</v>
      </c>
      <c r="H618" s="92"/>
      <c r="I618" s="92"/>
      <c r="J618" s="130" t="b">
        <v>0</v>
      </c>
    </row>
    <row r="619" ht="12.75" hidden="1" customHeight="1" outlineLevel="1">
      <c r="D619" s="79"/>
      <c r="E619" s="80"/>
      <c r="F619" s="80"/>
      <c r="G619" s="81"/>
      <c r="H619" s="80"/>
      <c r="I619" s="80"/>
      <c r="J619" s="82" t="b">
        <v>0</v>
      </c>
    </row>
    <row r="620" ht="12.75" hidden="1" customHeight="1" outlineLevel="1">
      <c r="A620" s="89" t="s">
        <v>644</v>
      </c>
      <c r="B620" s="90" t="s">
        <v>645</v>
      </c>
      <c r="C620" s="89" t="s">
        <v>75</v>
      </c>
      <c r="D620" s="91">
        <v>1.0</v>
      </c>
      <c r="E620" s="92">
        <v>1080.0</v>
      </c>
      <c r="F620" s="92">
        <v>1080.0</v>
      </c>
      <c r="G620" s="93">
        <v>979.0</v>
      </c>
      <c r="H620" s="92" t="s">
        <v>646</v>
      </c>
      <c r="I620" s="92"/>
      <c r="J620" s="82" t="b">
        <v>0</v>
      </c>
    </row>
    <row r="621" ht="12.75" hidden="1" customHeight="1" outlineLevel="1">
      <c r="D621" s="79"/>
      <c r="E621" s="80"/>
      <c r="F621" s="80"/>
      <c r="G621" s="81"/>
      <c r="H621" s="80"/>
      <c r="I621" s="80"/>
      <c r="J621" s="82" t="b">
        <v>0</v>
      </c>
    </row>
    <row r="622" ht="12.75" hidden="1" customHeight="1" outlineLevel="1">
      <c r="A622" s="89" t="s">
        <v>647</v>
      </c>
      <c r="B622" s="90" t="s">
        <v>648</v>
      </c>
      <c r="C622" s="89" t="s">
        <v>75</v>
      </c>
      <c r="D622" s="91">
        <v>1.0</v>
      </c>
      <c r="E622" s="92">
        <v>898.0</v>
      </c>
      <c r="F622" s="92">
        <v>898.0</v>
      </c>
      <c r="G622" s="93">
        <v>390.0</v>
      </c>
      <c r="H622" s="92"/>
      <c r="I622" s="129" t="s">
        <v>559</v>
      </c>
      <c r="J622" s="130" t="b">
        <v>0</v>
      </c>
    </row>
    <row r="623" ht="12.75" hidden="1" customHeight="1" outlineLevel="1">
      <c r="D623" s="79"/>
      <c r="E623" s="80"/>
      <c r="F623" s="80"/>
      <c r="G623" s="81"/>
      <c r="H623" s="80"/>
      <c r="I623" s="80"/>
      <c r="J623" s="82" t="b">
        <v>0</v>
      </c>
    </row>
    <row r="624" ht="12.75" hidden="1" customHeight="1" outlineLevel="1">
      <c r="A624" s="89" t="s">
        <v>649</v>
      </c>
      <c r="B624" s="90" t="s">
        <v>650</v>
      </c>
      <c r="C624" s="89" t="s">
        <v>75</v>
      </c>
      <c r="D624" s="91">
        <v>1.0</v>
      </c>
      <c r="E624" s="92">
        <v>940.0</v>
      </c>
      <c r="F624" s="92">
        <v>940.0</v>
      </c>
      <c r="G624" s="93"/>
      <c r="H624" s="92"/>
      <c r="I624" s="92"/>
      <c r="J624" s="82" t="b">
        <v>0</v>
      </c>
    </row>
    <row r="625" ht="12.75" hidden="1" customHeight="1" outlineLevel="1">
      <c r="D625" s="79"/>
      <c r="E625" s="80"/>
      <c r="F625" s="80"/>
      <c r="G625" s="81"/>
      <c r="H625" s="80"/>
      <c r="I625" s="80"/>
      <c r="J625" s="82" t="b">
        <v>0</v>
      </c>
    </row>
    <row r="626" ht="12.75" hidden="1" customHeight="1" outlineLevel="1">
      <c r="A626" s="89" t="s">
        <v>651</v>
      </c>
      <c r="B626" s="90" t="s">
        <v>652</v>
      </c>
      <c r="C626" s="89" t="s">
        <v>75</v>
      </c>
      <c r="D626" s="91">
        <v>1.0</v>
      </c>
      <c r="E626" s="92">
        <v>45.0</v>
      </c>
      <c r="F626" s="92">
        <v>45.0</v>
      </c>
      <c r="G626" s="93"/>
      <c r="H626" s="92"/>
      <c r="I626" s="92"/>
      <c r="J626" s="82" t="b">
        <v>0</v>
      </c>
    </row>
    <row r="627" ht="12.75" hidden="1" customHeight="1" outlineLevel="1">
      <c r="D627" s="79"/>
      <c r="E627" s="80"/>
      <c r="F627" s="80"/>
      <c r="G627" s="81"/>
      <c r="H627" s="80"/>
      <c r="I627" s="80"/>
      <c r="J627" s="82" t="b">
        <v>0</v>
      </c>
    </row>
    <row r="628" ht="12.75" hidden="1" customHeight="1" outlineLevel="1">
      <c r="A628" s="89" t="s">
        <v>653</v>
      </c>
      <c r="B628" s="90" t="s">
        <v>654</v>
      </c>
      <c r="C628" s="89" t="s">
        <v>75</v>
      </c>
      <c r="D628" s="91">
        <v>1.0</v>
      </c>
      <c r="E628" s="92">
        <v>25.0</v>
      </c>
      <c r="F628" s="92">
        <v>25.0</v>
      </c>
      <c r="G628" s="93"/>
      <c r="H628" s="92"/>
      <c r="I628" s="92"/>
      <c r="J628" s="82" t="b">
        <v>0</v>
      </c>
    </row>
    <row r="629" ht="12.75" hidden="1" customHeight="1" outlineLevel="1">
      <c r="D629" s="79"/>
      <c r="E629" s="80"/>
      <c r="F629" s="80"/>
      <c r="G629" s="81"/>
      <c r="H629" s="80"/>
      <c r="I629" s="80"/>
      <c r="J629" s="82" t="b">
        <v>0</v>
      </c>
    </row>
    <row r="630" ht="12.75" hidden="1" customHeight="1" outlineLevel="1">
      <c r="A630" s="89" t="s">
        <v>655</v>
      </c>
      <c r="B630" s="90" t="s">
        <v>656</v>
      </c>
      <c r="C630" s="89" t="s">
        <v>75</v>
      </c>
      <c r="D630" s="91">
        <v>1.0</v>
      </c>
      <c r="E630" s="92">
        <v>820.0</v>
      </c>
      <c r="F630" s="92">
        <v>820.0</v>
      </c>
      <c r="G630" s="93">
        <v>707.0</v>
      </c>
      <c r="H630" s="92"/>
      <c r="I630" s="92"/>
      <c r="J630" s="82" t="b">
        <v>0</v>
      </c>
    </row>
    <row r="631" ht="12.75" hidden="1" customHeight="1" outlineLevel="1">
      <c r="D631" s="79"/>
      <c r="E631" s="80"/>
      <c r="F631" s="80"/>
      <c r="G631" s="81"/>
      <c r="H631" s="80"/>
      <c r="I631" s="80"/>
      <c r="J631" s="82" t="b">
        <v>0</v>
      </c>
    </row>
    <row r="632" ht="12.75" hidden="1" customHeight="1" outlineLevel="1">
      <c r="A632" s="89" t="s">
        <v>657</v>
      </c>
      <c r="B632" s="90" t="s">
        <v>658</v>
      </c>
      <c r="D632" s="79"/>
      <c r="E632" s="80"/>
      <c r="F632" s="80"/>
      <c r="G632" s="81"/>
      <c r="H632" s="80"/>
      <c r="I632" s="80"/>
      <c r="J632" s="82" t="b">
        <v>0</v>
      </c>
    </row>
    <row r="633" ht="12.75" hidden="1" customHeight="1" outlineLevel="1">
      <c r="D633" s="79"/>
      <c r="E633" s="80"/>
      <c r="F633" s="80"/>
      <c r="G633" s="81"/>
      <c r="H633" s="80"/>
      <c r="I633" s="80"/>
      <c r="J633" s="82" t="b">
        <v>0</v>
      </c>
    </row>
    <row r="634" ht="12.75" hidden="1" customHeight="1" outlineLevel="1">
      <c r="A634" s="89" t="s">
        <v>659</v>
      </c>
      <c r="B634" s="90" t="s">
        <v>660</v>
      </c>
      <c r="C634" s="89" t="s">
        <v>75</v>
      </c>
      <c r="D634" s="91">
        <v>1.0</v>
      </c>
      <c r="E634" s="92">
        <v>755.0</v>
      </c>
      <c r="F634" s="92">
        <v>755.0</v>
      </c>
      <c r="G634" s="93"/>
      <c r="H634" s="92" t="s">
        <v>661</v>
      </c>
      <c r="I634" s="92"/>
      <c r="J634" s="82" t="b">
        <v>0</v>
      </c>
    </row>
    <row r="635" ht="12.75" hidden="1" customHeight="1" outlineLevel="1">
      <c r="D635" s="79"/>
      <c r="E635" s="80"/>
      <c r="F635" s="80"/>
      <c r="G635" s="81"/>
      <c r="H635" s="80"/>
      <c r="I635" s="80"/>
      <c r="J635" s="82" t="b">
        <v>0</v>
      </c>
    </row>
    <row r="636" ht="12.75" hidden="1" customHeight="1" outlineLevel="1">
      <c r="A636" s="89" t="s">
        <v>662</v>
      </c>
      <c r="B636" s="90" t="s">
        <v>663</v>
      </c>
      <c r="C636" s="89" t="s">
        <v>75</v>
      </c>
      <c r="D636" s="91">
        <v>1.0</v>
      </c>
      <c r="E636" s="92">
        <v>598.0</v>
      </c>
      <c r="F636" s="92">
        <v>598.0</v>
      </c>
      <c r="G636" s="93"/>
      <c r="H636" s="92" t="s">
        <v>664</v>
      </c>
      <c r="I636" s="92"/>
      <c r="J636" s="82" t="b">
        <v>0</v>
      </c>
    </row>
    <row r="637" ht="12.75" hidden="1" customHeight="1" outlineLevel="1">
      <c r="D637" s="79"/>
      <c r="E637" s="80"/>
      <c r="F637" s="80"/>
      <c r="G637" s="81"/>
      <c r="H637" s="80"/>
      <c r="I637" s="80"/>
      <c r="J637" s="82" t="b">
        <v>0</v>
      </c>
    </row>
    <row r="638" ht="12.75" customHeight="1" collapsed="1">
      <c r="A638" s="134">
        <v>2.12</v>
      </c>
      <c r="B638" s="84" t="s">
        <v>665</v>
      </c>
      <c r="C638" s="87">
        <f>SUM(F642:F696)</f>
        <v>34068.69</v>
      </c>
      <c r="D638" s="86"/>
      <c r="E638" s="88"/>
      <c r="F638" s="88"/>
      <c r="G638" s="81"/>
      <c r="H638" s="80"/>
      <c r="I638" s="80"/>
      <c r="J638" s="82" t="b">
        <v>0</v>
      </c>
    </row>
    <row r="639" ht="12.75" hidden="1" customHeight="1" outlineLevel="1">
      <c r="D639" s="79"/>
      <c r="E639" s="80"/>
      <c r="F639" s="80"/>
      <c r="G639" s="81"/>
      <c r="H639" s="80"/>
      <c r="I639" s="80"/>
      <c r="J639" s="82" t="b">
        <v>0</v>
      </c>
    </row>
    <row r="640" ht="12.75" hidden="1" customHeight="1" outlineLevel="1">
      <c r="A640" s="89" t="s">
        <v>666</v>
      </c>
      <c r="B640" s="90" t="s">
        <v>592</v>
      </c>
      <c r="D640" s="79"/>
      <c r="E640" s="80"/>
      <c r="F640" s="80"/>
      <c r="G640" s="81"/>
      <c r="H640" s="80"/>
      <c r="I640" s="80"/>
      <c r="J640" s="82" t="b">
        <v>0</v>
      </c>
    </row>
    <row r="641" ht="12.75" hidden="1" customHeight="1" outlineLevel="1">
      <c r="D641" s="79"/>
      <c r="E641" s="80"/>
      <c r="F641" s="80"/>
      <c r="G641" s="81"/>
      <c r="H641" s="80"/>
      <c r="I641" s="80"/>
      <c r="J641" s="82" t="b">
        <v>0</v>
      </c>
    </row>
    <row r="642" ht="12.75" hidden="1" customHeight="1" outlineLevel="1">
      <c r="A642" s="89" t="s">
        <v>667</v>
      </c>
      <c r="B642" s="90" t="s">
        <v>668</v>
      </c>
      <c r="C642" s="89" t="s">
        <v>75</v>
      </c>
      <c r="D642" s="91">
        <v>1.0</v>
      </c>
      <c r="E642" s="92">
        <v>2030.0</v>
      </c>
      <c r="F642" s="92">
        <v>2030.0</v>
      </c>
      <c r="G642" s="93">
        <v>956.0</v>
      </c>
      <c r="H642" s="92" t="s">
        <v>669</v>
      </c>
      <c r="I642" s="129" t="s">
        <v>583</v>
      </c>
      <c r="J642" s="82" t="b">
        <v>0</v>
      </c>
    </row>
    <row r="643" ht="12.75" hidden="1" customHeight="1" outlineLevel="1">
      <c r="D643" s="79"/>
      <c r="E643" s="80"/>
      <c r="F643" s="80"/>
      <c r="G643" s="81"/>
      <c r="H643" s="80"/>
      <c r="I643" s="80"/>
      <c r="J643" s="82" t="b">
        <v>0</v>
      </c>
    </row>
    <row r="644" ht="12.75" hidden="1" customHeight="1" outlineLevel="1">
      <c r="A644" s="89" t="s">
        <v>670</v>
      </c>
      <c r="B644" s="90" t="s">
        <v>671</v>
      </c>
      <c r="C644" s="89" t="s">
        <v>75</v>
      </c>
      <c r="D644" s="91">
        <v>1.0</v>
      </c>
      <c r="E644" s="92">
        <v>7890.0</v>
      </c>
      <c r="F644" s="92">
        <v>7890.0</v>
      </c>
      <c r="G644" s="93" t="s">
        <v>672</v>
      </c>
      <c r="H644" s="92"/>
      <c r="I644" s="92"/>
      <c r="J644" s="82" t="b">
        <v>0</v>
      </c>
    </row>
    <row r="645" ht="12.75" hidden="1" customHeight="1" outlineLevel="1">
      <c r="D645" s="79"/>
      <c r="E645" s="80"/>
      <c r="F645" s="80"/>
      <c r="G645" s="81"/>
      <c r="H645" s="80"/>
      <c r="I645" s="80"/>
      <c r="J645" s="82" t="b">
        <v>0</v>
      </c>
    </row>
    <row r="646" ht="12.75" hidden="1" customHeight="1" outlineLevel="1">
      <c r="A646" s="89" t="s">
        <v>673</v>
      </c>
      <c r="B646" s="90" t="s">
        <v>674</v>
      </c>
      <c r="D646" s="79"/>
      <c r="E646" s="80"/>
      <c r="F646" s="80"/>
      <c r="G646" s="81"/>
      <c r="H646" s="80"/>
      <c r="I646" s="80"/>
      <c r="J646" s="82" t="b">
        <v>0</v>
      </c>
    </row>
    <row r="647" ht="12.75" hidden="1" customHeight="1" outlineLevel="1">
      <c r="D647" s="79"/>
      <c r="E647" s="80"/>
      <c r="F647" s="80"/>
      <c r="G647" s="81"/>
      <c r="H647" s="80"/>
      <c r="I647" s="80"/>
      <c r="J647" s="82" t="b">
        <v>0</v>
      </c>
    </row>
    <row r="648" ht="12.75" hidden="1" customHeight="1" outlineLevel="1">
      <c r="A648" s="89" t="s">
        <v>675</v>
      </c>
      <c r="B648" s="90" t="s">
        <v>676</v>
      </c>
      <c r="D648" s="79"/>
      <c r="E648" s="80"/>
      <c r="F648" s="80"/>
      <c r="G648" s="81"/>
      <c r="H648" s="80"/>
      <c r="I648" s="80"/>
      <c r="J648" s="82" t="b">
        <v>0</v>
      </c>
    </row>
    <row r="649" ht="12.75" hidden="1" customHeight="1" outlineLevel="1">
      <c r="D649" s="79"/>
      <c r="E649" s="80"/>
      <c r="F649" s="80"/>
      <c r="G649" s="81"/>
      <c r="H649" s="80"/>
      <c r="I649" s="80"/>
      <c r="J649" s="82" t="b">
        <v>0</v>
      </c>
    </row>
    <row r="650" ht="12.75" hidden="1" customHeight="1" outlineLevel="1">
      <c r="A650" s="89" t="s">
        <v>677</v>
      </c>
      <c r="B650" s="90" t="s">
        <v>678</v>
      </c>
      <c r="C650" s="89" t="s">
        <v>75</v>
      </c>
      <c r="D650" s="91">
        <v>1.0</v>
      </c>
      <c r="E650" s="92">
        <v>113.51</v>
      </c>
      <c r="F650" s="92">
        <v>113.51</v>
      </c>
      <c r="G650" s="93"/>
      <c r="H650" s="92"/>
      <c r="I650" s="92"/>
      <c r="J650" s="82" t="b">
        <v>0</v>
      </c>
    </row>
    <row r="651" ht="12.75" hidden="1" customHeight="1" outlineLevel="1">
      <c r="D651" s="79"/>
      <c r="E651" s="80"/>
      <c r="F651" s="80"/>
      <c r="G651" s="81"/>
      <c r="H651" s="80"/>
      <c r="I651" s="80"/>
      <c r="J651" s="82" t="b">
        <v>0</v>
      </c>
    </row>
    <row r="652" ht="12.75" hidden="1" customHeight="1" outlineLevel="1">
      <c r="A652" s="89" t="s">
        <v>679</v>
      </c>
      <c r="B652" s="90" t="s">
        <v>680</v>
      </c>
      <c r="C652" s="89" t="s">
        <v>75</v>
      </c>
      <c r="D652" s="91">
        <v>1.0</v>
      </c>
      <c r="E652" s="92">
        <v>466.86</v>
      </c>
      <c r="F652" s="92">
        <v>466.86</v>
      </c>
      <c r="G652" s="93"/>
      <c r="H652" s="92"/>
      <c r="I652" s="92"/>
      <c r="J652" s="82" t="b">
        <v>0</v>
      </c>
    </row>
    <row r="653" ht="12.75" hidden="1" customHeight="1" outlineLevel="1">
      <c r="D653" s="79"/>
      <c r="E653" s="80"/>
      <c r="F653" s="80"/>
      <c r="G653" s="81"/>
      <c r="H653" s="80"/>
      <c r="I653" s="80"/>
      <c r="J653" s="82" t="b">
        <v>0</v>
      </c>
    </row>
    <row r="654" ht="12.75" hidden="1" customHeight="1" outlineLevel="1">
      <c r="A654" s="89" t="s">
        <v>681</v>
      </c>
      <c r="B654" s="90" t="s">
        <v>682</v>
      </c>
      <c r="C654" s="89" t="s">
        <v>75</v>
      </c>
      <c r="D654" s="91">
        <v>1.0</v>
      </c>
      <c r="E654" s="92">
        <v>459.95</v>
      </c>
      <c r="F654" s="92">
        <v>459.95</v>
      </c>
      <c r="G654" s="93"/>
      <c r="H654" s="92"/>
      <c r="I654" s="92"/>
      <c r="J654" s="82" t="b">
        <v>0</v>
      </c>
    </row>
    <row r="655" ht="12.75" hidden="1" customHeight="1" outlineLevel="1">
      <c r="D655" s="79"/>
      <c r="E655" s="80"/>
      <c r="F655" s="80"/>
      <c r="G655" s="81"/>
      <c r="H655" s="80"/>
      <c r="I655" s="80"/>
      <c r="J655" s="82" t="b">
        <v>0</v>
      </c>
    </row>
    <row r="656" ht="12.75" hidden="1" customHeight="1" outlineLevel="1">
      <c r="A656" s="89" t="s">
        <v>683</v>
      </c>
      <c r="B656" s="90" t="s">
        <v>684</v>
      </c>
      <c r="C656" s="89" t="s">
        <v>75</v>
      </c>
      <c r="D656" s="91">
        <v>1.0</v>
      </c>
      <c r="E656" s="92">
        <v>304.99</v>
      </c>
      <c r="F656" s="92">
        <v>304.99</v>
      </c>
      <c r="G656" s="93"/>
      <c r="H656" s="92"/>
      <c r="I656" s="92"/>
      <c r="J656" s="82" t="b">
        <v>0</v>
      </c>
    </row>
    <row r="657" ht="12.75" hidden="1" customHeight="1" outlineLevel="1">
      <c r="D657" s="79"/>
      <c r="E657" s="80"/>
      <c r="F657" s="80"/>
      <c r="G657" s="81"/>
      <c r="H657" s="80"/>
      <c r="I657" s="80"/>
      <c r="J657" s="82" t="b">
        <v>0</v>
      </c>
    </row>
    <row r="658" ht="12.75" hidden="1" customHeight="1" outlineLevel="1">
      <c r="A658" s="89" t="s">
        <v>685</v>
      </c>
      <c r="B658" s="90" t="s">
        <v>686</v>
      </c>
      <c r="C658" s="89" t="s">
        <v>75</v>
      </c>
      <c r="D658" s="91">
        <v>1.0</v>
      </c>
      <c r="E658" s="92">
        <v>590.23</v>
      </c>
      <c r="F658" s="92">
        <v>590.23</v>
      </c>
      <c r="G658" s="93"/>
      <c r="H658" s="92"/>
      <c r="I658" s="92"/>
      <c r="J658" s="82" t="b">
        <v>0</v>
      </c>
    </row>
    <row r="659" ht="12.75" hidden="1" customHeight="1" outlineLevel="1">
      <c r="D659" s="79"/>
      <c r="E659" s="80"/>
      <c r="F659" s="80"/>
      <c r="G659" s="81"/>
      <c r="H659" s="80"/>
      <c r="I659" s="80"/>
      <c r="J659" s="82" t="b">
        <v>0</v>
      </c>
    </row>
    <row r="660" ht="12.75" hidden="1" customHeight="1" outlineLevel="1">
      <c r="A660" s="89" t="s">
        <v>687</v>
      </c>
      <c r="B660" s="90" t="s">
        <v>688</v>
      </c>
      <c r="C660" s="89" t="s">
        <v>75</v>
      </c>
      <c r="D660" s="91">
        <v>1.0</v>
      </c>
      <c r="E660" s="92">
        <v>615.89</v>
      </c>
      <c r="F660" s="92">
        <v>615.89</v>
      </c>
      <c r="G660" s="93"/>
      <c r="H660" s="92"/>
      <c r="I660" s="92"/>
      <c r="J660" s="82" t="b">
        <v>0</v>
      </c>
    </row>
    <row r="661" ht="12.75" hidden="1" customHeight="1" outlineLevel="1">
      <c r="D661" s="79"/>
      <c r="E661" s="80"/>
      <c r="F661" s="80"/>
      <c r="G661" s="81"/>
      <c r="H661" s="80"/>
      <c r="I661" s="80"/>
      <c r="J661" s="82" t="b">
        <v>0</v>
      </c>
    </row>
    <row r="662" ht="12.75" hidden="1" customHeight="1" outlineLevel="1">
      <c r="A662" s="89" t="s">
        <v>689</v>
      </c>
      <c r="B662" s="90" t="s">
        <v>690</v>
      </c>
      <c r="C662" s="89" t="s">
        <v>75</v>
      </c>
      <c r="D662" s="91">
        <v>1.0</v>
      </c>
      <c r="E662" s="92">
        <v>488.57</v>
      </c>
      <c r="F662" s="92">
        <v>488.57</v>
      </c>
      <c r="G662" s="93"/>
      <c r="H662" s="92"/>
      <c r="I662" s="92"/>
      <c r="J662" s="82" t="b">
        <v>0</v>
      </c>
    </row>
    <row r="663" ht="12.75" hidden="1" customHeight="1" outlineLevel="1">
      <c r="D663" s="79"/>
      <c r="E663" s="80"/>
      <c r="F663" s="80"/>
      <c r="G663" s="81"/>
      <c r="H663" s="80"/>
      <c r="I663" s="80"/>
      <c r="J663" s="82" t="b">
        <v>0</v>
      </c>
    </row>
    <row r="664" ht="12.75" hidden="1" customHeight="1" outlineLevel="1">
      <c r="A664" s="89" t="s">
        <v>691</v>
      </c>
      <c r="B664" s="90" t="s">
        <v>692</v>
      </c>
      <c r="C664" s="89" t="s">
        <v>75</v>
      </c>
      <c r="D664" s="91">
        <v>1.0</v>
      </c>
      <c r="E664" s="92">
        <v>713.61</v>
      </c>
      <c r="F664" s="92">
        <v>713.61</v>
      </c>
      <c r="G664" s="93"/>
      <c r="H664" s="92"/>
      <c r="I664" s="92"/>
      <c r="J664" s="82" t="b">
        <v>0</v>
      </c>
    </row>
    <row r="665" ht="12.75" hidden="1" customHeight="1" outlineLevel="1">
      <c r="D665" s="79"/>
      <c r="E665" s="80"/>
      <c r="F665" s="80"/>
      <c r="G665" s="81"/>
      <c r="H665" s="80"/>
      <c r="I665" s="80"/>
      <c r="J665" s="82" t="b">
        <v>0</v>
      </c>
    </row>
    <row r="666" ht="12.75" hidden="1" customHeight="1" outlineLevel="1">
      <c r="A666" s="89" t="s">
        <v>693</v>
      </c>
      <c r="B666" s="90" t="s">
        <v>694</v>
      </c>
      <c r="C666" s="89" t="s">
        <v>75</v>
      </c>
      <c r="D666" s="91">
        <v>1.0</v>
      </c>
      <c r="E666" s="92">
        <v>719.53</v>
      </c>
      <c r="F666" s="92">
        <v>719.53</v>
      </c>
      <c r="G666" s="93"/>
      <c r="H666" s="92"/>
      <c r="I666" s="92"/>
      <c r="J666" s="82" t="b">
        <v>0</v>
      </c>
    </row>
    <row r="667" ht="12.75" hidden="1" customHeight="1" outlineLevel="1">
      <c r="D667" s="79"/>
      <c r="E667" s="80"/>
      <c r="F667" s="80"/>
      <c r="G667" s="81"/>
      <c r="H667" s="80"/>
      <c r="I667" s="80"/>
      <c r="J667" s="82" t="b">
        <v>0</v>
      </c>
    </row>
    <row r="668" ht="12.75" hidden="1" customHeight="1" outlineLevel="1">
      <c r="A668" s="89" t="s">
        <v>695</v>
      </c>
      <c r="B668" s="90" t="s">
        <v>696</v>
      </c>
      <c r="C668" s="89" t="s">
        <v>75</v>
      </c>
      <c r="D668" s="91">
        <v>1.0</v>
      </c>
      <c r="E668" s="92">
        <v>259.58</v>
      </c>
      <c r="F668" s="92">
        <v>259.58</v>
      </c>
      <c r="G668" s="93"/>
      <c r="H668" s="92"/>
      <c r="I668" s="92"/>
      <c r="J668" s="82" t="b">
        <v>0</v>
      </c>
    </row>
    <row r="669" ht="12.75" hidden="1" customHeight="1" outlineLevel="1">
      <c r="D669" s="79"/>
      <c r="E669" s="80"/>
      <c r="F669" s="80"/>
      <c r="G669" s="81"/>
      <c r="H669" s="80"/>
      <c r="I669" s="80"/>
      <c r="J669" s="82" t="b">
        <v>0</v>
      </c>
    </row>
    <row r="670" ht="12.75" hidden="1" customHeight="1" outlineLevel="1">
      <c r="A670" s="89" t="s">
        <v>697</v>
      </c>
      <c r="B670" s="90" t="s">
        <v>698</v>
      </c>
      <c r="C670" s="89" t="s">
        <v>75</v>
      </c>
      <c r="D670" s="91">
        <v>1.0</v>
      </c>
      <c r="E670" s="92">
        <v>1720.36</v>
      </c>
      <c r="F670" s="92">
        <v>1720.36</v>
      </c>
      <c r="G670" s="93"/>
      <c r="H670" s="92"/>
      <c r="I670" s="92"/>
      <c r="J670" s="82" t="b">
        <v>0</v>
      </c>
    </row>
    <row r="671" ht="12.75" hidden="1" customHeight="1" outlineLevel="1">
      <c r="D671" s="79"/>
      <c r="E671" s="80"/>
      <c r="F671" s="80"/>
      <c r="G671" s="81"/>
      <c r="H671" s="80"/>
      <c r="I671" s="80"/>
      <c r="J671" s="82" t="b">
        <v>0</v>
      </c>
    </row>
    <row r="672" ht="12.75" hidden="1" customHeight="1" outlineLevel="1">
      <c r="A672" s="89" t="s">
        <v>699</v>
      </c>
      <c r="B672" s="90" t="s">
        <v>700</v>
      </c>
      <c r="C672" s="89" t="s">
        <v>75</v>
      </c>
      <c r="D672" s="91">
        <v>1.0</v>
      </c>
      <c r="E672" s="92">
        <v>472.78</v>
      </c>
      <c r="F672" s="92">
        <v>472.78</v>
      </c>
      <c r="G672" s="93"/>
      <c r="H672" s="92"/>
      <c r="I672" s="92"/>
      <c r="J672" s="82" t="b">
        <v>0</v>
      </c>
    </row>
    <row r="673" ht="12.75" hidden="1" customHeight="1" outlineLevel="1">
      <c r="D673" s="79"/>
      <c r="E673" s="80"/>
      <c r="F673" s="80"/>
      <c r="G673" s="81"/>
      <c r="H673" s="80"/>
      <c r="I673" s="80"/>
      <c r="J673" s="82" t="b">
        <v>0</v>
      </c>
    </row>
    <row r="674" ht="12.75" hidden="1" customHeight="1" outlineLevel="1">
      <c r="A674" s="89" t="s">
        <v>701</v>
      </c>
      <c r="B674" s="90" t="s">
        <v>702</v>
      </c>
      <c r="C674" s="89" t="s">
        <v>75</v>
      </c>
      <c r="D674" s="91">
        <v>1.0</v>
      </c>
      <c r="E674" s="92">
        <v>200.36</v>
      </c>
      <c r="F674" s="92">
        <v>200.36</v>
      </c>
      <c r="G674" s="93"/>
      <c r="H674" s="92"/>
      <c r="I674" s="92"/>
      <c r="J674" s="82" t="b">
        <v>0</v>
      </c>
    </row>
    <row r="675" ht="12.75" hidden="1" customHeight="1" outlineLevel="1">
      <c r="D675" s="79"/>
      <c r="E675" s="80"/>
      <c r="F675" s="80"/>
      <c r="G675" s="81"/>
      <c r="H675" s="80"/>
      <c r="I675" s="80"/>
      <c r="J675" s="82" t="b">
        <v>0</v>
      </c>
    </row>
    <row r="676" ht="12.75" hidden="1" customHeight="1" outlineLevel="1">
      <c r="A676" s="89" t="s">
        <v>703</v>
      </c>
      <c r="B676" s="90" t="s">
        <v>704</v>
      </c>
      <c r="C676" s="89" t="s">
        <v>75</v>
      </c>
      <c r="D676" s="91">
        <v>1.0</v>
      </c>
      <c r="E676" s="92">
        <v>255.64</v>
      </c>
      <c r="F676" s="92">
        <v>255.64</v>
      </c>
      <c r="G676" s="93"/>
      <c r="H676" s="92"/>
      <c r="I676" s="92"/>
      <c r="J676" s="82" t="b">
        <v>0</v>
      </c>
    </row>
    <row r="677" ht="12.75" hidden="1" customHeight="1" outlineLevel="1">
      <c r="D677" s="79"/>
      <c r="E677" s="80"/>
      <c r="F677" s="80"/>
      <c r="G677" s="81"/>
      <c r="H677" s="80"/>
      <c r="I677" s="80"/>
      <c r="J677" s="82" t="b">
        <v>0</v>
      </c>
    </row>
    <row r="678" ht="12.75" hidden="1" customHeight="1" outlineLevel="1">
      <c r="A678" s="89" t="s">
        <v>705</v>
      </c>
      <c r="B678" s="90" t="s">
        <v>706</v>
      </c>
      <c r="C678" s="89" t="s">
        <v>75</v>
      </c>
      <c r="D678" s="91">
        <v>1.0</v>
      </c>
      <c r="E678" s="92">
        <v>328.67</v>
      </c>
      <c r="F678" s="92">
        <v>328.67</v>
      </c>
      <c r="G678" s="93"/>
      <c r="H678" s="92"/>
      <c r="I678" s="92"/>
      <c r="J678" s="82" t="b">
        <v>0</v>
      </c>
    </row>
    <row r="679" ht="12.75" hidden="1" customHeight="1" outlineLevel="1">
      <c r="D679" s="79"/>
      <c r="E679" s="80"/>
      <c r="F679" s="80"/>
      <c r="G679" s="81"/>
      <c r="H679" s="80"/>
      <c r="I679" s="80"/>
      <c r="J679" s="82" t="b">
        <v>0</v>
      </c>
    </row>
    <row r="680" ht="12.75" hidden="1" customHeight="1" outlineLevel="1">
      <c r="A680" s="89" t="s">
        <v>707</v>
      </c>
      <c r="B680" s="90" t="s">
        <v>708</v>
      </c>
      <c r="C680" s="89" t="s">
        <v>75</v>
      </c>
      <c r="D680" s="91">
        <v>1.0</v>
      </c>
      <c r="E680" s="92">
        <v>417.51</v>
      </c>
      <c r="F680" s="92">
        <v>417.51</v>
      </c>
      <c r="G680" s="93"/>
      <c r="H680" s="92"/>
      <c r="I680" s="92"/>
      <c r="J680" s="82" t="b">
        <v>0</v>
      </c>
    </row>
    <row r="681" ht="12.75" hidden="1" customHeight="1" outlineLevel="1">
      <c r="D681" s="79"/>
      <c r="E681" s="80"/>
      <c r="F681" s="80"/>
      <c r="G681" s="81"/>
      <c r="H681" s="80"/>
      <c r="I681" s="80"/>
      <c r="J681" s="82" t="b">
        <v>0</v>
      </c>
    </row>
    <row r="682" ht="12.75" hidden="1" customHeight="1" outlineLevel="1">
      <c r="A682" s="89" t="s">
        <v>709</v>
      </c>
      <c r="B682" s="90" t="s">
        <v>710</v>
      </c>
      <c r="C682" s="89" t="s">
        <v>75</v>
      </c>
      <c r="D682" s="91">
        <v>1.0</v>
      </c>
      <c r="E682" s="92">
        <v>223.06</v>
      </c>
      <c r="F682" s="92">
        <v>223.06</v>
      </c>
      <c r="G682" s="93"/>
      <c r="H682" s="92"/>
      <c r="I682" s="92"/>
      <c r="J682" s="82" t="b">
        <v>0</v>
      </c>
    </row>
    <row r="683" ht="12.75" hidden="1" customHeight="1" outlineLevel="1">
      <c r="D683" s="79"/>
      <c r="E683" s="80"/>
      <c r="F683" s="80"/>
      <c r="G683" s="81"/>
      <c r="H683" s="80"/>
      <c r="I683" s="80"/>
      <c r="J683" s="82" t="b">
        <v>0</v>
      </c>
    </row>
    <row r="684" ht="12.75" hidden="1" customHeight="1" outlineLevel="1">
      <c r="A684" s="89" t="s">
        <v>711</v>
      </c>
      <c r="B684" s="90" t="s">
        <v>712</v>
      </c>
      <c r="D684" s="79"/>
      <c r="E684" s="80"/>
      <c r="F684" s="80"/>
      <c r="G684" s="81"/>
      <c r="H684" s="80"/>
      <c r="I684" s="80"/>
      <c r="J684" s="82" t="b">
        <v>0</v>
      </c>
    </row>
    <row r="685" ht="12.75" hidden="1" customHeight="1" outlineLevel="1">
      <c r="D685" s="79"/>
      <c r="E685" s="80"/>
      <c r="F685" s="80"/>
      <c r="G685" s="81"/>
      <c r="H685" s="80"/>
      <c r="I685" s="80"/>
      <c r="J685" s="82" t="b">
        <v>0</v>
      </c>
    </row>
    <row r="686" ht="12.75" hidden="1" customHeight="1" outlineLevel="1">
      <c r="A686" s="136" t="s">
        <v>713</v>
      </c>
      <c r="B686" s="137" t="s">
        <v>714</v>
      </c>
      <c r="C686" s="138"/>
      <c r="D686" s="139"/>
      <c r="E686" s="106"/>
      <c r="F686" s="106"/>
      <c r="G686" s="105"/>
      <c r="H686" s="106"/>
      <c r="I686" s="106"/>
      <c r="J686" s="101" t="b">
        <v>0</v>
      </c>
    </row>
    <row r="687" ht="12.75" hidden="1" customHeight="1" outlineLevel="1">
      <c r="A687" s="138"/>
      <c r="B687" s="138"/>
      <c r="C687" s="138"/>
      <c r="D687" s="139"/>
      <c r="E687" s="106"/>
      <c r="F687" s="106"/>
      <c r="G687" s="105"/>
      <c r="H687" s="106"/>
      <c r="I687" s="106"/>
      <c r="J687" s="101" t="b">
        <v>0</v>
      </c>
    </row>
    <row r="688" ht="12.75" hidden="1" customHeight="1" outlineLevel="1">
      <c r="A688" s="136" t="s">
        <v>715</v>
      </c>
      <c r="B688" s="137" t="s">
        <v>716</v>
      </c>
      <c r="C688" s="136" t="s">
        <v>75</v>
      </c>
      <c r="D688" s="140">
        <v>1.0</v>
      </c>
      <c r="E688" s="100">
        <v>4836.19</v>
      </c>
      <c r="F688" s="100">
        <v>4836.19</v>
      </c>
      <c r="G688" s="99"/>
      <c r="H688" s="100"/>
      <c r="I688" s="100"/>
      <c r="J688" s="101" t="b">
        <v>0</v>
      </c>
    </row>
    <row r="689" ht="12.75" hidden="1" customHeight="1" outlineLevel="1">
      <c r="A689" s="138"/>
      <c r="B689" s="138"/>
      <c r="C689" s="138"/>
      <c r="D689" s="139"/>
      <c r="E689" s="106"/>
      <c r="F689" s="106"/>
      <c r="G689" s="105"/>
      <c r="H689" s="106"/>
      <c r="I689" s="106"/>
      <c r="J689" s="101" t="b">
        <v>0</v>
      </c>
    </row>
    <row r="690" ht="12.75" hidden="1" customHeight="1" outlineLevel="1">
      <c r="A690" s="136" t="s">
        <v>717</v>
      </c>
      <c r="B690" s="137" t="s">
        <v>718</v>
      </c>
      <c r="C690" s="138"/>
      <c r="D690" s="139"/>
      <c r="E690" s="106"/>
      <c r="F690" s="106"/>
      <c r="G690" s="105"/>
      <c r="H690" s="106"/>
      <c r="I690" s="106"/>
      <c r="J690" s="101" t="b">
        <v>0</v>
      </c>
    </row>
    <row r="691" ht="12.75" hidden="1" customHeight="1" outlineLevel="1">
      <c r="A691" s="138"/>
      <c r="B691" s="138"/>
      <c r="C691" s="138"/>
      <c r="D691" s="139"/>
      <c r="E691" s="106"/>
      <c r="F691" s="106"/>
      <c r="G691" s="105"/>
      <c r="H691" s="106"/>
      <c r="I691" s="106"/>
      <c r="J691" s="101" t="b">
        <v>0</v>
      </c>
    </row>
    <row r="692" ht="12.75" hidden="1" customHeight="1" outlineLevel="1">
      <c r="A692" s="136" t="s">
        <v>719</v>
      </c>
      <c r="B692" s="137" t="s">
        <v>720</v>
      </c>
      <c r="C692" s="136" t="s">
        <v>161</v>
      </c>
      <c r="D692" s="140">
        <v>1.0</v>
      </c>
      <c r="E692" s="100">
        <v>4525.85</v>
      </c>
      <c r="F692" s="100">
        <v>4525.85</v>
      </c>
      <c r="G692" s="99"/>
      <c r="H692" s="100"/>
      <c r="I692" s="100"/>
      <c r="J692" s="101" t="b">
        <v>0</v>
      </c>
    </row>
    <row r="693" ht="12.75" hidden="1" customHeight="1" outlineLevel="1">
      <c r="A693" s="138"/>
      <c r="B693" s="138"/>
      <c r="C693" s="138"/>
      <c r="D693" s="139"/>
      <c r="E693" s="106"/>
      <c r="F693" s="106"/>
      <c r="G693" s="105"/>
      <c r="H693" s="106"/>
      <c r="I693" s="106"/>
      <c r="J693" s="101" t="b">
        <v>0</v>
      </c>
    </row>
    <row r="694" ht="12.75" hidden="1" customHeight="1" outlineLevel="1">
      <c r="A694" s="136" t="s">
        <v>721</v>
      </c>
      <c r="B694" s="137" t="s">
        <v>722</v>
      </c>
      <c r="C694" s="138"/>
      <c r="D694" s="139"/>
      <c r="E694" s="106"/>
      <c r="F694" s="106"/>
      <c r="G694" s="105"/>
      <c r="H694" s="106"/>
      <c r="I694" s="106"/>
      <c r="J694" s="101" t="b">
        <v>0</v>
      </c>
    </row>
    <row r="695" ht="12.75" hidden="1" customHeight="1" outlineLevel="1">
      <c r="A695" s="138"/>
      <c r="B695" s="138"/>
      <c r="C695" s="138"/>
      <c r="D695" s="139"/>
      <c r="E695" s="106"/>
      <c r="F695" s="106"/>
      <c r="G695" s="105"/>
      <c r="H695" s="106"/>
      <c r="I695" s="106"/>
      <c r="J695" s="101" t="b">
        <v>0</v>
      </c>
    </row>
    <row r="696" ht="12.75" hidden="1" customHeight="1" outlineLevel="1">
      <c r="A696" s="136" t="s">
        <v>723</v>
      </c>
      <c r="B696" s="137" t="s">
        <v>724</v>
      </c>
      <c r="C696" s="136" t="s">
        <v>75</v>
      </c>
      <c r="D696" s="140">
        <v>1.0</v>
      </c>
      <c r="E696" s="100">
        <v>6435.55</v>
      </c>
      <c r="F696" s="100">
        <v>6435.55</v>
      </c>
      <c r="G696" s="99"/>
      <c r="H696" s="100"/>
      <c r="I696" s="100"/>
      <c r="J696" s="101" t="b">
        <v>0</v>
      </c>
    </row>
    <row r="697" ht="12.75" hidden="1" customHeight="1" outlineLevel="1">
      <c r="D697" s="79"/>
      <c r="E697" s="80"/>
      <c r="F697" s="80"/>
      <c r="G697" s="81"/>
      <c r="H697" s="80"/>
      <c r="I697" s="80"/>
      <c r="J697" s="82" t="b">
        <v>0</v>
      </c>
    </row>
    <row r="698" ht="12.75" customHeight="1" collapsed="1">
      <c r="A698" s="134">
        <v>2.13</v>
      </c>
      <c r="B698" s="84" t="s">
        <v>725</v>
      </c>
      <c r="C698" s="87">
        <f>SUM(F702:F744)</f>
        <v>75835.91</v>
      </c>
      <c r="D698" s="86"/>
      <c r="E698" s="88"/>
      <c r="F698" s="88"/>
      <c r="G698" s="81"/>
      <c r="H698" s="80"/>
      <c r="I698" s="80"/>
      <c r="J698" s="82" t="b">
        <v>0</v>
      </c>
    </row>
    <row r="699" ht="12.75" hidden="1" customHeight="1" outlineLevel="1">
      <c r="D699" s="79"/>
      <c r="E699" s="80"/>
      <c r="F699" s="80"/>
      <c r="G699" s="81"/>
      <c r="H699" s="80"/>
      <c r="I699" s="80"/>
      <c r="J699" s="82" t="b">
        <v>0</v>
      </c>
    </row>
    <row r="700" ht="12.75" hidden="1" customHeight="1" outlineLevel="1">
      <c r="A700" s="89" t="s">
        <v>726</v>
      </c>
      <c r="B700" s="90" t="s">
        <v>727</v>
      </c>
      <c r="D700" s="79"/>
      <c r="E700" s="80"/>
      <c r="F700" s="80"/>
      <c r="G700" s="81"/>
      <c r="H700" s="80"/>
      <c r="I700" s="80"/>
      <c r="J700" s="82" t="b">
        <v>0</v>
      </c>
    </row>
    <row r="701" ht="12.75" hidden="1" customHeight="1" outlineLevel="1">
      <c r="D701" s="79"/>
      <c r="E701" s="80"/>
      <c r="F701" s="80"/>
      <c r="G701" s="81"/>
      <c r="H701" s="80"/>
      <c r="I701" s="80"/>
      <c r="J701" s="82" t="b">
        <v>0</v>
      </c>
    </row>
    <row r="702" ht="12.75" hidden="1" customHeight="1" outlineLevel="1">
      <c r="A702" s="89" t="s">
        <v>728</v>
      </c>
      <c r="B702" s="90" t="s">
        <v>729</v>
      </c>
      <c r="C702" s="89" t="s">
        <v>40</v>
      </c>
      <c r="D702" s="91">
        <v>77.14</v>
      </c>
      <c r="E702" s="92">
        <v>133.8</v>
      </c>
      <c r="F702" s="92">
        <v>10321.33</v>
      </c>
      <c r="G702" s="93"/>
      <c r="H702" s="92"/>
      <c r="I702" s="92"/>
      <c r="J702" s="82" t="b">
        <v>0</v>
      </c>
    </row>
    <row r="703" ht="12.75" hidden="1" customHeight="1" outlineLevel="1">
      <c r="D703" s="79"/>
      <c r="E703" s="80"/>
      <c r="F703" s="80"/>
      <c r="G703" s="81"/>
      <c r="H703" s="80"/>
      <c r="I703" s="80"/>
      <c r="J703" s="82" t="b">
        <v>0</v>
      </c>
    </row>
    <row r="704" ht="12.75" hidden="1" customHeight="1" outlineLevel="1">
      <c r="A704" s="89" t="s">
        <v>730</v>
      </c>
      <c r="B704" s="90" t="s">
        <v>731</v>
      </c>
      <c r="C704" s="89" t="s">
        <v>40</v>
      </c>
      <c r="D704" s="91">
        <v>168.06</v>
      </c>
      <c r="E704" s="92">
        <v>25.72</v>
      </c>
      <c r="F704" s="92">
        <v>4322.5</v>
      </c>
      <c r="G704" s="93"/>
      <c r="H704" s="92"/>
      <c r="I704" s="92"/>
      <c r="J704" s="82" t="b">
        <v>0</v>
      </c>
    </row>
    <row r="705" ht="12.75" hidden="1" customHeight="1" outlineLevel="1">
      <c r="D705" s="79"/>
      <c r="E705" s="80"/>
      <c r="F705" s="80"/>
      <c r="G705" s="81"/>
      <c r="H705" s="80"/>
      <c r="I705" s="80"/>
      <c r="J705" s="82" t="b">
        <v>0</v>
      </c>
    </row>
    <row r="706" ht="12.75" hidden="1" customHeight="1" outlineLevel="1">
      <c r="A706" s="89" t="s">
        <v>732</v>
      </c>
      <c r="B706" s="90" t="s">
        <v>733</v>
      </c>
      <c r="C706" s="89" t="s">
        <v>40</v>
      </c>
      <c r="D706" s="91">
        <v>168.06</v>
      </c>
      <c r="E706" s="92">
        <v>9.05</v>
      </c>
      <c r="F706" s="92">
        <v>1520.94</v>
      </c>
      <c r="G706" s="93"/>
      <c r="H706" s="92"/>
      <c r="I706" s="92"/>
      <c r="J706" s="82" t="b">
        <v>0</v>
      </c>
    </row>
    <row r="707" ht="12.75" hidden="1" customHeight="1" outlineLevel="1">
      <c r="D707" s="79"/>
      <c r="E707" s="80"/>
      <c r="F707" s="80"/>
      <c r="G707" s="81"/>
      <c r="H707" s="80"/>
      <c r="I707" s="80"/>
      <c r="J707" s="82" t="b">
        <v>0</v>
      </c>
    </row>
    <row r="708" ht="12.75" hidden="1" customHeight="1" outlineLevel="1">
      <c r="A708" s="89" t="s">
        <v>734</v>
      </c>
      <c r="B708" s="90" t="s">
        <v>735</v>
      </c>
      <c r="C708" s="89" t="s">
        <v>161</v>
      </c>
      <c r="D708" s="91">
        <v>153.59</v>
      </c>
      <c r="E708" s="92">
        <v>96.98</v>
      </c>
      <c r="F708" s="92">
        <v>14895.16</v>
      </c>
      <c r="G708" s="93"/>
      <c r="H708" s="92"/>
      <c r="I708" s="92"/>
      <c r="J708" s="82" t="b">
        <v>0</v>
      </c>
    </row>
    <row r="709" ht="12.75" hidden="1" customHeight="1" outlineLevel="1">
      <c r="D709" s="79"/>
      <c r="E709" s="80"/>
      <c r="F709" s="80"/>
      <c r="G709" s="81"/>
      <c r="H709" s="80"/>
      <c r="I709" s="80"/>
      <c r="J709" s="82" t="b">
        <v>0</v>
      </c>
    </row>
    <row r="710" ht="12.75" hidden="1" customHeight="1" outlineLevel="1">
      <c r="A710" s="89" t="s">
        <v>736</v>
      </c>
      <c r="B710" s="90" t="s">
        <v>737</v>
      </c>
      <c r="D710" s="79"/>
      <c r="E710" s="80"/>
      <c r="F710" s="80"/>
      <c r="G710" s="81"/>
      <c r="H710" s="80"/>
      <c r="I710" s="80"/>
      <c r="J710" s="82" t="b">
        <v>0</v>
      </c>
    </row>
    <row r="711" ht="12.75" hidden="1" customHeight="1" outlineLevel="1">
      <c r="D711" s="79"/>
      <c r="E711" s="80"/>
      <c r="F711" s="80"/>
      <c r="G711" s="81"/>
      <c r="H711" s="80"/>
      <c r="I711" s="80"/>
      <c r="J711" s="82" t="b">
        <v>0</v>
      </c>
    </row>
    <row r="712" ht="12.75" hidden="1" customHeight="1" outlineLevel="1">
      <c r="A712" s="89" t="s">
        <v>738</v>
      </c>
      <c r="B712" s="90" t="s">
        <v>739</v>
      </c>
      <c r="D712" s="79"/>
      <c r="E712" s="80"/>
      <c r="F712" s="80"/>
      <c r="G712" s="81"/>
      <c r="H712" s="80"/>
      <c r="I712" s="80"/>
      <c r="J712" s="82" t="b">
        <v>0</v>
      </c>
    </row>
    <row r="713" ht="12.75" hidden="1" customHeight="1" outlineLevel="1">
      <c r="D713" s="79"/>
      <c r="E713" s="80"/>
      <c r="F713" s="80"/>
      <c r="G713" s="81"/>
      <c r="H713" s="80"/>
      <c r="I713" s="80"/>
      <c r="J713" s="82" t="b">
        <v>0</v>
      </c>
    </row>
    <row r="714" ht="12.75" hidden="1" customHeight="1" outlineLevel="1">
      <c r="A714" s="89" t="s">
        <v>740</v>
      </c>
      <c r="B714" s="141" t="s">
        <v>741</v>
      </c>
      <c r="C714" s="142" t="s">
        <v>742</v>
      </c>
      <c r="D714" s="143">
        <v>90.98</v>
      </c>
      <c r="E714" s="144">
        <v>213.29</v>
      </c>
      <c r="F714" s="144">
        <v>19405.12</v>
      </c>
      <c r="G714" s="93"/>
      <c r="H714" s="92"/>
      <c r="I714" s="92"/>
      <c r="J714" s="82" t="b">
        <v>0</v>
      </c>
    </row>
    <row r="715" ht="12.75" hidden="1" customHeight="1" outlineLevel="1">
      <c r="D715" s="79"/>
      <c r="E715" s="80"/>
      <c r="F715" s="80"/>
      <c r="G715" s="81"/>
      <c r="H715" s="80"/>
      <c r="I715" s="80"/>
      <c r="J715" s="82" t="b">
        <v>0</v>
      </c>
    </row>
    <row r="716" ht="12.75" hidden="1" customHeight="1" outlineLevel="1">
      <c r="A716" s="89" t="s">
        <v>743</v>
      </c>
      <c r="B716" s="141" t="s">
        <v>744</v>
      </c>
      <c r="C716" s="142" t="s">
        <v>742</v>
      </c>
      <c r="D716" s="143">
        <v>27.29</v>
      </c>
      <c r="E716" s="144">
        <v>149.67</v>
      </c>
      <c r="F716" s="144">
        <v>4084.49</v>
      </c>
      <c r="G716" s="93"/>
      <c r="H716" s="92"/>
      <c r="I716" s="92"/>
      <c r="J716" s="82" t="b">
        <v>0</v>
      </c>
    </row>
    <row r="717" ht="12.75" hidden="1" customHeight="1" outlineLevel="1">
      <c r="D717" s="79"/>
      <c r="E717" s="80"/>
      <c r="F717" s="80"/>
      <c r="G717" s="81"/>
      <c r="H717" s="80"/>
      <c r="I717" s="80"/>
      <c r="J717" s="82" t="b">
        <v>0</v>
      </c>
    </row>
    <row r="718" ht="12.75" hidden="1" customHeight="1" outlineLevel="1">
      <c r="A718" s="89" t="s">
        <v>745</v>
      </c>
      <c r="B718" s="90" t="s">
        <v>746</v>
      </c>
      <c r="D718" s="79"/>
      <c r="E718" s="80"/>
      <c r="F718" s="80"/>
      <c r="G718" s="81"/>
      <c r="H718" s="80"/>
      <c r="I718" s="80"/>
      <c r="J718" s="82" t="b">
        <v>0</v>
      </c>
    </row>
    <row r="719" ht="12.75" hidden="1" customHeight="1" outlineLevel="1">
      <c r="D719" s="79"/>
      <c r="E719" s="80"/>
      <c r="F719" s="80"/>
      <c r="G719" s="81"/>
      <c r="H719" s="80"/>
      <c r="I719" s="80"/>
      <c r="J719" s="82" t="b">
        <v>0</v>
      </c>
    </row>
    <row r="720" ht="12.75" hidden="1" customHeight="1" outlineLevel="1">
      <c r="A720" s="89" t="s">
        <v>747</v>
      </c>
      <c r="B720" s="90" t="s">
        <v>748</v>
      </c>
      <c r="C720" s="89" t="s">
        <v>40</v>
      </c>
      <c r="D720" s="91">
        <v>31.0</v>
      </c>
      <c r="E720" s="92">
        <v>32.0</v>
      </c>
      <c r="F720" s="92">
        <v>992.0</v>
      </c>
      <c r="G720" s="93"/>
      <c r="H720" s="92"/>
      <c r="I720" s="92"/>
      <c r="J720" s="82" t="b">
        <v>0</v>
      </c>
    </row>
    <row r="721" ht="12.75" hidden="1" customHeight="1" outlineLevel="1">
      <c r="D721" s="79"/>
      <c r="E721" s="80"/>
      <c r="F721" s="80"/>
      <c r="G721" s="81"/>
      <c r="H721" s="80"/>
      <c r="I721" s="80"/>
      <c r="J721" s="82" t="b">
        <v>0</v>
      </c>
    </row>
    <row r="722" ht="12.75" hidden="1" customHeight="1" outlineLevel="1">
      <c r="A722" s="89" t="s">
        <v>749</v>
      </c>
      <c r="B722" s="90" t="s">
        <v>731</v>
      </c>
      <c r="C722" s="89" t="s">
        <v>40</v>
      </c>
      <c r="D722" s="91">
        <v>62.0</v>
      </c>
      <c r="E722" s="92">
        <v>25.72</v>
      </c>
      <c r="F722" s="92">
        <v>1594.64</v>
      </c>
      <c r="G722" s="93"/>
      <c r="H722" s="92"/>
      <c r="I722" s="92"/>
      <c r="J722" s="82" t="b">
        <v>0</v>
      </c>
    </row>
    <row r="723" ht="12.75" hidden="1" customHeight="1" outlineLevel="1">
      <c r="D723" s="79"/>
      <c r="E723" s="80"/>
      <c r="F723" s="80"/>
      <c r="G723" s="81"/>
      <c r="H723" s="80"/>
      <c r="I723" s="80"/>
      <c r="J723" s="82" t="b">
        <v>0</v>
      </c>
    </row>
    <row r="724" ht="12.75" hidden="1" customHeight="1" outlineLevel="1">
      <c r="A724" s="89" t="s">
        <v>750</v>
      </c>
      <c r="B724" s="90" t="s">
        <v>733</v>
      </c>
      <c r="C724" s="89" t="s">
        <v>40</v>
      </c>
      <c r="D724" s="91">
        <v>62.0</v>
      </c>
      <c r="E724" s="92">
        <v>9.05</v>
      </c>
      <c r="F724" s="92">
        <v>561.1</v>
      </c>
      <c r="G724" s="93"/>
      <c r="H724" s="92"/>
      <c r="I724" s="92"/>
      <c r="J724" s="82" t="b">
        <v>0</v>
      </c>
    </row>
    <row r="725" ht="12.75" hidden="1" customHeight="1" outlineLevel="1">
      <c r="D725" s="79"/>
      <c r="E725" s="80"/>
      <c r="F725" s="80"/>
      <c r="G725" s="81"/>
      <c r="H725" s="80"/>
      <c r="I725" s="80"/>
      <c r="J725" s="82" t="b">
        <v>0</v>
      </c>
    </row>
    <row r="726" ht="12.75" hidden="1" customHeight="1" outlineLevel="1">
      <c r="A726" s="89" t="s">
        <v>751</v>
      </c>
      <c r="B726" s="90" t="s">
        <v>752</v>
      </c>
      <c r="C726" s="89" t="s">
        <v>40</v>
      </c>
      <c r="D726" s="91">
        <v>17.11</v>
      </c>
      <c r="E726" s="92">
        <v>32.62</v>
      </c>
      <c r="F726" s="92">
        <v>558.13</v>
      </c>
      <c r="G726" s="93"/>
      <c r="H726" s="92"/>
      <c r="I726" s="92"/>
      <c r="J726" s="82" t="b">
        <v>0</v>
      </c>
    </row>
    <row r="727" ht="12.75" hidden="1" customHeight="1" outlineLevel="1">
      <c r="D727" s="79"/>
      <c r="E727" s="80"/>
      <c r="F727" s="80"/>
      <c r="G727" s="81"/>
      <c r="H727" s="80"/>
      <c r="I727" s="80"/>
      <c r="J727" s="82" t="b">
        <v>0</v>
      </c>
    </row>
    <row r="728" ht="12.75" hidden="1" customHeight="1" outlineLevel="1">
      <c r="A728" s="89" t="s">
        <v>753</v>
      </c>
      <c r="B728" s="90" t="s">
        <v>754</v>
      </c>
      <c r="C728" s="89" t="s">
        <v>40</v>
      </c>
      <c r="D728" s="91">
        <v>7.38</v>
      </c>
      <c r="E728" s="92">
        <v>581.9</v>
      </c>
      <c r="F728" s="92">
        <v>4294.42</v>
      </c>
      <c r="G728" s="93"/>
      <c r="H728" s="92"/>
      <c r="I728" s="92"/>
      <c r="J728" s="82" t="b">
        <v>0</v>
      </c>
    </row>
    <row r="729" ht="12.75" hidden="1" customHeight="1" outlineLevel="1">
      <c r="D729" s="79"/>
      <c r="E729" s="80"/>
      <c r="F729" s="80"/>
      <c r="G729" s="81"/>
      <c r="H729" s="80"/>
      <c r="I729" s="80"/>
      <c r="J729" s="82" t="b">
        <v>0</v>
      </c>
    </row>
    <row r="730" ht="12.75" hidden="1" customHeight="1" outlineLevel="1">
      <c r="A730" s="89" t="s">
        <v>755</v>
      </c>
      <c r="B730" s="90" t="s">
        <v>756</v>
      </c>
      <c r="D730" s="79"/>
      <c r="E730" s="80"/>
      <c r="F730" s="80"/>
      <c r="G730" s="81"/>
      <c r="H730" s="80"/>
      <c r="I730" s="80"/>
      <c r="J730" s="82" t="b">
        <v>0</v>
      </c>
    </row>
    <row r="731" ht="12.75" hidden="1" customHeight="1" outlineLevel="1">
      <c r="D731" s="79"/>
      <c r="E731" s="80"/>
      <c r="F731" s="80"/>
      <c r="G731" s="81"/>
      <c r="H731" s="80"/>
      <c r="I731" s="80"/>
      <c r="J731" s="82" t="b">
        <v>0</v>
      </c>
    </row>
    <row r="732" ht="12.75" hidden="1" customHeight="1" outlineLevel="1">
      <c r="A732" s="89" t="s">
        <v>757</v>
      </c>
      <c r="B732" s="90" t="s">
        <v>758</v>
      </c>
      <c r="C732" s="89" t="s">
        <v>75</v>
      </c>
      <c r="D732" s="91">
        <v>1.0</v>
      </c>
      <c r="E732" s="92">
        <v>2005.6</v>
      </c>
      <c r="F732" s="92">
        <v>2005.6</v>
      </c>
      <c r="G732" s="93"/>
      <c r="H732" s="92"/>
      <c r="I732" s="92"/>
      <c r="J732" s="82" t="b">
        <v>0</v>
      </c>
    </row>
    <row r="733" ht="12.75" hidden="1" customHeight="1" outlineLevel="1">
      <c r="D733" s="79"/>
      <c r="E733" s="80"/>
      <c r="F733" s="80"/>
      <c r="G733" s="81"/>
      <c r="H733" s="80"/>
      <c r="I733" s="80"/>
      <c r="J733" s="82" t="b">
        <v>0</v>
      </c>
    </row>
    <row r="734" ht="12.75" hidden="1" customHeight="1" outlineLevel="1">
      <c r="A734" s="89" t="s">
        <v>759</v>
      </c>
      <c r="B734" s="90" t="s">
        <v>760</v>
      </c>
      <c r="D734" s="79"/>
      <c r="E734" s="80"/>
      <c r="F734" s="80"/>
      <c r="G734" s="81"/>
      <c r="H734" s="80"/>
      <c r="I734" s="80"/>
      <c r="J734" s="82" t="b">
        <v>0</v>
      </c>
    </row>
    <row r="735" ht="12.75" hidden="1" customHeight="1" outlineLevel="1">
      <c r="D735" s="79"/>
      <c r="E735" s="80"/>
      <c r="F735" s="80"/>
      <c r="G735" s="81"/>
      <c r="H735" s="80"/>
      <c r="I735" s="80"/>
      <c r="J735" s="82" t="b">
        <v>0</v>
      </c>
    </row>
    <row r="736" ht="12.75" hidden="1" customHeight="1" outlineLevel="1">
      <c r="A736" s="89" t="s">
        <v>761</v>
      </c>
      <c r="B736" s="90" t="s">
        <v>762</v>
      </c>
      <c r="C736" s="89" t="s">
        <v>75</v>
      </c>
      <c r="D736" s="91">
        <v>1.0</v>
      </c>
      <c r="E736" s="92">
        <v>4454.86</v>
      </c>
      <c r="F736" s="92">
        <v>4454.86</v>
      </c>
      <c r="G736" s="93"/>
      <c r="H736" s="92"/>
      <c r="I736" s="92"/>
      <c r="J736" s="82" t="b">
        <v>0</v>
      </c>
    </row>
    <row r="737" ht="12.75" hidden="1" customHeight="1" outlineLevel="1">
      <c r="D737" s="79"/>
      <c r="E737" s="80"/>
      <c r="F737" s="80"/>
      <c r="G737" s="81"/>
      <c r="H737" s="80"/>
      <c r="I737" s="80"/>
      <c r="J737" s="82" t="b">
        <v>0</v>
      </c>
    </row>
    <row r="738" ht="12.75" hidden="1" customHeight="1" outlineLevel="1">
      <c r="A738" s="89" t="s">
        <v>763</v>
      </c>
      <c r="B738" s="90" t="s">
        <v>764</v>
      </c>
      <c r="D738" s="79"/>
      <c r="E738" s="80"/>
      <c r="F738" s="80"/>
      <c r="G738" s="81"/>
      <c r="H738" s="80"/>
      <c r="I738" s="80"/>
      <c r="J738" s="82" t="b">
        <v>0</v>
      </c>
    </row>
    <row r="739" ht="12.75" hidden="1" customHeight="1" outlineLevel="1">
      <c r="D739" s="79"/>
      <c r="E739" s="80"/>
      <c r="F739" s="80"/>
      <c r="G739" s="81"/>
      <c r="H739" s="80"/>
      <c r="I739" s="80"/>
      <c r="J739" s="82" t="b">
        <v>0</v>
      </c>
    </row>
    <row r="740" ht="12.75" hidden="1" customHeight="1" outlineLevel="1">
      <c r="A740" s="89" t="s">
        <v>765</v>
      </c>
      <c r="B740" s="90" t="s">
        <v>766</v>
      </c>
      <c r="C740" s="89" t="s">
        <v>75</v>
      </c>
      <c r="D740" s="91">
        <v>1.0</v>
      </c>
      <c r="E740" s="92">
        <v>3272.19</v>
      </c>
      <c r="F740" s="92">
        <v>3272.19</v>
      </c>
      <c r="G740" s="93"/>
      <c r="H740" s="92"/>
      <c r="I740" s="92"/>
      <c r="J740" s="82" t="b">
        <v>0</v>
      </c>
    </row>
    <row r="741" ht="12.75" hidden="1" customHeight="1" outlineLevel="1">
      <c r="D741" s="79"/>
      <c r="E741" s="80"/>
      <c r="F741" s="80"/>
      <c r="G741" s="81"/>
      <c r="H741" s="80"/>
      <c r="I741" s="80"/>
      <c r="J741" s="82" t="b">
        <v>0</v>
      </c>
    </row>
    <row r="742" ht="12.75" hidden="1" customHeight="1" outlineLevel="1">
      <c r="A742" s="89" t="s">
        <v>767</v>
      </c>
      <c r="B742" s="90" t="s">
        <v>768</v>
      </c>
      <c r="C742" s="89" t="s">
        <v>75</v>
      </c>
      <c r="D742" s="91">
        <v>1.0</v>
      </c>
      <c r="E742" s="92">
        <v>3078.22</v>
      </c>
      <c r="F742" s="92">
        <v>3078.22</v>
      </c>
      <c r="G742" s="93"/>
      <c r="H742" s="92"/>
      <c r="I742" s="92"/>
      <c r="J742" s="82" t="b">
        <v>0</v>
      </c>
    </row>
    <row r="743" ht="12.75" hidden="1" customHeight="1" outlineLevel="1">
      <c r="D743" s="79"/>
      <c r="E743" s="80"/>
      <c r="F743" s="80"/>
      <c r="G743" s="81"/>
      <c r="H743" s="80"/>
      <c r="I743" s="80"/>
      <c r="J743" s="82" t="b">
        <v>0</v>
      </c>
    </row>
    <row r="744" ht="12.75" hidden="1" customHeight="1" outlineLevel="1">
      <c r="A744" s="89" t="s">
        <v>769</v>
      </c>
      <c r="B744" s="90" t="s">
        <v>770</v>
      </c>
      <c r="C744" s="89" t="s">
        <v>161</v>
      </c>
      <c r="D744" s="91">
        <v>2.1</v>
      </c>
      <c r="E744" s="92">
        <v>226.29</v>
      </c>
      <c r="F744" s="92">
        <v>475.21</v>
      </c>
      <c r="G744" s="93"/>
      <c r="H744" s="92"/>
      <c r="I744" s="92"/>
      <c r="J744" s="82" t="b">
        <v>0</v>
      </c>
    </row>
    <row r="745" ht="12.75" customHeight="1">
      <c r="A745" s="145"/>
      <c r="B745" s="145"/>
      <c r="C745" s="145"/>
      <c r="D745" s="146"/>
      <c r="E745" s="147"/>
      <c r="F745" s="147"/>
      <c r="G745" s="81"/>
      <c r="H745" s="80"/>
      <c r="I745" s="80"/>
      <c r="J745" s="82" t="b">
        <v>0</v>
      </c>
    </row>
    <row r="746" ht="12.75" customHeight="1">
      <c r="D746" s="79"/>
      <c r="E746" s="80"/>
      <c r="F746" s="80"/>
      <c r="G746" s="81"/>
      <c r="H746" s="80"/>
      <c r="I746" s="80"/>
      <c r="J746" s="82" t="b">
        <v>0</v>
      </c>
    </row>
    <row r="747" ht="12.75" customHeight="1">
      <c r="D747" s="79"/>
      <c r="E747" s="80"/>
      <c r="F747" s="80"/>
      <c r="G747" s="81"/>
      <c r="H747" s="80"/>
      <c r="I747" s="80"/>
      <c r="J747" s="82" t="b">
        <v>0</v>
      </c>
    </row>
    <row r="748" ht="12.75" customHeight="1">
      <c r="D748" s="79"/>
      <c r="E748" s="80"/>
      <c r="F748" s="80"/>
      <c r="G748" s="81"/>
      <c r="H748" s="80"/>
      <c r="I748" s="80"/>
      <c r="J748" s="82" t="b">
        <v>0</v>
      </c>
    </row>
    <row r="749" ht="12.75" customHeight="1" collapsed="1">
      <c r="A749" s="83" t="s">
        <v>27</v>
      </c>
      <c r="B749" s="84" t="s">
        <v>771</v>
      </c>
      <c r="C749" s="148">
        <f>SUM(F751:F759)</f>
        <v>51415.45</v>
      </c>
      <c r="D749" s="86"/>
      <c r="E749" s="88"/>
      <c r="F749" s="88"/>
      <c r="G749" s="81"/>
      <c r="H749" s="80"/>
      <c r="I749" s="80"/>
      <c r="J749" s="82" t="b">
        <v>0</v>
      </c>
    </row>
    <row r="750" ht="12.75" hidden="1" customHeight="1" outlineLevel="1">
      <c r="D750" s="79"/>
      <c r="E750" s="80"/>
      <c r="F750" s="80"/>
      <c r="G750" s="81"/>
      <c r="H750" s="80"/>
      <c r="I750" s="80"/>
      <c r="J750" s="82" t="b">
        <v>0</v>
      </c>
    </row>
    <row r="751" ht="12.75" hidden="1" customHeight="1" outlineLevel="1">
      <c r="A751" s="136" t="s">
        <v>772</v>
      </c>
      <c r="B751" s="149" t="s">
        <v>773</v>
      </c>
      <c r="C751" s="136" t="s">
        <v>75</v>
      </c>
      <c r="D751" s="140">
        <v>1.0</v>
      </c>
      <c r="E751" s="150">
        <v>3879.3</v>
      </c>
      <c r="F751" s="100">
        <v>3879.3</v>
      </c>
      <c r="G751" s="99"/>
      <c r="H751" s="100"/>
      <c r="I751" s="100"/>
      <c r="J751" s="101" t="b">
        <v>0</v>
      </c>
    </row>
    <row r="752" ht="12.75" hidden="1" customHeight="1" outlineLevel="1">
      <c r="A752" s="138"/>
      <c r="B752" s="138"/>
      <c r="C752" s="138"/>
      <c r="D752" s="139"/>
      <c r="E752" s="106"/>
      <c r="F752" s="106"/>
      <c r="G752" s="105"/>
      <c r="H752" s="106"/>
      <c r="I752" s="106"/>
      <c r="J752" s="101" t="b">
        <v>0</v>
      </c>
    </row>
    <row r="753" ht="12.75" hidden="1" customHeight="1" outlineLevel="1">
      <c r="A753" s="136" t="s">
        <v>774</v>
      </c>
      <c r="B753" s="149" t="s">
        <v>775</v>
      </c>
      <c r="C753" s="136" t="s">
        <v>776</v>
      </c>
      <c r="D753" s="140">
        <v>2234.27</v>
      </c>
      <c r="E753" s="100">
        <v>10.99</v>
      </c>
      <c r="F753" s="100">
        <v>24554.63</v>
      </c>
      <c r="G753" s="99"/>
      <c r="H753" s="100"/>
      <c r="I753" s="100"/>
      <c r="J753" s="101" t="b">
        <v>0</v>
      </c>
    </row>
    <row r="754" ht="12.75" hidden="1" customHeight="1" outlineLevel="1">
      <c r="A754" s="138"/>
      <c r="B754" s="138"/>
      <c r="C754" s="138"/>
      <c r="D754" s="139"/>
      <c r="E754" s="106"/>
      <c r="F754" s="106"/>
      <c r="G754" s="105"/>
      <c r="H754" s="106"/>
      <c r="I754" s="106"/>
      <c r="J754" s="101" t="b">
        <v>0</v>
      </c>
    </row>
    <row r="755" ht="12.75" hidden="1" customHeight="1" outlineLevel="1">
      <c r="A755" s="136" t="s">
        <v>777</v>
      </c>
      <c r="B755" s="149" t="s">
        <v>778</v>
      </c>
      <c r="C755" s="136" t="s">
        <v>776</v>
      </c>
      <c r="D755" s="140">
        <v>482.44</v>
      </c>
      <c r="E755" s="100">
        <v>10.99</v>
      </c>
      <c r="F755" s="100">
        <v>5302.02</v>
      </c>
      <c r="G755" s="99"/>
      <c r="H755" s="100"/>
      <c r="I755" s="100"/>
      <c r="J755" s="101" t="b">
        <v>0</v>
      </c>
    </row>
    <row r="756" ht="12.75" hidden="1" customHeight="1" outlineLevel="1">
      <c r="D756" s="79"/>
      <c r="E756" s="80"/>
      <c r="F756" s="80"/>
      <c r="G756" s="81"/>
      <c r="H756" s="80"/>
      <c r="I756" s="80"/>
      <c r="J756" s="82" t="b">
        <v>0</v>
      </c>
    </row>
    <row r="757" ht="12.75" hidden="1" customHeight="1" outlineLevel="1">
      <c r="A757" s="89" t="s">
        <v>779</v>
      </c>
      <c r="B757" s="90" t="s">
        <v>780</v>
      </c>
      <c r="D757" s="79"/>
      <c r="E757" s="80"/>
      <c r="F757" s="80"/>
      <c r="G757" s="81"/>
      <c r="H757" s="80"/>
      <c r="I757" s="80"/>
      <c r="J757" s="82" t="b">
        <v>0</v>
      </c>
    </row>
    <row r="758" ht="12.75" hidden="1" customHeight="1" outlineLevel="1">
      <c r="D758" s="79"/>
      <c r="E758" s="80"/>
      <c r="F758" s="80"/>
      <c r="G758" s="81"/>
      <c r="H758" s="80"/>
      <c r="I758" s="80"/>
      <c r="J758" s="82" t="b">
        <v>0</v>
      </c>
    </row>
    <row r="759" ht="12.75" hidden="1" customHeight="1" outlineLevel="1">
      <c r="A759" s="136" t="s">
        <v>781</v>
      </c>
      <c r="B759" s="137" t="s">
        <v>782</v>
      </c>
      <c r="C759" s="136" t="s">
        <v>776</v>
      </c>
      <c r="D759" s="140">
        <v>2102.2</v>
      </c>
      <c r="E759" s="100">
        <v>8.41</v>
      </c>
      <c r="F759" s="100">
        <v>17679.5</v>
      </c>
      <c r="G759" s="99"/>
      <c r="H759" s="100"/>
      <c r="I759" s="100"/>
      <c r="J759" s="101" t="b">
        <v>0</v>
      </c>
    </row>
    <row r="760" ht="12.75" hidden="1" customHeight="1" outlineLevel="1">
      <c r="D760" s="79"/>
      <c r="E760" s="80"/>
      <c r="F760" s="80"/>
      <c r="G760" s="81"/>
      <c r="H760" s="80"/>
      <c r="I760" s="80"/>
      <c r="J760" s="82" t="b">
        <v>0</v>
      </c>
    </row>
    <row r="761" ht="12.75" customHeight="1" collapsed="1">
      <c r="A761" s="83">
        <v>2.0</v>
      </c>
      <c r="B761" s="84" t="s">
        <v>783</v>
      </c>
      <c r="C761" s="94">
        <f>SUM(F767:F1039)</f>
        <v>558392.25</v>
      </c>
      <c r="D761" s="86"/>
      <c r="E761" s="88"/>
      <c r="F761" s="88"/>
      <c r="G761" s="117"/>
      <c r="H761" s="116"/>
      <c r="I761" s="116"/>
      <c r="J761" s="118" t="b">
        <v>0</v>
      </c>
    </row>
    <row r="762" ht="12.75" hidden="1" customHeight="1" outlineLevel="1">
      <c r="A762" s="21"/>
      <c r="B762" s="21"/>
      <c r="C762" s="21"/>
      <c r="D762" s="115"/>
      <c r="E762" s="116"/>
      <c r="F762" s="116"/>
      <c r="G762" s="117"/>
      <c r="H762" s="116"/>
      <c r="I762" s="116"/>
      <c r="J762" s="118" t="b">
        <v>0</v>
      </c>
    </row>
    <row r="763" ht="12.75" hidden="1" customHeight="1" outlineLevel="1">
      <c r="A763" s="151" t="s">
        <v>784</v>
      </c>
      <c r="B763" s="152" t="s">
        <v>785</v>
      </c>
      <c r="C763" s="21"/>
      <c r="D763" s="115"/>
      <c r="E763" s="116"/>
      <c r="F763" s="116"/>
      <c r="G763" s="117"/>
      <c r="H763" s="116"/>
      <c r="I763" s="116"/>
      <c r="J763" s="118" t="b">
        <v>0</v>
      </c>
    </row>
    <row r="764" ht="12.75" hidden="1" customHeight="1" outlineLevel="1">
      <c r="A764" s="21"/>
      <c r="B764" s="21"/>
      <c r="C764" s="21"/>
      <c r="D764" s="115"/>
      <c r="E764" s="116"/>
      <c r="F764" s="116"/>
      <c r="G764" s="117"/>
      <c r="H764" s="116"/>
      <c r="I764" s="116"/>
      <c r="J764" s="118" t="b">
        <v>0</v>
      </c>
    </row>
    <row r="765" ht="12.75" hidden="1" customHeight="1" outlineLevel="1">
      <c r="A765" s="151" t="s">
        <v>36</v>
      </c>
      <c r="B765" s="152" t="s">
        <v>786</v>
      </c>
      <c r="C765" s="21"/>
      <c r="D765" s="115"/>
      <c r="E765" s="116"/>
      <c r="F765" s="116"/>
      <c r="G765" s="117"/>
      <c r="H765" s="116"/>
      <c r="I765" s="116"/>
      <c r="J765" s="118" t="b">
        <v>0</v>
      </c>
    </row>
    <row r="766" ht="12.75" hidden="1" customHeight="1" outlineLevel="1">
      <c r="A766" s="21"/>
      <c r="B766" s="21"/>
      <c r="C766" s="21"/>
      <c r="D766" s="115"/>
      <c r="E766" s="116"/>
      <c r="F766" s="116"/>
      <c r="G766" s="117"/>
      <c r="H766" s="116"/>
      <c r="I766" s="116"/>
      <c r="J766" s="118" t="b">
        <v>0</v>
      </c>
    </row>
    <row r="767" ht="12.75" hidden="1" customHeight="1" outlineLevel="1">
      <c r="A767" s="151" t="s">
        <v>38</v>
      </c>
      <c r="B767" s="152" t="s">
        <v>787</v>
      </c>
      <c r="C767" s="151" t="s">
        <v>40</v>
      </c>
      <c r="D767" s="153">
        <v>329.7</v>
      </c>
      <c r="E767" s="154">
        <v>9.15</v>
      </c>
      <c r="F767" s="154">
        <v>3016.76</v>
      </c>
      <c r="G767" s="155"/>
      <c r="H767" s="154"/>
      <c r="I767" s="154"/>
      <c r="J767" s="118" t="b">
        <v>0</v>
      </c>
    </row>
    <row r="768" ht="12.75" hidden="1" customHeight="1" outlineLevel="1">
      <c r="A768" s="21"/>
      <c r="B768" s="21"/>
      <c r="C768" s="21"/>
      <c r="D768" s="115"/>
      <c r="E768" s="116"/>
      <c r="F768" s="116"/>
      <c r="G768" s="117"/>
      <c r="H768" s="116"/>
      <c r="I768" s="116"/>
      <c r="J768" s="118" t="b">
        <v>0</v>
      </c>
    </row>
    <row r="769" ht="12.75" hidden="1" customHeight="1" outlineLevel="1">
      <c r="A769" s="151" t="s">
        <v>45</v>
      </c>
      <c r="B769" s="152" t="s">
        <v>788</v>
      </c>
      <c r="C769" s="21"/>
      <c r="D769" s="115"/>
      <c r="E769" s="116"/>
      <c r="F769" s="116"/>
      <c r="G769" s="117"/>
      <c r="H769" s="116"/>
      <c r="I769" s="116"/>
      <c r="J769" s="118" t="b">
        <v>0</v>
      </c>
    </row>
    <row r="770" ht="12.75" hidden="1" customHeight="1" outlineLevel="1">
      <c r="A770" s="21"/>
      <c r="B770" s="21"/>
      <c r="C770" s="21"/>
      <c r="D770" s="115"/>
      <c r="E770" s="116"/>
      <c r="F770" s="116"/>
      <c r="G770" s="117"/>
      <c r="H770" s="116"/>
      <c r="I770" s="116"/>
      <c r="J770" s="118" t="b">
        <v>0</v>
      </c>
    </row>
    <row r="771" ht="12.75" hidden="1" customHeight="1" outlineLevel="1">
      <c r="A771" s="151" t="s">
        <v>47</v>
      </c>
      <c r="B771" s="152" t="s">
        <v>789</v>
      </c>
      <c r="C771" s="151" t="s">
        <v>776</v>
      </c>
      <c r="D771" s="153">
        <v>29.25</v>
      </c>
      <c r="E771" s="154">
        <v>153.61</v>
      </c>
      <c r="F771" s="154">
        <v>4493.09</v>
      </c>
      <c r="G771" s="155"/>
      <c r="H771" s="154"/>
      <c r="I771" s="154"/>
      <c r="J771" s="118" t="b">
        <v>0</v>
      </c>
    </row>
    <row r="772" ht="12.75" hidden="1" customHeight="1" outlineLevel="1">
      <c r="A772" s="21"/>
      <c r="B772" s="21"/>
      <c r="C772" s="21"/>
      <c r="D772" s="115"/>
      <c r="E772" s="116"/>
      <c r="F772" s="116"/>
      <c r="G772" s="117"/>
      <c r="H772" s="116"/>
      <c r="I772" s="116"/>
      <c r="J772" s="118" t="b">
        <v>0</v>
      </c>
    </row>
    <row r="773" ht="12.75" hidden="1" customHeight="1" outlineLevel="1">
      <c r="A773" s="151" t="s">
        <v>49</v>
      </c>
      <c r="B773" s="152" t="s">
        <v>790</v>
      </c>
      <c r="C773" s="151" t="s">
        <v>776</v>
      </c>
      <c r="D773" s="153">
        <v>8.94</v>
      </c>
      <c r="E773" s="154">
        <v>153.61</v>
      </c>
      <c r="F773" s="154">
        <v>1373.27</v>
      </c>
      <c r="G773" s="155"/>
      <c r="H773" s="154"/>
      <c r="I773" s="154"/>
      <c r="J773" s="118" t="b">
        <v>0</v>
      </c>
    </row>
    <row r="774" ht="12.75" hidden="1" customHeight="1" outlineLevel="1">
      <c r="A774" s="21"/>
      <c r="B774" s="21"/>
      <c r="C774" s="21"/>
      <c r="D774" s="115"/>
      <c r="E774" s="116"/>
      <c r="F774" s="116"/>
      <c r="G774" s="117"/>
      <c r="H774" s="116"/>
      <c r="I774" s="116"/>
      <c r="J774" s="118" t="b">
        <v>0</v>
      </c>
    </row>
    <row r="775" ht="12.75" hidden="1" customHeight="1" outlineLevel="1">
      <c r="A775" s="151" t="s">
        <v>51</v>
      </c>
      <c r="B775" s="152" t="s">
        <v>791</v>
      </c>
      <c r="C775" s="151" t="s">
        <v>776</v>
      </c>
      <c r="D775" s="153">
        <v>106.22</v>
      </c>
      <c r="E775" s="154">
        <v>153.61</v>
      </c>
      <c r="F775" s="154">
        <v>16316.45</v>
      </c>
      <c r="G775" s="155"/>
      <c r="H775" s="154"/>
      <c r="I775" s="154"/>
      <c r="J775" s="118" t="b">
        <v>0</v>
      </c>
    </row>
    <row r="776" ht="12.75" hidden="1" customHeight="1" outlineLevel="1">
      <c r="A776" s="21"/>
      <c r="B776" s="21"/>
      <c r="C776" s="21"/>
      <c r="D776" s="115"/>
      <c r="E776" s="116"/>
      <c r="F776" s="116"/>
      <c r="G776" s="117"/>
      <c r="H776" s="116"/>
      <c r="I776" s="116"/>
      <c r="J776" s="118" t="b">
        <v>0</v>
      </c>
    </row>
    <row r="777" ht="12.75" hidden="1" customHeight="1" outlineLevel="1">
      <c r="A777" s="151" t="s">
        <v>792</v>
      </c>
      <c r="B777" s="152" t="s">
        <v>793</v>
      </c>
      <c r="C777" s="151" t="s">
        <v>776</v>
      </c>
      <c r="D777" s="153">
        <v>3.02</v>
      </c>
      <c r="E777" s="154">
        <v>153.61</v>
      </c>
      <c r="F777" s="154">
        <v>463.9</v>
      </c>
      <c r="G777" s="155"/>
      <c r="H777" s="154"/>
      <c r="I777" s="154"/>
      <c r="J777" s="118" t="b">
        <v>0</v>
      </c>
    </row>
    <row r="778" ht="12.75" hidden="1" customHeight="1" outlineLevel="1">
      <c r="A778" s="21"/>
      <c r="B778" s="21"/>
      <c r="C778" s="21"/>
      <c r="D778" s="115"/>
      <c r="E778" s="116"/>
      <c r="F778" s="116"/>
      <c r="G778" s="117"/>
      <c r="H778" s="116"/>
      <c r="I778" s="116"/>
      <c r="J778" s="118" t="b">
        <v>0</v>
      </c>
    </row>
    <row r="779" ht="12.75" hidden="1" customHeight="1" outlineLevel="1">
      <c r="A779" s="151" t="s">
        <v>53</v>
      </c>
      <c r="B779" s="152" t="s">
        <v>794</v>
      </c>
      <c r="C779" s="21"/>
      <c r="D779" s="115"/>
      <c r="E779" s="116"/>
      <c r="F779" s="116"/>
      <c r="G779" s="117"/>
      <c r="H779" s="116"/>
      <c r="I779" s="116"/>
      <c r="J779" s="118" t="b">
        <v>0</v>
      </c>
    </row>
    <row r="780" ht="12.75" hidden="1" customHeight="1" outlineLevel="1">
      <c r="A780" s="21"/>
      <c r="B780" s="21"/>
      <c r="C780" s="21"/>
      <c r="D780" s="115"/>
      <c r="E780" s="116"/>
      <c r="F780" s="116"/>
      <c r="G780" s="117"/>
      <c r="H780" s="116"/>
      <c r="I780" s="116"/>
      <c r="J780" s="118" t="b">
        <v>0</v>
      </c>
    </row>
    <row r="781" ht="12.75" hidden="1" customHeight="1" outlineLevel="1">
      <c r="A781" s="151" t="s">
        <v>55</v>
      </c>
      <c r="B781" s="152" t="s">
        <v>795</v>
      </c>
      <c r="C781" s="151" t="s">
        <v>776</v>
      </c>
      <c r="D781" s="153">
        <v>2.51</v>
      </c>
      <c r="E781" s="154">
        <v>153.61</v>
      </c>
      <c r="F781" s="154">
        <v>385.56</v>
      </c>
      <c r="G781" s="155"/>
      <c r="H781" s="154"/>
      <c r="I781" s="154"/>
      <c r="J781" s="118" t="b">
        <v>0</v>
      </c>
    </row>
    <row r="782" ht="12.75" hidden="1" customHeight="1" outlineLevel="1">
      <c r="A782" s="21"/>
      <c r="B782" s="21"/>
      <c r="C782" s="21"/>
      <c r="D782" s="115"/>
      <c r="E782" s="116"/>
      <c r="F782" s="116"/>
      <c r="G782" s="117"/>
      <c r="H782" s="116"/>
      <c r="I782" s="116"/>
      <c r="J782" s="118" t="b">
        <v>0</v>
      </c>
    </row>
    <row r="783" ht="12.75" hidden="1" customHeight="1" outlineLevel="1">
      <c r="A783" s="151" t="s">
        <v>57</v>
      </c>
      <c r="B783" s="152" t="s">
        <v>796</v>
      </c>
      <c r="C783" s="151" t="s">
        <v>776</v>
      </c>
      <c r="D783" s="153">
        <v>88.26</v>
      </c>
      <c r="E783" s="154">
        <v>153.61</v>
      </c>
      <c r="F783" s="154">
        <v>13557.62</v>
      </c>
      <c r="G783" s="155"/>
      <c r="H783" s="154"/>
      <c r="I783" s="154"/>
      <c r="J783" s="118" t="b">
        <v>0</v>
      </c>
    </row>
    <row r="784" ht="12.75" hidden="1" customHeight="1" outlineLevel="1">
      <c r="A784" s="21"/>
      <c r="B784" s="21"/>
      <c r="C784" s="21"/>
      <c r="D784" s="115"/>
      <c r="E784" s="116"/>
      <c r="F784" s="116"/>
      <c r="G784" s="117"/>
      <c r="H784" s="116"/>
      <c r="I784" s="116"/>
      <c r="J784" s="118" t="b">
        <v>0</v>
      </c>
    </row>
    <row r="785" ht="12.75" hidden="1" customHeight="1" outlineLevel="1">
      <c r="A785" s="151" t="s">
        <v>57</v>
      </c>
      <c r="B785" s="152" t="s">
        <v>797</v>
      </c>
      <c r="C785" s="151" t="s">
        <v>776</v>
      </c>
      <c r="D785" s="153">
        <v>1.32</v>
      </c>
      <c r="E785" s="154">
        <v>153.61</v>
      </c>
      <c r="F785" s="154">
        <v>202.77</v>
      </c>
      <c r="G785" s="155"/>
      <c r="H785" s="154"/>
      <c r="I785" s="154"/>
      <c r="J785" s="118" t="b">
        <v>0</v>
      </c>
    </row>
    <row r="786" ht="12.75" hidden="1" customHeight="1" outlineLevel="1">
      <c r="A786" s="21"/>
      <c r="B786" s="21"/>
      <c r="C786" s="21"/>
      <c r="D786" s="115"/>
      <c r="E786" s="116"/>
      <c r="F786" s="116"/>
      <c r="G786" s="117"/>
      <c r="H786" s="116"/>
      <c r="I786" s="116"/>
      <c r="J786" s="118" t="b">
        <v>0</v>
      </c>
    </row>
    <row r="787" ht="12.75" hidden="1" customHeight="1" outlineLevel="1">
      <c r="A787" s="151" t="s">
        <v>798</v>
      </c>
      <c r="B787" s="152" t="s">
        <v>799</v>
      </c>
      <c r="C787" s="21"/>
      <c r="D787" s="115"/>
      <c r="E787" s="116"/>
      <c r="F787" s="116"/>
      <c r="G787" s="117"/>
      <c r="H787" s="116"/>
      <c r="I787" s="116"/>
      <c r="J787" s="118" t="b">
        <v>0</v>
      </c>
    </row>
    <row r="788" ht="12.75" hidden="1" customHeight="1" outlineLevel="1">
      <c r="A788" s="21"/>
      <c r="B788" s="21"/>
      <c r="C788" s="21"/>
      <c r="D788" s="115"/>
      <c r="E788" s="116"/>
      <c r="F788" s="116"/>
      <c r="G788" s="117"/>
      <c r="H788" s="116"/>
      <c r="I788" s="116"/>
      <c r="J788" s="118" t="b">
        <v>0</v>
      </c>
    </row>
    <row r="789" ht="12.75" hidden="1" customHeight="1" outlineLevel="1">
      <c r="A789" s="151" t="s">
        <v>800</v>
      </c>
      <c r="B789" s="152" t="s">
        <v>801</v>
      </c>
      <c r="C789" s="151" t="s">
        <v>776</v>
      </c>
      <c r="D789" s="153">
        <v>7.28</v>
      </c>
      <c r="E789" s="154">
        <v>177.72</v>
      </c>
      <c r="F789" s="154">
        <v>1293.8</v>
      </c>
      <c r="G789" s="155"/>
      <c r="H789" s="154"/>
      <c r="I789" s="154"/>
      <c r="J789" s="118" t="b">
        <v>0</v>
      </c>
    </row>
    <row r="790" ht="12.75" hidden="1" customHeight="1" outlineLevel="1">
      <c r="A790" s="21"/>
      <c r="B790" s="21"/>
      <c r="C790" s="21"/>
      <c r="D790" s="115"/>
      <c r="E790" s="116"/>
      <c r="F790" s="116"/>
      <c r="G790" s="117"/>
      <c r="H790" s="116"/>
      <c r="I790" s="116"/>
      <c r="J790" s="118" t="b">
        <v>0</v>
      </c>
    </row>
    <row r="791" ht="12.75" hidden="1" customHeight="1" outlineLevel="1">
      <c r="A791" s="151" t="s">
        <v>802</v>
      </c>
      <c r="B791" s="152" t="s">
        <v>803</v>
      </c>
      <c r="C791" s="151" t="s">
        <v>776</v>
      </c>
      <c r="D791" s="153">
        <v>27.46</v>
      </c>
      <c r="E791" s="154">
        <v>177.72</v>
      </c>
      <c r="F791" s="154">
        <v>4880.19</v>
      </c>
      <c r="G791" s="155"/>
      <c r="H791" s="154"/>
      <c r="I791" s="154"/>
      <c r="J791" s="118" t="b">
        <v>0</v>
      </c>
    </row>
    <row r="792" ht="12.75" hidden="1" customHeight="1" outlineLevel="1">
      <c r="A792" s="21"/>
      <c r="B792" s="21"/>
      <c r="C792" s="21"/>
      <c r="D792" s="115"/>
      <c r="E792" s="116"/>
      <c r="F792" s="116"/>
      <c r="G792" s="117"/>
      <c r="H792" s="116"/>
      <c r="I792" s="116"/>
      <c r="J792" s="118" t="b">
        <v>0</v>
      </c>
    </row>
    <row r="793" ht="12.75" hidden="1" customHeight="1" outlineLevel="1">
      <c r="A793" s="151" t="s">
        <v>798</v>
      </c>
      <c r="B793" s="152" t="s">
        <v>804</v>
      </c>
      <c r="C793" s="21"/>
      <c r="D793" s="115"/>
      <c r="E793" s="116"/>
      <c r="F793" s="116"/>
      <c r="G793" s="117"/>
      <c r="H793" s="116"/>
      <c r="I793" s="116"/>
      <c r="J793" s="118" t="b">
        <v>0</v>
      </c>
    </row>
    <row r="794" ht="12.75" hidden="1" customHeight="1" outlineLevel="1">
      <c r="A794" s="21"/>
      <c r="B794" s="21"/>
      <c r="C794" s="21"/>
      <c r="D794" s="115"/>
      <c r="E794" s="116"/>
      <c r="F794" s="116"/>
      <c r="G794" s="117"/>
      <c r="H794" s="116"/>
      <c r="I794" s="116"/>
      <c r="J794" s="118" t="b">
        <v>0</v>
      </c>
    </row>
    <row r="795" ht="12.75" hidden="1" customHeight="1" outlineLevel="1">
      <c r="A795" s="151" t="s">
        <v>805</v>
      </c>
      <c r="B795" s="152" t="s">
        <v>806</v>
      </c>
      <c r="C795" s="151" t="s">
        <v>776</v>
      </c>
      <c r="D795" s="153">
        <v>52.37</v>
      </c>
      <c r="E795" s="154">
        <v>182.74</v>
      </c>
      <c r="F795" s="154">
        <v>9570.09</v>
      </c>
      <c r="G795" s="155"/>
      <c r="H795" s="154"/>
      <c r="I795" s="154"/>
      <c r="J795" s="118" t="b">
        <v>0</v>
      </c>
    </row>
    <row r="796" ht="12.75" hidden="1" customHeight="1" outlineLevel="1">
      <c r="A796" s="21"/>
      <c r="B796" s="21"/>
      <c r="C796" s="21"/>
      <c r="D796" s="115"/>
      <c r="E796" s="116"/>
      <c r="F796" s="116"/>
      <c r="G796" s="117"/>
      <c r="H796" s="116"/>
      <c r="I796" s="116"/>
      <c r="J796" s="118" t="b">
        <v>0</v>
      </c>
    </row>
    <row r="797" ht="12.75" hidden="1" customHeight="1" outlineLevel="1">
      <c r="A797" s="151" t="s">
        <v>807</v>
      </c>
      <c r="B797" s="152" t="s">
        <v>808</v>
      </c>
      <c r="C797" s="151" t="s">
        <v>776</v>
      </c>
      <c r="D797" s="153">
        <v>60.12</v>
      </c>
      <c r="E797" s="154">
        <v>182.74</v>
      </c>
      <c r="F797" s="154">
        <v>10986.33</v>
      </c>
      <c r="G797" s="155"/>
      <c r="H797" s="154"/>
      <c r="I797" s="154"/>
      <c r="J797" s="118" t="b">
        <v>0</v>
      </c>
    </row>
    <row r="798" ht="12.75" hidden="1" customHeight="1" outlineLevel="1">
      <c r="A798" s="21"/>
      <c r="B798" s="21"/>
      <c r="C798" s="21"/>
      <c r="D798" s="115"/>
      <c r="E798" s="116"/>
      <c r="F798" s="116"/>
      <c r="G798" s="117"/>
      <c r="H798" s="116"/>
      <c r="I798" s="116"/>
      <c r="J798" s="118" t="b">
        <v>0</v>
      </c>
    </row>
    <row r="799" ht="12.75" hidden="1" customHeight="1" outlineLevel="1">
      <c r="A799" s="151" t="s">
        <v>809</v>
      </c>
      <c r="B799" s="152" t="s">
        <v>810</v>
      </c>
      <c r="C799" s="151" t="s">
        <v>776</v>
      </c>
      <c r="D799" s="153">
        <v>50.41</v>
      </c>
      <c r="E799" s="154">
        <v>182.74</v>
      </c>
      <c r="F799" s="154">
        <v>9211.92</v>
      </c>
      <c r="G799" s="155"/>
      <c r="H799" s="154"/>
      <c r="I799" s="154"/>
      <c r="J799" s="118" t="b">
        <v>0</v>
      </c>
    </row>
    <row r="800" ht="12.75" hidden="1" customHeight="1" outlineLevel="1">
      <c r="A800" s="21"/>
      <c r="B800" s="21"/>
      <c r="C800" s="21"/>
      <c r="D800" s="115"/>
      <c r="E800" s="116"/>
      <c r="F800" s="116"/>
      <c r="G800" s="117"/>
      <c r="H800" s="116"/>
      <c r="I800" s="116"/>
      <c r="J800" s="118" t="b">
        <v>0</v>
      </c>
    </row>
    <row r="801" ht="15.75" hidden="1" customHeight="1" outlineLevel="1">
      <c r="A801" s="151" t="s">
        <v>811</v>
      </c>
      <c r="B801" s="152" t="s">
        <v>812</v>
      </c>
      <c r="C801" s="151" t="s">
        <v>776</v>
      </c>
      <c r="D801" s="153">
        <v>1.91</v>
      </c>
      <c r="E801" s="154">
        <v>182.74</v>
      </c>
      <c r="F801" s="154">
        <v>349.03</v>
      </c>
      <c r="G801" s="155"/>
      <c r="H801" s="154"/>
      <c r="I801" s="154"/>
      <c r="J801" s="118" t="b">
        <v>0</v>
      </c>
    </row>
    <row r="802" ht="12.75" hidden="1" customHeight="1" outlineLevel="1">
      <c r="A802" s="21"/>
      <c r="B802" s="21"/>
      <c r="C802" s="21"/>
      <c r="D802" s="115"/>
      <c r="E802" s="116"/>
      <c r="F802" s="116"/>
      <c r="G802" s="117"/>
      <c r="H802" s="116"/>
      <c r="I802" s="116"/>
      <c r="J802" s="118" t="b">
        <v>0</v>
      </c>
    </row>
    <row r="803" ht="12.75" hidden="1" customHeight="1" outlineLevel="1">
      <c r="A803" s="151" t="s">
        <v>813</v>
      </c>
      <c r="B803" s="152" t="s">
        <v>814</v>
      </c>
      <c r="C803" s="21"/>
      <c r="D803" s="115"/>
      <c r="E803" s="116"/>
      <c r="F803" s="116"/>
      <c r="G803" s="117"/>
      <c r="H803" s="116"/>
      <c r="I803" s="116"/>
      <c r="J803" s="118" t="b">
        <v>0</v>
      </c>
    </row>
    <row r="804" ht="12.75" hidden="1" customHeight="1" outlineLevel="1">
      <c r="A804" s="21"/>
      <c r="B804" s="21"/>
      <c r="C804" s="21"/>
      <c r="D804" s="115"/>
      <c r="E804" s="116"/>
      <c r="F804" s="116"/>
      <c r="G804" s="117"/>
      <c r="H804" s="116"/>
      <c r="I804" s="116"/>
      <c r="J804" s="118" t="b">
        <v>0</v>
      </c>
    </row>
    <row r="805" ht="12.75" hidden="1" customHeight="1" outlineLevel="1">
      <c r="A805" s="151" t="s">
        <v>815</v>
      </c>
      <c r="B805" s="152" t="s">
        <v>803</v>
      </c>
      <c r="C805" s="151" t="s">
        <v>776</v>
      </c>
      <c r="D805" s="153">
        <v>30.26</v>
      </c>
      <c r="E805" s="154">
        <v>177.72</v>
      </c>
      <c r="F805" s="154">
        <v>5377.81</v>
      </c>
      <c r="G805" s="155"/>
      <c r="H805" s="154"/>
      <c r="I805" s="154"/>
      <c r="J805" s="118" t="b">
        <v>0</v>
      </c>
    </row>
    <row r="806" ht="12.75" hidden="1" customHeight="1" outlineLevel="1">
      <c r="A806" s="21"/>
      <c r="B806" s="21"/>
      <c r="C806" s="21"/>
      <c r="D806" s="115"/>
      <c r="E806" s="116"/>
      <c r="F806" s="116"/>
      <c r="G806" s="117"/>
      <c r="H806" s="116"/>
      <c r="I806" s="116"/>
      <c r="J806" s="118" t="b">
        <v>0</v>
      </c>
    </row>
    <row r="807" ht="12.75" hidden="1" customHeight="1" outlineLevel="1">
      <c r="A807" s="151" t="s">
        <v>816</v>
      </c>
      <c r="B807" s="152" t="s">
        <v>817</v>
      </c>
      <c r="C807" s="151" t="s">
        <v>776</v>
      </c>
      <c r="D807" s="153">
        <v>21.41</v>
      </c>
      <c r="E807" s="154">
        <v>177.72</v>
      </c>
      <c r="F807" s="154">
        <v>3804.99</v>
      </c>
      <c r="G807" s="155"/>
      <c r="H807" s="154"/>
      <c r="I807" s="154"/>
      <c r="J807" s="118" t="b">
        <v>0</v>
      </c>
    </row>
    <row r="808" ht="12.75" hidden="1" customHeight="1" outlineLevel="1">
      <c r="A808" s="21"/>
      <c r="B808" s="21"/>
      <c r="C808" s="21"/>
      <c r="D808" s="115"/>
      <c r="E808" s="116"/>
      <c r="F808" s="116"/>
      <c r="G808" s="117"/>
      <c r="H808" s="116"/>
      <c r="I808" s="116"/>
      <c r="J808" s="118" t="b">
        <v>0</v>
      </c>
    </row>
    <row r="809" ht="12.75" hidden="1" customHeight="1" outlineLevel="1">
      <c r="A809" s="151" t="s">
        <v>818</v>
      </c>
      <c r="B809" s="152" t="s">
        <v>819</v>
      </c>
      <c r="C809" s="151" t="s">
        <v>776</v>
      </c>
      <c r="D809" s="153">
        <v>3.06</v>
      </c>
      <c r="E809" s="154">
        <v>177.72</v>
      </c>
      <c r="F809" s="154">
        <v>543.82</v>
      </c>
      <c r="G809" s="155"/>
      <c r="H809" s="154"/>
      <c r="I809" s="154"/>
      <c r="J809" s="118" t="b">
        <v>0</v>
      </c>
    </row>
    <row r="810" ht="12.75" hidden="1" customHeight="1" outlineLevel="1">
      <c r="A810" s="21"/>
      <c r="B810" s="21"/>
      <c r="C810" s="21"/>
      <c r="D810" s="115"/>
      <c r="E810" s="116"/>
      <c r="F810" s="116"/>
      <c r="G810" s="117"/>
      <c r="H810" s="116"/>
      <c r="I810" s="116"/>
      <c r="J810" s="118" t="b">
        <v>0</v>
      </c>
    </row>
    <row r="811" ht="12.75" hidden="1" customHeight="1" outlineLevel="1">
      <c r="A811" s="151" t="s">
        <v>820</v>
      </c>
      <c r="B811" s="152" t="s">
        <v>821</v>
      </c>
      <c r="C811" s="151" t="s">
        <v>776</v>
      </c>
      <c r="D811" s="153">
        <v>1.18</v>
      </c>
      <c r="E811" s="154">
        <v>177.72</v>
      </c>
      <c r="F811" s="154">
        <v>209.71</v>
      </c>
      <c r="G811" s="155"/>
      <c r="H811" s="154"/>
      <c r="I811" s="154"/>
      <c r="J811" s="118" t="b">
        <v>0</v>
      </c>
    </row>
    <row r="812" ht="12.75" hidden="1" customHeight="1" outlineLevel="1">
      <c r="A812" s="21"/>
      <c r="B812" s="21"/>
      <c r="C812" s="21"/>
      <c r="D812" s="115"/>
      <c r="E812" s="116"/>
      <c r="F812" s="116"/>
      <c r="G812" s="117"/>
      <c r="H812" s="116"/>
      <c r="I812" s="116"/>
      <c r="J812" s="118" t="b">
        <v>0</v>
      </c>
    </row>
    <row r="813" ht="12.75" hidden="1" customHeight="1" outlineLevel="1">
      <c r="A813" s="21"/>
      <c r="B813" s="21"/>
      <c r="C813" s="21"/>
      <c r="D813" s="115"/>
      <c r="E813" s="116"/>
      <c r="F813" s="116"/>
      <c r="G813" s="117"/>
      <c r="H813" s="116"/>
      <c r="I813" s="116"/>
      <c r="J813" s="118" t="b">
        <v>0</v>
      </c>
    </row>
    <row r="814" ht="12.75" hidden="1" customHeight="1" outlineLevel="1">
      <c r="A814" s="21"/>
      <c r="B814" s="21"/>
      <c r="C814" s="21"/>
      <c r="D814" s="115"/>
      <c r="E814" s="116"/>
      <c r="F814" s="116"/>
      <c r="G814" s="117"/>
      <c r="H814" s="116"/>
      <c r="I814" s="116"/>
      <c r="J814" s="118" t="b">
        <v>0</v>
      </c>
    </row>
    <row r="815" ht="12.75" hidden="1" customHeight="1" outlineLevel="1">
      <c r="A815" s="151" t="s">
        <v>822</v>
      </c>
      <c r="B815" s="152" t="s">
        <v>823</v>
      </c>
      <c r="C815" s="21"/>
      <c r="D815" s="115"/>
      <c r="E815" s="116"/>
      <c r="F815" s="116"/>
      <c r="G815" s="117"/>
      <c r="H815" s="116"/>
      <c r="I815" s="116"/>
      <c r="J815" s="118" t="b">
        <v>0</v>
      </c>
    </row>
    <row r="816" ht="12.75" hidden="1" customHeight="1" outlineLevel="1">
      <c r="A816" s="21"/>
      <c r="B816" s="21"/>
      <c r="C816" s="21"/>
      <c r="D816" s="115"/>
      <c r="E816" s="116"/>
      <c r="F816" s="116"/>
      <c r="G816" s="117"/>
      <c r="H816" s="116"/>
      <c r="I816" s="116"/>
      <c r="J816" s="118" t="b">
        <v>0</v>
      </c>
    </row>
    <row r="817" ht="12.75" hidden="1" customHeight="1" outlineLevel="1">
      <c r="A817" s="151" t="s">
        <v>69</v>
      </c>
      <c r="B817" s="152" t="s">
        <v>824</v>
      </c>
      <c r="C817" s="21"/>
      <c r="D817" s="115"/>
      <c r="E817" s="116"/>
      <c r="F817" s="116"/>
      <c r="G817" s="117"/>
      <c r="H817" s="116"/>
      <c r="I817" s="116"/>
      <c r="J817" s="118" t="b">
        <v>0</v>
      </c>
    </row>
    <row r="818" ht="12.75" hidden="1" customHeight="1" outlineLevel="1">
      <c r="A818" s="21"/>
      <c r="B818" s="21"/>
      <c r="C818" s="21"/>
      <c r="D818" s="115"/>
      <c r="E818" s="116"/>
      <c r="F818" s="116"/>
      <c r="G818" s="117"/>
      <c r="H818" s="116"/>
      <c r="I818" s="116"/>
      <c r="J818" s="118" t="b">
        <v>0</v>
      </c>
    </row>
    <row r="819" ht="12.75" hidden="1" customHeight="1" outlineLevel="1">
      <c r="A819" s="151" t="s">
        <v>71</v>
      </c>
      <c r="B819" s="152" t="s">
        <v>825</v>
      </c>
      <c r="C819" s="21"/>
      <c r="D819" s="115"/>
      <c r="E819" s="116"/>
      <c r="F819" s="116"/>
      <c r="G819" s="117"/>
      <c r="H819" s="116"/>
      <c r="I819" s="116"/>
      <c r="J819" s="118" t="b">
        <v>0</v>
      </c>
    </row>
    <row r="820" ht="12.75" hidden="1" customHeight="1" outlineLevel="1">
      <c r="A820" s="21"/>
      <c r="B820" s="21"/>
      <c r="C820" s="21"/>
      <c r="D820" s="115"/>
      <c r="E820" s="116"/>
      <c r="F820" s="116"/>
      <c r="G820" s="117"/>
      <c r="H820" s="116"/>
      <c r="I820" s="116"/>
      <c r="J820" s="118" t="b">
        <v>0</v>
      </c>
    </row>
    <row r="821" ht="12.75" hidden="1" customHeight="1" outlineLevel="1">
      <c r="A821" s="21"/>
      <c r="B821" s="152" t="s">
        <v>826</v>
      </c>
      <c r="C821" s="151" t="s">
        <v>827</v>
      </c>
      <c r="D821" s="153">
        <v>421.74</v>
      </c>
      <c r="E821" s="154">
        <v>1.7</v>
      </c>
      <c r="F821" s="154">
        <v>716.96</v>
      </c>
      <c r="G821" s="155"/>
      <c r="H821" s="154"/>
      <c r="I821" s="154"/>
      <c r="J821" s="118" t="b">
        <v>0</v>
      </c>
    </row>
    <row r="822" ht="12.75" hidden="1" customHeight="1" outlineLevel="1">
      <c r="A822" s="21"/>
      <c r="B822" s="21"/>
      <c r="C822" s="21"/>
      <c r="D822" s="115"/>
      <c r="E822" s="116"/>
      <c r="F822" s="116"/>
      <c r="G822" s="117"/>
      <c r="H822" s="116"/>
      <c r="I822" s="116"/>
      <c r="J822" s="118" t="b">
        <v>0</v>
      </c>
    </row>
    <row r="823" ht="12.75" hidden="1" customHeight="1" outlineLevel="1">
      <c r="A823" s="151" t="s">
        <v>82</v>
      </c>
      <c r="B823" s="152" t="s">
        <v>828</v>
      </c>
      <c r="C823" s="21"/>
      <c r="D823" s="115"/>
      <c r="E823" s="116"/>
      <c r="F823" s="116"/>
      <c r="G823" s="117"/>
      <c r="H823" s="116"/>
      <c r="I823" s="116"/>
      <c r="J823" s="118" t="b">
        <v>0</v>
      </c>
    </row>
    <row r="824" ht="12.75" hidden="1" customHeight="1" outlineLevel="1">
      <c r="A824" s="21"/>
      <c r="B824" s="21"/>
      <c r="C824" s="21"/>
      <c r="D824" s="115"/>
      <c r="E824" s="116"/>
      <c r="F824" s="116"/>
      <c r="G824" s="117"/>
      <c r="H824" s="116"/>
      <c r="I824" s="116"/>
      <c r="J824" s="118" t="b">
        <v>0</v>
      </c>
    </row>
    <row r="825" ht="12.75" hidden="1" customHeight="1" outlineLevel="1">
      <c r="A825" s="21"/>
      <c r="B825" s="152" t="s">
        <v>829</v>
      </c>
      <c r="C825" s="151" t="s">
        <v>827</v>
      </c>
      <c r="D825" s="153">
        <v>1572.83</v>
      </c>
      <c r="E825" s="154">
        <v>1.59</v>
      </c>
      <c r="F825" s="154">
        <v>2500.8</v>
      </c>
      <c r="G825" s="155"/>
      <c r="H825" s="154"/>
      <c r="I825" s="154"/>
      <c r="J825" s="118" t="b">
        <v>0</v>
      </c>
    </row>
    <row r="826" ht="12.75" hidden="1" customHeight="1" outlineLevel="1">
      <c r="A826" s="21"/>
      <c r="B826" s="21"/>
      <c r="C826" s="21"/>
      <c r="D826" s="115"/>
      <c r="E826" s="116"/>
      <c r="F826" s="116"/>
      <c r="G826" s="117"/>
      <c r="H826" s="116"/>
      <c r="I826" s="116"/>
      <c r="J826" s="118" t="b">
        <v>0</v>
      </c>
    </row>
    <row r="827" ht="12.75" hidden="1" customHeight="1" outlineLevel="1">
      <c r="A827" s="21"/>
      <c r="B827" s="152" t="s">
        <v>826</v>
      </c>
      <c r="C827" s="151" t="s">
        <v>827</v>
      </c>
      <c r="D827" s="153">
        <v>3799.07</v>
      </c>
      <c r="E827" s="154">
        <v>1.7</v>
      </c>
      <c r="F827" s="154">
        <v>6458.42</v>
      </c>
      <c r="G827" s="155"/>
      <c r="H827" s="154"/>
      <c r="I827" s="154"/>
      <c r="J827" s="118" t="b">
        <v>0</v>
      </c>
    </row>
    <row r="828" ht="12.75" hidden="1" customHeight="1" outlineLevel="1">
      <c r="A828" s="21"/>
      <c r="B828" s="21"/>
      <c r="C828" s="21"/>
      <c r="D828" s="115"/>
      <c r="E828" s="116"/>
      <c r="F828" s="116"/>
      <c r="G828" s="117"/>
      <c r="H828" s="116"/>
      <c r="I828" s="116"/>
      <c r="J828" s="118" t="b">
        <v>0</v>
      </c>
    </row>
    <row r="829" ht="12.75" hidden="1" customHeight="1" outlineLevel="1">
      <c r="A829" s="151" t="s">
        <v>830</v>
      </c>
      <c r="B829" s="152" t="s">
        <v>831</v>
      </c>
      <c r="C829" s="21"/>
      <c r="D829" s="115"/>
      <c r="E829" s="116"/>
      <c r="F829" s="116"/>
      <c r="G829" s="117"/>
      <c r="H829" s="116"/>
      <c r="I829" s="116"/>
      <c r="J829" s="118" t="b">
        <v>0</v>
      </c>
    </row>
    <row r="830" ht="12.75" hidden="1" customHeight="1" outlineLevel="1">
      <c r="A830" s="21"/>
      <c r="B830" s="21"/>
      <c r="C830" s="21"/>
      <c r="D830" s="115"/>
      <c r="E830" s="116"/>
      <c r="F830" s="116"/>
      <c r="G830" s="117"/>
      <c r="H830" s="116"/>
      <c r="I830" s="116"/>
      <c r="J830" s="118" t="b">
        <v>0</v>
      </c>
    </row>
    <row r="831" ht="12.75" hidden="1" customHeight="1" outlineLevel="1">
      <c r="A831" s="21"/>
      <c r="B831" s="152" t="s">
        <v>826</v>
      </c>
      <c r="C831" s="151" t="s">
        <v>827</v>
      </c>
      <c r="D831" s="153">
        <v>289.81</v>
      </c>
      <c r="E831" s="154">
        <v>1.7</v>
      </c>
      <c r="F831" s="154">
        <v>492.68</v>
      </c>
      <c r="G831" s="155"/>
      <c r="H831" s="154"/>
      <c r="I831" s="154"/>
      <c r="J831" s="118" t="b">
        <v>0</v>
      </c>
    </row>
    <row r="832" ht="12.75" hidden="1" customHeight="1" outlineLevel="1">
      <c r="A832" s="21"/>
      <c r="B832" s="21"/>
      <c r="C832" s="21"/>
      <c r="D832" s="115"/>
      <c r="E832" s="116"/>
      <c r="F832" s="116"/>
      <c r="G832" s="117"/>
      <c r="H832" s="116"/>
      <c r="I832" s="116"/>
      <c r="J832" s="118" t="b">
        <v>0</v>
      </c>
    </row>
    <row r="833" ht="12.75" hidden="1" customHeight="1" outlineLevel="1">
      <c r="A833" s="21"/>
      <c r="B833" s="152" t="s">
        <v>832</v>
      </c>
      <c r="C833" s="151" t="s">
        <v>827</v>
      </c>
      <c r="D833" s="153">
        <v>412.85</v>
      </c>
      <c r="E833" s="154">
        <v>1.7</v>
      </c>
      <c r="F833" s="154">
        <v>701.85</v>
      </c>
      <c r="G833" s="155"/>
      <c r="H833" s="154"/>
      <c r="I833" s="154"/>
      <c r="J833" s="118" t="b">
        <v>0</v>
      </c>
    </row>
    <row r="834" ht="12.75" hidden="1" customHeight="1" outlineLevel="1">
      <c r="A834" s="21"/>
      <c r="B834" s="21"/>
      <c r="C834" s="21"/>
      <c r="D834" s="115"/>
      <c r="E834" s="116"/>
      <c r="F834" s="116"/>
      <c r="G834" s="117"/>
      <c r="H834" s="116"/>
      <c r="I834" s="116"/>
      <c r="J834" s="118" t="b">
        <v>0</v>
      </c>
    </row>
    <row r="835" ht="12.75" hidden="1" customHeight="1" outlineLevel="1">
      <c r="A835" s="151" t="s">
        <v>833</v>
      </c>
      <c r="B835" s="152" t="s">
        <v>834</v>
      </c>
      <c r="C835" s="21"/>
      <c r="D835" s="115"/>
      <c r="E835" s="116"/>
      <c r="F835" s="116"/>
      <c r="G835" s="117"/>
      <c r="H835" s="116"/>
      <c r="I835" s="116"/>
      <c r="J835" s="118" t="b">
        <v>0</v>
      </c>
    </row>
    <row r="836" ht="12.75" hidden="1" customHeight="1" outlineLevel="1">
      <c r="A836" s="21"/>
      <c r="B836" s="21"/>
      <c r="C836" s="21"/>
      <c r="D836" s="115"/>
      <c r="E836" s="116"/>
      <c r="F836" s="116"/>
      <c r="G836" s="117"/>
      <c r="H836" s="116"/>
      <c r="I836" s="116"/>
      <c r="J836" s="118" t="b">
        <v>0</v>
      </c>
    </row>
    <row r="837" ht="12.75" hidden="1" customHeight="1" outlineLevel="1">
      <c r="A837" s="21"/>
      <c r="B837" s="152" t="s">
        <v>829</v>
      </c>
      <c r="C837" s="151" t="s">
        <v>827</v>
      </c>
      <c r="D837" s="153">
        <v>651.95</v>
      </c>
      <c r="E837" s="154">
        <v>1.59</v>
      </c>
      <c r="F837" s="154">
        <v>1036.6</v>
      </c>
      <c r="G837" s="155"/>
      <c r="H837" s="154"/>
      <c r="I837" s="154"/>
      <c r="J837" s="118" t="b">
        <v>0</v>
      </c>
    </row>
    <row r="838" ht="12.75" hidden="1" customHeight="1" outlineLevel="1">
      <c r="A838" s="21"/>
      <c r="B838" s="21"/>
      <c r="C838" s="21"/>
      <c r="D838" s="115"/>
      <c r="E838" s="116"/>
      <c r="F838" s="116"/>
      <c r="G838" s="117"/>
      <c r="H838" s="116"/>
      <c r="I838" s="116"/>
      <c r="J838" s="118" t="b">
        <v>0</v>
      </c>
    </row>
    <row r="839" ht="12.75" hidden="1" customHeight="1" outlineLevel="1">
      <c r="A839" s="21"/>
      <c r="B839" s="152" t="s">
        <v>826</v>
      </c>
      <c r="C839" s="151" t="s">
        <v>827</v>
      </c>
      <c r="D839" s="153">
        <v>132.8</v>
      </c>
      <c r="E839" s="154">
        <v>1.7</v>
      </c>
      <c r="F839" s="154">
        <v>225.76</v>
      </c>
      <c r="G839" s="155"/>
      <c r="H839" s="154"/>
      <c r="I839" s="154"/>
      <c r="J839" s="118" t="b">
        <v>0</v>
      </c>
    </row>
    <row r="840" ht="12.75" hidden="1" customHeight="1" outlineLevel="1">
      <c r="A840" s="21"/>
      <c r="B840" s="21"/>
      <c r="C840" s="21"/>
      <c r="D840" s="115"/>
      <c r="E840" s="116"/>
      <c r="F840" s="116"/>
      <c r="G840" s="117"/>
      <c r="H840" s="116"/>
      <c r="I840" s="116"/>
      <c r="J840" s="118" t="b">
        <v>0</v>
      </c>
    </row>
    <row r="841" ht="12.75" hidden="1" customHeight="1" outlineLevel="1">
      <c r="A841" s="21"/>
      <c r="B841" s="152" t="s">
        <v>832</v>
      </c>
      <c r="C841" s="151" t="s">
        <v>827</v>
      </c>
      <c r="D841" s="153">
        <v>477.82</v>
      </c>
      <c r="E841" s="154">
        <v>1.7</v>
      </c>
      <c r="F841" s="154">
        <v>812.29</v>
      </c>
      <c r="G841" s="155"/>
      <c r="H841" s="154"/>
      <c r="I841" s="154"/>
      <c r="J841" s="118" t="b">
        <v>0</v>
      </c>
    </row>
    <row r="842" ht="12.75" hidden="1" customHeight="1" outlineLevel="1">
      <c r="A842" s="21"/>
      <c r="B842" s="21"/>
      <c r="C842" s="21"/>
      <c r="D842" s="115"/>
      <c r="E842" s="116"/>
      <c r="F842" s="116"/>
      <c r="G842" s="117"/>
      <c r="H842" s="116"/>
      <c r="I842" s="116"/>
      <c r="J842" s="118" t="b">
        <v>0</v>
      </c>
    </row>
    <row r="843" ht="12.75" hidden="1" customHeight="1" outlineLevel="1">
      <c r="A843" s="21"/>
      <c r="B843" s="152" t="s">
        <v>835</v>
      </c>
      <c r="C843" s="151" t="s">
        <v>827</v>
      </c>
      <c r="D843" s="153">
        <v>1878.6</v>
      </c>
      <c r="E843" s="154">
        <v>1.78</v>
      </c>
      <c r="F843" s="154">
        <v>3343.91</v>
      </c>
      <c r="G843" s="155"/>
      <c r="H843" s="154"/>
      <c r="I843" s="154"/>
      <c r="J843" s="118" t="b">
        <v>0</v>
      </c>
    </row>
    <row r="844" ht="12.75" hidden="1" customHeight="1" outlineLevel="1">
      <c r="A844" s="21"/>
      <c r="B844" s="21"/>
      <c r="C844" s="21"/>
      <c r="D844" s="115"/>
      <c r="E844" s="116"/>
      <c r="F844" s="116"/>
      <c r="G844" s="117"/>
      <c r="H844" s="116"/>
      <c r="I844" s="116"/>
      <c r="J844" s="118" t="b">
        <v>0</v>
      </c>
    </row>
    <row r="845" ht="12.75" hidden="1" customHeight="1" outlineLevel="1">
      <c r="A845" s="151" t="s">
        <v>836</v>
      </c>
      <c r="B845" s="152" t="s">
        <v>837</v>
      </c>
      <c r="C845" s="21"/>
      <c r="D845" s="115"/>
      <c r="E845" s="116"/>
      <c r="F845" s="116"/>
      <c r="G845" s="117"/>
      <c r="H845" s="116"/>
      <c r="I845" s="116"/>
      <c r="J845" s="118" t="b">
        <v>0</v>
      </c>
    </row>
    <row r="846" ht="12.75" hidden="1" customHeight="1" outlineLevel="1">
      <c r="A846" s="21"/>
      <c r="B846" s="21"/>
      <c r="C846" s="21"/>
      <c r="D846" s="115"/>
      <c r="E846" s="116"/>
      <c r="F846" s="116"/>
      <c r="G846" s="117"/>
      <c r="H846" s="116"/>
      <c r="I846" s="116"/>
      <c r="J846" s="118" t="b">
        <v>0</v>
      </c>
    </row>
    <row r="847" ht="12.75" hidden="1" customHeight="1" outlineLevel="1">
      <c r="A847" s="21"/>
      <c r="B847" s="152" t="s">
        <v>829</v>
      </c>
      <c r="C847" s="151" t="s">
        <v>827</v>
      </c>
      <c r="D847" s="153">
        <v>861.38</v>
      </c>
      <c r="E847" s="154">
        <v>1.59</v>
      </c>
      <c r="F847" s="154">
        <v>1369.59</v>
      </c>
      <c r="G847" s="155"/>
      <c r="H847" s="154"/>
      <c r="I847" s="154"/>
      <c r="J847" s="118" t="b">
        <v>0</v>
      </c>
    </row>
    <row r="848" ht="12.75" hidden="1" customHeight="1" outlineLevel="1">
      <c r="A848" s="21"/>
      <c r="B848" s="21"/>
      <c r="C848" s="21"/>
      <c r="D848" s="115"/>
      <c r="E848" s="116"/>
      <c r="F848" s="116"/>
      <c r="G848" s="117"/>
      <c r="H848" s="116"/>
      <c r="I848" s="116"/>
      <c r="J848" s="118" t="b">
        <v>0</v>
      </c>
    </row>
    <row r="849" ht="12.75" hidden="1" customHeight="1" outlineLevel="1">
      <c r="A849" s="21"/>
      <c r="B849" s="152" t="s">
        <v>826</v>
      </c>
      <c r="C849" s="151" t="s">
        <v>827</v>
      </c>
      <c r="D849" s="153">
        <v>4610.89</v>
      </c>
      <c r="E849" s="154">
        <v>1.7</v>
      </c>
      <c r="F849" s="154">
        <v>7838.51</v>
      </c>
      <c r="G849" s="155"/>
      <c r="H849" s="154"/>
      <c r="I849" s="154"/>
      <c r="J849" s="118" t="b">
        <v>0</v>
      </c>
    </row>
    <row r="850" ht="12.75" hidden="1" customHeight="1" outlineLevel="1">
      <c r="A850" s="21"/>
      <c r="B850" s="21"/>
      <c r="C850" s="21"/>
      <c r="D850" s="115"/>
      <c r="E850" s="116"/>
      <c r="F850" s="116"/>
      <c r="G850" s="117"/>
      <c r="H850" s="116"/>
      <c r="I850" s="116"/>
      <c r="J850" s="118" t="b">
        <v>0</v>
      </c>
    </row>
    <row r="851" ht="12.75" hidden="1" customHeight="1" outlineLevel="1">
      <c r="A851" s="21"/>
      <c r="B851" s="152" t="s">
        <v>832</v>
      </c>
      <c r="C851" s="151" t="s">
        <v>827</v>
      </c>
      <c r="D851" s="153">
        <v>12447.9</v>
      </c>
      <c r="E851" s="154">
        <v>1.7</v>
      </c>
      <c r="F851" s="154">
        <v>21161.43</v>
      </c>
      <c r="G851" s="155"/>
      <c r="H851" s="154"/>
      <c r="I851" s="154"/>
      <c r="J851" s="118" t="b">
        <v>0</v>
      </c>
    </row>
    <row r="852" ht="12.75" hidden="1" customHeight="1" outlineLevel="1">
      <c r="A852" s="21"/>
      <c r="B852" s="21"/>
      <c r="C852" s="21"/>
      <c r="D852" s="115"/>
      <c r="E852" s="116"/>
      <c r="F852" s="116"/>
      <c r="G852" s="117"/>
      <c r="H852" s="116"/>
      <c r="I852" s="116"/>
      <c r="J852" s="118" t="b">
        <v>0</v>
      </c>
    </row>
    <row r="853" ht="12.75" hidden="1" customHeight="1" outlineLevel="1">
      <c r="A853" s="151" t="s">
        <v>838</v>
      </c>
      <c r="B853" s="152" t="s">
        <v>839</v>
      </c>
      <c r="C853" s="21"/>
      <c r="D853" s="115"/>
      <c r="E853" s="116"/>
      <c r="F853" s="116"/>
      <c r="G853" s="117"/>
      <c r="H853" s="116"/>
      <c r="I853" s="116"/>
      <c r="J853" s="118" t="b">
        <v>0</v>
      </c>
    </row>
    <row r="854" ht="12.75" hidden="1" customHeight="1" outlineLevel="1">
      <c r="A854" s="21"/>
      <c r="B854" s="21"/>
      <c r="C854" s="21"/>
      <c r="D854" s="115"/>
      <c r="E854" s="116"/>
      <c r="F854" s="116"/>
      <c r="G854" s="117"/>
      <c r="H854" s="116"/>
      <c r="I854" s="116"/>
      <c r="J854" s="118" t="b">
        <v>0</v>
      </c>
    </row>
    <row r="855" ht="12.75" hidden="1" customHeight="1" outlineLevel="1">
      <c r="A855" s="21"/>
      <c r="B855" s="152" t="s">
        <v>829</v>
      </c>
      <c r="C855" s="151" t="s">
        <v>827</v>
      </c>
      <c r="D855" s="153">
        <v>873.77</v>
      </c>
      <c r="E855" s="154">
        <v>1.59</v>
      </c>
      <c r="F855" s="154">
        <v>1389.29</v>
      </c>
      <c r="G855" s="155"/>
      <c r="H855" s="154"/>
      <c r="I855" s="154"/>
      <c r="J855" s="118" t="b">
        <v>0</v>
      </c>
    </row>
    <row r="856" ht="12.75" hidden="1" customHeight="1" outlineLevel="1">
      <c r="A856" s="21"/>
      <c r="B856" s="21"/>
      <c r="C856" s="21"/>
      <c r="D856" s="115"/>
      <c r="E856" s="116"/>
      <c r="F856" s="116"/>
      <c r="G856" s="117"/>
      <c r="H856" s="116"/>
      <c r="I856" s="116"/>
      <c r="J856" s="118" t="b">
        <v>0</v>
      </c>
    </row>
    <row r="857" ht="12.75" hidden="1" customHeight="1" outlineLevel="1">
      <c r="A857" s="21"/>
      <c r="B857" s="152" t="s">
        <v>832</v>
      </c>
      <c r="C857" s="151" t="s">
        <v>827</v>
      </c>
      <c r="D857" s="153">
        <v>1173.14</v>
      </c>
      <c r="E857" s="154">
        <v>1.7</v>
      </c>
      <c r="F857" s="154">
        <v>1994.34</v>
      </c>
      <c r="G857" s="155"/>
      <c r="H857" s="154"/>
      <c r="I857" s="154"/>
      <c r="J857" s="118" t="b">
        <v>0</v>
      </c>
    </row>
    <row r="858" ht="12.75" hidden="1" customHeight="1" outlineLevel="1">
      <c r="A858" s="21"/>
      <c r="B858" s="21"/>
      <c r="C858" s="21"/>
      <c r="D858" s="115"/>
      <c r="E858" s="116"/>
      <c r="F858" s="116"/>
      <c r="G858" s="117"/>
      <c r="H858" s="116"/>
      <c r="I858" s="116"/>
      <c r="J858" s="118" t="b">
        <v>0</v>
      </c>
    </row>
    <row r="859" ht="12.75" hidden="1" customHeight="1" outlineLevel="1">
      <c r="A859" s="21"/>
      <c r="B859" s="152" t="s">
        <v>835</v>
      </c>
      <c r="C859" s="151" t="s">
        <v>827</v>
      </c>
      <c r="D859" s="153">
        <v>851.86</v>
      </c>
      <c r="E859" s="154">
        <v>1.78</v>
      </c>
      <c r="F859" s="154">
        <v>1516.31</v>
      </c>
      <c r="G859" s="155"/>
      <c r="H859" s="154"/>
      <c r="I859" s="154"/>
      <c r="J859" s="118" t="b">
        <v>0</v>
      </c>
    </row>
    <row r="860" ht="12.75" hidden="1" customHeight="1" outlineLevel="1">
      <c r="A860" s="21"/>
      <c r="B860" s="21"/>
      <c r="C860" s="21"/>
      <c r="D860" s="115"/>
      <c r="E860" s="116"/>
      <c r="F860" s="116"/>
      <c r="G860" s="117"/>
      <c r="H860" s="116"/>
      <c r="I860" s="116"/>
      <c r="J860" s="118" t="b">
        <v>0</v>
      </c>
    </row>
    <row r="861" ht="12.75" hidden="1" customHeight="1" outlineLevel="1">
      <c r="A861" s="151" t="s">
        <v>840</v>
      </c>
      <c r="B861" s="152" t="s">
        <v>841</v>
      </c>
      <c r="C861" s="21"/>
      <c r="D861" s="115"/>
      <c r="E861" s="116"/>
      <c r="F861" s="116"/>
      <c r="G861" s="117"/>
      <c r="H861" s="116"/>
      <c r="I861" s="116"/>
      <c r="J861" s="118" t="b">
        <v>0</v>
      </c>
    </row>
    <row r="862" ht="12.75" hidden="1" customHeight="1" outlineLevel="1">
      <c r="A862" s="21"/>
      <c r="B862" s="21"/>
      <c r="C862" s="21"/>
      <c r="D862" s="115"/>
      <c r="E862" s="116"/>
      <c r="F862" s="116"/>
      <c r="G862" s="117"/>
      <c r="H862" s="116"/>
      <c r="I862" s="116"/>
      <c r="J862" s="118" t="b">
        <v>0</v>
      </c>
    </row>
    <row r="863" ht="12.75" hidden="1" customHeight="1" outlineLevel="1">
      <c r="A863" s="21"/>
      <c r="B863" s="152" t="s">
        <v>829</v>
      </c>
      <c r="C863" s="151" t="s">
        <v>827</v>
      </c>
      <c r="D863" s="153">
        <v>2505.02</v>
      </c>
      <c r="E863" s="154">
        <v>1.59</v>
      </c>
      <c r="F863" s="154">
        <v>3982.98</v>
      </c>
      <c r="G863" s="155"/>
      <c r="H863" s="154"/>
      <c r="I863" s="154"/>
      <c r="J863" s="118" t="b">
        <v>0</v>
      </c>
    </row>
    <row r="864" ht="12.75" hidden="1" customHeight="1" outlineLevel="1">
      <c r="A864" s="21"/>
      <c r="B864" s="21"/>
      <c r="C864" s="21"/>
      <c r="D864" s="115"/>
      <c r="E864" s="116"/>
      <c r="F864" s="116"/>
      <c r="G864" s="117"/>
      <c r="H864" s="116"/>
      <c r="I864" s="116"/>
      <c r="J864" s="118" t="b">
        <v>0</v>
      </c>
    </row>
    <row r="865" ht="12.75" hidden="1" customHeight="1" outlineLevel="1">
      <c r="A865" s="21"/>
      <c r="B865" s="152" t="s">
        <v>826</v>
      </c>
      <c r="C865" s="151" t="s">
        <v>827</v>
      </c>
      <c r="D865" s="153">
        <v>113.14</v>
      </c>
      <c r="E865" s="154">
        <v>1.7</v>
      </c>
      <c r="F865" s="154">
        <v>192.34</v>
      </c>
      <c r="G865" s="155"/>
      <c r="H865" s="154"/>
      <c r="I865" s="154"/>
      <c r="J865" s="118" t="b">
        <v>0</v>
      </c>
    </row>
    <row r="866" ht="12.75" hidden="1" customHeight="1" outlineLevel="1">
      <c r="A866" s="21"/>
      <c r="B866" s="21"/>
      <c r="C866" s="21"/>
      <c r="D866" s="115"/>
      <c r="E866" s="116"/>
      <c r="F866" s="116"/>
      <c r="G866" s="117"/>
      <c r="H866" s="116"/>
      <c r="I866" s="116"/>
      <c r="J866" s="118" t="b">
        <v>0</v>
      </c>
    </row>
    <row r="867" ht="12.75" hidden="1" customHeight="1" outlineLevel="1">
      <c r="A867" s="21"/>
      <c r="B867" s="152" t="s">
        <v>832</v>
      </c>
      <c r="C867" s="151" t="s">
        <v>827</v>
      </c>
      <c r="D867" s="153">
        <v>145.88</v>
      </c>
      <c r="E867" s="154">
        <v>1.7</v>
      </c>
      <c r="F867" s="154">
        <v>248.0</v>
      </c>
      <c r="G867" s="155"/>
      <c r="H867" s="154"/>
      <c r="I867" s="154"/>
      <c r="J867" s="118" t="b">
        <v>0</v>
      </c>
    </row>
    <row r="868" ht="12.75" hidden="1" customHeight="1" outlineLevel="1">
      <c r="A868" s="21"/>
      <c r="B868" s="21"/>
      <c r="C868" s="21"/>
      <c r="D868" s="115"/>
      <c r="E868" s="116"/>
      <c r="F868" s="116"/>
      <c r="G868" s="117"/>
      <c r="H868" s="116"/>
      <c r="I868" s="116"/>
      <c r="J868" s="118" t="b">
        <v>0</v>
      </c>
    </row>
    <row r="869" ht="12.75" hidden="1" customHeight="1" outlineLevel="1">
      <c r="A869" s="21"/>
      <c r="B869" s="152" t="s">
        <v>835</v>
      </c>
      <c r="C869" s="151" t="s">
        <v>827</v>
      </c>
      <c r="D869" s="153">
        <v>6059.68</v>
      </c>
      <c r="E869" s="154">
        <v>1.78</v>
      </c>
      <c r="F869" s="154">
        <v>10786.23</v>
      </c>
      <c r="G869" s="155"/>
      <c r="H869" s="154"/>
      <c r="I869" s="154"/>
      <c r="J869" s="118" t="b">
        <v>0</v>
      </c>
    </row>
    <row r="870" ht="12.75" hidden="1" customHeight="1" outlineLevel="1">
      <c r="A870" s="21"/>
      <c r="B870" s="21"/>
      <c r="C870" s="21"/>
      <c r="D870" s="115"/>
      <c r="E870" s="116"/>
      <c r="F870" s="116"/>
      <c r="G870" s="117"/>
      <c r="H870" s="116"/>
      <c r="I870" s="116"/>
      <c r="J870" s="118" t="b">
        <v>0</v>
      </c>
    </row>
    <row r="871" ht="12.75" hidden="1" customHeight="1" outlineLevel="1">
      <c r="A871" s="151" t="s">
        <v>842</v>
      </c>
      <c r="B871" s="152" t="s">
        <v>843</v>
      </c>
      <c r="C871" s="21"/>
      <c r="D871" s="115"/>
      <c r="E871" s="116"/>
      <c r="F871" s="116"/>
      <c r="G871" s="117"/>
      <c r="H871" s="116"/>
      <c r="I871" s="116"/>
      <c r="J871" s="118" t="b">
        <v>0</v>
      </c>
    </row>
    <row r="872" ht="12.75" hidden="1" customHeight="1" outlineLevel="1">
      <c r="A872" s="21"/>
      <c r="B872" s="21"/>
      <c r="C872" s="21"/>
      <c r="D872" s="115"/>
      <c r="E872" s="116"/>
      <c r="F872" s="116"/>
      <c r="G872" s="117"/>
      <c r="H872" s="116"/>
      <c r="I872" s="116"/>
      <c r="J872" s="118" t="b">
        <v>0</v>
      </c>
    </row>
    <row r="873" ht="12.75" hidden="1" customHeight="1" outlineLevel="1">
      <c r="A873" s="21"/>
      <c r="B873" s="152" t="s">
        <v>826</v>
      </c>
      <c r="C873" s="151" t="s">
        <v>827</v>
      </c>
      <c r="D873" s="153">
        <v>3007.17</v>
      </c>
      <c r="E873" s="154">
        <v>1.7</v>
      </c>
      <c r="F873" s="154">
        <v>5112.19</v>
      </c>
      <c r="G873" s="155"/>
      <c r="H873" s="154"/>
      <c r="I873" s="154"/>
      <c r="J873" s="118" t="b">
        <v>0</v>
      </c>
    </row>
    <row r="874" ht="12.75" hidden="1" customHeight="1" outlineLevel="1">
      <c r="A874" s="21"/>
      <c r="B874" s="21"/>
      <c r="C874" s="21"/>
      <c r="D874" s="115"/>
      <c r="E874" s="116"/>
      <c r="F874" s="116"/>
      <c r="G874" s="117"/>
      <c r="H874" s="116"/>
      <c r="I874" s="116"/>
      <c r="J874" s="118" t="b">
        <v>0</v>
      </c>
    </row>
    <row r="875" ht="12.75" hidden="1" customHeight="1" outlineLevel="1">
      <c r="A875" s="21"/>
      <c r="B875" s="152" t="s">
        <v>832</v>
      </c>
      <c r="C875" s="151" t="s">
        <v>827</v>
      </c>
      <c r="D875" s="153">
        <v>14406.06</v>
      </c>
      <c r="E875" s="154">
        <v>1.7</v>
      </c>
      <c r="F875" s="154">
        <v>24490.3</v>
      </c>
      <c r="G875" s="155"/>
      <c r="H875" s="154"/>
      <c r="I875" s="154"/>
      <c r="J875" s="118" t="b">
        <v>0</v>
      </c>
    </row>
    <row r="876" ht="12.75" hidden="1" customHeight="1" outlineLevel="1">
      <c r="A876" s="21"/>
      <c r="B876" s="21"/>
      <c r="C876" s="21"/>
      <c r="D876" s="115"/>
      <c r="E876" s="116"/>
      <c r="F876" s="116"/>
      <c r="G876" s="117"/>
      <c r="H876" s="116"/>
      <c r="I876" s="116"/>
      <c r="J876" s="118" t="b">
        <v>0</v>
      </c>
    </row>
    <row r="877" ht="12.75" hidden="1" customHeight="1" outlineLevel="1">
      <c r="A877" s="151" t="s">
        <v>844</v>
      </c>
      <c r="B877" s="152" t="s">
        <v>845</v>
      </c>
      <c r="C877" s="21"/>
      <c r="D877" s="115"/>
      <c r="E877" s="116"/>
      <c r="F877" s="116"/>
      <c r="G877" s="117"/>
      <c r="H877" s="116"/>
      <c r="I877" s="116"/>
      <c r="J877" s="118" t="b">
        <v>0</v>
      </c>
    </row>
    <row r="878" ht="12.75" hidden="1" customHeight="1" outlineLevel="1">
      <c r="A878" s="21"/>
      <c r="B878" s="21"/>
      <c r="C878" s="21"/>
      <c r="D878" s="115"/>
      <c r="E878" s="116"/>
      <c r="F878" s="116"/>
      <c r="G878" s="117"/>
      <c r="H878" s="116"/>
      <c r="I878" s="116"/>
      <c r="J878" s="118" t="b">
        <v>0</v>
      </c>
    </row>
    <row r="879" ht="12.75" hidden="1" customHeight="1" outlineLevel="1">
      <c r="A879" s="21"/>
      <c r="B879" s="152" t="s">
        <v>826</v>
      </c>
      <c r="C879" s="151" t="s">
        <v>827</v>
      </c>
      <c r="D879" s="153">
        <v>601.06</v>
      </c>
      <c r="E879" s="154">
        <v>1.7</v>
      </c>
      <c r="F879" s="154">
        <v>1021.8</v>
      </c>
      <c r="G879" s="155"/>
      <c r="H879" s="154"/>
      <c r="I879" s="154"/>
      <c r="J879" s="118" t="b">
        <v>0</v>
      </c>
    </row>
    <row r="880" ht="12.75" hidden="1" customHeight="1" outlineLevel="1">
      <c r="A880" s="21"/>
      <c r="B880" s="21"/>
      <c r="C880" s="21"/>
      <c r="D880" s="115"/>
      <c r="E880" s="116"/>
      <c r="F880" s="116"/>
      <c r="G880" s="117"/>
      <c r="H880" s="116"/>
      <c r="I880" s="116"/>
      <c r="J880" s="118" t="b">
        <v>0</v>
      </c>
    </row>
    <row r="881" ht="12.75" hidden="1" customHeight="1" outlineLevel="1">
      <c r="A881" s="151" t="s">
        <v>846</v>
      </c>
      <c r="B881" s="152" t="s">
        <v>847</v>
      </c>
      <c r="C881" s="21"/>
      <c r="D881" s="115"/>
      <c r="E881" s="116"/>
      <c r="F881" s="116"/>
      <c r="G881" s="117"/>
      <c r="H881" s="116"/>
      <c r="I881" s="116"/>
      <c r="J881" s="118" t="b">
        <v>0</v>
      </c>
    </row>
    <row r="882" ht="12.75" hidden="1" customHeight="1" outlineLevel="1">
      <c r="A882" s="21"/>
      <c r="B882" s="21"/>
      <c r="C882" s="21"/>
      <c r="D882" s="115"/>
      <c r="E882" s="116"/>
      <c r="F882" s="116"/>
      <c r="G882" s="117"/>
      <c r="H882" s="116"/>
      <c r="I882" s="116"/>
      <c r="J882" s="118" t="b">
        <v>0</v>
      </c>
    </row>
    <row r="883" ht="12.75" hidden="1" customHeight="1" outlineLevel="1">
      <c r="A883" s="21"/>
      <c r="B883" s="152" t="s">
        <v>829</v>
      </c>
      <c r="C883" s="151" t="s">
        <v>827</v>
      </c>
      <c r="D883" s="153">
        <v>977.88</v>
      </c>
      <c r="E883" s="154">
        <v>1.59</v>
      </c>
      <c r="F883" s="154">
        <v>1554.83</v>
      </c>
      <c r="G883" s="155"/>
      <c r="H883" s="154"/>
      <c r="I883" s="154"/>
      <c r="J883" s="118" t="b">
        <v>0</v>
      </c>
    </row>
    <row r="884" ht="12.75" hidden="1" customHeight="1" outlineLevel="1">
      <c r="A884" s="21"/>
      <c r="B884" s="21"/>
      <c r="C884" s="21"/>
      <c r="D884" s="115"/>
      <c r="E884" s="116"/>
      <c r="F884" s="116"/>
      <c r="G884" s="117"/>
      <c r="H884" s="116"/>
      <c r="I884" s="116"/>
      <c r="J884" s="118" t="b">
        <v>0</v>
      </c>
    </row>
    <row r="885" ht="12.75" hidden="1" customHeight="1" outlineLevel="1">
      <c r="A885" s="21"/>
      <c r="B885" s="152" t="s">
        <v>826</v>
      </c>
      <c r="C885" s="151" t="s">
        <v>827</v>
      </c>
      <c r="D885" s="153">
        <v>2445.29</v>
      </c>
      <c r="E885" s="154">
        <v>1.7</v>
      </c>
      <c r="F885" s="154">
        <v>4156.99</v>
      </c>
      <c r="G885" s="155"/>
      <c r="H885" s="154"/>
      <c r="I885" s="154"/>
      <c r="J885" s="118" t="b">
        <v>0</v>
      </c>
    </row>
    <row r="886" ht="12.75" hidden="1" customHeight="1" outlineLevel="1">
      <c r="A886" s="21"/>
      <c r="B886" s="21"/>
      <c r="C886" s="21"/>
      <c r="D886" s="115"/>
      <c r="E886" s="116"/>
      <c r="F886" s="116"/>
      <c r="G886" s="117"/>
      <c r="H886" s="116"/>
      <c r="I886" s="116"/>
      <c r="J886" s="118" t="b">
        <v>0</v>
      </c>
    </row>
    <row r="887" ht="12.75" hidden="1" customHeight="1" outlineLevel="1">
      <c r="A887" s="21"/>
      <c r="B887" s="152" t="s">
        <v>832</v>
      </c>
      <c r="C887" s="151" t="s">
        <v>827</v>
      </c>
      <c r="D887" s="153">
        <v>4767.93</v>
      </c>
      <c r="E887" s="154">
        <v>1.7</v>
      </c>
      <c r="F887" s="154">
        <v>8105.48</v>
      </c>
      <c r="G887" s="155"/>
      <c r="H887" s="154"/>
      <c r="I887" s="154"/>
      <c r="J887" s="118" t="b">
        <v>0</v>
      </c>
    </row>
    <row r="888" ht="12.75" hidden="1" customHeight="1" outlineLevel="1">
      <c r="A888" s="21"/>
      <c r="B888" s="21"/>
      <c r="C888" s="21"/>
      <c r="D888" s="115"/>
      <c r="E888" s="116"/>
      <c r="F888" s="116"/>
      <c r="G888" s="117"/>
      <c r="H888" s="116"/>
      <c r="I888" s="116"/>
      <c r="J888" s="118" t="b">
        <v>0</v>
      </c>
    </row>
    <row r="889" ht="12.75" hidden="1" customHeight="1" outlineLevel="1">
      <c r="A889" s="151" t="s">
        <v>848</v>
      </c>
      <c r="B889" s="152" t="s">
        <v>849</v>
      </c>
      <c r="C889" s="21"/>
      <c r="D889" s="115"/>
      <c r="E889" s="116"/>
      <c r="F889" s="116"/>
      <c r="G889" s="117"/>
      <c r="H889" s="116"/>
      <c r="I889" s="116"/>
      <c r="J889" s="118" t="b">
        <v>0</v>
      </c>
    </row>
    <row r="890" ht="12.75" hidden="1" customHeight="1" outlineLevel="1">
      <c r="A890" s="21"/>
      <c r="B890" s="21"/>
      <c r="C890" s="21"/>
      <c r="D890" s="115"/>
      <c r="E890" s="116"/>
      <c r="F890" s="116"/>
      <c r="G890" s="117"/>
      <c r="H890" s="116"/>
      <c r="I890" s="116"/>
      <c r="J890" s="118" t="b">
        <v>0</v>
      </c>
    </row>
    <row r="891" ht="12.75" hidden="1" customHeight="1" outlineLevel="1">
      <c r="A891" s="21"/>
      <c r="B891" s="152" t="s">
        <v>829</v>
      </c>
      <c r="C891" s="151" t="s">
        <v>827</v>
      </c>
      <c r="D891" s="153">
        <v>539.19</v>
      </c>
      <c r="E891" s="154">
        <v>1.59</v>
      </c>
      <c r="F891" s="154">
        <v>857.31</v>
      </c>
      <c r="G891" s="155"/>
      <c r="H891" s="154"/>
      <c r="I891" s="154"/>
      <c r="J891" s="118" t="b">
        <v>0</v>
      </c>
    </row>
    <row r="892" ht="12.75" hidden="1" customHeight="1" outlineLevel="1">
      <c r="A892" s="21"/>
      <c r="B892" s="21"/>
      <c r="C892" s="21"/>
      <c r="D892" s="115"/>
      <c r="E892" s="116"/>
      <c r="F892" s="116"/>
      <c r="G892" s="117"/>
      <c r="H892" s="116"/>
      <c r="I892" s="116"/>
      <c r="J892" s="118" t="b">
        <v>0</v>
      </c>
    </row>
    <row r="893" ht="12.75" hidden="1" customHeight="1" outlineLevel="1">
      <c r="A893" s="21"/>
      <c r="B893" s="152" t="s">
        <v>832</v>
      </c>
      <c r="C893" s="151" t="s">
        <v>827</v>
      </c>
      <c r="D893" s="153">
        <v>44.55</v>
      </c>
      <c r="E893" s="154">
        <v>1.7</v>
      </c>
      <c r="F893" s="154">
        <v>75.74</v>
      </c>
      <c r="G893" s="155"/>
      <c r="H893" s="154"/>
      <c r="I893" s="154"/>
      <c r="J893" s="118" t="b">
        <v>0</v>
      </c>
    </row>
    <row r="894" ht="12.75" hidden="1" customHeight="1" outlineLevel="1">
      <c r="A894" s="21"/>
      <c r="B894" s="21"/>
      <c r="C894" s="21"/>
      <c r="D894" s="115"/>
      <c r="E894" s="116"/>
      <c r="F894" s="116"/>
      <c r="G894" s="117"/>
      <c r="H894" s="116"/>
      <c r="I894" s="116"/>
      <c r="J894" s="118" t="b">
        <v>0</v>
      </c>
    </row>
    <row r="895" ht="12.75" hidden="1" customHeight="1" outlineLevel="1">
      <c r="A895" s="21"/>
      <c r="B895" s="21"/>
      <c r="C895" s="21"/>
      <c r="D895" s="115"/>
      <c r="E895" s="116"/>
      <c r="F895" s="116"/>
      <c r="G895" s="117"/>
      <c r="H895" s="116"/>
      <c r="I895" s="116"/>
      <c r="J895" s="118" t="b">
        <v>0</v>
      </c>
    </row>
    <row r="896" ht="12.75" hidden="1" customHeight="1" outlineLevel="1">
      <c r="A896" s="21"/>
      <c r="B896" s="21"/>
      <c r="C896" s="21"/>
      <c r="D896" s="115"/>
      <c r="E896" s="116"/>
      <c r="F896" s="116"/>
      <c r="G896" s="117"/>
      <c r="H896" s="116"/>
      <c r="I896" s="116"/>
      <c r="J896" s="118" t="b">
        <v>0</v>
      </c>
    </row>
    <row r="897" ht="12.75" hidden="1" customHeight="1" outlineLevel="1">
      <c r="A897" s="151" t="s">
        <v>850</v>
      </c>
      <c r="B897" s="152" t="s">
        <v>851</v>
      </c>
      <c r="C897" s="21"/>
      <c r="D897" s="115"/>
      <c r="E897" s="116"/>
      <c r="F897" s="116"/>
      <c r="G897" s="117"/>
      <c r="H897" s="116"/>
      <c r="I897" s="116"/>
      <c r="J897" s="118" t="b">
        <v>0</v>
      </c>
    </row>
    <row r="898" ht="12.75" hidden="1" customHeight="1" outlineLevel="1">
      <c r="A898" s="21"/>
      <c r="B898" s="21"/>
      <c r="C898" s="21"/>
      <c r="D898" s="115"/>
      <c r="E898" s="116"/>
      <c r="F898" s="116"/>
      <c r="G898" s="117"/>
      <c r="H898" s="116"/>
      <c r="I898" s="116"/>
      <c r="J898" s="118" t="b">
        <v>0</v>
      </c>
    </row>
    <row r="899" ht="12.75" hidden="1" customHeight="1" outlineLevel="1">
      <c r="A899" s="151" t="s">
        <v>96</v>
      </c>
      <c r="B899" s="152" t="s">
        <v>852</v>
      </c>
      <c r="C899" s="21"/>
      <c r="D899" s="115"/>
      <c r="E899" s="116"/>
      <c r="F899" s="116"/>
      <c r="G899" s="117"/>
      <c r="H899" s="116"/>
      <c r="I899" s="116"/>
      <c r="J899" s="118" t="b">
        <v>0</v>
      </c>
    </row>
    <row r="900" ht="12.75" hidden="1" customHeight="1" outlineLevel="1">
      <c r="A900" s="21"/>
      <c r="B900" s="21"/>
      <c r="C900" s="21"/>
      <c r="D900" s="115"/>
      <c r="E900" s="116"/>
      <c r="F900" s="116"/>
      <c r="G900" s="117"/>
      <c r="H900" s="116"/>
      <c r="I900" s="116"/>
      <c r="J900" s="118" t="b">
        <v>0</v>
      </c>
    </row>
    <row r="901" ht="12.75" hidden="1" customHeight="1" outlineLevel="1">
      <c r="A901" s="151" t="s">
        <v>98</v>
      </c>
      <c r="B901" s="152" t="s">
        <v>789</v>
      </c>
      <c r="C901" s="151" t="s">
        <v>40</v>
      </c>
      <c r="D901" s="153">
        <v>166.13</v>
      </c>
      <c r="E901" s="154">
        <v>36.21</v>
      </c>
      <c r="F901" s="154">
        <v>6015.57</v>
      </c>
      <c r="G901" s="155"/>
      <c r="H901" s="154"/>
      <c r="I901" s="154"/>
      <c r="J901" s="118" t="b">
        <v>0</v>
      </c>
    </row>
    <row r="902" ht="12.75" hidden="1" customHeight="1" outlineLevel="1">
      <c r="A902" s="21"/>
      <c r="B902" s="21"/>
      <c r="C902" s="21"/>
      <c r="D902" s="115"/>
      <c r="E902" s="116"/>
      <c r="F902" s="116"/>
      <c r="G902" s="117"/>
      <c r="H902" s="116"/>
      <c r="I902" s="116"/>
      <c r="J902" s="118" t="b">
        <v>0</v>
      </c>
    </row>
    <row r="903" ht="12.75" hidden="1" customHeight="1" outlineLevel="1">
      <c r="A903" s="151" t="s">
        <v>853</v>
      </c>
      <c r="B903" s="152" t="s">
        <v>825</v>
      </c>
      <c r="C903" s="151" t="s">
        <v>40</v>
      </c>
      <c r="D903" s="153">
        <v>17.75</v>
      </c>
      <c r="E903" s="154">
        <v>36.21</v>
      </c>
      <c r="F903" s="154">
        <v>642.73</v>
      </c>
      <c r="G903" s="155"/>
      <c r="H903" s="154"/>
      <c r="I903" s="154"/>
      <c r="J903" s="118" t="b">
        <v>0</v>
      </c>
    </row>
    <row r="904" ht="12.75" hidden="1" customHeight="1" outlineLevel="1">
      <c r="A904" s="21"/>
      <c r="B904" s="21"/>
      <c r="C904" s="21"/>
      <c r="D904" s="115"/>
      <c r="E904" s="116"/>
      <c r="F904" s="116"/>
      <c r="G904" s="117"/>
      <c r="H904" s="116"/>
      <c r="I904" s="116"/>
      <c r="J904" s="118" t="b">
        <v>0</v>
      </c>
    </row>
    <row r="905" ht="12.75" hidden="1" customHeight="1" outlineLevel="1">
      <c r="A905" s="151" t="s">
        <v>854</v>
      </c>
      <c r="B905" s="152" t="s">
        <v>855</v>
      </c>
      <c r="C905" s="151" t="s">
        <v>40</v>
      </c>
      <c r="D905" s="153">
        <v>188.65</v>
      </c>
      <c r="E905" s="154">
        <v>36.21</v>
      </c>
      <c r="F905" s="154">
        <v>6831.02</v>
      </c>
      <c r="G905" s="155"/>
      <c r="H905" s="154"/>
      <c r="I905" s="154"/>
      <c r="J905" s="118" t="b">
        <v>0</v>
      </c>
    </row>
    <row r="906" ht="12.75" hidden="1" customHeight="1" outlineLevel="1">
      <c r="A906" s="21"/>
      <c r="B906" s="21"/>
      <c r="C906" s="21"/>
      <c r="D906" s="115"/>
      <c r="E906" s="116"/>
      <c r="F906" s="116"/>
      <c r="G906" s="117"/>
      <c r="H906" s="116"/>
      <c r="I906" s="116"/>
      <c r="J906" s="118" t="b">
        <v>0</v>
      </c>
    </row>
    <row r="907" ht="12.75" hidden="1" customHeight="1" outlineLevel="1">
      <c r="A907" s="151" t="s">
        <v>856</v>
      </c>
      <c r="B907" s="152" t="s">
        <v>857</v>
      </c>
      <c r="C907" s="151" t="s">
        <v>40</v>
      </c>
      <c r="D907" s="153">
        <v>913.44</v>
      </c>
      <c r="E907" s="154">
        <v>36.21</v>
      </c>
      <c r="F907" s="154">
        <v>33075.66</v>
      </c>
      <c r="G907" s="155"/>
      <c r="H907" s="154"/>
      <c r="I907" s="154"/>
      <c r="J907" s="118" t="b">
        <v>0</v>
      </c>
    </row>
    <row r="908" ht="12.75" hidden="1" customHeight="1" outlineLevel="1">
      <c r="A908" s="21"/>
      <c r="B908" s="21"/>
      <c r="C908" s="21"/>
      <c r="D908" s="115"/>
      <c r="E908" s="116"/>
      <c r="F908" s="116"/>
      <c r="G908" s="117"/>
      <c r="H908" s="116"/>
      <c r="I908" s="116"/>
      <c r="J908" s="118" t="b">
        <v>0</v>
      </c>
    </row>
    <row r="909" ht="12.75" hidden="1" customHeight="1" outlineLevel="1">
      <c r="A909" s="151" t="s">
        <v>858</v>
      </c>
      <c r="B909" s="152" t="s">
        <v>801</v>
      </c>
      <c r="C909" s="151" t="s">
        <v>40</v>
      </c>
      <c r="D909" s="153">
        <v>127.0</v>
      </c>
      <c r="E909" s="154">
        <v>36.21</v>
      </c>
      <c r="F909" s="154">
        <v>4598.67</v>
      </c>
      <c r="G909" s="155"/>
      <c r="H909" s="154"/>
      <c r="I909" s="154"/>
      <c r="J909" s="118" t="b">
        <v>0</v>
      </c>
    </row>
    <row r="910" ht="12.75" hidden="1" customHeight="1" outlineLevel="1">
      <c r="A910" s="21"/>
      <c r="B910" s="21"/>
      <c r="C910" s="21"/>
      <c r="D910" s="115"/>
      <c r="E910" s="116"/>
      <c r="F910" s="116"/>
      <c r="G910" s="117"/>
      <c r="H910" s="116"/>
      <c r="I910" s="116"/>
      <c r="J910" s="118" t="b">
        <v>0</v>
      </c>
    </row>
    <row r="911" ht="12.75" hidden="1" customHeight="1" outlineLevel="1">
      <c r="A911" s="151" t="s">
        <v>859</v>
      </c>
      <c r="B911" s="152" t="s">
        <v>860</v>
      </c>
      <c r="C911" s="151" t="s">
        <v>40</v>
      </c>
      <c r="D911" s="153">
        <v>280.94</v>
      </c>
      <c r="E911" s="154">
        <v>36.21</v>
      </c>
      <c r="F911" s="154">
        <v>10172.84</v>
      </c>
      <c r="G911" s="155"/>
      <c r="H911" s="154"/>
      <c r="I911" s="154"/>
      <c r="J911" s="118" t="b">
        <v>0</v>
      </c>
    </row>
    <row r="912" ht="12.75" hidden="1" customHeight="1" outlineLevel="1">
      <c r="A912" s="21"/>
      <c r="B912" s="21"/>
      <c r="C912" s="21"/>
      <c r="D912" s="115"/>
      <c r="E912" s="116"/>
      <c r="F912" s="116"/>
      <c r="G912" s="117"/>
      <c r="H912" s="116"/>
      <c r="I912" s="116"/>
      <c r="J912" s="118" t="b">
        <v>0</v>
      </c>
    </row>
    <row r="913" ht="12.75" hidden="1" customHeight="1" outlineLevel="1">
      <c r="A913" s="151" t="s">
        <v>861</v>
      </c>
      <c r="B913" s="152" t="s">
        <v>817</v>
      </c>
      <c r="C913" s="151" t="s">
        <v>40</v>
      </c>
      <c r="D913" s="153">
        <v>17.46</v>
      </c>
      <c r="E913" s="154">
        <v>36.21</v>
      </c>
      <c r="F913" s="154">
        <v>632.23</v>
      </c>
      <c r="G913" s="155"/>
      <c r="H913" s="154"/>
      <c r="I913" s="154"/>
      <c r="J913" s="118" t="b">
        <v>0</v>
      </c>
    </row>
    <row r="914" ht="12.75" hidden="1" customHeight="1" outlineLevel="1">
      <c r="A914" s="21"/>
      <c r="B914" s="21"/>
      <c r="C914" s="21"/>
      <c r="D914" s="115"/>
      <c r="E914" s="116"/>
      <c r="F914" s="116"/>
      <c r="G914" s="117"/>
      <c r="H914" s="116"/>
      <c r="I914" s="116"/>
      <c r="J914" s="118" t="b">
        <v>0</v>
      </c>
    </row>
    <row r="915" ht="12.75" hidden="1" customHeight="1" outlineLevel="1">
      <c r="A915" s="151" t="s">
        <v>862</v>
      </c>
      <c r="B915" s="152" t="s">
        <v>863</v>
      </c>
      <c r="C915" s="151" t="s">
        <v>40</v>
      </c>
      <c r="D915" s="153">
        <v>268.51</v>
      </c>
      <c r="E915" s="154">
        <v>36.21</v>
      </c>
      <c r="F915" s="154">
        <v>9722.75</v>
      </c>
      <c r="G915" s="155"/>
      <c r="H915" s="154"/>
      <c r="I915" s="154"/>
      <c r="J915" s="118" t="b">
        <v>0</v>
      </c>
    </row>
    <row r="916" ht="12.75" hidden="1" customHeight="1" outlineLevel="1">
      <c r="A916" s="21"/>
      <c r="B916" s="21"/>
      <c r="C916" s="21"/>
      <c r="D916" s="115"/>
      <c r="E916" s="116"/>
      <c r="F916" s="116"/>
      <c r="G916" s="117"/>
      <c r="H916" s="116"/>
      <c r="I916" s="116"/>
      <c r="J916" s="118" t="b">
        <v>0</v>
      </c>
    </row>
    <row r="917" ht="12.75" hidden="1" customHeight="1" outlineLevel="1">
      <c r="A917" s="151" t="s">
        <v>864</v>
      </c>
      <c r="B917" s="152" t="s">
        <v>865</v>
      </c>
      <c r="C917" s="151" t="s">
        <v>40</v>
      </c>
      <c r="D917" s="153">
        <v>7.58</v>
      </c>
      <c r="E917" s="154">
        <v>36.21</v>
      </c>
      <c r="F917" s="154">
        <v>274.47</v>
      </c>
      <c r="G917" s="155"/>
      <c r="H917" s="154"/>
      <c r="I917" s="154"/>
      <c r="J917" s="118" t="b">
        <v>0</v>
      </c>
    </row>
    <row r="918" ht="12.75" hidden="1" customHeight="1" outlineLevel="1">
      <c r="A918" s="21"/>
      <c r="B918" s="21"/>
      <c r="C918" s="21"/>
      <c r="D918" s="115"/>
      <c r="E918" s="116"/>
      <c r="F918" s="116"/>
      <c r="G918" s="117"/>
      <c r="H918" s="116"/>
      <c r="I918" s="116"/>
      <c r="J918" s="118" t="b">
        <v>0</v>
      </c>
    </row>
    <row r="919" ht="12.75" hidden="1" customHeight="1" outlineLevel="1">
      <c r="A919" s="151" t="s">
        <v>866</v>
      </c>
      <c r="B919" s="152" t="s">
        <v>867</v>
      </c>
      <c r="C919" s="151" t="s">
        <v>40</v>
      </c>
      <c r="D919" s="153">
        <v>29.03</v>
      </c>
      <c r="E919" s="154">
        <v>36.21</v>
      </c>
      <c r="F919" s="154">
        <v>1051.18</v>
      </c>
      <c r="G919" s="155"/>
      <c r="H919" s="154"/>
      <c r="I919" s="154"/>
      <c r="J919" s="118" t="b">
        <v>0</v>
      </c>
    </row>
    <row r="920" ht="12.75" hidden="1" customHeight="1" outlineLevel="1">
      <c r="A920" s="21"/>
      <c r="B920" s="21"/>
      <c r="C920" s="21"/>
      <c r="D920" s="115"/>
      <c r="E920" s="116"/>
      <c r="F920" s="116"/>
      <c r="G920" s="117"/>
      <c r="H920" s="116"/>
      <c r="I920" s="116"/>
      <c r="J920" s="118" t="b">
        <v>0</v>
      </c>
    </row>
    <row r="921" ht="12.75" hidden="1" customHeight="1" outlineLevel="1">
      <c r="A921" s="151" t="s">
        <v>138</v>
      </c>
      <c r="B921" s="152" t="s">
        <v>868</v>
      </c>
      <c r="C921" s="21"/>
      <c r="D921" s="115"/>
      <c r="E921" s="116"/>
      <c r="F921" s="116"/>
      <c r="G921" s="117"/>
      <c r="H921" s="116"/>
      <c r="I921" s="116"/>
      <c r="J921" s="118" t="b">
        <v>0</v>
      </c>
    </row>
    <row r="922" ht="12.75" hidden="1" customHeight="1" outlineLevel="1">
      <c r="A922" s="21"/>
      <c r="B922" s="21"/>
      <c r="C922" s="21"/>
      <c r="D922" s="115"/>
      <c r="E922" s="116"/>
      <c r="F922" s="116"/>
      <c r="G922" s="117"/>
      <c r="H922" s="116"/>
      <c r="I922" s="116"/>
      <c r="J922" s="118" t="b">
        <v>0</v>
      </c>
    </row>
    <row r="923" ht="12.75" hidden="1" customHeight="1" outlineLevel="1">
      <c r="A923" s="151" t="s">
        <v>869</v>
      </c>
      <c r="B923" s="152" t="s">
        <v>870</v>
      </c>
      <c r="C923" s="151" t="s">
        <v>40</v>
      </c>
      <c r="D923" s="153">
        <v>157.61</v>
      </c>
      <c r="E923" s="154">
        <v>64.66</v>
      </c>
      <c r="F923" s="154">
        <v>10191.06</v>
      </c>
      <c r="G923" s="155"/>
      <c r="H923" s="154"/>
      <c r="I923" s="154"/>
      <c r="J923" s="118" t="b">
        <v>0</v>
      </c>
    </row>
    <row r="924" ht="12.75" hidden="1" customHeight="1" outlineLevel="1">
      <c r="A924" s="21"/>
      <c r="B924" s="21"/>
      <c r="C924" s="21"/>
      <c r="D924" s="115"/>
      <c r="E924" s="116"/>
      <c r="F924" s="116"/>
      <c r="G924" s="117"/>
      <c r="H924" s="116"/>
      <c r="I924" s="116"/>
      <c r="J924" s="118" t="b">
        <v>0</v>
      </c>
    </row>
    <row r="925" ht="12.75" hidden="1" customHeight="1" outlineLevel="1">
      <c r="A925" s="151" t="s">
        <v>871</v>
      </c>
      <c r="B925" s="152" t="s">
        <v>860</v>
      </c>
      <c r="C925" s="151" t="s">
        <v>40</v>
      </c>
      <c r="D925" s="153">
        <v>81.58</v>
      </c>
      <c r="E925" s="154">
        <v>64.66</v>
      </c>
      <c r="F925" s="154">
        <v>5274.96</v>
      </c>
      <c r="G925" s="155"/>
      <c r="H925" s="154"/>
      <c r="I925" s="154"/>
      <c r="J925" s="118" t="b">
        <v>0</v>
      </c>
    </row>
    <row r="926" ht="12.75" hidden="1" customHeight="1" outlineLevel="1">
      <c r="A926" s="21"/>
      <c r="B926" s="21"/>
      <c r="C926" s="21"/>
      <c r="D926" s="115"/>
      <c r="E926" s="116"/>
      <c r="F926" s="116"/>
      <c r="G926" s="117"/>
      <c r="H926" s="116"/>
      <c r="I926" s="116"/>
      <c r="J926" s="118" t="b">
        <v>0</v>
      </c>
    </row>
    <row r="927" ht="12.75" hidden="1" customHeight="1" outlineLevel="1">
      <c r="A927" s="151" t="s">
        <v>872</v>
      </c>
      <c r="B927" s="152" t="s">
        <v>817</v>
      </c>
      <c r="C927" s="151" t="s">
        <v>40</v>
      </c>
      <c r="D927" s="153">
        <v>515.45</v>
      </c>
      <c r="E927" s="154">
        <v>64.66</v>
      </c>
      <c r="F927" s="154">
        <v>33329.0</v>
      </c>
      <c r="G927" s="155"/>
      <c r="H927" s="154"/>
      <c r="I927" s="154"/>
      <c r="J927" s="118" t="b">
        <v>0</v>
      </c>
    </row>
    <row r="928" ht="12.75" hidden="1" customHeight="1" outlineLevel="1">
      <c r="A928" s="21"/>
      <c r="B928" s="21"/>
      <c r="C928" s="21"/>
      <c r="D928" s="115"/>
      <c r="E928" s="116"/>
      <c r="F928" s="116"/>
      <c r="G928" s="117"/>
      <c r="H928" s="116"/>
      <c r="I928" s="116"/>
      <c r="J928" s="118" t="b">
        <v>0</v>
      </c>
    </row>
    <row r="929" ht="12.75" hidden="1" customHeight="1" outlineLevel="1">
      <c r="A929" s="21"/>
      <c r="B929" s="21"/>
      <c r="C929" s="21"/>
      <c r="D929" s="115"/>
      <c r="E929" s="116"/>
      <c r="F929" s="116"/>
      <c r="G929" s="117"/>
      <c r="H929" s="116"/>
      <c r="I929" s="116"/>
      <c r="J929" s="118" t="b">
        <v>0</v>
      </c>
    </row>
    <row r="930" ht="12.75" hidden="1" customHeight="1" outlineLevel="1">
      <c r="A930" s="21"/>
      <c r="B930" s="21"/>
      <c r="C930" s="21"/>
      <c r="D930" s="115"/>
      <c r="E930" s="116"/>
      <c r="F930" s="116"/>
      <c r="G930" s="117"/>
      <c r="H930" s="116"/>
      <c r="I930" s="116"/>
      <c r="J930" s="118" t="b">
        <v>0</v>
      </c>
    </row>
    <row r="931" ht="12.75" hidden="1" customHeight="1" outlineLevel="1">
      <c r="A931" s="151" t="s">
        <v>873</v>
      </c>
      <c r="B931" s="152" t="s">
        <v>874</v>
      </c>
      <c r="C931" s="21"/>
      <c r="D931" s="115"/>
      <c r="E931" s="116"/>
      <c r="F931" s="116"/>
      <c r="G931" s="117"/>
      <c r="H931" s="116"/>
      <c r="I931" s="116"/>
      <c r="J931" s="118" t="b">
        <v>0</v>
      </c>
    </row>
    <row r="932" ht="12.75" hidden="1" customHeight="1" outlineLevel="1">
      <c r="A932" s="21"/>
      <c r="B932" s="21"/>
      <c r="C932" s="21"/>
      <c r="D932" s="115"/>
      <c r="E932" s="116"/>
      <c r="F932" s="116"/>
      <c r="G932" s="117"/>
      <c r="H932" s="116"/>
      <c r="I932" s="116"/>
      <c r="J932" s="118" t="b">
        <v>0</v>
      </c>
    </row>
    <row r="933" ht="12.75" hidden="1" customHeight="1" outlineLevel="1">
      <c r="A933" s="151" t="s">
        <v>147</v>
      </c>
      <c r="B933" s="152" t="s">
        <v>875</v>
      </c>
      <c r="C933" s="21"/>
      <c r="D933" s="115"/>
      <c r="E933" s="116"/>
      <c r="F933" s="116"/>
      <c r="G933" s="117"/>
      <c r="H933" s="116"/>
      <c r="I933" s="116"/>
      <c r="J933" s="118" t="b">
        <v>0</v>
      </c>
    </row>
    <row r="934" ht="12.75" hidden="1" customHeight="1" outlineLevel="1">
      <c r="A934" s="21"/>
      <c r="B934" s="21"/>
      <c r="C934" s="21"/>
      <c r="D934" s="115"/>
      <c r="E934" s="116"/>
      <c r="F934" s="116"/>
      <c r="G934" s="117"/>
      <c r="H934" s="116"/>
      <c r="I934" s="116"/>
      <c r="J934" s="118" t="b">
        <v>0</v>
      </c>
    </row>
    <row r="935" ht="12.75" hidden="1" customHeight="1" outlineLevel="1">
      <c r="A935" s="151" t="s">
        <v>149</v>
      </c>
      <c r="B935" s="152" t="s">
        <v>876</v>
      </c>
      <c r="C935" s="151" t="s">
        <v>877</v>
      </c>
      <c r="D935" s="153">
        <v>1218.48</v>
      </c>
      <c r="E935" s="154">
        <v>16.28</v>
      </c>
      <c r="F935" s="154">
        <v>19836.85</v>
      </c>
      <c r="G935" s="155"/>
      <c r="H935" s="154"/>
      <c r="I935" s="154"/>
      <c r="J935" s="118" t="b">
        <v>0</v>
      </c>
    </row>
    <row r="936" ht="12.75" hidden="1" customHeight="1" outlineLevel="1">
      <c r="A936" s="21"/>
      <c r="B936" s="21"/>
      <c r="C936" s="21"/>
      <c r="D936" s="115"/>
      <c r="E936" s="116"/>
      <c r="F936" s="116"/>
      <c r="G936" s="117"/>
      <c r="H936" s="116"/>
      <c r="I936" s="116"/>
      <c r="J936" s="118" t="b">
        <v>0</v>
      </c>
    </row>
    <row r="937" ht="12.75" hidden="1" customHeight="1" outlineLevel="1">
      <c r="A937" s="151" t="s">
        <v>878</v>
      </c>
      <c r="B937" s="152" t="s">
        <v>879</v>
      </c>
      <c r="C937" s="151" t="s">
        <v>75</v>
      </c>
      <c r="D937" s="153">
        <v>58.0</v>
      </c>
      <c r="E937" s="116"/>
      <c r="F937" s="156" t="s">
        <v>880</v>
      </c>
      <c r="G937" s="157"/>
      <c r="H937" s="156"/>
      <c r="I937" s="156"/>
      <c r="J937" s="118" t="b">
        <v>0</v>
      </c>
    </row>
    <row r="938" ht="12.75" hidden="1" customHeight="1" outlineLevel="1">
      <c r="A938" s="21"/>
      <c r="B938" s="21"/>
      <c r="C938" s="21"/>
      <c r="D938" s="115"/>
      <c r="E938" s="116"/>
      <c r="F938" s="116"/>
      <c r="G938" s="117"/>
      <c r="H938" s="116"/>
      <c r="I938" s="116"/>
      <c r="J938" s="118" t="b">
        <v>0</v>
      </c>
    </row>
    <row r="939" ht="12.75" hidden="1" customHeight="1" outlineLevel="1">
      <c r="A939" s="151" t="s">
        <v>881</v>
      </c>
      <c r="B939" s="152" t="s">
        <v>882</v>
      </c>
      <c r="C939" s="151" t="s">
        <v>75</v>
      </c>
      <c r="D939" s="153">
        <v>58.0</v>
      </c>
      <c r="E939" s="116"/>
      <c r="F939" s="156" t="s">
        <v>880</v>
      </c>
      <c r="G939" s="157"/>
      <c r="H939" s="156"/>
      <c r="I939" s="156"/>
      <c r="J939" s="118" t="b">
        <v>0</v>
      </c>
    </row>
    <row r="940" ht="12.75" hidden="1" customHeight="1" outlineLevel="1">
      <c r="A940" s="21"/>
      <c r="B940" s="21"/>
      <c r="C940" s="21"/>
      <c r="D940" s="115"/>
      <c r="E940" s="116"/>
      <c r="F940" s="116"/>
      <c r="G940" s="117"/>
      <c r="H940" s="116"/>
      <c r="I940" s="116"/>
      <c r="J940" s="118" t="b">
        <v>0</v>
      </c>
    </row>
    <row r="941" ht="12.75" hidden="1" customHeight="1" outlineLevel="1">
      <c r="A941" s="21"/>
      <c r="B941" s="21"/>
      <c r="C941" s="21"/>
      <c r="D941" s="115"/>
      <c r="E941" s="116"/>
      <c r="F941" s="116"/>
      <c r="G941" s="117"/>
      <c r="H941" s="116"/>
      <c r="I941" s="116"/>
      <c r="J941" s="118" t="b">
        <v>0</v>
      </c>
    </row>
    <row r="942" ht="12.75" hidden="1" customHeight="1" outlineLevel="1">
      <c r="A942" s="21"/>
      <c r="B942" s="21"/>
      <c r="C942" s="21"/>
      <c r="D942" s="115"/>
      <c r="E942" s="116"/>
      <c r="F942" s="116"/>
      <c r="G942" s="117"/>
      <c r="H942" s="116"/>
      <c r="I942" s="116"/>
      <c r="J942" s="118" t="b">
        <v>0</v>
      </c>
    </row>
    <row r="943" ht="12.75" hidden="1" customHeight="1" outlineLevel="1">
      <c r="A943" s="151" t="s">
        <v>883</v>
      </c>
      <c r="B943" s="152" t="s">
        <v>884</v>
      </c>
      <c r="C943" s="21"/>
      <c r="D943" s="115"/>
      <c r="E943" s="116"/>
      <c r="F943" s="116"/>
      <c r="G943" s="117"/>
      <c r="H943" s="116"/>
      <c r="I943" s="116"/>
      <c r="J943" s="118" t="b">
        <v>0</v>
      </c>
    </row>
    <row r="944" ht="12.75" hidden="1" customHeight="1" outlineLevel="1">
      <c r="A944" s="21"/>
      <c r="B944" s="21"/>
      <c r="C944" s="21"/>
      <c r="D944" s="115"/>
      <c r="E944" s="116"/>
      <c r="F944" s="116"/>
      <c r="G944" s="117"/>
      <c r="H944" s="116"/>
      <c r="I944" s="116"/>
      <c r="J944" s="118" t="b">
        <v>0</v>
      </c>
    </row>
    <row r="945" ht="12.75" hidden="1" customHeight="1" outlineLevel="1">
      <c r="A945" s="151" t="s">
        <v>166</v>
      </c>
      <c r="B945" s="152" t="s">
        <v>885</v>
      </c>
      <c r="C945" s="21"/>
      <c r="D945" s="115"/>
      <c r="E945" s="116"/>
      <c r="F945" s="116"/>
      <c r="G945" s="117"/>
      <c r="H945" s="116"/>
      <c r="I945" s="116"/>
      <c r="J945" s="118" t="b">
        <v>0</v>
      </c>
    </row>
    <row r="946" ht="12.75" hidden="1" customHeight="1" outlineLevel="1">
      <c r="A946" s="21"/>
      <c r="B946" s="21"/>
      <c r="C946" s="21"/>
      <c r="D946" s="115"/>
      <c r="E946" s="116"/>
      <c r="F946" s="116"/>
      <c r="G946" s="117"/>
      <c r="H946" s="116"/>
      <c r="I946" s="116"/>
      <c r="J946" s="118" t="b">
        <v>0</v>
      </c>
    </row>
    <row r="947" ht="12.75" hidden="1" customHeight="1" outlineLevel="1">
      <c r="A947" s="151" t="s">
        <v>170</v>
      </c>
      <c r="B947" s="152" t="s">
        <v>886</v>
      </c>
      <c r="C947" s="151" t="s">
        <v>75</v>
      </c>
      <c r="D947" s="153">
        <v>638.0</v>
      </c>
      <c r="E947" s="154">
        <v>4.08</v>
      </c>
      <c r="F947" s="154">
        <v>2603.04</v>
      </c>
      <c r="G947" s="155"/>
      <c r="H947" s="154"/>
      <c r="I947" s="154"/>
      <c r="J947" s="118" t="b">
        <v>0</v>
      </c>
    </row>
    <row r="948" ht="12.75" hidden="1" customHeight="1" outlineLevel="1">
      <c r="A948" s="21"/>
      <c r="B948" s="21"/>
      <c r="C948" s="21"/>
      <c r="D948" s="115"/>
      <c r="E948" s="116"/>
      <c r="F948" s="116"/>
      <c r="G948" s="117"/>
      <c r="H948" s="116"/>
      <c r="I948" s="116"/>
      <c r="J948" s="118" t="b">
        <v>0</v>
      </c>
    </row>
    <row r="949" ht="12.75" hidden="1" customHeight="1" outlineLevel="1">
      <c r="A949" s="21"/>
      <c r="B949" s="21"/>
      <c r="C949" s="21"/>
      <c r="D949" s="115"/>
      <c r="E949" s="116"/>
      <c r="F949" s="116"/>
      <c r="G949" s="117"/>
      <c r="H949" s="116"/>
      <c r="I949" s="116"/>
      <c r="J949" s="118" t="b">
        <v>0</v>
      </c>
    </row>
    <row r="950" ht="12.75" hidden="1" customHeight="1" outlineLevel="1">
      <c r="A950" s="21"/>
      <c r="B950" s="21"/>
      <c r="C950" s="21"/>
      <c r="D950" s="115"/>
      <c r="E950" s="116"/>
      <c r="F950" s="116"/>
      <c r="G950" s="117"/>
      <c r="H950" s="116"/>
      <c r="I950" s="116"/>
      <c r="J950" s="118" t="b">
        <v>0</v>
      </c>
    </row>
    <row r="951" ht="12.75" hidden="1" customHeight="1" outlineLevel="1">
      <c r="A951" s="151" t="s">
        <v>887</v>
      </c>
      <c r="B951" s="152" t="s">
        <v>888</v>
      </c>
      <c r="C951" s="21"/>
      <c r="D951" s="115"/>
      <c r="E951" s="116"/>
      <c r="F951" s="116"/>
      <c r="G951" s="117"/>
      <c r="H951" s="116"/>
      <c r="I951" s="116"/>
      <c r="J951" s="118" t="b">
        <v>0</v>
      </c>
    </row>
    <row r="952" ht="12.75" hidden="1" customHeight="1" outlineLevel="1">
      <c r="A952" s="21"/>
      <c r="B952" s="21"/>
      <c r="C952" s="21"/>
      <c r="D952" s="115"/>
      <c r="E952" s="116"/>
      <c r="F952" s="116"/>
      <c r="G952" s="117"/>
      <c r="H952" s="116"/>
      <c r="I952" s="116"/>
      <c r="J952" s="118" t="b">
        <v>0</v>
      </c>
    </row>
    <row r="953" ht="12.75" hidden="1" customHeight="1" outlineLevel="1">
      <c r="A953" s="151" t="s">
        <v>198</v>
      </c>
      <c r="B953" s="152" t="s">
        <v>889</v>
      </c>
      <c r="C953" s="21"/>
      <c r="D953" s="115"/>
      <c r="E953" s="116"/>
      <c r="F953" s="116"/>
      <c r="G953" s="117"/>
      <c r="H953" s="116"/>
      <c r="I953" s="116"/>
      <c r="J953" s="118" t="b">
        <v>0</v>
      </c>
    </row>
    <row r="954" ht="12.75" hidden="1" customHeight="1" outlineLevel="1">
      <c r="A954" s="21"/>
      <c r="B954" s="21"/>
      <c r="C954" s="21"/>
      <c r="D954" s="115"/>
      <c r="E954" s="116"/>
      <c r="F954" s="116"/>
      <c r="G954" s="117"/>
      <c r="H954" s="116"/>
      <c r="I954" s="116"/>
      <c r="J954" s="118" t="b">
        <v>0</v>
      </c>
    </row>
    <row r="955" ht="12.75" hidden="1" customHeight="1" outlineLevel="1">
      <c r="A955" s="21"/>
      <c r="B955" s="152" t="s">
        <v>890</v>
      </c>
      <c r="C955" s="151" t="s">
        <v>827</v>
      </c>
      <c r="D955" s="153">
        <v>4360.88</v>
      </c>
      <c r="E955" s="154">
        <v>11.64</v>
      </c>
      <c r="F955" s="154">
        <v>50760.64</v>
      </c>
      <c r="G955" s="155"/>
      <c r="H955" s="154"/>
      <c r="I955" s="154"/>
      <c r="J955" s="118" t="b">
        <v>0</v>
      </c>
    </row>
    <row r="956" ht="12.75" hidden="1" customHeight="1" outlineLevel="1">
      <c r="A956" s="21"/>
      <c r="B956" s="21"/>
      <c r="C956" s="21"/>
      <c r="D956" s="115"/>
      <c r="E956" s="116"/>
      <c r="F956" s="116"/>
      <c r="G956" s="117"/>
      <c r="H956" s="116"/>
      <c r="I956" s="116"/>
      <c r="J956" s="118" t="b">
        <v>0</v>
      </c>
    </row>
    <row r="957" ht="12.75" hidden="1" customHeight="1" outlineLevel="1">
      <c r="A957" s="21"/>
      <c r="B957" s="152" t="s">
        <v>891</v>
      </c>
      <c r="C957" s="151" t="s">
        <v>827</v>
      </c>
      <c r="D957" s="153">
        <v>112.9</v>
      </c>
      <c r="E957" s="154">
        <v>11.64</v>
      </c>
      <c r="F957" s="154">
        <v>1314.16</v>
      </c>
      <c r="G957" s="155"/>
      <c r="H957" s="154"/>
      <c r="I957" s="154"/>
      <c r="J957" s="118" t="b">
        <v>0</v>
      </c>
    </row>
    <row r="958" ht="12.75" hidden="1" customHeight="1" outlineLevel="1">
      <c r="A958" s="21"/>
      <c r="B958" s="21"/>
      <c r="C958" s="21"/>
      <c r="D958" s="115"/>
      <c r="E958" s="116"/>
      <c r="F958" s="116"/>
      <c r="G958" s="117"/>
      <c r="H958" s="116"/>
      <c r="I958" s="116"/>
      <c r="J958" s="118" t="b">
        <v>0</v>
      </c>
    </row>
    <row r="959" ht="12.75" hidden="1" customHeight="1" outlineLevel="1">
      <c r="A959" s="151" t="s">
        <v>230</v>
      </c>
      <c r="B959" s="152" t="s">
        <v>892</v>
      </c>
      <c r="C959" s="151" t="s">
        <v>827</v>
      </c>
      <c r="D959" s="153">
        <v>1501.78</v>
      </c>
      <c r="E959" s="154">
        <v>11.64</v>
      </c>
      <c r="F959" s="154">
        <v>17480.72</v>
      </c>
      <c r="G959" s="155"/>
      <c r="H959" s="154"/>
      <c r="I959" s="154"/>
      <c r="J959" s="118" t="b">
        <v>0</v>
      </c>
    </row>
    <row r="960" ht="12.75" hidden="1" customHeight="1" outlineLevel="1">
      <c r="A960" s="21"/>
      <c r="B960" s="21"/>
      <c r="C960" s="21"/>
      <c r="D960" s="115"/>
      <c r="E960" s="116"/>
      <c r="F960" s="116"/>
      <c r="G960" s="117"/>
      <c r="H960" s="116"/>
      <c r="I960" s="116"/>
      <c r="J960" s="118" t="b">
        <v>0</v>
      </c>
    </row>
    <row r="961" ht="12.75" hidden="1" customHeight="1" outlineLevel="1">
      <c r="A961" s="151" t="s">
        <v>240</v>
      </c>
      <c r="B961" s="152" t="s">
        <v>893</v>
      </c>
      <c r="C961" s="21"/>
      <c r="D961" s="115"/>
      <c r="E961" s="116"/>
      <c r="F961" s="116"/>
      <c r="G961" s="117"/>
      <c r="H961" s="116"/>
      <c r="I961" s="116"/>
      <c r="J961" s="118" t="b">
        <v>0</v>
      </c>
    </row>
    <row r="962" ht="12.75" hidden="1" customHeight="1" outlineLevel="1">
      <c r="A962" s="21"/>
      <c r="B962" s="21"/>
      <c r="C962" s="21"/>
      <c r="D962" s="115"/>
      <c r="E962" s="116"/>
      <c r="F962" s="116"/>
      <c r="G962" s="117"/>
      <c r="H962" s="116"/>
      <c r="I962" s="116"/>
      <c r="J962" s="118" t="b">
        <v>0</v>
      </c>
    </row>
    <row r="963" ht="12.75" hidden="1" customHeight="1" outlineLevel="1">
      <c r="A963" s="21"/>
      <c r="B963" s="152" t="s">
        <v>894</v>
      </c>
      <c r="C963" s="151" t="s">
        <v>827</v>
      </c>
      <c r="D963" s="153">
        <v>3972.81</v>
      </c>
      <c r="E963" s="154">
        <v>11.64</v>
      </c>
      <c r="F963" s="154">
        <v>46243.51</v>
      </c>
      <c r="G963" s="155"/>
      <c r="H963" s="154"/>
      <c r="I963" s="154"/>
      <c r="J963" s="118" t="b">
        <v>0</v>
      </c>
    </row>
    <row r="964" ht="12.75" hidden="1" customHeight="1" outlineLevel="1">
      <c r="A964" s="21"/>
      <c r="B964" s="21"/>
      <c r="C964" s="21"/>
      <c r="D964" s="115"/>
      <c r="E964" s="116"/>
      <c r="F964" s="116"/>
      <c r="G964" s="117"/>
      <c r="H964" s="116"/>
      <c r="I964" s="116"/>
      <c r="J964" s="118" t="b">
        <v>0</v>
      </c>
    </row>
    <row r="965" ht="12.75" hidden="1" customHeight="1" outlineLevel="1">
      <c r="A965" s="151" t="s">
        <v>895</v>
      </c>
      <c r="B965" s="152" t="s">
        <v>896</v>
      </c>
      <c r="C965" s="151" t="s">
        <v>33</v>
      </c>
      <c r="D965" s="153">
        <v>1.0</v>
      </c>
      <c r="E965" s="154">
        <v>16163.75</v>
      </c>
      <c r="F965" s="154">
        <v>16163.75</v>
      </c>
      <c r="G965" s="155"/>
      <c r="H965" s="154"/>
      <c r="I965" s="154"/>
      <c r="J965" s="118" t="b">
        <v>0</v>
      </c>
    </row>
    <row r="966" ht="12.75" hidden="1" customHeight="1" outlineLevel="1">
      <c r="A966" s="21"/>
      <c r="B966" s="21"/>
      <c r="C966" s="21"/>
      <c r="D966" s="115"/>
      <c r="E966" s="116"/>
      <c r="F966" s="116"/>
      <c r="G966" s="117"/>
      <c r="H966" s="116"/>
      <c r="I966" s="116"/>
      <c r="J966" s="118" t="b">
        <v>0</v>
      </c>
    </row>
    <row r="967" ht="12.75" hidden="1" customHeight="1" outlineLevel="1">
      <c r="A967" s="151" t="s">
        <v>897</v>
      </c>
      <c r="B967" s="152" t="s">
        <v>898</v>
      </c>
      <c r="C967" s="21"/>
      <c r="D967" s="115"/>
      <c r="E967" s="116"/>
      <c r="F967" s="116"/>
      <c r="G967" s="117"/>
      <c r="H967" s="116"/>
      <c r="I967" s="116"/>
      <c r="J967" s="118" t="b">
        <v>0</v>
      </c>
    </row>
    <row r="968" ht="12.75" hidden="1" customHeight="1" outlineLevel="1">
      <c r="A968" s="21"/>
      <c r="B968" s="21"/>
      <c r="C968" s="21"/>
      <c r="D968" s="115"/>
      <c r="E968" s="116"/>
      <c r="F968" s="116"/>
      <c r="G968" s="117"/>
      <c r="H968" s="116"/>
      <c r="I968" s="116"/>
      <c r="J968" s="118" t="b">
        <v>0</v>
      </c>
    </row>
    <row r="969" ht="12.75" hidden="1" customHeight="1" outlineLevel="1">
      <c r="A969" s="151" t="s">
        <v>246</v>
      </c>
      <c r="B969" s="152" t="s">
        <v>899</v>
      </c>
      <c r="C969" s="21"/>
      <c r="D969" s="115"/>
      <c r="E969" s="116"/>
      <c r="F969" s="116"/>
      <c r="G969" s="117"/>
      <c r="H969" s="116"/>
      <c r="I969" s="116"/>
      <c r="J969" s="118" t="b">
        <v>0</v>
      </c>
    </row>
    <row r="970" ht="12.75" hidden="1" customHeight="1" outlineLevel="1">
      <c r="A970" s="21"/>
      <c r="B970" s="21"/>
      <c r="C970" s="21"/>
      <c r="D970" s="115"/>
      <c r="E970" s="116"/>
      <c r="F970" s="116"/>
      <c r="G970" s="117"/>
      <c r="H970" s="116"/>
      <c r="I970" s="116"/>
      <c r="J970" s="118" t="b">
        <v>0</v>
      </c>
    </row>
    <row r="971" ht="12.75" hidden="1" customHeight="1" outlineLevel="1">
      <c r="A971" s="21"/>
      <c r="B971" s="152" t="s">
        <v>900</v>
      </c>
      <c r="C971" s="151" t="s">
        <v>827</v>
      </c>
      <c r="D971" s="153">
        <v>4.79</v>
      </c>
      <c r="E971" s="154">
        <v>11.64</v>
      </c>
      <c r="F971" s="154">
        <v>55.76</v>
      </c>
      <c r="G971" s="155"/>
      <c r="H971" s="154"/>
      <c r="I971" s="154"/>
      <c r="J971" s="118" t="b">
        <v>0</v>
      </c>
    </row>
    <row r="972" ht="12.75" hidden="1" customHeight="1" outlineLevel="1">
      <c r="A972" s="21"/>
      <c r="B972" s="21"/>
      <c r="C972" s="21"/>
      <c r="D972" s="115"/>
      <c r="E972" s="116"/>
      <c r="F972" s="116"/>
      <c r="G972" s="117"/>
      <c r="H972" s="116"/>
      <c r="I972" s="116"/>
      <c r="J972" s="118" t="b">
        <v>0</v>
      </c>
    </row>
    <row r="973" ht="12.75" hidden="1" customHeight="1" outlineLevel="1">
      <c r="A973" s="21"/>
      <c r="B973" s="152" t="s">
        <v>901</v>
      </c>
      <c r="C973" s="151" t="s">
        <v>827</v>
      </c>
      <c r="D973" s="153">
        <v>2265.99</v>
      </c>
      <c r="E973" s="154">
        <v>11.64</v>
      </c>
      <c r="F973" s="154">
        <v>26376.12</v>
      </c>
      <c r="G973" s="155"/>
      <c r="H973" s="154"/>
      <c r="I973" s="154"/>
      <c r="J973" s="118" t="b">
        <v>0</v>
      </c>
    </row>
    <row r="974" ht="12.75" hidden="1" customHeight="1" outlineLevel="1">
      <c r="A974" s="21"/>
      <c r="B974" s="21"/>
      <c r="C974" s="21"/>
      <c r="D974" s="115"/>
      <c r="E974" s="116"/>
      <c r="F974" s="116"/>
      <c r="G974" s="117"/>
      <c r="H974" s="116"/>
      <c r="I974" s="116"/>
      <c r="J974" s="118" t="b">
        <v>0</v>
      </c>
    </row>
    <row r="975" ht="12.75" hidden="1" customHeight="1" outlineLevel="1">
      <c r="A975" s="21"/>
      <c r="B975" s="152" t="s">
        <v>902</v>
      </c>
      <c r="C975" s="151" t="s">
        <v>827</v>
      </c>
      <c r="D975" s="153">
        <v>5.44</v>
      </c>
      <c r="E975" s="154">
        <v>11.64</v>
      </c>
      <c r="F975" s="154">
        <v>63.32</v>
      </c>
      <c r="G975" s="155"/>
      <c r="H975" s="154"/>
      <c r="I975" s="154"/>
      <c r="J975" s="118" t="b">
        <v>0</v>
      </c>
    </row>
    <row r="976" ht="12.75" hidden="1" customHeight="1" outlineLevel="1">
      <c r="A976" s="21"/>
      <c r="B976" s="21"/>
      <c r="C976" s="21"/>
      <c r="D976" s="115"/>
      <c r="E976" s="116"/>
      <c r="F976" s="116"/>
      <c r="G976" s="117"/>
      <c r="H976" s="116"/>
      <c r="I976" s="116"/>
      <c r="J976" s="118" t="b">
        <v>0</v>
      </c>
    </row>
    <row r="977" ht="12.75" hidden="1" customHeight="1" outlineLevel="1">
      <c r="A977" s="21"/>
      <c r="B977" s="152" t="s">
        <v>903</v>
      </c>
      <c r="C977" s="151" t="s">
        <v>827</v>
      </c>
      <c r="D977" s="153">
        <v>220.49</v>
      </c>
      <c r="E977" s="154">
        <v>11.64</v>
      </c>
      <c r="F977" s="154">
        <v>2566.5</v>
      </c>
      <c r="G977" s="155"/>
      <c r="H977" s="154"/>
      <c r="I977" s="154"/>
      <c r="J977" s="118" t="b">
        <v>0</v>
      </c>
    </row>
    <row r="978" ht="12.75" hidden="1" customHeight="1" outlineLevel="1">
      <c r="A978" s="21"/>
      <c r="B978" s="21"/>
      <c r="C978" s="21"/>
      <c r="D978" s="115"/>
      <c r="E978" s="116"/>
      <c r="F978" s="116"/>
      <c r="G978" s="117"/>
      <c r="H978" s="116"/>
      <c r="I978" s="116"/>
      <c r="J978" s="118" t="b">
        <v>0</v>
      </c>
    </row>
    <row r="979" ht="12.75" hidden="1" customHeight="1" outlineLevel="1">
      <c r="A979" s="21"/>
      <c r="B979" s="152" t="s">
        <v>904</v>
      </c>
      <c r="C979" s="151" t="s">
        <v>827</v>
      </c>
      <c r="D979" s="153">
        <v>256.76</v>
      </c>
      <c r="E979" s="154">
        <v>11.64</v>
      </c>
      <c r="F979" s="154">
        <v>2988.69</v>
      </c>
      <c r="G979" s="155"/>
      <c r="H979" s="154"/>
      <c r="I979" s="154"/>
      <c r="J979" s="118" t="b">
        <v>0</v>
      </c>
    </row>
    <row r="980" ht="12.75" hidden="1" customHeight="1" outlineLevel="1">
      <c r="A980" s="21"/>
      <c r="B980" s="21"/>
      <c r="C980" s="21"/>
      <c r="D980" s="115"/>
      <c r="E980" s="116"/>
      <c r="F980" s="116"/>
      <c r="G980" s="117"/>
      <c r="H980" s="116"/>
      <c r="I980" s="116"/>
      <c r="J980" s="118" t="b">
        <v>0</v>
      </c>
    </row>
    <row r="981" ht="12.75" hidden="1" customHeight="1" outlineLevel="1">
      <c r="A981" s="21"/>
      <c r="B981" s="21"/>
      <c r="C981" s="21"/>
      <c r="D981" s="115"/>
      <c r="E981" s="116"/>
      <c r="F981" s="116"/>
      <c r="G981" s="117"/>
      <c r="H981" s="116"/>
      <c r="I981" s="116"/>
      <c r="J981" s="118" t="b">
        <v>0</v>
      </c>
    </row>
    <row r="982" ht="12.75" hidden="1" customHeight="1" outlineLevel="1">
      <c r="A982" s="21"/>
      <c r="B982" s="21"/>
      <c r="C982" s="21"/>
      <c r="D982" s="115"/>
      <c r="E982" s="116"/>
      <c r="F982" s="116"/>
      <c r="G982" s="117"/>
      <c r="H982" s="116"/>
      <c r="I982" s="116"/>
      <c r="J982" s="118" t="b">
        <v>0</v>
      </c>
    </row>
    <row r="983" ht="12.75" hidden="1" customHeight="1" outlineLevel="1">
      <c r="A983" s="151" t="s">
        <v>905</v>
      </c>
      <c r="B983" s="152" t="s">
        <v>906</v>
      </c>
      <c r="C983" s="21"/>
      <c r="D983" s="115"/>
      <c r="E983" s="116"/>
      <c r="F983" s="116"/>
      <c r="G983" s="117"/>
      <c r="H983" s="116"/>
      <c r="I983" s="116"/>
      <c r="J983" s="118" t="b">
        <v>0</v>
      </c>
    </row>
    <row r="984" ht="12.75" hidden="1" customHeight="1" outlineLevel="1">
      <c r="A984" s="21"/>
      <c r="B984" s="21"/>
      <c r="C984" s="21"/>
      <c r="D984" s="115"/>
      <c r="E984" s="116"/>
      <c r="F984" s="116"/>
      <c r="G984" s="117"/>
      <c r="H984" s="116"/>
      <c r="I984" s="116"/>
      <c r="J984" s="118" t="b">
        <v>0</v>
      </c>
    </row>
    <row r="985" ht="12.75" hidden="1" customHeight="1" outlineLevel="1">
      <c r="A985" s="151" t="s">
        <v>381</v>
      </c>
      <c r="B985" s="152" t="s">
        <v>907</v>
      </c>
      <c r="C985" s="21"/>
      <c r="D985" s="115"/>
      <c r="E985" s="116"/>
      <c r="F985" s="116"/>
      <c r="G985" s="117"/>
      <c r="H985" s="116"/>
      <c r="I985" s="116"/>
      <c r="J985" s="118" t="b">
        <v>0</v>
      </c>
    </row>
    <row r="986" ht="12.75" hidden="1" customHeight="1" outlineLevel="1">
      <c r="A986" s="21"/>
      <c r="B986" s="21"/>
      <c r="C986" s="21"/>
      <c r="D986" s="115"/>
      <c r="E986" s="116"/>
      <c r="F986" s="116"/>
      <c r="G986" s="117"/>
      <c r="H986" s="116"/>
      <c r="I986" s="116"/>
      <c r="J986" s="118" t="b">
        <v>0</v>
      </c>
    </row>
    <row r="987" ht="12.75" hidden="1" customHeight="1" outlineLevel="1">
      <c r="A987" s="151" t="s">
        <v>384</v>
      </c>
      <c r="B987" s="152" t="s">
        <v>908</v>
      </c>
      <c r="C987" s="21"/>
      <c r="D987" s="115"/>
      <c r="E987" s="116"/>
      <c r="F987" s="116"/>
      <c r="G987" s="117"/>
      <c r="H987" s="116"/>
      <c r="I987" s="116"/>
      <c r="J987" s="118" t="b">
        <v>0</v>
      </c>
    </row>
    <row r="988" ht="12.75" hidden="1" customHeight="1" outlineLevel="1">
      <c r="A988" s="21"/>
      <c r="B988" s="21"/>
      <c r="C988" s="21"/>
      <c r="D988" s="115"/>
      <c r="E988" s="116"/>
      <c r="F988" s="116"/>
      <c r="G988" s="117"/>
      <c r="H988" s="116"/>
      <c r="I988" s="116"/>
      <c r="J988" s="118" t="b">
        <v>0</v>
      </c>
    </row>
    <row r="989" ht="12.75" hidden="1" customHeight="1" outlineLevel="1">
      <c r="A989" s="21"/>
      <c r="B989" s="152" t="s">
        <v>909</v>
      </c>
      <c r="C989" s="151" t="s">
        <v>40</v>
      </c>
      <c r="D989" s="153">
        <v>246.48</v>
      </c>
      <c r="E989" s="154">
        <v>43.62</v>
      </c>
      <c r="F989" s="154">
        <v>10751.46</v>
      </c>
      <c r="G989" s="155"/>
      <c r="H989" s="154"/>
      <c r="I989" s="154"/>
      <c r="J989" s="118" t="b">
        <v>0</v>
      </c>
    </row>
    <row r="990" ht="12.75" hidden="1" customHeight="1" outlineLevel="1">
      <c r="A990" s="21"/>
      <c r="B990" s="21"/>
      <c r="C990" s="21"/>
      <c r="D990" s="115"/>
      <c r="E990" s="116"/>
      <c r="F990" s="116"/>
      <c r="G990" s="117"/>
      <c r="H990" s="116"/>
      <c r="I990" s="116"/>
      <c r="J990" s="118" t="b">
        <v>0</v>
      </c>
    </row>
    <row r="991" ht="12.75" hidden="1" customHeight="1" outlineLevel="1">
      <c r="A991" s="21"/>
      <c r="B991" s="152" t="s">
        <v>910</v>
      </c>
      <c r="C991" s="151" t="s">
        <v>40</v>
      </c>
      <c r="D991" s="153">
        <v>11.46</v>
      </c>
      <c r="E991" s="154">
        <v>43.62</v>
      </c>
      <c r="F991" s="154">
        <v>499.89</v>
      </c>
      <c r="G991" s="155"/>
      <c r="H991" s="154"/>
      <c r="I991" s="154"/>
      <c r="J991" s="118" t="b">
        <v>0</v>
      </c>
    </row>
    <row r="992" ht="12.75" hidden="1" customHeight="1" outlineLevel="1">
      <c r="A992" s="21"/>
      <c r="B992" s="21"/>
      <c r="C992" s="21"/>
      <c r="D992" s="115"/>
      <c r="E992" s="116"/>
      <c r="F992" s="116"/>
      <c r="G992" s="117"/>
      <c r="H992" s="116"/>
      <c r="I992" s="116"/>
      <c r="J992" s="118" t="b">
        <v>0</v>
      </c>
    </row>
    <row r="993" ht="12.75" hidden="1" customHeight="1" outlineLevel="1">
      <c r="A993" s="151" t="s">
        <v>384</v>
      </c>
      <c r="B993" s="152" t="s">
        <v>911</v>
      </c>
      <c r="C993" s="21"/>
      <c r="D993" s="115"/>
      <c r="E993" s="116"/>
      <c r="F993" s="116"/>
      <c r="G993" s="117"/>
      <c r="H993" s="116"/>
      <c r="I993" s="116"/>
      <c r="J993" s="118" t="b">
        <v>0</v>
      </c>
    </row>
    <row r="994" ht="12.75" hidden="1" customHeight="1" outlineLevel="1">
      <c r="A994" s="21"/>
      <c r="B994" s="21"/>
      <c r="C994" s="21"/>
      <c r="D994" s="115"/>
      <c r="E994" s="116"/>
      <c r="F994" s="116"/>
      <c r="G994" s="117"/>
      <c r="H994" s="116"/>
      <c r="I994" s="116"/>
      <c r="J994" s="118" t="b">
        <v>0</v>
      </c>
    </row>
    <row r="995" ht="12.75" hidden="1" customHeight="1" outlineLevel="1">
      <c r="A995" s="21"/>
      <c r="B995" s="152" t="s">
        <v>912</v>
      </c>
      <c r="C995" s="151" t="s">
        <v>40</v>
      </c>
      <c r="D995" s="153">
        <v>63.73</v>
      </c>
      <c r="E995" s="154">
        <v>45.47</v>
      </c>
      <c r="F995" s="154">
        <v>2897.8</v>
      </c>
      <c r="G995" s="155"/>
      <c r="H995" s="154"/>
      <c r="I995" s="154"/>
      <c r="J995" s="118" t="b">
        <v>0</v>
      </c>
    </row>
    <row r="996" ht="12.75" hidden="1" customHeight="1" outlineLevel="1">
      <c r="A996" s="21"/>
      <c r="B996" s="21"/>
      <c r="C996" s="21"/>
      <c r="D996" s="115"/>
      <c r="E996" s="116"/>
      <c r="F996" s="116"/>
      <c r="G996" s="117"/>
      <c r="H996" s="116"/>
      <c r="I996" s="116"/>
      <c r="J996" s="118" t="b">
        <v>0</v>
      </c>
    </row>
    <row r="997" ht="12.75" hidden="1" customHeight="1" outlineLevel="1">
      <c r="A997" s="21"/>
      <c r="B997" s="152" t="s">
        <v>913</v>
      </c>
      <c r="C997" s="151" t="s">
        <v>40</v>
      </c>
      <c r="D997" s="153">
        <v>24.52</v>
      </c>
      <c r="E997" s="154">
        <v>45.47</v>
      </c>
      <c r="F997" s="154">
        <v>1114.92</v>
      </c>
      <c r="G997" s="155"/>
      <c r="H997" s="154"/>
      <c r="I997" s="154"/>
      <c r="J997" s="118" t="b">
        <v>0</v>
      </c>
    </row>
    <row r="998" ht="12.75" hidden="1" customHeight="1" outlineLevel="1">
      <c r="A998" s="21"/>
      <c r="B998" s="21"/>
      <c r="C998" s="21"/>
      <c r="D998" s="115"/>
      <c r="E998" s="116"/>
      <c r="F998" s="116"/>
      <c r="G998" s="117"/>
      <c r="H998" s="116"/>
      <c r="I998" s="116"/>
      <c r="J998" s="118" t="b">
        <v>0</v>
      </c>
    </row>
    <row r="999" ht="12.75" hidden="1" customHeight="1" outlineLevel="1">
      <c r="A999" s="21"/>
      <c r="B999" s="152" t="s">
        <v>914</v>
      </c>
      <c r="C999" s="151" t="s">
        <v>40</v>
      </c>
      <c r="D999" s="153">
        <v>15.37</v>
      </c>
      <c r="E999" s="154">
        <v>45.47</v>
      </c>
      <c r="F999" s="154">
        <v>698.87</v>
      </c>
      <c r="G999" s="155"/>
      <c r="H999" s="154"/>
      <c r="I999" s="154"/>
      <c r="J999" s="118" t="b">
        <v>0</v>
      </c>
    </row>
    <row r="1000" ht="12.75" hidden="1" customHeight="1" outlineLevel="1">
      <c r="A1000" s="21"/>
      <c r="B1000" s="21"/>
      <c r="C1000" s="21"/>
      <c r="D1000" s="115"/>
      <c r="E1000" s="116"/>
      <c r="F1000" s="116"/>
      <c r="G1000" s="117"/>
      <c r="H1000" s="116"/>
      <c r="I1000" s="116"/>
      <c r="J1000" s="118" t="b">
        <v>0</v>
      </c>
    </row>
    <row r="1001" ht="12.75" hidden="1" customHeight="1" outlineLevel="1">
      <c r="A1001" s="21"/>
      <c r="B1001" s="152" t="s">
        <v>915</v>
      </c>
      <c r="C1001" s="151" t="s">
        <v>40</v>
      </c>
      <c r="D1001" s="153">
        <v>21.88</v>
      </c>
      <c r="E1001" s="154">
        <v>45.47</v>
      </c>
      <c r="F1001" s="154">
        <v>994.88</v>
      </c>
      <c r="G1001" s="155"/>
      <c r="H1001" s="154"/>
      <c r="I1001" s="154"/>
      <c r="J1001" s="118" t="b">
        <v>0</v>
      </c>
    </row>
    <row r="1002" ht="12.75" hidden="1" customHeight="1" outlineLevel="1">
      <c r="A1002" s="21"/>
      <c r="B1002" s="21"/>
      <c r="C1002" s="21"/>
      <c r="D1002" s="115"/>
      <c r="E1002" s="116"/>
      <c r="F1002" s="116"/>
      <c r="G1002" s="117"/>
      <c r="H1002" s="116"/>
      <c r="I1002" s="116"/>
      <c r="J1002" s="118" t="b">
        <v>0</v>
      </c>
    </row>
    <row r="1003" ht="12.75" hidden="1" customHeight="1" outlineLevel="1">
      <c r="A1003" s="21"/>
      <c r="B1003" s="21"/>
      <c r="C1003" s="21"/>
      <c r="D1003" s="115"/>
      <c r="E1003" s="116"/>
      <c r="F1003" s="116"/>
      <c r="G1003" s="117"/>
      <c r="H1003" s="116"/>
      <c r="I1003" s="116"/>
      <c r="J1003" s="118" t="b">
        <v>0</v>
      </c>
    </row>
    <row r="1004" ht="12.75" hidden="1" customHeight="1" outlineLevel="1">
      <c r="A1004" s="21"/>
      <c r="B1004" s="21"/>
      <c r="C1004" s="21"/>
      <c r="D1004" s="115"/>
      <c r="E1004" s="116"/>
      <c r="F1004" s="116"/>
      <c r="G1004" s="117"/>
      <c r="H1004" s="116"/>
      <c r="I1004" s="116"/>
      <c r="J1004" s="118" t="b">
        <v>0</v>
      </c>
    </row>
    <row r="1005" ht="12.75" hidden="1" customHeight="1" outlineLevel="1">
      <c r="A1005" s="151" t="s">
        <v>916</v>
      </c>
      <c r="B1005" s="152" t="s">
        <v>917</v>
      </c>
      <c r="C1005" s="21"/>
      <c r="D1005" s="115"/>
      <c r="E1005" s="116"/>
      <c r="F1005" s="116"/>
      <c r="G1005" s="117"/>
      <c r="H1005" s="116"/>
      <c r="I1005" s="116"/>
      <c r="J1005" s="118" t="b">
        <v>0</v>
      </c>
    </row>
    <row r="1006" ht="12.75" hidden="1" customHeight="1" outlineLevel="1">
      <c r="A1006" s="21"/>
      <c r="B1006" s="21"/>
      <c r="C1006" s="21"/>
      <c r="D1006" s="115"/>
      <c r="E1006" s="116"/>
      <c r="F1006" s="116"/>
      <c r="G1006" s="117"/>
      <c r="H1006" s="116"/>
      <c r="I1006" s="116"/>
      <c r="J1006" s="118" t="b">
        <v>0</v>
      </c>
    </row>
    <row r="1007" ht="12.75" hidden="1" customHeight="1" outlineLevel="1">
      <c r="A1007" s="151" t="s">
        <v>537</v>
      </c>
      <c r="B1007" s="152" t="s">
        <v>918</v>
      </c>
      <c r="C1007" s="21"/>
      <c r="D1007" s="115"/>
      <c r="E1007" s="116"/>
      <c r="F1007" s="116"/>
      <c r="G1007" s="117"/>
      <c r="H1007" s="116"/>
      <c r="I1007" s="116"/>
      <c r="J1007" s="118" t="b">
        <v>0</v>
      </c>
    </row>
    <row r="1008" ht="12.75" hidden="1" customHeight="1" outlineLevel="1">
      <c r="A1008" s="21"/>
      <c r="B1008" s="21"/>
      <c r="C1008" s="21"/>
      <c r="D1008" s="115"/>
      <c r="E1008" s="116"/>
      <c r="F1008" s="116"/>
      <c r="G1008" s="117"/>
      <c r="H1008" s="116"/>
      <c r="I1008" s="116"/>
      <c r="J1008" s="118" t="b">
        <v>0</v>
      </c>
    </row>
    <row r="1009" ht="12.75" hidden="1" customHeight="1" outlineLevel="1">
      <c r="A1009" s="151" t="s">
        <v>539</v>
      </c>
      <c r="B1009" s="152" t="s">
        <v>919</v>
      </c>
      <c r="C1009" s="21"/>
      <c r="D1009" s="115"/>
      <c r="E1009" s="116"/>
      <c r="F1009" s="116"/>
      <c r="G1009" s="117"/>
      <c r="H1009" s="116"/>
      <c r="I1009" s="116"/>
      <c r="J1009" s="118" t="b">
        <v>0</v>
      </c>
    </row>
    <row r="1010" ht="12.75" hidden="1" customHeight="1" outlineLevel="1">
      <c r="A1010" s="21"/>
      <c r="B1010" s="21"/>
      <c r="C1010" s="21"/>
      <c r="D1010" s="115"/>
      <c r="E1010" s="116"/>
      <c r="F1010" s="116"/>
      <c r="G1010" s="117"/>
      <c r="H1010" s="116"/>
      <c r="I1010" s="116"/>
      <c r="J1010" s="118" t="b">
        <v>0</v>
      </c>
    </row>
    <row r="1011" ht="12.75" hidden="1" customHeight="1" outlineLevel="1">
      <c r="A1011" s="21"/>
      <c r="B1011" s="152" t="s">
        <v>920</v>
      </c>
      <c r="C1011" s="151" t="s">
        <v>877</v>
      </c>
      <c r="D1011" s="153">
        <v>42.55</v>
      </c>
      <c r="E1011" s="154">
        <v>308.17</v>
      </c>
      <c r="F1011" s="154">
        <v>13112.63</v>
      </c>
      <c r="G1011" s="155"/>
      <c r="H1011" s="154"/>
      <c r="I1011" s="154"/>
      <c r="J1011" s="118" t="b">
        <v>0</v>
      </c>
    </row>
    <row r="1012" ht="12.75" hidden="1" customHeight="1" outlineLevel="1">
      <c r="A1012" s="21"/>
      <c r="B1012" s="21"/>
      <c r="C1012" s="21"/>
      <c r="D1012" s="115"/>
      <c r="E1012" s="116"/>
      <c r="F1012" s="116"/>
      <c r="G1012" s="117"/>
      <c r="H1012" s="116"/>
      <c r="I1012" s="116"/>
      <c r="J1012" s="118" t="b">
        <v>0</v>
      </c>
    </row>
    <row r="1013" ht="12.75" hidden="1" customHeight="1" outlineLevel="1">
      <c r="A1013" s="21"/>
      <c r="B1013" s="152" t="s">
        <v>921</v>
      </c>
      <c r="C1013" s="151" t="s">
        <v>877</v>
      </c>
      <c r="D1013" s="153">
        <v>3.92</v>
      </c>
      <c r="E1013" s="154">
        <v>376.42</v>
      </c>
      <c r="F1013" s="154">
        <v>1475.57</v>
      </c>
      <c r="G1013" s="155"/>
      <c r="H1013" s="154"/>
      <c r="I1013" s="154"/>
      <c r="J1013" s="118" t="b">
        <v>0</v>
      </c>
    </row>
    <row r="1014" ht="12.75" hidden="1" customHeight="1" outlineLevel="1">
      <c r="A1014" s="21"/>
      <c r="B1014" s="21"/>
      <c r="C1014" s="21"/>
      <c r="D1014" s="115"/>
      <c r="E1014" s="116"/>
      <c r="F1014" s="116"/>
      <c r="G1014" s="117"/>
      <c r="H1014" s="116"/>
      <c r="I1014" s="116"/>
      <c r="J1014" s="118" t="b">
        <v>0</v>
      </c>
    </row>
    <row r="1015" ht="12.75" hidden="1" customHeight="1" outlineLevel="1">
      <c r="A1015" s="21"/>
      <c r="B1015" s="152" t="s">
        <v>922</v>
      </c>
      <c r="C1015" s="151" t="s">
        <v>877</v>
      </c>
      <c r="D1015" s="153">
        <v>3.88</v>
      </c>
      <c r="E1015" s="154">
        <v>470.49</v>
      </c>
      <c r="F1015" s="154">
        <v>1825.5</v>
      </c>
      <c r="G1015" s="155"/>
      <c r="H1015" s="154"/>
      <c r="I1015" s="154"/>
      <c r="J1015" s="118" t="b">
        <v>0</v>
      </c>
    </row>
    <row r="1016" ht="12.75" hidden="1" customHeight="1" outlineLevel="1">
      <c r="A1016" s="21"/>
      <c r="B1016" s="21"/>
      <c r="C1016" s="21"/>
      <c r="D1016" s="115"/>
      <c r="E1016" s="116"/>
      <c r="F1016" s="116"/>
      <c r="G1016" s="117"/>
      <c r="H1016" s="116"/>
      <c r="I1016" s="116"/>
      <c r="J1016" s="118" t="b">
        <v>0</v>
      </c>
    </row>
    <row r="1017" ht="12.75" hidden="1" customHeight="1" outlineLevel="1">
      <c r="A1017" s="21"/>
      <c r="B1017" s="152" t="s">
        <v>923</v>
      </c>
      <c r="C1017" s="151" t="s">
        <v>877</v>
      </c>
      <c r="D1017" s="153">
        <v>4.5</v>
      </c>
      <c r="E1017" s="154">
        <v>376.42</v>
      </c>
      <c r="F1017" s="154">
        <v>1693.89</v>
      </c>
      <c r="G1017" s="155"/>
      <c r="H1017" s="154"/>
      <c r="I1017" s="154"/>
      <c r="J1017" s="118" t="b">
        <v>0</v>
      </c>
    </row>
    <row r="1018" ht="12.75" hidden="1" customHeight="1" outlineLevel="1">
      <c r="A1018" s="21"/>
      <c r="B1018" s="21"/>
      <c r="C1018" s="21"/>
      <c r="D1018" s="115"/>
      <c r="E1018" s="116"/>
      <c r="F1018" s="116"/>
      <c r="G1018" s="117"/>
      <c r="H1018" s="116"/>
      <c r="I1018" s="116"/>
      <c r="J1018" s="118" t="b">
        <v>0</v>
      </c>
    </row>
    <row r="1019" ht="12.75" hidden="1" customHeight="1" outlineLevel="1">
      <c r="A1019" s="151" t="s">
        <v>924</v>
      </c>
      <c r="B1019" s="152" t="s">
        <v>925</v>
      </c>
      <c r="C1019" s="21"/>
      <c r="D1019" s="115"/>
      <c r="E1019" s="116"/>
      <c r="F1019" s="116"/>
      <c r="G1019" s="117"/>
      <c r="H1019" s="116"/>
      <c r="I1019" s="116"/>
      <c r="J1019" s="118" t="b">
        <v>0</v>
      </c>
    </row>
    <row r="1020" ht="12.75" hidden="1" customHeight="1" outlineLevel="1">
      <c r="A1020" s="21"/>
      <c r="B1020" s="21"/>
      <c r="C1020" s="21"/>
      <c r="D1020" s="115"/>
      <c r="E1020" s="116"/>
      <c r="F1020" s="116"/>
      <c r="G1020" s="117"/>
      <c r="H1020" s="116"/>
      <c r="I1020" s="116"/>
      <c r="J1020" s="118" t="b">
        <v>0</v>
      </c>
    </row>
    <row r="1021" ht="12.75" hidden="1" customHeight="1" outlineLevel="1">
      <c r="A1021" s="21"/>
      <c r="B1021" s="152" t="s">
        <v>922</v>
      </c>
      <c r="C1021" s="151" t="s">
        <v>877</v>
      </c>
      <c r="D1021" s="153">
        <v>3.88</v>
      </c>
      <c r="E1021" s="154">
        <v>470.49</v>
      </c>
      <c r="F1021" s="154">
        <v>1825.5</v>
      </c>
      <c r="G1021" s="155"/>
      <c r="H1021" s="154"/>
      <c r="I1021" s="154"/>
      <c r="J1021" s="118" t="b">
        <v>0</v>
      </c>
    </row>
    <row r="1022" ht="12.75" hidden="1" customHeight="1" outlineLevel="1">
      <c r="A1022" s="21"/>
      <c r="B1022" s="21"/>
      <c r="C1022" s="21"/>
      <c r="D1022" s="115"/>
      <c r="E1022" s="116"/>
      <c r="F1022" s="116"/>
      <c r="G1022" s="117"/>
      <c r="H1022" s="116"/>
      <c r="I1022" s="116"/>
      <c r="J1022" s="118" t="b">
        <v>0</v>
      </c>
    </row>
    <row r="1023" ht="12.75" hidden="1" customHeight="1" outlineLevel="1">
      <c r="A1023" s="21"/>
      <c r="B1023" s="152" t="s">
        <v>926</v>
      </c>
      <c r="C1023" s="151" t="s">
        <v>877</v>
      </c>
      <c r="D1023" s="153">
        <v>6.39</v>
      </c>
      <c r="E1023" s="154">
        <v>338.74</v>
      </c>
      <c r="F1023" s="154">
        <v>2164.55</v>
      </c>
      <c r="G1023" s="155"/>
      <c r="H1023" s="154"/>
      <c r="I1023" s="154"/>
      <c r="J1023" s="118" t="b">
        <v>0</v>
      </c>
    </row>
    <row r="1024" ht="12.75" hidden="1" customHeight="1" outlineLevel="1">
      <c r="A1024" s="21"/>
      <c r="B1024" s="21"/>
      <c r="C1024" s="21"/>
      <c r="D1024" s="115"/>
      <c r="E1024" s="116"/>
      <c r="F1024" s="116"/>
      <c r="G1024" s="117"/>
      <c r="H1024" s="116"/>
      <c r="I1024" s="116"/>
      <c r="J1024" s="118" t="b">
        <v>0</v>
      </c>
    </row>
    <row r="1025" ht="12.75" hidden="1" customHeight="1" outlineLevel="1">
      <c r="A1025" s="21"/>
      <c r="B1025" s="21"/>
      <c r="C1025" s="21"/>
      <c r="D1025" s="115"/>
      <c r="E1025" s="116"/>
      <c r="F1025" s="116"/>
      <c r="G1025" s="117"/>
      <c r="H1025" s="116"/>
      <c r="I1025" s="116"/>
      <c r="J1025" s="118" t="b">
        <v>0</v>
      </c>
    </row>
    <row r="1026" ht="12.75" hidden="1" customHeight="1" outlineLevel="1">
      <c r="A1026" s="21"/>
      <c r="B1026" s="21"/>
      <c r="C1026" s="21"/>
      <c r="D1026" s="115"/>
      <c r="E1026" s="116"/>
      <c r="F1026" s="116"/>
      <c r="G1026" s="117"/>
      <c r="H1026" s="116"/>
      <c r="I1026" s="116"/>
      <c r="J1026" s="118" t="b">
        <v>0</v>
      </c>
    </row>
    <row r="1027" ht="12.75" hidden="1" customHeight="1" outlineLevel="1">
      <c r="A1027" s="151" t="s">
        <v>927</v>
      </c>
      <c r="B1027" s="152" t="s">
        <v>928</v>
      </c>
      <c r="C1027" s="21"/>
      <c r="D1027" s="115"/>
      <c r="E1027" s="116"/>
      <c r="F1027" s="116"/>
      <c r="G1027" s="117"/>
      <c r="H1027" s="116"/>
      <c r="I1027" s="116"/>
      <c r="J1027" s="118" t="b">
        <v>0</v>
      </c>
    </row>
    <row r="1028" ht="12.75" hidden="1" customHeight="1" outlineLevel="1">
      <c r="A1028" s="21"/>
      <c r="B1028" s="21"/>
      <c r="C1028" s="21"/>
      <c r="D1028" s="115"/>
      <c r="E1028" s="116"/>
      <c r="F1028" s="116"/>
      <c r="G1028" s="117"/>
      <c r="H1028" s="116"/>
      <c r="I1028" s="116"/>
      <c r="J1028" s="118" t="b">
        <v>0</v>
      </c>
    </row>
    <row r="1029" ht="12.75" hidden="1" customHeight="1" outlineLevel="1">
      <c r="A1029" s="151" t="s">
        <v>610</v>
      </c>
      <c r="B1029" s="152" t="s">
        <v>929</v>
      </c>
      <c r="C1029" s="21"/>
      <c r="D1029" s="115"/>
      <c r="E1029" s="116"/>
      <c r="F1029" s="116"/>
      <c r="G1029" s="117"/>
      <c r="H1029" s="116"/>
      <c r="I1029" s="116"/>
      <c r="J1029" s="118" t="b">
        <v>0</v>
      </c>
    </row>
    <row r="1030" ht="12.75" hidden="1" customHeight="1" outlineLevel="1">
      <c r="A1030" s="21"/>
      <c r="B1030" s="21"/>
      <c r="C1030" s="21"/>
      <c r="D1030" s="115"/>
      <c r="E1030" s="116"/>
      <c r="F1030" s="116"/>
      <c r="G1030" s="117"/>
      <c r="H1030" s="116"/>
      <c r="I1030" s="116"/>
      <c r="J1030" s="118" t="b">
        <v>0</v>
      </c>
    </row>
    <row r="1031" ht="12.75" hidden="1" customHeight="1" outlineLevel="1">
      <c r="A1031" s="151" t="s">
        <v>612</v>
      </c>
      <c r="B1031" s="152" t="s">
        <v>930</v>
      </c>
      <c r="C1031" s="151" t="s">
        <v>877</v>
      </c>
      <c r="D1031" s="153">
        <v>45.8</v>
      </c>
      <c r="E1031" s="154">
        <v>28.45</v>
      </c>
      <c r="F1031" s="154">
        <v>1303.01</v>
      </c>
      <c r="G1031" s="155"/>
      <c r="H1031" s="154"/>
      <c r="I1031" s="154"/>
      <c r="J1031" s="118" t="b">
        <v>0</v>
      </c>
    </row>
    <row r="1032" ht="12.75" hidden="1" customHeight="1" outlineLevel="1">
      <c r="A1032" s="21"/>
      <c r="B1032" s="21"/>
      <c r="C1032" s="21"/>
      <c r="D1032" s="115"/>
      <c r="E1032" s="116"/>
      <c r="F1032" s="116"/>
      <c r="G1032" s="117"/>
      <c r="H1032" s="116"/>
      <c r="I1032" s="116"/>
      <c r="J1032" s="118" t="b">
        <v>0</v>
      </c>
    </row>
    <row r="1033" ht="12.75" hidden="1" customHeight="1" outlineLevel="1">
      <c r="A1033" s="151" t="s">
        <v>620</v>
      </c>
      <c r="B1033" s="152" t="s">
        <v>931</v>
      </c>
      <c r="C1033" s="151" t="s">
        <v>877</v>
      </c>
      <c r="D1033" s="153">
        <v>10.42</v>
      </c>
      <c r="E1033" s="154">
        <v>35.56</v>
      </c>
      <c r="F1033" s="154">
        <v>370.54</v>
      </c>
      <c r="G1033" s="155"/>
      <c r="H1033" s="154"/>
      <c r="I1033" s="154"/>
      <c r="J1033" s="118" t="b">
        <v>0</v>
      </c>
    </row>
    <row r="1034" ht="12.75" hidden="1" customHeight="1" outlineLevel="1">
      <c r="A1034" s="21"/>
      <c r="B1034" s="21"/>
      <c r="C1034" s="21"/>
      <c r="D1034" s="115"/>
      <c r="E1034" s="116"/>
      <c r="F1034" s="116"/>
      <c r="G1034" s="117"/>
      <c r="H1034" s="116"/>
      <c r="I1034" s="116"/>
      <c r="J1034" s="118" t="b">
        <v>0</v>
      </c>
    </row>
    <row r="1035" ht="12.75" hidden="1" customHeight="1" outlineLevel="1">
      <c r="A1035" s="151" t="s">
        <v>626</v>
      </c>
      <c r="B1035" s="152" t="s">
        <v>932</v>
      </c>
      <c r="C1035" s="151" t="s">
        <v>933</v>
      </c>
      <c r="D1035" s="153">
        <v>41.25</v>
      </c>
      <c r="E1035" s="154">
        <v>179.17</v>
      </c>
      <c r="F1035" s="154">
        <v>7390.76</v>
      </c>
      <c r="G1035" s="155"/>
      <c r="H1035" s="154"/>
      <c r="I1035" s="154"/>
      <c r="J1035" s="118" t="b">
        <v>0</v>
      </c>
    </row>
    <row r="1036" ht="12.75" hidden="1" customHeight="1" outlineLevel="1">
      <c r="A1036" s="21"/>
      <c r="B1036" s="21"/>
      <c r="C1036" s="21"/>
      <c r="D1036" s="115"/>
      <c r="E1036" s="116"/>
      <c r="F1036" s="116"/>
      <c r="G1036" s="117"/>
      <c r="H1036" s="116"/>
      <c r="I1036" s="116"/>
      <c r="J1036" s="118" t="b">
        <v>0</v>
      </c>
    </row>
    <row r="1037" ht="12.75" hidden="1" customHeight="1" outlineLevel="1">
      <c r="A1037" s="151" t="s">
        <v>628</v>
      </c>
      <c r="B1037" s="152" t="s">
        <v>934</v>
      </c>
      <c r="C1037" s="21"/>
      <c r="D1037" s="115"/>
      <c r="E1037" s="116"/>
      <c r="F1037" s="116"/>
      <c r="G1037" s="117"/>
      <c r="H1037" s="116"/>
      <c r="I1037" s="116"/>
      <c r="J1037" s="118" t="b">
        <v>0</v>
      </c>
    </row>
    <row r="1038" ht="12.75" hidden="1" customHeight="1" outlineLevel="1">
      <c r="A1038" s="21"/>
      <c r="B1038" s="21"/>
      <c r="C1038" s="21"/>
      <c r="D1038" s="115"/>
      <c r="E1038" s="116"/>
      <c r="F1038" s="116"/>
      <c r="G1038" s="117"/>
      <c r="H1038" s="116"/>
      <c r="I1038" s="116"/>
      <c r="J1038" s="118" t="b">
        <v>0</v>
      </c>
    </row>
    <row r="1039" ht="12.75" hidden="1" customHeight="1" outlineLevel="1">
      <c r="A1039" s="151" t="s">
        <v>935</v>
      </c>
      <c r="B1039" s="152" t="s">
        <v>936</v>
      </c>
      <c r="C1039" s="151" t="s">
        <v>33</v>
      </c>
      <c r="D1039" s="153">
        <v>1.0</v>
      </c>
      <c r="E1039" s="154">
        <v>3827.24</v>
      </c>
      <c r="F1039" s="154">
        <v>3827.24</v>
      </c>
      <c r="G1039" s="155"/>
      <c r="H1039" s="154"/>
      <c r="I1039" s="154"/>
      <c r="J1039" s="118" t="b">
        <v>0</v>
      </c>
    </row>
    <row r="1040" ht="12.75" hidden="1" customHeight="1" outlineLevel="1">
      <c r="A1040" s="21"/>
      <c r="B1040" s="21"/>
      <c r="C1040" s="21"/>
      <c r="D1040" s="115"/>
      <c r="E1040" s="116"/>
      <c r="F1040" s="116"/>
      <c r="G1040" s="117"/>
      <c r="H1040" s="116"/>
      <c r="I1040" s="116"/>
      <c r="J1040" s="118" t="b">
        <v>0</v>
      </c>
    </row>
    <row r="1041" ht="12.75" hidden="1" customHeight="1" outlineLevel="1">
      <c r="A1041" s="21"/>
      <c r="B1041" s="21"/>
      <c r="C1041" s="21"/>
      <c r="D1041" s="115"/>
      <c r="E1041" s="116"/>
      <c r="F1041" s="116"/>
      <c r="G1041" s="117"/>
      <c r="H1041" s="116"/>
      <c r="I1041" s="116"/>
      <c r="J1041" s="118" t="b">
        <v>0</v>
      </c>
    </row>
    <row r="1042" ht="12.75" hidden="1" customHeight="1" outlineLevel="1">
      <c r="D1042" s="79"/>
      <c r="E1042" s="80"/>
      <c r="F1042" s="80"/>
      <c r="G1042" s="81"/>
      <c r="H1042" s="80"/>
      <c r="I1042" s="80"/>
      <c r="J1042" s="82" t="b">
        <v>0</v>
      </c>
    </row>
    <row r="1043" ht="12.75" customHeight="1" collapsed="1">
      <c r="A1043" s="134">
        <v>3.0</v>
      </c>
      <c r="B1043" s="84" t="s">
        <v>937</v>
      </c>
      <c r="C1043" s="85">
        <f>SUM(F1051:F1163)</f>
        <v>40338.6</v>
      </c>
      <c r="D1043" s="86"/>
      <c r="E1043" s="88"/>
      <c r="F1043" s="88"/>
      <c r="G1043" s="81"/>
      <c r="H1043" s="80"/>
      <c r="I1043" s="80"/>
      <c r="J1043" s="82" t="b">
        <v>0</v>
      </c>
    </row>
    <row r="1044" ht="12.75" hidden="1" customHeight="1" outlineLevel="1">
      <c r="D1044" s="79"/>
      <c r="E1044" s="80"/>
      <c r="F1044" s="80"/>
      <c r="G1044" s="81"/>
      <c r="H1044" s="80"/>
      <c r="I1044" s="80"/>
      <c r="J1044" s="82" t="b">
        <v>0</v>
      </c>
    </row>
    <row r="1045" ht="12.75" hidden="1" customHeight="1" outlineLevel="1">
      <c r="A1045" s="89">
        <v>3.0</v>
      </c>
      <c r="B1045" s="90" t="s">
        <v>938</v>
      </c>
      <c r="D1045" s="79"/>
      <c r="E1045" s="80"/>
      <c r="F1045" s="80"/>
      <c r="G1045" s="81"/>
      <c r="H1045" s="80"/>
      <c r="I1045" s="80"/>
      <c r="J1045" s="82" t="b">
        <v>0</v>
      </c>
    </row>
    <row r="1046" ht="12.75" hidden="1" customHeight="1" outlineLevel="1">
      <c r="D1046" s="79"/>
      <c r="E1046" s="80"/>
      <c r="F1046" s="80"/>
      <c r="G1046" s="81"/>
      <c r="H1046" s="80"/>
      <c r="I1046" s="80"/>
      <c r="J1046" s="82" t="b">
        <v>0</v>
      </c>
    </row>
    <row r="1047" ht="12.75" hidden="1" customHeight="1" outlineLevel="1">
      <c r="A1047" s="89">
        <v>3.1</v>
      </c>
      <c r="B1047" s="90" t="s">
        <v>939</v>
      </c>
      <c r="D1047" s="79"/>
      <c r="E1047" s="80"/>
      <c r="F1047" s="80"/>
      <c r="G1047" s="81"/>
      <c r="H1047" s="80"/>
      <c r="I1047" s="80"/>
      <c r="J1047" s="82" t="b">
        <v>0</v>
      </c>
    </row>
    <row r="1048" ht="12.75" hidden="1" customHeight="1" outlineLevel="1">
      <c r="D1048" s="79"/>
      <c r="E1048" s="80"/>
      <c r="F1048" s="80"/>
      <c r="G1048" s="81"/>
      <c r="H1048" s="80"/>
      <c r="I1048" s="80"/>
      <c r="J1048" s="82" t="b">
        <v>0</v>
      </c>
    </row>
    <row r="1049" ht="12.75" hidden="1" customHeight="1" outlineLevel="1">
      <c r="A1049" s="89" t="s">
        <v>940</v>
      </c>
      <c r="B1049" s="90" t="s">
        <v>941</v>
      </c>
      <c r="D1049" s="79"/>
      <c r="E1049" s="80"/>
      <c r="F1049" s="80"/>
      <c r="G1049" s="81"/>
      <c r="H1049" s="80"/>
      <c r="I1049" s="80"/>
      <c r="J1049" s="82" t="b">
        <v>0</v>
      </c>
    </row>
    <row r="1050" ht="12.75" hidden="1" customHeight="1" outlineLevel="1">
      <c r="D1050" s="79"/>
      <c r="E1050" s="80"/>
      <c r="F1050" s="80"/>
      <c r="G1050" s="81"/>
      <c r="H1050" s="80"/>
      <c r="I1050" s="80"/>
      <c r="J1050" s="82" t="b">
        <v>0</v>
      </c>
    </row>
    <row r="1051" ht="12.75" hidden="1" customHeight="1" outlineLevel="1">
      <c r="A1051" s="89" t="s">
        <v>942</v>
      </c>
      <c r="B1051" s="90" t="s">
        <v>943</v>
      </c>
      <c r="C1051" s="89" t="s">
        <v>161</v>
      </c>
      <c r="D1051" s="91">
        <v>111.35</v>
      </c>
      <c r="E1051" s="92">
        <v>4.54</v>
      </c>
      <c r="F1051" s="92">
        <v>505.53</v>
      </c>
      <c r="G1051" s="93"/>
      <c r="H1051" s="92"/>
      <c r="I1051" s="92"/>
      <c r="J1051" s="82" t="b">
        <v>0</v>
      </c>
    </row>
    <row r="1052" ht="12.75" hidden="1" customHeight="1" outlineLevel="1">
      <c r="D1052" s="79"/>
      <c r="E1052" s="80"/>
      <c r="F1052" s="80"/>
      <c r="G1052" s="81"/>
      <c r="H1052" s="80"/>
      <c r="I1052" s="80"/>
      <c r="J1052" s="82" t="b">
        <v>0</v>
      </c>
    </row>
    <row r="1053" ht="12.75" hidden="1" customHeight="1" outlineLevel="1">
      <c r="A1053" s="89" t="s">
        <v>944</v>
      </c>
      <c r="B1053" s="90" t="s">
        <v>945</v>
      </c>
      <c r="C1053" s="89" t="s">
        <v>161</v>
      </c>
      <c r="D1053" s="91">
        <v>1.7</v>
      </c>
      <c r="E1053" s="92">
        <v>6.23</v>
      </c>
      <c r="F1053" s="92">
        <v>10.59</v>
      </c>
      <c r="G1053" s="93"/>
      <c r="H1053" s="92"/>
      <c r="I1053" s="92"/>
      <c r="J1053" s="82" t="b">
        <v>0</v>
      </c>
    </row>
    <row r="1054" ht="12.75" hidden="1" customHeight="1" outlineLevel="1">
      <c r="D1054" s="79"/>
      <c r="E1054" s="80"/>
      <c r="F1054" s="80"/>
      <c r="G1054" s="81"/>
      <c r="H1054" s="80"/>
      <c r="I1054" s="80"/>
      <c r="J1054" s="82" t="b">
        <v>0</v>
      </c>
    </row>
    <row r="1055" ht="12.75" hidden="1" customHeight="1" outlineLevel="1">
      <c r="A1055" s="89" t="s">
        <v>946</v>
      </c>
      <c r="B1055" s="90" t="s">
        <v>947</v>
      </c>
      <c r="C1055" s="89" t="s">
        <v>161</v>
      </c>
      <c r="D1055" s="91">
        <v>42.4</v>
      </c>
      <c r="E1055" s="92">
        <v>8.74</v>
      </c>
      <c r="F1055" s="92">
        <v>370.58</v>
      </c>
      <c r="G1055" s="93"/>
      <c r="H1055" s="92"/>
      <c r="I1055" s="92"/>
      <c r="J1055" s="82" t="b">
        <v>0</v>
      </c>
    </row>
    <row r="1056" ht="12.75" hidden="1" customHeight="1" outlineLevel="1">
      <c r="D1056" s="79"/>
      <c r="E1056" s="80"/>
      <c r="F1056" s="80"/>
      <c r="G1056" s="81"/>
      <c r="H1056" s="80"/>
      <c r="I1056" s="80"/>
      <c r="J1056" s="82" t="b">
        <v>0</v>
      </c>
    </row>
    <row r="1057" ht="12.75" hidden="1" customHeight="1" outlineLevel="1">
      <c r="A1057" s="89" t="s">
        <v>948</v>
      </c>
      <c r="B1057" s="90" t="s">
        <v>949</v>
      </c>
      <c r="D1057" s="79"/>
      <c r="E1057" s="80"/>
      <c r="F1057" s="80"/>
      <c r="G1057" s="81"/>
      <c r="H1057" s="80"/>
      <c r="I1057" s="80"/>
      <c r="J1057" s="82" t="b">
        <v>0</v>
      </c>
    </row>
    <row r="1058" ht="12.75" hidden="1" customHeight="1" outlineLevel="1">
      <c r="D1058" s="79"/>
      <c r="E1058" s="80"/>
      <c r="F1058" s="80"/>
      <c r="G1058" s="81"/>
      <c r="H1058" s="80"/>
      <c r="I1058" s="80"/>
      <c r="J1058" s="82" t="b">
        <v>0</v>
      </c>
    </row>
    <row r="1059" ht="12.75" hidden="1" customHeight="1" outlineLevel="1">
      <c r="A1059" s="89" t="s">
        <v>950</v>
      </c>
      <c r="B1059" s="90" t="s">
        <v>951</v>
      </c>
      <c r="C1059" s="89" t="s">
        <v>161</v>
      </c>
      <c r="D1059" s="91">
        <v>64.54</v>
      </c>
      <c r="E1059" s="92">
        <v>11.64</v>
      </c>
      <c r="F1059" s="92">
        <v>751.25</v>
      </c>
      <c r="G1059" s="93"/>
      <c r="H1059" s="92"/>
      <c r="I1059" s="92"/>
      <c r="J1059" s="82" t="b">
        <v>0</v>
      </c>
    </row>
    <row r="1060" ht="12.75" hidden="1" customHeight="1" outlineLevel="1">
      <c r="D1060" s="79"/>
      <c r="E1060" s="80"/>
      <c r="F1060" s="80"/>
      <c r="G1060" s="81"/>
      <c r="H1060" s="80"/>
      <c r="I1060" s="80"/>
      <c r="J1060" s="82" t="b">
        <v>0</v>
      </c>
    </row>
    <row r="1061" ht="12.75" hidden="1" customHeight="1" outlineLevel="1">
      <c r="A1061" s="89" t="s">
        <v>952</v>
      </c>
      <c r="B1061" s="90" t="s">
        <v>953</v>
      </c>
      <c r="C1061" s="89" t="s">
        <v>161</v>
      </c>
      <c r="D1061" s="91">
        <v>82.73</v>
      </c>
      <c r="E1061" s="92">
        <v>12.59</v>
      </c>
      <c r="F1061" s="92">
        <v>1041.57</v>
      </c>
      <c r="G1061" s="93"/>
      <c r="H1061" s="92"/>
      <c r="I1061" s="92"/>
      <c r="J1061" s="82" t="b">
        <v>0</v>
      </c>
    </row>
    <row r="1062" ht="12.75" hidden="1" customHeight="1" outlineLevel="1">
      <c r="D1062" s="79"/>
      <c r="E1062" s="80"/>
      <c r="F1062" s="80"/>
      <c r="G1062" s="81"/>
      <c r="H1062" s="80"/>
      <c r="I1062" s="80"/>
      <c r="J1062" s="82" t="b">
        <v>0</v>
      </c>
    </row>
    <row r="1063" ht="12.75" hidden="1" customHeight="1" outlineLevel="1">
      <c r="A1063" s="89" t="s">
        <v>954</v>
      </c>
      <c r="B1063" s="90" t="s">
        <v>955</v>
      </c>
      <c r="C1063" s="89" t="s">
        <v>161</v>
      </c>
      <c r="D1063" s="91">
        <v>39.6</v>
      </c>
      <c r="E1063" s="92">
        <v>16.77</v>
      </c>
      <c r="F1063" s="92">
        <v>664.09</v>
      </c>
      <c r="G1063" s="93"/>
      <c r="H1063" s="92"/>
      <c r="I1063" s="92"/>
      <c r="J1063" s="82" t="b">
        <v>0</v>
      </c>
    </row>
    <row r="1064" ht="12.75" hidden="1" customHeight="1" outlineLevel="1">
      <c r="D1064" s="79"/>
      <c r="E1064" s="80"/>
      <c r="F1064" s="80"/>
      <c r="G1064" s="81"/>
      <c r="H1064" s="80"/>
      <c r="I1064" s="80"/>
      <c r="J1064" s="82" t="b">
        <v>0</v>
      </c>
    </row>
    <row r="1065" ht="12.75" hidden="1" customHeight="1" outlineLevel="1">
      <c r="A1065" s="89" t="s">
        <v>956</v>
      </c>
      <c r="B1065" s="90" t="s">
        <v>957</v>
      </c>
      <c r="C1065" s="89" t="s">
        <v>161</v>
      </c>
      <c r="D1065" s="91">
        <v>27.8</v>
      </c>
      <c r="E1065" s="92">
        <v>20.75</v>
      </c>
      <c r="F1065" s="92">
        <v>576.85</v>
      </c>
      <c r="G1065" s="93"/>
      <c r="H1065" s="92"/>
      <c r="I1065" s="92"/>
      <c r="J1065" s="82" t="b">
        <v>0</v>
      </c>
    </row>
    <row r="1066" ht="12.75" hidden="1" customHeight="1" outlineLevel="1">
      <c r="D1066" s="79"/>
      <c r="E1066" s="80"/>
      <c r="F1066" s="80"/>
      <c r="G1066" s="81"/>
      <c r="H1066" s="80"/>
      <c r="I1066" s="80"/>
      <c r="J1066" s="82" t="b">
        <v>0</v>
      </c>
    </row>
    <row r="1067" ht="12.75" hidden="1" customHeight="1" outlineLevel="1">
      <c r="A1067" s="89" t="s">
        <v>958</v>
      </c>
      <c r="B1067" s="90" t="s">
        <v>959</v>
      </c>
      <c r="C1067" s="89" t="s">
        <v>161</v>
      </c>
      <c r="D1067" s="91">
        <v>17.28</v>
      </c>
      <c r="E1067" s="92">
        <v>32.69</v>
      </c>
      <c r="F1067" s="92">
        <v>564.88</v>
      </c>
      <c r="G1067" s="93"/>
      <c r="H1067" s="92"/>
      <c r="I1067" s="92"/>
      <c r="J1067" s="82" t="b">
        <v>0</v>
      </c>
    </row>
    <row r="1068" ht="12.75" hidden="1" customHeight="1" outlineLevel="1">
      <c r="D1068" s="79"/>
      <c r="E1068" s="80"/>
      <c r="F1068" s="80"/>
      <c r="G1068" s="81"/>
      <c r="H1068" s="80"/>
      <c r="I1068" s="80"/>
      <c r="J1068" s="82" t="b">
        <v>0</v>
      </c>
    </row>
    <row r="1069" ht="12.75" hidden="1" customHeight="1" outlineLevel="1">
      <c r="A1069" s="89">
        <v>3.2</v>
      </c>
      <c r="B1069" s="90" t="s">
        <v>960</v>
      </c>
      <c r="D1069" s="79"/>
      <c r="E1069" s="80"/>
      <c r="F1069" s="80"/>
      <c r="G1069" s="81"/>
      <c r="H1069" s="80"/>
      <c r="I1069" s="80"/>
      <c r="J1069" s="82" t="b">
        <v>0</v>
      </c>
    </row>
    <row r="1070" ht="12.75" hidden="1" customHeight="1" outlineLevel="1">
      <c r="D1070" s="79"/>
      <c r="E1070" s="80"/>
      <c r="F1070" s="80"/>
      <c r="G1070" s="81"/>
      <c r="H1070" s="80"/>
      <c r="I1070" s="80"/>
      <c r="J1070" s="82" t="b">
        <v>0</v>
      </c>
    </row>
    <row r="1071" ht="12.75" hidden="1" customHeight="1" outlineLevel="1">
      <c r="A1071" s="89" t="s">
        <v>961</v>
      </c>
      <c r="B1071" s="90" t="s">
        <v>962</v>
      </c>
      <c r="D1071" s="79"/>
      <c r="E1071" s="80"/>
      <c r="F1071" s="80"/>
      <c r="G1071" s="81"/>
      <c r="H1071" s="80"/>
      <c r="I1071" s="80"/>
      <c r="J1071" s="82" t="b">
        <v>0</v>
      </c>
    </row>
    <row r="1072" ht="12.75" hidden="1" customHeight="1" outlineLevel="1">
      <c r="D1072" s="79"/>
      <c r="E1072" s="80"/>
      <c r="F1072" s="80"/>
      <c r="G1072" s="81"/>
      <c r="H1072" s="80"/>
      <c r="I1072" s="80"/>
      <c r="J1072" s="82" t="b">
        <v>0</v>
      </c>
    </row>
    <row r="1073" ht="12.75" hidden="1" customHeight="1" outlineLevel="1">
      <c r="A1073" s="89" t="s">
        <v>963</v>
      </c>
      <c r="B1073" s="90" t="s">
        <v>951</v>
      </c>
      <c r="C1073" s="89" t="s">
        <v>161</v>
      </c>
      <c r="D1073" s="91">
        <v>33.18</v>
      </c>
      <c r="E1073" s="92">
        <v>11.64</v>
      </c>
      <c r="F1073" s="92">
        <v>386.22</v>
      </c>
      <c r="G1073" s="93"/>
      <c r="H1073" s="92"/>
      <c r="I1073" s="92"/>
      <c r="J1073" s="82" t="b">
        <v>0</v>
      </c>
    </row>
    <row r="1074" ht="12.75" hidden="1" customHeight="1" outlineLevel="1">
      <c r="D1074" s="79"/>
      <c r="E1074" s="80"/>
      <c r="F1074" s="80"/>
      <c r="G1074" s="81"/>
      <c r="H1074" s="80"/>
      <c r="I1074" s="80"/>
      <c r="J1074" s="82" t="b">
        <v>0</v>
      </c>
    </row>
    <row r="1075" ht="12.75" hidden="1" customHeight="1" outlineLevel="1">
      <c r="A1075" s="89" t="s">
        <v>964</v>
      </c>
      <c r="B1075" s="90" t="s">
        <v>953</v>
      </c>
      <c r="C1075" s="89" t="s">
        <v>161</v>
      </c>
      <c r="D1075" s="91">
        <v>87.49</v>
      </c>
      <c r="E1075" s="92">
        <v>12.59</v>
      </c>
      <c r="F1075" s="92">
        <v>1101.5</v>
      </c>
      <c r="G1075" s="93"/>
      <c r="H1075" s="92"/>
      <c r="I1075" s="92"/>
      <c r="J1075" s="82" t="b">
        <v>0</v>
      </c>
    </row>
    <row r="1076" ht="12.75" hidden="1" customHeight="1" outlineLevel="1">
      <c r="D1076" s="79"/>
      <c r="E1076" s="80"/>
      <c r="F1076" s="80"/>
      <c r="G1076" s="81"/>
      <c r="H1076" s="80"/>
      <c r="I1076" s="80"/>
      <c r="J1076" s="82" t="b">
        <v>0</v>
      </c>
    </row>
    <row r="1077" ht="12.75" hidden="1" customHeight="1" outlineLevel="1">
      <c r="A1077" s="89" t="s">
        <v>965</v>
      </c>
      <c r="B1077" s="90" t="s">
        <v>955</v>
      </c>
      <c r="C1077" s="89" t="s">
        <v>161</v>
      </c>
      <c r="D1077" s="91">
        <v>45.63</v>
      </c>
      <c r="E1077" s="92">
        <v>16.77</v>
      </c>
      <c r="F1077" s="92">
        <v>765.22</v>
      </c>
      <c r="G1077" s="93"/>
      <c r="H1077" s="92"/>
      <c r="I1077" s="92"/>
      <c r="J1077" s="82" t="b">
        <v>0</v>
      </c>
    </row>
    <row r="1078" ht="12.75" hidden="1" customHeight="1" outlineLevel="1">
      <c r="D1078" s="79"/>
      <c r="E1078" s="80"/>
      <c r="F1078" s="80"/>
      <c r="G1078" s="81"/>
      <c r="H1078" s="80"/>
      <c r="I1078" s="80"/>
      <c r="J1078" s="82" t="b">
        <v>0</v>
      </c>
    </row>
    <row r="1079" ht="12.75" hidden="1" customHeight="1" outlineLevel="1">
      <c r="A1079" s="89" t="s">
        <v>966</v>
      </c>
      <c r="B1079" s="90" t="s">
        <v>957</v>
      </c>
      <c r="C1079" s="89" t="s">
        <v>161</v>
      </c>
      <c r="D1079" s="91">
        <v>13.94</v>
      </c>
      <c r="E1079" s="92">
        <v>20.75</v>
      </c>
      <c r="F1079" s="92">
        <v>289.26</v>
      </c>
      <c r="G1079" s="93"/>
      <c r="H1079" s="92"/>
      <c r="I1079" s="92"/>
      <c r="J1079" s="82" t="b">
        <v>0</v>
      </c>
    </row>
    <row r="1080" ht="12.75" hidden="1" customHeight="1" outlineLevel="1">
      <c r="D1080" s="79"/>
      <c r="E1080" s="80"/>
      <c r="F1080" s="80"/>
      <c r="G1080" s="81"/>
      <c r="H1080" s="80"/>
      <c r="I1080" s="80"/>
      <c r="J1080" s="82" t="b">
        <v>0</v>
      </c>
    </row>
    <row r="1081" ht="12.75" hidden="1" customHeight="1" outlineLevel="1">
      <c r="A1081" s="89">
        <v>3.3</v>
      </c>
      <c r="B1081" s="90" t="s">
        <v>967</v>
      </c>
      <c r="D1081" s="79"/>
      <c r="E1081" s="80"/>
      <c r="F1081" s="80"/>
      <c r="G1081" s="81"/>
      <c r="H1081" s="80"/>
      <c r="I1081" s="80"/>
      <c r="J1081" s="82" t="b">
        <v>0</v>
      </c>
    </row>
    <row r="1082" ht="12.75" hidden="1" customHeight="1" outlineLevel="1">
      <c r="D1082" s="79"/>
      <c r="E1082" s="80"/>
      <c r="F1082" s="80"/>
      <c r="G1082" s="81"/>
      <c r="H1082" s="80"/>
      <c r="I1082" s="80"/>
      <c r="J1082" s="82" t="b">
        <v>0</v>
      </c>
    </row>
    <row r="1083" ht="12.75" hidden="1" customHeight="1" outlineLevel="1">
      <c r="A1083" s="89" t="s">
        <v>968</v>
      </c>
      <c r="B1083" s="90" t="s">
        <v>969</v>
      </c>
      <c r="D1083" s="79"/>
      <c r="E1083" s="80"/>
      <c r="F1083" s="80"/>
      <c r="G1083" s="81"/>
      <c r="H1083" s="80"/>
      <c r="I1083" s="80"/>
      <c r="J1083" s="82" t="b">
        <v>0</v>
      </c>
    </row>
    <row r="1084" ht="12.75" hidden="1" customHeight="1" outlineLevel="1">
      <c r="D1084" s="79"/>
      <c r="E1084" s="80"/>
      <c r="F1084" s="80"/>
      <c r="G1084" s="81"/>
      <c r="H1084" s="80"/>
      <c r="I1084" s="80"/>
      <c r="J1084" s="82" t="b">
        <v>0</v>
      </c>
    </row>
    <row r="1085" ht="12.75" hidden="1" customHeight="1" outlineLevel="1">
      <c r="A1085" s="89" t="s">
        <v>970</v>
      </c>
      <c r="B1085" s="90" t="s">
        <v>951</v>
      </c>
      <c r="C1085" s="89" t="s">
        <v>161</v>
      </c>
      <c r="D1085" s="91">
        <v>121.86</v>
      </c>
      <c r="E1085" s="92">
        <v>11.64</v>
      </c>
      <c r="F1085" s="92">
        <v>1418.45</v>
      </c>
      <c r="G1085" s="93"/>
      <c r="H1085" s="92"/>
      <c r="I1085" s="92"/>
      <c r="J1085" s="82" t="b">
        <v>0</v>
      </c>
    </row>
    <row r="1086" ht="12.75" hidden="1" customHeight="1" outlineLevel="1">
      <c r="D1086" s="79"/>
      <c r="E1086" s="80"/>
      <c r="F1086" s="80"/>
      <c r="G1086" s="81"/>
      <c r="H1086" s="80"/>
      <c r="I1086" s="80"/>
      <c r="J1086" s="82" t="b">
        <v>0</v>
      </c>
    </row>
    <row r="1087" ht="12.75" hidden="1" customHeight="1" outlineLevel="1">
      <c r="A1087" s="89" t="s">
        <v>971</v>
      </c>
      <c r="B1087" s="90" t="s">
        <v>953</v>
      </c>
      <c r="C1087" s="89" t="s">
        <v>161</v>
      </c>
      <c r="D1087" s="91">
        <v>22.29</v>
      </c>
      <c r="E1087" s="92">
        <v>12.59</v>
      </c>
      <c r="F1087" s="92">
        <v>280.63</v>
      </c>
      <c r="G1087" s="93"/>
      <c r="H1087" s="92"/>
      <c r="I1087" s="92"/>
      <c r="J1087" s="82" t="b">
        <v>0</v>
      </c>
    </row>
    <row r="1088" ht="12.75" hidden="1" customHeight="1" outlineLevel="1">
      <c r="D1088" s="79"/>
      <c r="E1088" s="80"/>
      <c r="F1088" s="80"/>
      <c r="G1088" s="81"/>
      <c r="H1088" s="80"/>
      <c r="I1088" s="80"/>
      <c r="J1088" s="82" t="b">
        <v>0</v>
      </c>
    </row>
    <row r="1089" ht="12.75" hidden="1" customHeight="1" outlineLevel="1">
      <c r="A1089" s="89">
        <v>3.4</v>
      </c>
      <c r="B1089" s="90" t="s">
        <v>972</v>
      </c>
      <c r="C1089" s="89" t="s">
        <v>75</v>
      </c>
      <c r="D1089" s="91">
        <v>1.0</v>
      </c>
      <c r="E1089" s="92">
        <v>1016.69</v>
      </c>
      <c r="F1089" s="92">
        <v>1016.69</v>
      </c>
      <c r="G1089" s="93"/>
      <c r="H1089" s="92"/>
      <c r="I1089" s="92"/>
      <c r="J1089" s="82" t="b">
        <v>0</v>
      </c>
    </row>
    <row r="1090" ht="12.75" hidden="1" customHeight="1" outlineLevel="1">
      <c r="D1090" s="79"/>
      <c r="E1090" s="80"/>
      <c r="F1090" s="80"/>
      <c r="G1090" s="81"/>
      <c r="H1090" s="80"/>
      <c r="I1090" s="80"/>
      <c r="J1090" s="82" t="b">
        <v>0</v>
      </c>
    </row>
    <row r="1091" ht="12.75" hidden="1" customHeight="1" outlineLevel="1">
      <c r="A1091" s="89">
        <v>3.5</v>
      </c>
      <c r="B1091" s="90" t="s">
        <v>973</v>
      </c>
      <c r="C1091" s="89" t="s">
        <v>75</v>
      </c>
      <c r="D1091" s="91">
        <v>1.0</v>
      </c>
      <c r="E1091" s="92">
        <v>7027.17</v>
      </c>
      <c r="F1091" s="92">
        <v>7027.17</v>
      </c>
      <c r="G1091" s="93"/>
      <c r="H1091" s="92"/>
      <c r="I1091" s="92"/>
      <c r="J1091" s="82" t="b">
        <v>0</v>
      </c>
    </row>
    <row r="1092" ht="12.75" hidden="1" customHeight="1" outlineLevel="1">
      <c r="D1092" s="79"/>
      <c r="E1092" s="80"/>
      <c r="F1092" s="80"/>
      <c r="G1092" s="81"/>
      <c r="H1092" s="80"/>
      <c r="I1092" s="80"/>
      <c r="J1092" s="82" t="b">
        <v>0</v>
      </c>
    </row>
    <row r="1093" ht="12.75" hidden="1" customHeight="1" outlineLevel="1">
      <c r="A1093" s="89">
        <v>3.6</v>
      </c>
      <c r="B1093" s="90" t="s">
        <v>974</v>
      </c>
      <c r="C1093" s="89" t="s">
        <v>75</v>
      </c>
      <c r="D1093" s="91">
        <v>3.0</v>
      </c>
      <c r="E1093" s="92">
        <v>28.63</v>
      </c>
      <c r="F1093" s="92">
        <v>85.89</v>
      </c>
      <c r="G1093" s="93"/>
      <c r="H1093" s="92"/>
      <c r="I1093" s="92"/>
      <c r="J1093" s="82" t="b">
        <v>0</v>
      </c>
    </row>
    <row r="1094" ht="12.75" hidden="1" customHeight="1" outlineLevel="1">
      <c r="D1094" s="79"/>
      <c r="E1094" s="80"/>
      <c r="F1094" s="80"/>
      <c r="G1094" s="81"/>
      <c r="H1094" s="80"/>
      <c r="I1094" s="80"/>
      <c r="J1094" s="82" t="b">
        <v>0</v>
      </c>
    </row>
    <row r="1095" ht="12.75" hidden="1" customHeight="1" outlineLevel="1">
      <c r="A1095" s="89">
        <v>3.7</v>
      </c>
      <c r="B1095" s="90" t="s">
        <v>975</v>
      </c>
      <c r="C1095" s="89" t="s">
        <v>75</v>
      </c>
      <c r="D1095" s="91">
        <v>1.0</v>
      </c>
      <c r="E1095" s="92">
        <v>28.63</v>
      </c>
      <c r="F1095" s="92">
        <v>28.63</v>
      </c>
      <c r="G1095" s="93"/>
      <c r="H1095" s="92"/>
      <c r="I1095" s="92"/>
      <c r="J1095" s="82" t="b">
        <v>0</v>
      </c>
    </row>
    <row r="1096" ht="12.75" hidden="1" customHeight="1" outlineLevel="1">
      <c r="D1096" s="79"/>
      <c r="E1096" s="80"/>
      <c r="F1096" s="80"/>
      <c r="G1096" s="81"/>
      <c r="H1096" s="80"/>
      <c r="I1096" s="80"/>
      <c r="J1096" s="82" t="b">
        <v>0</v>
      </c>
    </row>
    <row r="1097" ht="12.75" hidden="1" customHeight="1" outlineLevel="1">
      <c r="A1097" s="89">
        <v>3.8</v>
      </c>
      <c r="B1097" s="90" t="s">
        <v>976</v>
      </c>
      <c r="C1097" s="89" t="s">
        <v>75</v>
      </c>
      <c r="D1097" s="91">
        <v>19.0</v>
      </c>
      <c r="E1097" s="92">
        <v>36.94</v>
      </c>
      <c r="F1097" s="92">
        <v>701.86</v>
      </c>
      <c r="G1097" s="93"/>
      <c r="H1097" s="92"/>
      <c r="I1097" s="92"/>
      <c r="J1097" s="82" t="b">
        <v>0</v>
      </c>
    </row>
    <row r="1098" ht="12.75" hidden="1" customHeight="1" outlineLevel="1">
      <c r="D1098" s="79"/>
      <c r="E1098" s="80"/>
      <c r="F1098" s="80"/>
      <c r="G1098" s="81"/>
      <c r="H1098" s="80"/>
      <c r="I1098" s="80"/>
      <c r="J1098" s="82" t="b">
        <v>0</v>
      </c>
    </row>
    <row r="1099" ht="12.75" hidden="1" customHeight="1" outlineLevel="1">
      <c r="A1099" s="89">
        <v>3.9</v>
      </c>
      <c r="B1099" s="90" t="s">
        <v>977</v>
      </c>
      <c r="C1099" s="89" t="s">
        <v>75</v>
      </c>
      <c r="D1099" s="91">
        <v>4.0</v>
      </c>
      <c r="E1099" s="92">
        <v>335.0</v>
      </c>
      <c r="F1099" s="92">
        <v>1340.0</v>
      </c>
      <c r="G1099" s="93"/>
      <c r="H1099" s="92"/>
      <c r="I1099" s="92"/>
      <c r="J1099" s="82" t="b">
        <v>0</v>
      </c>
    </row>
    <row r="1100" ht="12.75" hidden="1" customHeight="1" outlineLevel="1">
      <c r="D1100" s="79"/>
      <c r="E1100" s="80"/>
      <c r="F1100" s="80"/>
      <c r="G1100" s="81"/>
      <c r="H1100" s="80"/>
      <c r="I1100" s="80"/>
      <c r="J1100" s="82" t="b">
        <v>0</v>
      </c>
    </row>
    <row r="1101" ht="12.75" hidden="1" customHeight="1" outlineLevel="1">
      <c r="A1101" s="89">
        <v>3.1</v>
      </c>
      <c r="B1101" s="90" t="s">
        <v>978</v>
      </c>
      <c r="C1101" s="89" t="s">
        <v>75</v>
      </c>
      <c r="D1101" s="91">
        <v>1.0</v>
      </c>
      <c r="E1101" s="92">
        <v>657.85</v>
      </c>
      <c r="F1101" s="92">
        <v>657.85</v>
      </c>
      <c r="G1101" s="93"/>
      <c r="H1101" s="92"/>
      <c r="I1101" s="92"/>
      <c r="J1101" s="82" t="b">
        <v>0</v>
      </c>
    </row>
    <row r="1102" ht="12.75" hidden="1" customHeight="1" outlineLevel="1">
      <c r="D1102" s="79"/>
      <c r="E1102" s="80"/>
      <c r="F1102" s="80"/>
      <c r="G1102" s="81"/>
      <c r="H1102" s="80"/>
      <c r="I1102" s="80"/>
      <c r="J1102" s="82" t="b">
        <v>0</v>
      </c>
    </row>
    <row r="1103" ht="12.75" hidden="1" customHeight="1" outlineLevel="1">
      <c r="A1103" s="89">
        <v>3.11</v>
      </c>
      <c r="B1103" s="90" t="s">
        <v>979</v>
      </c>
      <c r="C1103" s="89" t="s">
        <v>33</v>
      </c>
      <c r="D1103" s="91">
        <v>1.0</v>
      </c>
      <c r="E1103" s="92">
        <v>3232.75</v>
      </c>
      <c r="F1103" s="92">
        <v>3232.75</v>
      </c>
      <c r="G1103" s="93"/>
      <c r="H1103" s="92"/>
      <c r="I1103" s="92"/>
      <c r="J1103" s="82" t="b">
        <v>0</v>
      </c>
    </row>
    <row r="1104" ht="12.75" hidden="1" customHeight="1" outlineLevel="1">
      <c r="D1104" s="79"/>
      <c r="E1104" s="80"/>
      <c r="F1104" s="80"/>
      <c r="G1104" s="81"/>
      <c r="H1104" s="80"/>
      <c r="I1104" s="80"/>
      <c r="J1104" s="82" t="b">
        <v>0</v>
      </c>
    </row>
    <row r="1105" ht="12.75" hidden="1" customHeight="1" outlineLevel="1">
      <c r="A1105" s="89">
        <v>3.12</v>
      </c>
      <c r="B1105" s="90" t="s">
        <v>980</v>
      </c>
      <c r="C1105" s="89" t="s">
        <v>75</v>
      </c>
      <c r="D1105" s="91">
        <v>1.0</v>
      </c>
      <c r="E1105" s="92">
        <v>1326.02</v>
      </c>
      <c r="F1105" s="92">
        <v>1326.02</v>
      </c>
      <c r="G1105" s="93"/>
      <c r="H1105" s="92"/>
      <c r="I1105" s="92"/>
      <c r="J1105" s="82" t="b">
        <v>0</v>
      </c>
    </row>
    <row r="1106" ht="12.75" hidden="1" customHeight="1" outlineLevel="1">
      <c r="D1106" s="79"/>
      <c r="E1106" s="80"/>
      <c r="F1106" s="80"/>
      <c r="G1106" s="81"/>
      <c r="H1106" s="80"/>
      <c r="I1106" s="80"/>
      <c r="J1106" s="82" t="b">
        <v>0</v>
      </c>
    </row>
    <row r="1107" ht="12.75" hidden="1" customHeight="1" outlineLevel="1">
      <c r="A1107" s="89">
        <v>3.13</v>
      </c>
      <c r="B1107" s="90" t="s">
        <v>981</v>
      </c>
      <c r="D1107" s="79"/>
      <c r="E1107" s="80"/>
      <c r="F1107" s="80"/>
      <c r="G1107" s="81"/>
      <c r="H1107" s="80"/>
      <c r="I1107" s="80"/>
      <c r="J1107" s="82" t="b">
        <v>0</v>
      </c>
    </row>
    <row r="1108" ht="12.75" hidden="1" customHeight="1" outlineLevel="1">
      <c r="D1108" s="79"/>
      <c r="E1108" s="80"/>
      <c r="F1108" s="80"/>
      <c r="G1108" s="81"/>
      <c r="H1108" s="80"/>
      <c r="I1108" s="80"/>
      <c r="J1108" s="82" t="b">
        <v>0</v>
      </c>
    </row>
    <row r="1109" ht="12.75" hidden="1" customHeight="1" outlineLevel="1">
      <c r="A1109" s="89" t="s">
        <v>982</v>
      </c>
      <c r="B1109" s="90" t="s">
        <v>983</v>
      </c>
      <c r="D1109" s="79"/>
      <c r="E1109" s="80"/>
      <c r="F1109" s="80"/>
      <c r="G1109" s="81"/>
      <c r="H1109" s="80"/>
      <c r="I1109" s="80"/>
      <c r="J1109" s="82" t="b">
        <v>0</v>
      </c>
    </row>
    <row r="1110" ht="12.75" hidden="1" customHeight="1" outlineLevel="1">
      <c r="D1110" s="79"/>
      <c r="E1110" s="80"/>
      <c r="F1110" s="80"/>
      <c r="G1110" s="81"/>
      <c r="H1110" s="80"/>
      <c r="I1110" s="80"/>
      <c r="J1110" s="82" t="b">
        <v>0</v>
      </c>
    </row>
    <row r="1111" ht="12.75" hidden="1" customHeight="1" outlineLevel="1">
      <c r="A1111" s="89" t="s">
        <v>984</v>
      </c>
      <c r="B1111" s="90" t="s">
        <v>985</v>
      </c>
      <c r="C1111" s="89" t="s">
        <v>161</v>
      </c>
      <c r="D1111" s="91">
        <v>52.18</v>
      </c>
      <c r="E1111" s="92">
        <v>11.59</v>
      </c>
      <c r="F1111" s="92">
        <v>604.77</v>
      </c>
      <c r="G1111" s="93"/>
      <c r="H1111" s="92"/>
      <c r="I1111" s="92"/>
      <c r="J1111" s="82" t="b">
        <v>0</v>
      </c>
    </row>
    <row r="1112" ht="12.75" hidden="1" customHeight="1" outlineLevel="1">
      <c r="D1112" s="79"/>
      <c r="E1112" s="80"/>
      <c r="F1112" s="80"/>
      <c r="G1112" s="81"/>
      <c r="H1112" s="80"/>
      <c r="I1112" s="80"/>
      <c r="J1112" s="82" t="b">
        <v>0</v>
      </c>
    </row>
    <row r="1113" ht="12.75" hidden="1" customHeight="1" outlineLevel="1">
      <c r="A1113" s="89" t="s">
        <v>986</v>
      </c>
      <c r="B1113" s="90" t="s">
        <v>987</v>
      </c>
      <c r="D1113" s="79"/>
      <c r="E1113" s="80"/>
      <c r="F1113" s="80"/>
      <c r="G1113" s="81"/>
      <c r="H1113" s="80"/>
      <c r="I1113" s="80"/>
      <c r="J1113" s="82" t="b">
        <v>0</v>
      </c>
    </row>
    <row r="1114" ht="12.75" hidden="1" customHeight="1" outlineLevel="1">
      <c r="D1114" s="79"/>
      <c r="E1114" s="80"/>
      <c r="F1114" s="80"/>
      <c r="G1114" s="81"/>
      <c r="H1114" s="80"/>
      <c r="I1114" s="80"/>
      <c r="J1114" s="82" t="b">
        <v>0</v>
      </c>
    </row>
    <row r="1115" ht="12.75" hidden="1" customHeight="1" outlineLevel="1">
      <c r="A1115" s="89" t="s">
        <v>988</v>
      </c>
      <c r="B1115" s="90" t="s">
        <v>989</v>
      </c>
      <c r="C1115" s="89" t="s">
        <v>161</v>
      </c>
      <c r="D1115" s="91">
        <v>30.19</v>
      </c>
      <c r="E1115" s="92">
        <v>21.58</v>
      </c>
      <c r="F1115" s="92">
        <v>651.5</v>
      </c>
      <c r="G1115" s="93"/>
      <c r="H1115" s="92"/>
      <c r="I1115" s="92"/>
      <c r="J1115" s="82" t="b">
        <v>0</v>
      </c>
    </row>
    <row r="1116" ht="12.75" hidden="1" customHeight="1" outlineLevel="1">
      <c r="D1116" s="79"/>
      <c r="E1116" s="80"/>
      <c r="F1116" s="80"/>
      <c r="G1116" s="81"/>
      <c r="H1116" s="80"/>
      <c r="I1116" s="80"/>
      <c r="J1116" s="82" t="b">
        <v>0</v>
      </c>
    </row>
    <row r="1117" ht="12.75" hidden="1" customHeight="1" outlineLevel="1">
      <c r="A1117" s="89" t="s">
        <v>990</v>
      </c>
      <c r="B1117" s="90" t="s">
        <v>991</v>
      </c>
      <c r="D1117" s="79"/>
      <c r="E1117" s="80"/>
      <c r="F1117" s="80"/>
      <c r="G1117" s="81"/>
      <c r="H1117" s="80"/>
      <c r="I1117" s="80"/>
      <c r="J1117" s="82" t="b">
        <v>0</v>
      </c>
    </row>
    <row r="1118" ht="12.75" hidden="1" customHeight="1" outlineLevel="1">
      <c r="D1118" s="79"/>
      <c r="E1118" s="80"/>
      <c r="F1118" s="80"/>
      <c r="G1118" s="81"/>
      <c r="H1118" s="80"/>
      <c r="I1118" s="80"/>
      <c r="J1118" s="82" t="b">
        <v>0</v>
      </c>
    </row>
    <row r="1119" ht="12.75" hidden="1" customHeight="1" outlineLevel="1">
      <c r="A1119" s="89" t="s">
        <v>992</v>
      </c>
      <c r="B1119" s="90" t="s">
        <v>993</v>
      </c>
      <c r="C1119" s="89" t="s">
        <v>75</v>
      </c>
      <c r="D1119" s="91">
        <v>1.0</v>
      </c>
      <c r="E1119" s="92">
        <v>4411.7</v>
      </c>
      <c r="F1119" s="92">
        <v>4411.7</v>
      </c>
      <c r="G1119" s="93"/>
      <c r="H1119" s="92"/>
      <c r="I1119" s="92"/>
      <c r="J1119" s="82" t="b">
        <v>0</v>
      </c>
    </row>
    <row r="1120" ht="12.75" hidden="1" customHeight="1" outlineLevel="1">
      <c r="D1120" s="79"/>
      <c r="E1120" s="80"/>
      <c r="F1120" s="80"/>
      <c r="G1120" s="81"/>
      <c r="H1120" s="80"/>
      <c r="I1120" s="80"/>
      <c r="J1120" s="82" t="b">
        <v>0</v>
      </c>
    </row>
    <row r="1121" ht="12.75" hidden="1" customHeight="1" outlineLevel="1">
      <c r="A1121" s="89" t="s">
        <v>994</v>
      </c>
      <c r="B1121" s="90" t="s">
        <v>995</v>
      </c>
      <c r="D1121" s="79"/>
      <c r="E1121" s="80"/>
      <c r="F1121" s="80"/>
      <c r="G1121" s="81"/>
      <c r="H1121" s="80"/>
      <c r="I1121" s="80"/>
      <c r="J1121" s="82" t="b">
        <v>0</v>
      </c>
    </row>
    <row r="1122" ht="12.75" hidden="1" customHeight="1" outlineLevel="1">
      <c r="D1122" s="79"/>
      <c r="E1122" s="80"/>
      <c r="F1122" s="80"/>
      <c r="G1122" s="81"/>
      <c r="H1122" s="80"/>
      <c r="I1122" s="80"/>
      <c r="J1122" s="82" t="b">
        <v>0</v>
      </c>
    </row>
    <row r="1123" ht="12.75" hidden="1" customHeight="1" outlineLevel="1">
      <c r="A1123" s="89" t="s">
        <v>996</v>
      </c>
      <c r="B1123" s="90" t="s">
        <v>997</v>
      </c>
      <c r="C1123" s="89" t="s">
        <v>75</v>
      </c>
      <c r="D1123" s="91">
        <v>1.0</v>
      </c>
      <c r="E1123" s="92">
        <v>2797.12</v>
      </c>
      <c r="F1123" s="92">
        <v>2797.12</v>
      </c>
      <c r="G1123" s="93"/>
      <c r="H1123" s="92"/>
      <c r="I1123" s="92"/>
      <c r="J1123" s="82" t="b">
        <v>0</v>
      </c>
    </row>
    <row r="1124" ht="12.75" hidden="1" customHeight="1" outlineLevel="1">
      <c r="D1124" s="79"/>
      <c r="E1124" s="80"/>
      <c r="F1124" s="80"/>
      <c r="G1124" s="81"/>
      <c r="H1124" s="80"/>
      <c r="I1124" s="80"/>
      <c r="J1124" s="82" t="b">
        <v>0</v>
      </c>
    </row>
    <row r="1125" ht="12.75" hidden="1" customHeight="1" outlineLevel="1">
      <c r="A1125" s="89" t="s">
        <v>998</v>
      </c>
      <c r="B1125" s="90" t="s">
        <v>999</v>
      </c>
      <c r="C1125" s="89" t="s">
        <v>75</v>
      </c>
      <c r="D1125" s="91">
        <v>1.0</v>
      </c>
      <c r="E1125" s="92">
        <v>149.43</v>
      </c>
      <c r="F1125" s="92">
        <v>149.43</v>
      </c>
      <c r="G1125" s="93"/>
      <c r="H1125" s="92"/>
      <c r="I1125" s="92"/>
      <c r="J1125" s="82" t="b">
        <v>0</v>
      </c>
    </row>
    <row r="1126" ht="12.75" hidden="1" customHeight="1" outlineLevel="1">
      <c r="D1126" s="79"/>
      <c r="E1126" s="80"/>
      <c r="F1126" s="80"/>
      <c r="G1126" s="81"/>
      <c r="H1126" s="80"/>
      <c r="I1126" s="80"/>
      <c r="J1126" s="82" t="b">
        <v>0</v>
      </c>
    </row>
    <row r="1127" ht="12.75" hidden="1" customHeight="1" outlineLevel="1">
      <c r="A1127" s="89" t="s">
        <v>1000</v>
      </c>
      <c r="B1127" s="90" t="s">
        <v>1001</v>
      </c>
      <c r="C1127" s="89" t="s">
        <v>75</v>
      </c>
      <c r="D1127" s="91">
        <v>5.0</v>
      </c>
      <c r="E1127" s="92">
        <v>94.18</v>
      </c>
      <c r="F1127" s="92">
        <v>470.9</v>
      </c>
      <c r="G1127" s="93"/>
      <c r="H1127" s="92"/>
      <c r="I1127" s="92"/>
      <c r="J1127" s="82" t="b">
        <v>0</v>
      </c>
    </row>
    <row r="1128" ht="12.75" hidden="1" customHeight="1" outlineLevel="1">
      <c r="D1128" s="79"/>
      <c r="E1128" s="80"/>
      <c r="F1128" s="80"/>
      <c r="G1128" s="81"/>
      <c r="H1128" s="80"/>
      <c r="I1128" s="80"/>
      <c r="J1128" s="82" t="b">
        <v>0</v>
      </c>
    </row>
    <row r="1129" ht="12.75" hidden="1" customHeight="1" outlineLevel="1">
      <c r="A1129" s="89" t="s">
        <v>1002</v>
      </c>
      <c r="B1129" s="90" t="s">
        <v>1003</v>
      </c>
      <c r="C1129" s="89" t="s">
        <v>75</v>
      </c>
      <c r="D1129" s="91">
        <v>1.0</v>
      </c>
      <c r="E1129" s="92">
        <v>62.75</v>
      </c>
      <c r="F1129" s="92">
        <v>62.75</v>
      </c>
      <c r="G1129" s="93"/>
      <c r="H1129" s="92"/>
      <c r="I1129" s="92"/>
      <c r="J1129" s="82" t="b">
        <v>0</v>
      </c>
    </row>
    <row r="1130" ht="12.75" hidden="1" customHeight="1" outlineLevel="1">
      <c r="D1130" s="79"/>
      <c r="E1130" s="80"/>
      <c r="F1130" s="80"/>
      <c r="G1130" s="81"/>
      <c r="H1130" s="80"/>
      <c r="I1130" s="80"/>
      <c r="J1130" s="82" t="b">
        <v>0</v>
      </c>
    </row>
    <row r="1131" ht="12.75" hidden="1" customHeight="1" outlineLevel="1">
      <c r="A1131" s="89" t="s">
        <v>1004</v>
      </c>
      <c r="B1131" s="90" t="s">
        <v>1005</v>
      </c>
      <c r="C1131" s="89" t="s">
        <v>75</v>
      </c>
      <c r="D1131" s="91">
        <v>1.0</v>
      </c>
      <c r="E1131" s="92">
        <v>44.17</v>
      </c>
      <c r="F1131" s="92">
        <v>44.17</v>
      </c>
      <c r="G1131" s="93"/>
      <c r="H1131" s="92"/>
      <c r="I1131" s="92"/>
      <c r="J1131" s="82" t="b">
        <v>0</v>
      </c>
    </row>
    <row r="1132" ht="12.75" hidden="1" customHeight="1" outlineLevel="1">
      <c r="D1132" s="79"/>
      <c r="E1132" s="80"/>
      <c r="F1132" s="80"/>
      <c r="G1132" s="81"/>
      <c r="H1132" s="80"/>
      <c r="I1132" s="80"/>
      <c r="J1132" s="82" t="b">
        <v>0</v>
      </c>
    </row>
    <row r="1133" ht="12.75" hidden="1" customHeight="1" outlineLevel="1">
      <c r="A1133" s="89" t="s">
        <v>1006</v>
      </c>
      <c r="B1133" s="90" t="s">
        <v>1007</v>
      </c>
      <c r="C1133" s="89" t="s">
        <v>75</v>
      </c>
      <c r="D1133" s="91">
        <v>5.0</v>
      </c>
      <c r="E1133" s="92">
        <v>53.77</v>
      </c>
      <c r="F1133" s="92">
        <v>268.85</v>
      </c>
      <c r="G1133" s="93"/>
      <c r="H1133" s="92"/>
      <c r="I1133" s="92"/>
      <c r="J1133" s="82" t="b">
        <v>0</v>
      </c>
    </row>
    <row r="1134" ht="12.75" hidden="1" customHeight="1" outlineLevel="1">
      <c r="D1134" s="79"/>
      <c r="E1134" s="80"/>
      <c r="F1134" s="80"/>
      <c r="G1134" s="81"/>
      <c r="H1134" s="80"/>
      <c r="I1134" s="80"/>
      <c r="J1134" s="82" t="b">
        <v>0</v>
      </c>
    </row>
    <row r="1135" ht="12.75" hidden="1" customHeight="1" outlineLevel="1">
      <c r="A1135" s="89" t="s">
        <v>1008</v>
      </c>
      <c r="B1135" s="90" t="s">
        <v>1009</v>
      </c>
      <c r="C1135" s="89" t="s">
        <v>75</v>
      </c>
      <c r="D1135" s="91">
        <v>1.0</v>
      </c>
      <c r="E1135" s="92">
        <v>107.09</v>
      </c>
      <c r="F1135" s="92">
        <v>107.09</v>
      </c>
      <c r="G1135" s="93"/>
      <c r="H1135" s="92"/>
      <c r="I1135" s="92"/>
      <c r="J1135" s="82" t="b">
        <v>0</v>
      </c>
    </row>
    <row r="1136" ht="12.75" hidden="1" customHeight="1" outlineLevel="1">
      <c r="D1136" s="79"/>
      <c r="E1136" s="80"/>
      <c r="F1136" s="80"/>
      <c r="G1136" s="81"/>
      <c r="H1136" s="80"/>
      <c r="I1136" s="80"/>
      <c r="J1136" s="82" t="b">
        <v>0</v>
      </c>
    </row>
    <row r="1137" ht="12.75" hidden="1" customHeight="1" outlineLevel="1">
      <c r="A1137" s="89" t="s">
        <v>1010</v>
      </c>
      <c r="B1137" s="90" t="s">
        <v>1011</v>
      </c>
      <c r="C1137" s="89" t="s">
        <v>75</v>
      </c>
      <c r="D1137" s="91">
        <v>1.0</v>
      </c>
      <c r="E1137" s="92">
        <v>764.0</v>
      </c>
      <c r="F1137" s="92">
        <v>764.0</v>
      </c>
      <c r="G1137" s="93"/>
      <c r="H1137" s="92"/>
      <c r="I1137" s="92"/>
      <c r="J1137" s="82" t="b">
        <v>0</v>
      </c>
    </row>
    <row r="1138" ht="12.75" hidden="1" customHeight="1" outlineLevel="1">
      <c r="D1138" s="79"/>
      <c r="E1138" s="80"/>
      <c r="F1138" s="80"/>
      <c r="G1138" s="81"/>
      <c r="H1138" s="80"/>
      <c r="I1138" s="80"/>
      <c r="J1138" s="82" t="b">
        <v>0</v>
      </c>
    </row>
    <row r="1139" ht="12.75" hidden="1" customHeight="1" outlineLevel="1">
      <c r="A1139" s="89" t="s">
        <v>1012</v>
      </c>
      <c r="B1139" s="90" t="s">
        <v>1013</v>
      </c>
      <c r="C1139" s="89" t="s">
        <v>75</v>
      </c>
      <c r="D1139" s="91">
        <v>15.0</v>
      </c>
      <c r="E1139" s="92">
        <v>18.03</v>
      </c>
      <c r="F1139" s="92">
        <v>270.45</v>
      </c>
      <c r="G1139" s="93"/>
      <c r="H1139" s="92"/>
      <c r="I1139" s="92"/>
      <c r="J1139" s="82" t="b">
        <v>0</v>
      </c>
    </row>
    <row r="1140" ht="12.75" hidden="1" customHeight="1" outlineLevel="1">
      <c r="D1140" s="79"/>
      <c r="E1140" s="80"/>
      <c r="F1140" s="80"/>
      <c r="G1140" s="81"/>
      <c r="H1140" s="80"/>
      <c r="I1140" s="80"/>
      <c r="J1140" s="82" t="b">
        <v>0</v>
      </c>
    </row>
    <row r="1141" ht="12.75" hidden="1" customHeight="1" outlineLevel="1">
      <c r="A1141" s="89" t="s">
        <v>1014</v>
      </c>
      <c r="B1141" s="90" t="s">
        <v>1015</v>
      </c>
      <c r="C1141" s="89" t="s">
        <v>75</v>
      </c>
      <c r="D1141" s="91">
        <v>1.0</v>
      </c>
      <c r="E1141" s="92">
        <v>28.72</v>
      </c>
      <c r="F1141" s="92">
        <v>28.72</v>
      </c>
      <c r="G1141" s="93"/>
      <c r="H1141" s="92"/>
      <c r="I1141" s="92"/>
      <c r="J1141" s="82" t="b">
        <v>0</v>
      </c>
    </row>
    <row r="1142" ht="12.75" hidden="1" customHeight="1" outlineLevel="1">
      <c r="D1142" s="79"/>
      <c r="E1142" s="80"/>
      <c r="F1142" s="80"/>
      <c r="G1142" s="81"/>
      <c r="H1142" s="80"/>
      <c r="I1142" s="80"/>
      <c r="J1142" s="82" t="b">
        <v>0</v>
      </c>
    </row>
    <row r="1143" ht="12.75" hidden="1" customHeight="1" outlineLevel="1">
      <c r="A1143" s="89">
        <v>3.14</v>
      </c>
      <c r="B1143" s="90" t="s">
        <v>1016</v>
      </c>
      <c r="D1143" s="79"/>
      <c r="E1143" s="80"/>
      <c r="F1143" s="80"/>
      <c r="G1143" s="81"/>
      <c r="H1143" s="80"/>
      <c r="I1143" s="80"/>
      <c r="J1143" s="82" t="b">
        <v>0</v>
      </c>
    </row>
    <row r="1144" ht="12.75" hidden="1" customHeight="1" outlineLevel="1">
      <c r="D1144" s="79"/>
      <c r="E1144" s="80"/>
      <c r="F1144" s="80"/>
      <c r="G1144" s="81"/>
      <c r="H1144" s="80"/>
      <c r="I1144" s="80"/>
      <c r="J1144" s="82" t="b">
        <v>0</v>
      </c>
    </row>
    <row r="1145" ht="12.75" hidden="1" customHeight="1" outlineLevel="1">
      <c r="A1145" s="89" t="s">
        <v>1017</v>
      </c>
      <c r="B1145" s="90" t="s">
        <v>1018</v>
      </c>
      <c r="D1145" s="79"/>
      <c r="E1145" s="80"/>
      <c r="F1145" s="80"/>
      <c r="G1145" s="81"/>
      <c r="H1145" s="80"/>
      <c r="I1145" s="80"/>
      <c r="J1145" s="82" t="b">
        <v>0</v>
      </c>
    </row>
    <row r="1146" ht="12.75" hidden="1" customHeight="1" outlineLevel="1">
      <c r="D1146" s="79"/>
      <c r="E1146" s="80"/>
      <c r="F1146" s="80"/>
      <c r="G1146" s="81"/>
      <c r="H1146" s="80"/>
      <c r="I1146" s="80"/>
      <c r="J1146" s="82" t="b">
        <v>0</v>
      </c>
    </row>
    <row r="1147" ht="12.75" hidden="1" customHeight="1" outlineLevel="1">
      <c r="A1147" s="89" t="s">
        <v>1019</v>
      </c>
      <c r="B1147" s="90" t="s">
        <v>985</v>
      </c>
      <c r="C1147" s="89" t="s">
        <v>161</v>
      </c>
      <c r="D1147" s="91">
        <v>34.84</v>
      </c>
      <c r="E1147" s="92">
        <v>11.59</v>
      </c>
      <c r="F1147" s="92">
        <v>403.8</v>
      </c>
      <c r="G1147" s="93"/>
      <c r="H1147" s="92"/>
      <c r="I1147" s="92"/>
      <c r="J1147" s="82" t="b">
        <v>0</v>
      </c>
    </row>
    <row r="1148" ht="12.75" hidden="1" customHeight="1" outlineLevel="1">
      <c r="D1148" s="79"/>
      <c r="E1148" s="80"/>
      <c r="F1148" s="80"/>
      <c r="G1148" s="81"/>
      <c r="H1148" s="80"/>
      <c r="I1148" s="80"/>
      <c r="J1148" s="82" t="b">
        <v>0</v>
      </c>
    </row>
    <row r="1149" ht="12.75" hidden="1" customHeight="1" outlineLevel="1">
      <c r="A1149" s="89" t="s">
        <v>1020</v>
      </c>
      <c r="B1149" s="90" t="s">
        <v>1021</v>
      </c>
      <c r="D1149" s="79"/>
      <c r="E1149" s="80"/>
      <c r="F1149" s="80"/>
      <c r="G1149" s="81"/>
      <c r="H1149" s="80"/>
      <c r="I1149" s="80"/>
      <c r="J1149" s="82" t="b">
        <v>0</v>
      </c>
    </row>
    <row r="1150" ht="12.75" hidden="1" customHeight="1" outlineLevel="1">
      <c r="D1150" s="79"/>
      <c r="E1150" s="80"/>
      <c r="F1150" s="80"/>
      <c r="G1150" s="81"/>
      <c r="H1150" s="80"/>
      <c r="I1150" s="80"/>
      <c r="J1150" s="82" t="b">
        <v>0</v>
      </c>
    </row>
    <row r="1151" ht="12.75" hidden="1" customHeight="1" outlineLevel="1">
      <c r="A1151" s="89" t="s">
        <v>1022</v>
      </c>
      <c r="B1151" s="90" t="s">
        <v>1023</v>
      </c>
      <c r="C1151" s="89" t="s">
        <v>75</v>
      </c>
      <c r="D1151" s="91">
        <v>1.0</v>
      </c>
      <c r="E1151" s="92">
        <v>1657.88</v>
      </c>
      <c r="F1151" s="92">
        <v>1657.88</v>
      </c>
      <c r="G1151" s="93"/>
      <c r="H1151" s="92"/>
      <c r="I1151" s="92"/>
      <c r="J1151" s="82" t="b">
        <v>0</v>
      </c>
    </row>
    <row r="1152" ht="12.75" hidden="1" customHeight="1" outlineLevel="1">
      <c r="D1152" s="79"/>
      <c r="E1152" s="80"/>
      <c r="F1152" s="80"/>
      <c r="G1152" s="81"/>
      <c r="H1152" s="80"/>
      <c r="I1152" s="80"/>
      <c r="J1152" s="82" t="b">
        <v>0</v>
      </c>
    </row>
    <row r="1153" ht="12.75" hidden="1" customHeight="1" outlineLevel="1">
      <c r="A1153" s="89" t="s">
        <v>1024</v>
      </c>
      <c r="B1153" s="90" t="s">
        <v>1025</v>
      </c>
      <c r="C1153" s="89" t="s">
        <v>75</v>
      </c>
      <c r="D1153" s="91">
        <v>1.0</v>
      </c>
      <c r="E1153" s="92">
        <v>301.74</v>
      </c>
      <c r="F1153" s="92">
        <v>301.74</v>
      </c>
      <c r="G1153" s="93"/>
      <c r="H1153" s="92"/>
      <c r="I1153" s="92"/>
      <c r="J1153" s="82" t="b">
        <v>0</v>
      </c>
    </row>
    <row r="1154" ht="12.75" hidden="1" customHeight="1" outlineLevel="1">
      <c r="D1154" s="79"/>
      <c r="E1154" s="80"/>
      <c r="F1154" s="80"/>
      <c r="G1154" s="81"/>
      <c r="H1154" s="80"/>
      <c r="I1154" s="80"/>
      <c r="J1154" s="82" t="b">
        <v>0</v>
      </c>
    </row>
    <row r="1155" ht="12.75" hidden="1" customHeight="1" outlineLevel="1">
      <c r="A1155" s="89" t="s">
        <v>1026</v>
      </c>
      <c r="B1155" s="90" t="s">
        <v>1027</v>
      </c>
      <c r="C1155" s="89" t="s">
        <v>75</v>
      </c>
      <c r="D1155" s="91">
        <v>4.0</v>
      </c>
      <c r="E1155" s="92">
        <v>70.62</v>
      </c>
      <c r="F1155" s="92">
        <v>282.48</v>
      </c>
      <c r="G1155" s="93"/>
      <c r="H1155" s="92"/>
      <c r="I1155" s="92"/>
      <c r="J1155" s="82" t="b">
        <v>0</v>
      </c>
    </row>
    <row r="1156" ht="12.75" hidden="1" customHeight="1" outlineLevel="1">
      <c r="D1156" s="79"/>
      <c r="E1156" s="80"/>
      <c r="F1156" s="80"/>
      <c r="G1156" s="81"/>
      <c r="H1156" s="80"/>
      <c r="I1156" s="80"/>
      <c r="J1156" s="82" t="b">
        <v>0</v>
      </c>
    </row>
    <row r="1157" ht="12.75" hidden="1" customHeight="1" outlineLevel="1">
      <c r="A1157" s="89" t="s">
        <v>1028</v>
      </c>
      <c r="B1157" s="90" t="s">
        <v>1029</v>
      </c>
      <c r="C1157" s="89" t="s">
        <v>75</v>
      </c>
      <c r="D1157" s="91">
        <v>1.0</v>
      </c>
      <c r="E1157" s="92">
        <v>109.63</v>
      </c>
      <c r="F1157" s="92">
        <v>109.63</v>
      </c>
      <c r="G1157" s="93"/>
      <c r="H1157" s="92"/>
      <c r="I1157" s="92"/>
      <c r="J1157" s="82" t="b">
        <v>0</v>
      </c>
    </row>
    <row r="1158" ht="12.75" hidden="1" customHeight="1" outlineLevel="1">
      <c r="D1158" s="79"/>
      <c r="E1158" s="80"/>
      <c r="F1158" s="80"/>
      <c r="G1158" s="81"/>
      <c r="H1158" s="80"/>
      <c r="I1158" s="80"/>
      <c r="J1158" s="82" t="b">
        <v>0</v>
      </c>
    </row>
    <row r="1159" ht="12.75" hidden="1" customHeight="1" outlineLevel="1">
      <c r="A1159" s="89" t="s">
        <v>1030</v>
      </c>
      <c r="B1159" s="90" t="s">
        <v>1031</v>
      </c>
      <c r="C1159" s="89" t="s">
        <v>75</v>
      </c>
      <c r="D1159" s="91">
        <v>1.0</v>
      </c>
      <c r="E1159" s="92">
        <v>685.01</v>
      </c>
      <c r="F1159" s="92">
        <v>685.01</v>
      </c>
      <c r="G1159" s="93"/>
      <c r="H1159" s="92"/>
      <c r="I1159" s="92"/>
      <c r="J1159" s="82" t="b">
        <v>0</v>
      </c>
    </row>
    <row r="1160" ht="12.75" hidden="1" customHeight="1" outlineLevel="1">
      <c r="D1160" s="79"/>
      <c r="E1160" s="80"/>
      <c r="F1160" s="80"/>
      <c r="G1160" s="81"/>
      <c r="H1160" s="80"/>
      <c r="I1160" s="80"/>
      <c r="J1160" s="82" t="b">
        <v>0</v>
      </c>
    </row>
    <row r="1161" ht="12.75" hidden="1" customHeight="1" outlineLevel="1">
      <c r="A1161" s="89" t="s">
        <v>1032</v>
      </c>
      <c r="B1161" s="90" t="s">
        <v>1033</v>
      </c>
      <c r="C1161" s="89" t="s">
        <v>75</v>
      </c>
      <c r="D1161" s="91">
        <v>1.0</v>
      </c>
      <c r="E1161" s="92">
        <v>183.48</v>
      </c>
      <c r="F1161" s="92">
        <v>183.48</v>
      </c>
      <c r="G1161" s="93"/>
      <c r="H1161" s="92"/>
      <c r="I1161" s="92"/>
      <c r="J1161" s="82" t="b">
        <v>0</v>
      </c>
    </row>
    <row r="1162" ht="12.75" hidden="1" customHeight="1" outlineLevel="1">
      <c r="D1162" s="79"/>
      <c r="E1162" s="80"/>
      <c r="F1162" s="80"/>
      <c r="G1162" s="81"/>
      <c r="H1162" s="80"/>
      <c r="I1162" s="80"/>
      <c r="J1162" s="82" t="b">
        <v>0</v>
      </c>
    </row>
    <row r="1163" ht="12.75" hidden="1" customHeight="1" outlineLevel="1">
      <c r="A1163" s="89" t="s">
        <v>1034</v>
      </c>
      <c r="B1163" s="90" t="s">
        <v>979</v>
      </c>
      <c r="C1163" s="89" t="s">
        <v>33</v>
      </c>
      <c r="D1163" s="91">
        <v>1.0</v>
      </c>
      <c r="E1163" s="92">
        <v>1939.65</v>
      </c>
      <c r="F1163" s="92">
        <v>1939.65</v>
      </c>
      <c r="G1163" s="93"/>
      <c r="H1163" s="92"/>
      <c r="I1163" s="92"/>
      <c r="J1163" s="82" t="b">
        <v>0</v>
      </c>
    </row>
    <row r="1164" ht="12.75" hidden="1" customHeight="1" outlineLevel="1">
      <c r="D1164" s="79"/>
      <c r="E1164" s="80"/>
      <c r="F1164" s="80"/>
      <c r="G1164" s="81"/>
      <c r="H1164" s="80"/>
      <c r="I1164" s="80"/>
      <c r="J1164" s="82" t="b">
        <v>0</v>
      </c>
    </row>
    <row r="1165" ht="12.75" hidden="1" customHeight="1" outlineLevel="1">
      <c r="D1165" s="79"/>
      <c r="E1165" s="80"/>
      <c r="F1165" s="80"/>
      <c r="G1165" s="81"/>
      <c r="H1165" s="80"/>
      <c r="I1165" s="80"/>
      <c r="J1165" s="82" t="b">
        <v>0</v>
      </c>
    </row>
    <row r="1166" ht="12.75" customHeight="1" collapsed="1">
      <c r="A1166" s="134">
        <v>4.0</v>
      </c>
      <c r="B1166" s="84" t="s">
        <v>1035</v>
      </c>
      <c r="C1166" s="85">
        <f>SUM(F1172:F1296)</f>
        <v>74220.75</v>
      </c>
      <c r="D1166" s="86"/>
      <c r="E1166" s="88"/>
      <c r="F1166" s="88"/>
      <c r="G1166" s="81"/>
      <c r="H1166" s="80"/>
      <c r="I1166" s="80"/>
      <c r="J1166" s="82" t="b">
        <v>0</v>
      </c>
    </row>
    <row r="1167" ht="12.75" hidden="1" customHeight="1" outlineLevel="1">
      <c r="D1167" s="79"/>
      <c r="E1167" s="80"/>
      <c r="F1167" s="80"/>
      <c r="G1167" s="81"/>
      <c r="H1167" s="80"/>
      <c r="I1167" s="80"/>
      <c r="J1167" s="82" t="b">
        <v>0</v>
      </c>
    </row>
    <row r="1168" ht="12.75" hidden="1" customHeight="1" outlineLevel="1">
      <c r="A1168" s="89">
        <v>4.1</v>
      </c>
      <c r="B1168" s="90" t="s">
        <v>1036</v>
      </c>
      <c r="D1168" s="79"/>
      <c r="E1168" s="80"/>
      <c r="F1168" s="80"/>
      <c r="G1168" s="81"/>
      <c r="H1168" s="80"/>
      <c r="I1168" s="80"/>
      <c r="J1168" s="82" t="b">
        <v>0</v>
      </c>
    </row>
    <row r="1169" ht="12.75" hidden="1" customHeight="1" outlineLevel="1">
      <c r="D1169" s="79"/>
      <c r="E1169" s="80"/>
      <c r="F1169" s="80"/>
      <c r="G1169" s="81"/>
      <c r="H1169" s="80"/>
      <c r="I1169" s="80"/>
      <c r="J1169" s="82" t="b">
        <v>0</v>
      </c>
    </row>
    <row r="1170" ht="12.75" hidden="1" customHeight="1" outlineLevel="1">
      <c r="A1170" s="89" t="s">
        <v>1037</v>
      </c>
      <c r="B1170" s="90" t="s">
        <v>1038</v>
      </c>
      <c r="D1170" s="79"/>
      <c r="E1170" s="80"/>
      <c r="F1170" s="80"/>
      <c r="G1170" s="81"/>
      <c r="H1170" s="80"/>
      <c r="I1170" s="80"/>
      <c r="J1170" s="82" t="b">
        <v>0</v>
      </c>
    </row>
    <row r="1171" ht="12.75" hidden="1" customHeight="1" outlineLevel="1">
      <c r="D1171" s="79"/>
      <c r="E1171" s="80"/>
      <c r="F1171" s="80"/>
      <c r="G1171" s="81"/>
      <c r="H1171" s="80"/>
      <c r="I1171" s="80"/>
      <c r="J1171" s="82" t="b">
        <v>0</v>
      </c>
    </row>
    <row r="1172" ht="12.75" hidden="1" customHeight="1" outlineLevel="1">
      <c r="A1172" s="89" t="s">
        <v>1039</v>
      </c>
      <c r="B1172" s="90" t="s">
        <v>1040</v>
      </c>
      <c r="C1172" s="89" t="s">
        <v>161</v>
      </c>
      <c r="D1172" s="91">
        <v>45.73</v>
      </c>
      <c r="E1172" s="92">
        <v>14.95</v>
      </c>
      <c r="F1172" s="92">
        <v>683.66</v>
      </c>
      <c r="G1172" s="93"/>
      <c r="H1172" s="92"/>
      <c r="I1172" s="92"/>
      <c r="J1172" s="82" t="b">
        <v>0</v>
      </c>
    </row>
    <row r="1173" ht="12.75" hidden="1" customHeight="1" outlineLevel="1">
      <c r="D1173" s="79"/>
      <c r="E1173" s="80"/>
      <c r="F1173" s="80"/>
      <c r="G1173" s="81"/>
      <c r="H1173" s="80"/>
      <c r="I1173" s="80"/>
      <c r="J1173" s="82" t="b">
        <v>0</v>
      </c>
    </row>
    <row r="1174" ht="12.75" hidden="1" customHeight="1" outlineLevel="1">
      <c r="A1174" s="89" t="s">
        <v>1041</v>
      </c>
      <c r="B1174" s="90" t="s">
        <v>1042</v>
      </c>
      <c r="D1174" s="79"/>
      <c r="E1174" s="80"/>
      <c r="F1174" s="80"/>
      <c r="G1174" s="81"/>
      <c r="H1174" s="80"/>
      <c r="I1174" s="80"/>
      <c r="J1174" s="82" t="b">
        <v>0</v>
      </c>
    </row>
    <row r="1175" ht="12.75" hidden="1" customHeight="1" outlineLevel="1">
      <c r="D1175" s="79"/>
      <c r="E1175" s="80"/>
      <c r="F1175" s="80"/>
      <c r="G1175" s="81"/>
      <c r="H1175" s="80"/>
      <c r="I1175" s="80"/>
      <c r="J1175" s="82" t="b">
        <v>0</v>
      </c>
    </row>
    <row r="1176" ht="12.75" hidden="1" customHeight="1" outlineLevel="1">
      <c r="A1176" s="89" t="s">
        <v>1043</v>
      </c>
      <c r="B1176" s="90" t="s">
        <v>1044</v>
      </c>
      <c r="C1176" s="89" t="s">
        <v>161</v>
      </c>
      <c r="D1176" s="91">
        <v>15.56</v>
      </c>
      <c r="E1176" s="92">
        <v>19.85</v>
      </c>
      <c r="F1176" s="92">
        <v>308.87</v>
      </c>
      <c r="G1176" s="93"/>
      <c r="H1176" s="92"/>
      <c r="I1176" s="92"/>
      <c r="J1176" s="82" t="b">
        <v>0</v>
      </c>
    </row>
    <row r="1177" ht="12.75" hidden="1" customHeight="1" outlineLevel="1">
      <c r="D1177" s="79"/>
      <c r="E1177" s="80"/>
      <c r="F1177" s="80"/>
      <c r="G1177" s="81"/>
      <c r="H1177" s="80"/>
      <c r="I1177" s="80"/>
      <c r="J1177" s="82" t="b">
        <v>0</v>
      </c>
    </row>
    <row r="1178" ht="12.75" hidden="1" customHeight="1" outlineLevel="1">
      <c r="A1178" s="89" t="s">
        <v>1045</v>
      </c>
      <c r="B1178" s="90" t="s">
        <v>1046</v>
      </c>
      <c r="C1178" s="89" t="s">
        <v>161</v>
      </c>
      <c r="D1178" s="91">
        <v>14.62</v>
      </c>
      <c r="E1178" s="92">
        <v>20.92</v>
      </c>
      <c r="F1178" s="92">
        <v>305.85</v>
      </c>
      <c r="G1178" s="93"/>
      <c r="H1178" s="92"/>
      <c r="I1178" s="92"/>
      <c r="J1178" s="82" t="b">
        <v>0</v>
      </c>
    </row>
    <row r="1179" ht="12.75" hidden="1" customHeight="1" outlineLevel="1">
      <c r="D1179" s="79"/>
      <c r="E1179" s="80"/>
      <c r="F1179" s="80"/>
      <c r="G1179" s="81"/>
      <c r="H1179" s="80"/>
      <c r="I1179" s="80"/>
      <c r="J1179" s="82" t="b">
        <v>0</v>
      </c>
    </row>
    <row r="1180" ht="12.75" hidden="1" customHeight="1" outlineLevel="1">
      <c r="A1180" s="89" t="s">
        <v>1047</v>
      </c>
      <c r="B1180" s="90" t="s">
        <v>1048</v>
      </c>
      <c r="C1180" s="89" t="s">
        <v>161</v>
      </c>
      <c r="D1180" s="91">
        <v>18.36</v>
      </c>
      <c r="E1180" s="92">
        <v>25.05</v>
      </c>
      <c r="F1180" s="92">
        <v>459.92</v>
      </c>
      <c r="G1180" s="93"/>
      <c r="H1180" s="92"/>
      <c r="I1180" s="92"/>
      <c r="J1180" s="82" t="b">
        <v>0</v>
      </c>
    </row>
    <row r="1181" ht="12.75" hidden="1" customHeight="1" outlineLevel="1">
      <c r="D1181" s="79"/>
      <c r="E1181" s="80"/>
      <c r="F1181" s="80"/>
      <c r="G1181" s="81"/>
      <c r="H1181" s="80"/>
      <c r="I1181" s="80"/>
      <c r="J1181" s="82" t="b">
        <v>0</v>
      </c>
    </row>
    <row r="1182" ht="12.75" hidden="1" customHeight="1" outlineLevel="1">
      <c r="A1182" s="89" t="s">
        <v>1049</v>
      </c>
      <c r="B1182" s="90" t="s">
        <v>1050</v>
      </c>
      <c r="C1182" s="89" t="s">
        <v>161</v>
      </c>
      <c r="D1182" s="91">
        <v>68.48</v>
      </c>
      <c r="E1182" s="92">
        <v>26.43</v>
      </c>
      <c r="F1182" s="92">
        <v>1809.93</v>
      </c>
      <c r="G1182" s="93"/>
      <c r="H1182" s="92"/>
      <c r="I1182" s="92"/>
      <c r="J1182" s="82" t="b">
        <v>0</v>
      </c>
    </row>
    <row r="1183" ht="12.75" hidden="1" customHeight="1" outlineLevel="1">
      <c r="D1183" s="79"/>
      <c r="E1183" s="80"/>
      <c r="F1183" s="80"/>
      <c r="G1183" s="81"/>
      <c r="H1183" s="80"/>
      <c r="I1183" s="80"/>
      <c r="J1183" s="82" t="b">
        <v>0</v>
      </c>
    </row>
    <row r="1184" ht="12.75" hidden="1" customHeight="1" outlineLevel="1">
      <c r="A1184" s="89" t="s">
        <v>1051</v>
      </c>
      <c r="B1184" s="90" t="s">
        <v>1052</v>
      </c>
      <c r="D1184" s="79"/>
      <c r="E1184" s="80"/>
      <c r="F1184" s="80"/>
      <c r="G1184" s="81"/>
      <c r="H1184" s="80"/>
      <c r="I1184" s="80"/>
      <c r="J1184" s="82" t="b">
        <v>0</v>
      </c>
    </row>
    <row r="1185" ht="12.75" hidden="1" customHeight="1" outlineLevel="1">
      <c r="D1185" s="79"/>
      <c r="E1185" s="80"/>
      <c r="F1185" s="80"/>
      <c r="G1185" s="81"/>
      <c r="H1185" s="80"/>
      <c r="I1185" s="80"/>
      <c r="J1185" s="82" t="b">
        <v>0</v>
      </c>
    </row>
    <row r="1186" ht="12.75" hidden="1" customHeight="1" outlineLevel="1">
      <c r="A1186" s="89" t="s">
        <v>1053</v>
      </c>
      <c r="B1186" s="90" t="s">
        <v>1048</v>
      </c>
      <c r="C1186" s="89" t="s">
        <v>161</v>
      </c>
      <c r="D1186" s="91">
        <v>6.58</v>
      </c>
      <c r="E1186" s="92">
        <v>112.47</v>
      </c>
      <c r="F1186" s="92">
        <v>740.05</v>
      </c>
      <c r="G1186" s="93"/>
      <c r="H1186" s="92"/>
      <c r="I1186" s="92"/>
      <c r="J1186" s="82" t="b">
        <v>0</v>
      </c>
    </row>
    <row r="1187" ht="12.75" hidden="1" customHeight="1" outlineLevel="1">
      <c r="D1187" s="79"/>
      <c r="E1187" s="80"/>
      <c r="F1187" s="80"/>
      <c r="G1187" s="81"/>
      <c r="H1187" s="80"/>
      <c r="I1187" s="80"/>
      <c r="J1187" s="82" t="b">
        <v>0</v>
      </c>
    </row>
    <row r="1188" ht="12.75" hidden="1" customHeight="1" outlineLevel="1">
      <c r="A1188" s="89" t="s">
        <v>1054</v>
      </c>
      <c r="B1188" s="90" t="s">
        <v>1050</v>
      </c>
      <c r="C1188" s="89" t="s">
        <v>161</v>
      </c>
      <c r="D1188" s="91">
        <v>17.65</v>
      </c>
      <c r="E1188" s="92">
        <v>119.78</v>
      </c>
      <c r="F1188" s="92">
        <v>2114.12</v>
      </c>
      <c r="G1188" s="93"/>
      <c r="H1188" s="92"/>
      <c r="I1188" s="92"/>
      <c r="J1188" s="82" t="b">
        <v>0</v>
      </c>
    </row>
    <row r="1189" ht="12.75" hidden="1" customHeight="1" outlineLevel="1">
      <c r="D1189" s="79"/>
      <c r="E1189" s="80"/>
      <c r="F1189" s="80"/>
      <c r="G1189" s="81"/>
      <c r="H1189" s="80"/>
      <c r="I1189" s="80"/>
      <c r="J1189" s="82" t="b">
        <v>0</v>
      </c>
    </row>
    <row r="1190" ht="12.75" hidden="1" customHeight="1" outlineLevel="1">
      <c r="A1190" s="89" t="s">
        <v>1055</v>
      </c>
      <c r="B1190" s="90" t="s">
        <v>1056</v>
      </c>
      <c r="C1190" s="89" t="s">
        <v>161</v>
      </c>
      <c r="D1190" s="91">
        <v>17.62</v>
      </c>
      <c r="E1190" s="92">
        <v>13.94</v>
      </c>
      <c r="F1190" s="92">
        <v>245.62</v>
      </c>
      <c r="G1190" s="93"/>
      <c r="H1190" s="92"/>
      <c r="I1190" s="92"/>
      <c r="J1190" s="82" t="b">
        <v>0</v>
      </c>
    </row>
    <row r="1191" ht="12.75" hidden="1" customHeight="1" outlineLevel="1">
      <c r="D1191" s="79"/>
      <c r="E1191" s="80"/>
      <c r="F1191" s="80"/>
      <c r="G1191" s="81"/>
      <c r="H1191" s="80"/>
      <c r="I1191" s="80"/>
      <c r="J1191" s="82" t="b">
        <v>0</v>
      </c>
    </row>
    <row r="1192" ht="12.75" hidden="1" customHeight="1" outlineLevel="1">
      <c r="A1192" s="89">
        <v>4.2</v>
      </c>
      <c r="B1192" s="90" t="s">
        <v>1057</v>
      </c>
      <c r="C1192" s="89" t="s">
        <v>161</v>
      </c>
      <c r="D1192" s="91">
        <v>3.84</v>
      </c>
      <c r="E1192" s="92">
        <v>16.81</v>
      </c>
      <c r="F1192" s="92">
        <v>64.55</v>
      </c>
      <c r="G1192" s="93"/>
      <c r="H1192" s="92"/>
      <c r="I1192" s="92"/>
      <c r="J1192" s="82" t="b">
        <v>0</v>
      </c>
    </row>
    <row r="1193" ht="12.75" hidden="1" customHeight="1" outlineLevel="1">
      <c r="D1193" s="79"/>
      <c r="E1193" s="80"/>
      <c r="F1193" s="80"/>
      <c r="G1193" s="81"/>
      <c r="H1193" s="80"/>
      <c r="I1193" s="80"/>
      <c r="J1193" s="82" t="b">
        <v>0</v>
      </c>
    </row>
    <row r="1194" ht="12.75" hidden="1" customHeight="1" outlineLevel="1">
      <c r="A1194" s="89">
        <v>4.3</v>
      </c>
      <c r="B1194" s="90" t="s">
        <v>1058</v>
      </c>
      <c r="D1194" s="79"/>
      <c r="E1194" s="80"/>
      <c r="F1194" s="80"/>
      <c r="G1194" s="81"/>
      <c r="H1194" s="80"/>
      <c r="I1194" s="80"/>
      <c r="J1194" s="82" t="b">
        <v>0</v>
      </c>
    </row>
    <row r="1195" ht="12.75" hidden="1" customHeight="1" outlineLevel="1">
      <c r="D1195" s="79"/>
      <c r="E1195" s="80"/>
      <c r="F1195" s="80"/>
      <c r="G1195" s="81"/>
      <c r="H1195" s="80"/>
      <c r="I1195" s="80"/>
      <c r="J1195" s="82" t="b">
        <v>0</v>
      </c>
    </row>
    <row r="1196" ht="12.75" hidden="1" customHeight="1" outlineLevel="1">
      <c r="A1196" s="89" t="s">
        <v>1059</v>
      </c>
      <c r="B1196" s="90" t="s">
        <v>1060</v>
      </c>
      <c r="D1196" s="79"/>
      <c r="E1196" s="80"/>
      <c r="F1196" s="80"/>
      <c r="G1196" s="81"/>
      <c r="H1196" s="80"/>
      <c r="I1196" s="80"/>
      <c r="J1196" s="82" t="b">
        <v>0</v>
      </c>
    </row>
    <row r="1197" ht="12.75" hidden="1" customHeight="1" outlineLevel="1">
      <c r="D1197" s="79"/>
      <c r="E1197" s="80"/>
      <c r="F1197" s="80"/>
      <c r="G1197" s="81"/>
      <c r="H1197" s="80"/>
      <c r="I1197" s="80"/>
      <c r="J1197" s="82" t="b">
        <v>0</v>
      </c>
    </row>
    <row r="1198" ht="12.75" hidden="1" customHeight="1" outlineLevel="1">
      <c r="A1198" s="89" t="s">
        <v>1061</v>
      </c>
      <c r="B1198" s="90" t="s">
        <v>1062</v>
      </c>
      <c r="C1198" s="89" t="s">
        <v>75</v>
      </c>
      <c r="D1198" s="91">
        <v>1.0</v>
      </c>
      <c r="E1198" s="92">
        <v>226.29</v>
      </c>
      <c r="F1198" s="92">
        <v>226.29</v>
      </c>
      <c r="G1198" s="93"/>
      <c r="H1198" s="92"/>
      <c r="I1198" s="92"/>
      <c r="J1198" s="82" t="b">
        <v>0</v>
      </c>
    </row>
    <row r="1199" ht="12.75" hidden="1" customHeight="1" outlineLevel="1">
      <c r="D1199" s="79"/>
      <c r="E1199" s="80"/>
      <c r="F1199" s="80"/>
      <c r="G1199" s="81"/>
      <c r="H1199" s="80"/>
      <c r="I1199" s="80"/>
      <c r="J1199" s="82" t="b">
        <v>0</v>
      </c>
    </row>
    <row r="1200" ht="12.75" hidden="1" customHeight="1" outlineLevel="1">
      <c r="A1200" s="89" t="s">
        <v>1063</v>
      </c>
      <c r="B1200" s="90" t="s">
        <v>1064</v>
      </c>
      <c r="C1200" s="89" t="s">
        <v>75</v>
      </c>
      <c r="D1200" s="91">
        <v>1.0</v>
      </c>
      <c r="E1200" s="92">
        <v>232.76</v>
      </c>
      <c r="F1200" s="92">
        <v>232.76</v>
      </c>
      <c r="G1200" s="93"/>
      <c r="H1200" s="92"/>
      <c r="I1200" s="92"/>
      <c r="J1200" s="82" t="b">
        <v>0</v>
      </c>
    </row>
    <row r="1201" ht="12.75" hidden="1" customHeight="1" outlineLevel="1">
      <c r="D1201" s="79"/>
      <c r="E1201" s="80"/>
      <c r="F1201" s="80"/>
      <c r="G1201" s="81"/>
      <c r="H1201" s="80"/>
      <c r="I1201" s="80"/>
      <c r="J1201" s="82" t="b">
        <v>0</v>
      </c>
    </row>
    <row r="1202" ht="12.75" hidden="1" customHeight="1" outlineLevel="1">
      <c r="A1202" s="89" t="s">
        <v>1065</v>
      </c>
      <c r="B1202" s="90" t="s">
        <v>1066</v>
      </c>
      <c r="C1202" s="89" t="s">
        <v>75</v>
      </c>
      <c r="D1202" s="91">
        <v>1.0</v>
      </c>
      <c r="E1202" s="92">
        <v>258.62</v>
      </c>
      <c r="F1202" s="92">
        <v>258.62</v>
      </c>
      <c r="G1202" s="93"/>
      <c r="H1202" s="92"/>
      <c r="I1202" s="92"/>
      <c r="J1202" s="82" t="b">
        <v>0</v>
      </c>
    </row>
    <row r="1203" ht="12.75" hidden="1" customHeight="1" outlineLevel="1">
      <c r="D1203" s="79"/>
      <c r="E1203" s="80"/>
      <c r="F1203" s="80"/>
      <c r="G1203" s="81"/>
      <c r="H1203" s="80"/>
      <c r="I1203" s="80"/>
      <c r="J1203" s="82" t="b">
        <v>0</v>
      </c>
    </row>
    <row r="1204" ht="12.75" hidden="1" customHeight="1" outlineLevel="1">
      <c r="A1204" s="89" t="s">
        <v>1067</v>
      </c>
      <c r="B1204" s="90" t="s">
        <v>1068</v>
      </c>
      <c r="C1204" s="89" t="s">
        <v>75</v>
      </c>
      <c r="D1204" s="91">
        <v>2.0</v>
      </c>
      <c r="E1204" s="92">
        <v>646.55</v>
      </c>
      <c r="F1204" s="92">
        <v>1293.1</v>
      </c>
      <c r="G1204" s="93"/>
      <c r="H1204" s="92"/>
      <c r="I1204" s="92"/>
      <c r="J1204" s="82" t="b">
        <v>0</v>
      </c>
    </row>
    <row r="1205" ht="12.75" hidden="1" customHeight="1" outlineLevel="1">
      <c r="D1205" s="79"/>
      <c r="E1205" s="80"/>
      <c r="F1205" s="80"/>
      <c r="G1205" s="81"/>
      <c r="H1205" s="80"/>
      <c r="I1205" s="80"/>
      <c r="J1205" s="82" t="b">
        <v>0</v>
      </c>
    </row>
    <row r="1206" ht="12.75" hidden="1" customHeight="1" outlineLevel="1">
      <c r="A1206" s="89" t="s">
        <v>1069</v>
      </c>
      <c r="B1206" s="90" t="s">
        <v>1070</v>
      </c>
      <c r="C1206" s="89" t="s">
        <v>75</v>
      </c>
      <c r="D1206" s="91">
        <v>1.0</v>
      </c>
      <c r="E1206" s="92">
        <v>711.21</v>
      </c>
      <c r="F1206" s="92">
        <v>711.21</v>
      </c>
      <c r="G1206" s="93"/>
      <c r="H1206" s="92"/>
      <c r="I1206" s="92"/>
      <c r="J1206" s="82" t="b">
        <v>0</v>
      </c>
    </row>
    <row r="1207" ht="12.75" hidden="1" customHeight="1" outlineLevel="1">
      <c r="D1207" s="79"/>
      <c r="E1207" s="80"/>
      <c r="F1207" s="80"/>
      <c r="G1207" s="81"/>
      <c r="H1207" s="80"/>
      <c r="I1207" s="80"/>
      <c r="J1207" s="82" t="b">
        <v>0</v>
      </c>
    </row>
    <row r="1208" ht="12.75" hidden="1" customHeight="1" outlineLevel="1">
      <c r="A1208" s="89">
        <v>4.4</v>
      </c>
      <c r="B1208" s="90" t="s">
        <v>1071</v>
      </c>
      <c r="C1208" s="89" t="s">
        <v>75</v>
      </c>
      <c r="D1208" s="91">
        <v>1.0</v>
      </c>
      <c r="E1208" s="92">
        <v>52.12</v>
      </c>
      <c r="F1208" s="92">
        <v>52.12</v>
      </c>
      <c r="G1208" s="93"/>
      <c r="H1208" s="92"/>
      <c r="I1208" s="92"/>
      <c r="J1208" s="82" t="b">
        <v>0</v>
      </c>
    </row>
    <row r="1209" ht="12.75" hidden="1" customHeight="1" outlineLevel="1">
      <c r="D1209" s="79"/>
      <c r="E1209" s="80"/>
      <c r="F1209" s="80"/>
      <c r="G1209" s="81"/>
      <c r="H1209" s="80"/>
      <c r="I1209" s="80"/>
      <c r="J1209" s="82" t="b">
        <v>0</v>
      </c>
    </row>
    <row r="1210" ht="12.75" hidden="1" customHeight="1" outlineLevel="1">
      <c r="A1210" s="89">
        <v>4.5</v>
      </c>
      <c r="B1210" s="90" t="s">
        <v>1072</v>
      </c>
      <c r="C1210" s="89" t="s">
        <v>75</v>
      </c>
      <c r="D1210" s="91">
        <v>1.0</v>
      </c>
      <c r="E1210" s="92">
        <v>8234.62</v>
      </c>
      <c r="F1210" s="92">
        <v>8234.62</v>
      </c>
      <c r="G1210" s="93"/>
      <c r="H1210" s="92"/>
      <c r="I1210" s="92"/>
      <c r="J1210" s="82" t="b">
        <v>0</v>
      </c>
    </row>
    <row r="1211" ht="12.75" hidden="1" customHeight="1" outlineLevel="1">
      <c r="D1211" s="79"/>
      <c r="E1211" s="80"/>
      <c r="F1211" s="80"/>
      <c r="G1211" s="81"/>
      <c r="H1211" s="80"/>
      <c r="I1211" s="80"/>
      <c r="J1211" s="82" t="b">
        <v>0</v>
      </c>
    </row>
    <row r="1212" ht="12.75" hidden="1" customHeight="1" outlineLevel="1">
      <c r="A1212" s="89">
        <v>4.6</v>
      </c>
      <c r="B1212" s="90" t="s">
        <v>980</v>
      </c>
      <c r="C1212" s="89" t="s">
        <v>75</v>
      </c>
      <c r="D1212" s="91">
        <v>1.0</v>
      </c>
      <c r="E1212" s="92">
        <v>1326.02</v>
      </c>
      <c r="F1212" s="92">
        <v>1326.02</v>
      </c>
      <c r="G1212" s="93"/>
      <c r="H1212" s="92"/>
      <c r="I1212" s="92"/>
      <c r="J1212" s="82" t="b">
        <v>0</v>
      </c>
    </row>
    <row r="1213" ht="12.75" hidden="1" customHeight="1" outlineLevel="1">
      <c r="D1213" s="79"/>
      <c r="E1213" s="80"/>
      <c r="F1213" s="80"/>
      <c r="G1213" s="81"/>
      <c r="H1213" s="80"/>
      <c r="I1213" s="80"/>
      <c r="J1213" s="82" t="b">
        <v>0</v>
      </c>
    </row>
    <row r="1214" ht="12.75" hidden="1" customHeight="1" outlineLevel="1">
      <c r="A1214" s="89">
        <v>4.7</v>
      </c>
      <c r="B1214" s="90" t="s">
        <v>1073</v>
      </c>
      <c r="C1214" s="89" t="s">
        <v>33</v>
      </c>
      <c r="D1214" s="91">
        <v>1.0</v>
      </c>
      <c r="E1214" s="92">
        <v>3232.75</v>
      </c>
      <c r="F1214" s="92">
        <v>3232.75</v>
      </c>
      <c r="G1214" s="93"/>
      <c r="H1214" s="92"/>
      <c r="I1214" s="92"/>
      <c r="J1214" s="82" t="b">
        <v>0</v>
      </c>
    </row>
    <row r="1215" ht="12.75" hidden="1" customHeight="1" outlineLevel="1">
      <c r="D1215" s="79"/>
      <c r="E1215" s="80"/>
      <c r="F1215" s="80"/>
      <c r="G1215" s="81"/>
      <c r="H1215" s="80"/>
      <c r="I1215" s="80"/>
      <c r="J1215" s="82" t="b">
        <v>0</v>
      </c>
    </row>
    <row r="1216" ht="12.75" hidden="1" customHeight="1" outlineLevel="1">
      <c r="A1216" s="89">
        <v>4.8</v>
      </c>
      <c r="B1216" s="90" t="s">
        <v>1074</v>
      </c>
      <c r="D1216" s="79"/>
      <c r="E1216" s="80"/>
      <c r="F1216" s="80"/>
      <c r="G1216" s="81"/>
      <c r="H1216" s="80"/>
      <c r="I1216" s="80"/>
      <c r="J1216" s="82" t="b">
        <v>0</v>
      </c>
    </row>
    <row r="1217" ht="12.75" hidden="1" customHeight="1" outlineLevel="1">
      <c r="D1217" s="79"/>
      <c r="E1217" s="80"/>
      <c r="F1217" s="80"/>
      <c r="G1217" s="81"/>
      <c r="H1217" s="80"/>
      <c r="I1217" s="80"/>
      <c r="J1217" s="82" t="b">
        <v>0</v>
      </c>
    </row>
    <row r="1218" ht="12.75" hidden="1" customHeight="1" outlineLevel="1">
      <c r="A1218" s="89" t="s">
        <v>1075</v>
      </c>
      <c r="B1218" s="90" t="s">
        <v>1038</v>
      </c>
      <c r="D1218" s="79"/>
      <c r="E1218" s="80"/>
      <c r="F1218" s="80"/>
      <c r="G1218" s="81"/>
      <c r="H1218" s="80"/>
      <c r="I1218" s="80"/>
      <c r="J1218" s="82" t="b">
        <v>0</v>
      </c>
    </row>
    <row r="1219" ht="12.75" hidden="1" customHeight="1" outlineLevel="1">
      <c r="D1219" s="79"/>
      <c r="E1219" s="80"/>
      <c r="F1219" s="80"/>
      <c r="G1219" s="81"/>
      <c r="H1219" s="80"/>
      <c r="I1219" s="80"/>
      <c r="J1219" s="82" t="b">
        <v>0</v>
      </c>
    </row>
    <row r="1220" ht="12.75" hidden="1" customHeight="1" outlineLevel="1">
      <c r="A1220" s="89" t="s">
        <v>1076</v>
      </c>
      <c r="B1220" s="90" t="s">
        <v>1040</v>
      </c>
      <c r="C1220" s="89" t="s">
        <v>161</v>
      </c>
      <c r="D1220" s="91">
        <v>80.05</v>
      </c>
      <c r="E1220" s="92">
        <v>14.95</v>
      </c>
      <c r="F1220" s="92">
        <v>1196.75</v>
      </c>
      <c r="G1220" s="93"/>
      <c r="H1220" s="92"/>
      <c r="I1220" s="92"/>
      <c r="J1220" s="82" t="b">
        <v>0</v>
      </c>
    </row>
    <row r="1221" ht="12.75" hidden="1" customHeight="1" outlineLevel="1">
      <c r="D1221" s="79"/>
      <c r="E1221" s="80"/>
      <c r="F1221" s="80"/>
      <c r="G1221" s="81"/>
      <c r="H1221" s="80"/>
      <c r="I1221" s="80"/>
      <c r="J1221" s="82" t="b">
        <v>0</v>
      </c>
    </row>
    <row r="1222" ht="12.75" hidden="1" customHeight="1" outlineLevel="1">
      <c r="A1222" s="89" t="s">
        <v>1077</v>
      </c>
      <c r="B1222" s="90" t="s">
        <v>1078</v>
      </c>
      <c r="C1222" s="89" t="s">
        <v>161</v>
      </c>
      <c r="D1222" s="91">
        <v>12.6</v>
      </c>
      <c r="E1222" s="92">
        <v>16.81</v>
      </c>
      <c r="F1222" s="92">
        <v>211.81</v>
      </c>
      <c r="G1222" s="93"/>
      <c r="H1222" s="92"/>
      <c r="I1222" s="92"/>
      <c r="J1222" s="82" t="b">
        <v>0</v>
      </c>
    </row>
    <row r="1223" ht="12.75" hidden="1" customHeight="1" outlineLevel="1">
      <c r="D1223" s="79"/>
      <c r="E1223" s="80"/>
      <c r="F1223" s="80"/>
      <c r="G1223" s="81"/>
      <c r="H1223" s="80"/>
      <c r="I1223" s="80"/>
      <c r="J1223" s="82" t="b">
        <v>0</v>
      </c>
    </row>
    <row r="1224" ht="12.75" hidden="1" customHeight="1" outlineLevel="1">
      <c r="A1224" s="89" t="s">
        <v>1079</v>
      </c>
      <c r="B1224" s="90" t="s">
        <v>1080</v>
      </c>
      <c r="D1224" s="79"/>
      <c r="E1224" s="80"/>
      <c r="F1224" s="80"/>
      <c r="G1224" s="81"/>
      <c r="H1224" s="80"/>
      <c r="I1224" s="80"/>
      <c r="J1224" s="82" t="b">
        <v>0</v>
      </c>
    </row>
    <row r="1225" ht="12.75" hidden="1" customHeight="1" outlineLevel="1">
      <c r="D1225" s="79"/>
      <c r="E1225" s="80"/>
      <c r="F1225" s="80"/>
      <c r="G1225" s="81"/>
      <c r="H1225" s="80"/>
      <c r="I1225" s="80"/>
      <c r="J1225" s="82" t="b">
        <v>0</v>
      </c>
    </row>
    <row r="1226" ht="12.75" hidden="1" customHeight="1" outlineLevel="1">
      <c r="A1226" s="89" t="s">
        <v>1081</v>
      </c>
      <c r="B1226" s="90" t="s">
        <v>1046</v>
      </c>
      <c r="C1226" s="89" t="s">
        <v>161</v>
      </c>
      <c r="D1226" s="91">
        <v>37.36</v>
      </c>
      <c r="E1226" s="92">
        <v>20.92</v>
      </c>
      <c r="F1226" s="92">
        <v>781.57</v>
      </c>
      <c r="G1226" s="93"/>
      <c r="H1226" s="92"/>
      <c r="I1226" s="92"/>
      <c r="J1226" s="82" t="b">
        <v>0</v>
      </c>
    </row>
    <row r="1227" ht="12.75" hidden="1" customHeight="1" outlineLevel="1">
      <c r="D1227" s="79"/>
      <c r="E1227" s="80"/>
      <c r="F1227" s="80"/>
      <c r="G1227" s="81"/>
      <c r="H1227" s="80"/>
      <c r="I1227" s="80"/>
      <c r="J1227" s="82" t="b">
        <v>0</v>
      </c>
    </row>
    <row r="1228" ht="12.75" hidden="1" customHeight="1" outlineLevel="1">
      <c r="A1228" s="89" t="s">
        <v>1082</v>
      </c>
      <c r="B1228" s="90" t="s">
        <v>1048</v>
      </c>
      <c r="C1228" s="89" t="s">
        <v>161</v>
      </c>
      <c r="D1228" s="91">
        <v>11.41</v>
      </c>
      <c r="E1228" s="92">
        <v>25.05</v>
      </c>
      <c r="F1228" s="92">
        <v>285.82</v>
      </c>
      <c r="G1228" s="93"/>
      <c r="H1228" s="92"/>
      <c r="I1228" s="92"/>
      <c r="J1228" s="82" t="b">
        <v>0</v>
      </c>
    </row>
    <row r="1229" ht="12.75" hidden="1" customHeight="1" outlineLevel="1">
      <c r="D1229" s="79"/>
      <c r="E1229" s="80"/>
      <c r="F1229" s="80"/>
      <c r="G1229" s="81"/>
      <c r="H1229" s="80"/>
      <c r="I1229" s="80"/>
      <c r="J1229" s="82" t="b">
        <v>0</v>
      </c>
    </row>
    <row r="1230" ht="12.75" hidden="1" customHeight="1" outlineLevel="1">
      <c r="A1230" s="89" t="s">
        <v>1083</v>
      </c>
      <c r="B1230" s="90" t="s">
        <v>1050</v>
      </c>
      <c r="C1230" s="89" t="s">
        <v>161</v>
      </c>
      <c r="D1230" s="91">
        <v>23.75</v>
      </c>
      <c r="E1230" s="92">
        <v>26.43</v>
      </c>
      <c r="F1230" s="92">
        <v>627.71</v>
      </c>
      <c r="G1230" s="93"/>
      <c r="H1230" s="92"/>
      <c r="I1230" s="92"/>
      <c r="J1230" s="82" t="b">
        <v>0</v>
      </c>
    </row>
    <row r="1231" ht="12.75" hidden="1" customHeight="1" outlineLevel="1">
      <c r="D1231" s="79"/>
      <c r="E1231" s="80"/>
      <c r="F1231" s="80"/>
      <c r="G1231" s="81"/>
      <c r="H1231" s="80"/>
      <c r="I1231" s="80"/>
      <c r="J1231" s="82" t="b">
        <v>0</v>
      </c>
    </row>
    <row r="1232" ht="12.75" hidden="1" customHeight="1" outlineLevel="1">
      <c r="A1232" s="89" t="s">
        <v>1084</v>
      </c>
      <c r="B1232" s="90" t="s">
        <v>1040</v>
      </c>
      <c r="C1232" s="89" t="s">
        <v>161</v>
      </c>
      <c r="D1232" s="91">
        <v>3.22</v>
      </c>
      <c r="E1232" s="92">
        <v>30.63</v>
      </c>
      <c r="F1232" s="92">
        <v>98.63</v>
      </c>
      <c r="G1232" s="93"/>
      <c r="H1232" s="92"/>
      <c r="I1232" s="92"/>
      <c r="J1232" s="82" t="b">
        <v>0</v>
      </c>
    </row>
    <row r="1233" ht="12.75" hidden="1" customHeight="1" outlineLevel="1">
      <c r="D1233" s="79"/>
      <c r="E1233" s="80"/>
      <c r="F1233" s="80"/>
      <c r="G1233" s="81"/>
      <c r="H1233" s="80"/>
      <c r="I1233" s="80"/>
      <c r="J1233" s="82" t="b">
        <v>0</v>
      </c>
    </row>
    <row r="1234" ht="12.75" hidden="1" customHeight="1" outlineLevel="1">
      <c r="A1234" s="89" t="s">
        <v>1085</v>
      </c>
      <c r="B1234" s="90" t="s">
        <v>1052</v>
      </c>
      <c r="D1234" s="79"/>
      <c r="E1234" s="80"/>
      <c r="F1234" s="80"/>
      <c r="G1234" s="81"/>
      <c r="H1234" s="80"/>
      <c r="I1234" s="80"/>
      <c r="J1234" s="82" t="b">
        <v>0</v>
      </c>
    </row>
    <row r="1235" ht="12.75" hidden="1" customHeight="1" outlineLevel="1">
      <c r="D1235" s="79"/>
      <c r="E1235" s="80"/>
      <c r="F1235" s="80"/>
      <c r="G1235" s="81"/>
      <c r="H1235" s="80"/>
      <c r="I1235" s="80"/>
      <c r="J1235" s="82" t="b">
        <v>0</v>
      </c>
    </row>
    <row r="1236" ht="12.75" hidden="1" customHeight="1" outlineLevel="1">
      <c r="A1236" s="89" t="s">
        <v>1086</v>
      </c>
      <c r="B1236" s="90" t="s">
        <v>1050</v>
      </c>
      <c r="C1236" s="89" t="s">
        <v>161</v>
      </c>
      <c r="D1236" s="91">
        <v>54.39</v>
      </c>
      <c r="E1236" s="92">
        <v>119.78</v>
      </c>
      <c r="F1236" s="92">
        <v>6514.83</v>
      </c>
      <c r="G1236" s="93"/>
      <c r="H1236" s="92"/>
      <c r="I1236" s="92"/>
      <c r="J1236" s="82" t="b">
        <v>0</v>
      </c>
    </row>
    <row r="1237" ht="12.75" hidden="1" customHeight="1" outlineLevel="1">
      <c r="D1237" s="79"/>
      <c r="E1237" s="80"/>
      <c r="F1237" s="80"/>
      <c r="G1237" s="81"/>
      <c r="H1237" s="80"/>
      <c r="I1237" s="80"/>
      <c r="J1237" s="82" t="b">
        <v>0</v>
      </c>
    </row>
    <row r="1238" ht="12.75" hidden="1" customHeight="1" outlineLevel="1">
      <c r="A1238" s="89" t="s">
        <v>1087</v>
      </c>
      <c r="B1238" s="90" t="s">
        <v>1040</v>
      </c>
      <c r="C1238" s="89" t="s">
        <v>161</v>
      </c>
      <c r="D1238" s="91">
        <v>5.52</v>
      </c>
      <c r="E1238" s="92">
        <v>122.75</v>
      </c>
      <c r="F1238" s="92">
        <v>677.58</v>
      </c>
      <c r="G1238" s="93"/>
      <c r="H1238" s="92"/>
      <c r="I1238" s="92"/>
      <c r="J1238" s="82" t="b">
        <v>0</v>
      </c>
    </row>
    <row r="1239" ht="12.75" hidden="1" customHeight="1" outlineLevel="1">
      <c r="D1239" s="79"/>
      <c r="E1239" s="80"/>
      <c r="F1239" s="80"/>
      <c r="G1239" s="81"/>
      <c r="H1239" s="80"/>
      <c r="I1239" s="80"/>
      <c r="J1239" s="82" t="b">
        <v>0</v>
      </c>
    </row>
    <row r="1240" ht="12.75" hidden="1" customHeight="1" outlineLevel="1">
      <c r="A1240" s="89" t="s">
        <v>1088</v>
      </c>
      <c r="B1240" s="90" t="s">
        <v>1089</v>
      </c>
      <c r="C1240" s="89" t="s">
        <v>161</v>
      </c>
      <c r="D1240" s="91">
        <v>8.24</v>
      </c>
      <c r="E1240" s="92">
        <v>25.42</v>
      </c>
      <c r="F1240" s="92">
        <v>209.46</v>
      </c>
      <c r="G1240" s="93"/>
      <c r="H1240" s="92"/>
      <c r="I1240" s="92"/>
      <c r="J1240" s="82" t="b">
        <v>0</v>
      </c>
    </row>
    <row r="1241" ht="12.75" hidden="1" customHeight="1" outlineLevel="1">
      <c r="D1241" s="79"/>
      <c r="E1241" s="80"/>
      <c r="F1241" s="80"/>
      <c r="G1241" s="81"/>
      <c r="H1241" s="80"/>
      <c r="I1241" s="80"/>
      <c r="J1241" s="82" t="b">
        <v>0</v>
      </c>
    </row>
    <row r="1242" ht="12.75" hidden="1" customHeight="1" outlineLevel="1">
      <c r="A1242" s="89" t="s">
        <v>1090</v>
      </c>
      <c r="B1242" s="90" t="s">
        <v>1091</v>
      </c>
      <c r="C1242" s="89" t="s">
        <v>161</v>
      </c>
      <c r="D1242" s="91">
        <v>23.04</v>
      </c>
      <c r="E1242" s="92">
        <v>10.64</v>
      </c>
      <c r="F1242" s="92">
        <v>245.15</v>
      </c>
      <c r="G1242" s="93"/>
      <c r="H1242" s="92"/>
      <c r="I1242" s="92"/>
      <c r="J1242" s="82" t="b">
        <v>0</v>
      </c>
    </row>
    <row r="1243" ht="12.75" hidden="1" customHeight="1" outlineLevel="1">
      <c r="D1243" s="79"/>
      <c r="E1243" s="80"/>
      <c r="F1243" s="80"/>
      <c r="G1243" s="81"/>
      <c r="H1243" s="80"/>
      <c r="I1243" s="80"/>
      <c r="J1243" s="82" t="b">
        <v>0</v>
      </c>
    </row>
    <row r="1244" ht="12.75" hidden="1" customHeight="1" outlineLevel="1">
      <c r="A1244" s="89" t="s">
        <v>1092</v>
      </c>
      <c r="B1244" s="90" t="s">
        <v>1093</v>
      </c>
      <c r="C1244" s="89" t="s">
        <v>161</v>
      </c>
      <c r="D1244" s="91">
        <v>21.36</v>
      </c>
      <c r="E1244" s="92">
        <v>10.64</v>
      </c>
      <c r="F1244" s="92">
        <v>227.27</v>
      </c>
      <c r="G1244" s="93"/>
      <c r="H1244" s="92"/>
      <c r="I1244" s="92"/>
      <c r="J1244" s="82" t="b">
        <v>0</v>
      </c>
    </row>
    <row r="1245" ht="12.75" hidden="1" customHeight="1" outlineLevel="1">
      <c r="D1245" s="79"/>
      <c r="E1245" s="80"/>
      <c r="F1245" s="80"/>
      <c r="G1245" s="81"/>
      <c r="H1245" s="80"/>
      <c r="I1245" s="80"/>
      <c r="J1245" s="82" t="b">
        <v>0</v>
      </c>
    </row>
    <row r="1246" ht="12.75" hidden="1" customHeight="1" outlineLevel="1">
      <c r="A1246" s="89" t="s">
        <v>1094</v>
      </c>
      <c r="B1246" s="90" t="s">
        <v>1095</v>
      </c>
      <c r="C1246" s="89" t="s">
        <v>161</v>
      </c>
      <c r="D1246" s="91">
        <v>2.25</v>
      </c>
      <c r="E1246" s="92">
        <v>21.58</v>
      </c>
      <c r="F1246" s="92">
        <v>48.56</v>
      </c>
      <c r="G1246" s="93"/>
      <c r="H1246" s="92"/>
      <c r="I1246" s="92"/>
      <c r="J1246" s="82" t="b">
        <v>0</v>
      </c>
    </row>
    <row r="1247" ht="12.75" hidden="1" customHeight="1" outlineLevel="1">
      <c r="D1247" s="79"/>
      <c r="E1247" s="80"/>
      <c r="F1247" s="80"/>
      <c r="G1247" s="81"/>
      <c r="H1247" s="80"/>
      <c r="I1247" s="80"/>
      <c r="J1247" s="82" t="b">
        <v>0</v>
      </c>
    </row>
    <row r="1248" ht="12.75" hidden="1" customHeight="1" outlineLevel="1">
      <c r="A1248" s="89" t="s">
        <v>1096</v>
      </c>
      <c r="B1248" s="90" t="s">
        <v>1097</v>
      </c>
      <c r="C1248" s="89" t="s">
        <v>161</v>
      </c>
      <c r="D1248" s="91">
        <v>50.2</v>
      </c>
      <c r="E1248" s="92">
        <v>6.76</v>
      </c>
      <c r="F1248" s="92">
        <v>339.35</v>
      </c>
      <c r="G1248" s="93"/>
      <c r="H1248" s="92"/>
      <c r="I1248" s="92"/>
      <c r="J1248" s="82" t="b">
        <v>0</v>
      </c>
    </row>
    <row r="1249" ht="12.75" hidden="1" customHeight="1" outlineLevel="1">
      <c r="D1249" s="79"/>
      <c r="E1249" s="80"/>
      <c r="F1249" s="80"/>
      <c r="G1249" s="81"/>
      <c r="H1249" s="80"/>
      <c r="I1249" s="80"/>
      <c r="J1249" s="82" t="b">
        <v>0</v>
      </c>
    </row>
    <row r="1250" ht="12.75" hidden="1" customHeight="1" outlineLevel="1">
      <c r="A1250" s="89">
        <v>4.9</v>
      </c>
      <c r="B1250" s="90" t="s">
        <v>1098</v>
      </c>
      <c r="C1250" s="89" t="s">
        <v>161</v>
      </c>
      <c r="D1250" s="91">
        <v>278.97</v>
      </c>
      <c r="E1250" s="92">
        <v>16.16</v>
      </c>
      <c r="F1250" s="92">
        <v>4508.16</v>
      </c>
      <c r="G1250" s="93"/>
      <c r="H1250" s="92"/>
      <c r="I1250" s="92"/>
      <c r="J1250" s="82" t="b">
        <v>0</v>
      </c>
    </row>
    <row r="1251" ht="12.75" hidden="1" customHeight="1" outlineLevel="1">
      <c r="D1251" s="79"/>
      <c r="E1251" s="80"/>
      <c r="F1251" s="80"/>
      <c r="G1251" s="81"/>
      <c r="H1251" s="80"/>
      <c r="I1251" s="80"/>
      <c r="J1251" s="82" t="b">
        <v>0</v>
      </c>
    </row>
    <row r="1252" ht="12.75" hidden="1" customHeight="1" outlineLevel="1">
      <c r="A1252" s="89">
        <v>4.1</v>
      </c>
      <c r="B1252" s="90" t="s">
        <v>1099</v>
      </c>
      <c r="C1252" s="89" t="s">
        <v>161</v>
      </c>
      <c r="D1252" s="91">
        <v>7.4</v>
      </c>
      <c r="E1252" s="92">
        <v>16.81</v>
      </c>
      <c r="F1252" s="92">
        <v>124.39</v>
      </c>
      <c r="G1252" s="93"/>
      <c r="H1252" s="92"/>
      <c r="I1252" s="92"/>
      <c r="J1252" s="82" t="b">
        <v>0</v>
      </c>
    </row>
    <row r="1253" ht="12.75" hidden="1" customHeight="1" outlineLevel="1">
      <c r="D1253" s="79"/>
      <c r="E1253" s="80"/>
      <c r="F1253" s="80"/>
      <c r="G1253" s="81"/>
      <c r="H1253" s="80"/>
      <c r="I1253" s="80"/>
      <c r="J1253" s="82" t="b">
        <v>0</v>
      </c>
    </row>
    <row r="1254" ht="12.75" hidden="1" customHeight="1" outlineLevel="1">
      <c r="A1254" s="89">
        <v>4.11</v>
      </c>
      <c r="B1254" s="90" t="s">
        <v>1058</v>
      </c>
      <c r="D1254" s="79"/>
      <c r="E1254" s="80"/>
      <c r="F1254" s="80"/>
      <c r="G1254" s="81"/>
      <c r="H1254" s="80"/>
      <c r="I1254" s="80"/>
      <c r="J1254" s="82" t="b">
        <v>0</v>
      </c>
    </row>
    <row r="1255" ht="12.75" hidden="1" customHeight="1" outlineLevel="1">
      <c r="D1255" s="79"/>
      <c r="E1255" s="80"/>
      <c r="F1255" s="80"/>
      <c r="G1255" s="81"/>
      <c r="H1255" s="80"/>
      <c r="I1255" s="80"/>
      <c r="J1255" s="82" t="b">
        <v>0</v>
      </c>
    </row>
    <row r="1256" ht="12.75" hidden="1" customHeight="1" outlineLevel="1">
      <c r="A1256" s="89" t="s">
        <v>1100</v>
      </c>
      <c r="B1256" s="90" t="s">
        <v>1060</v>
      </c>
      <c r="D1256" s="79"/>
      <c r="E1256" s="80"/>
      <c r="F1256" s="80"/>
      <c r="G1256" s="81"/>
      <c r="H1256" s="80"/>
      <c r="I1256" s="80"/>
      <c r="J1256" s="82" t="b">
        <v>0</v>
      </c>
    </row>
    <row r="1257" ht="12.75" hidden="1" customHeight="1" outlineLevel="1">
      <c r="D1257" s="79"/>
      <c r="E1257" s="80"/>
      <c r="F1257" s="80"/>
      <c r="G1257" s="81"/>
      <c r="H1257" s="80"/>
      <c r="I1257" s="80"/>
      <c r="J1257" s="82" t="b">
        <v>0</v>
      </c>
    </row>
    <row r="1258" ht="12.75" hidden="1" customHeight="1" outlineLevel="1">
      <c r="A1258" s="89" t="s">
        <v>1101</v>
      </c>
      <c r="B1258" s="90" t="s">
        <v>1062</v>
      </c>
      <c r="C1258" s="89" t="s">
        <v>75</v>
      </c>
      <c r="D1258" s="91">
        <v>3.0</v>
      </c>
      <c r="E1258" s="92">
        <v>226.29</v>
      </c>
      <c r="F1258" s="92">
        <v>678.87</v>
      </c>
      <c r="G1258" s="93"/>
      <c r="H1258" s="92"/>
      <c r="I1258" s="92"/>
      <c r="J1258" s="82" t="b">
        <v>0</v>
      </c>
    </row>
    <row r="1259" ht="12.75" hidden="1" customHeight="1" outlineLevel="1">
      <c r="D1259" s="79"/>
      <c r="E1259" s="80"/>
      <c r="F1259" s="80"/>
      <c r="G1259" s="81"/>
      <c r="H1259" s="80"/>
      <c r="I1259" s="80"/>
      <c r="J1259" s="82" t="b">
        <v>0</v>
      </c>
    </row>
    <row r="1260" ht="12.75" hidden="1" customHeight="1" outlineLevel="1">
      <c r="A1260" s="89" t="s">
        <v>1102</v>
      </c>
      <c r="B1260" s="90" t="s">
        <v>1064</v>
      </c>
      <c r="C1260" s="89" t="s">
        <v>75</v>
      </c>
      <c r="D1260" s="91">
        <v>1.0</v>
      </c>
      <c r="E1260" s="92">
        <v>232.76</v>
      </c>
      <c r="F1260" s="92">
        <v>232.76</v>
      </c>
      <c r="G1260" s="93"/>
      <c r="H1260" s="92"/>
      <c r="I1260" s="92"/>
      <c r="J1260" s="82" t="b">
        <v>0</v>
      </c>
    </row>
    <row r="1261" ht="12.75" hidden="1" customHeight="1" outlineLevel="1">
      <c r="D1261" s="79"/>
      <c r="E1261" s="80"/>
      <c r="F1261" s="80"/>
      <c r="G1261" s="81"/>
      <c r="H1261" s="80"/>
      <c r="I1261" s="80"/>
      <c r="J1261" s="82" t="b">
        <v>0</v>
      </c>
    </row>
    <row r="1262" ht="12.75" hidden="1" customHeight="1" outlineLevel="1">
      <c r="A1262" s="89" t="s">
        <v>1103</v>
      </c>
      <c r="B1262" s="90" t="s">
        <v>1066</v>
      </c>
      <c r="C1262" s="89" t="s">
        <v>75</v>
      </c>
      <c r="D1262" s="91">
        <v>3.0</v>
      </c>
      <c r="E1262" s="92">
        <v>258.62</v>
      </c>
      <c r="F1262" s="92">
        <v>775.86</v>
      </c>
      <c r="G1262" s="93"/>
      <c r="H1262" s="92"/>
      <c r="I1262" s="92"/>
      <c r="J1262" s="82" t="b">
        <v>0</v>
      </c>
    </row>
    <row r="1263" ht="12.75" hidden="1" customHeight="1" outlineLevel="1">
      <c r="D1263" s="79"/>
      <c r="E1263" s="80"/>
      <c r="F1263" s="80"/>
      <c r="G1263" s="81"/>
      <c r="H1263" s="80"/>
      <c r="I1263" s="80"/>
      <c r="J1263" s="82" t="b">
        <v>0</v>
      </c>
    </row>
    <row r="1264" ht="12.75" hidden="1" customHeight="1" outlineLevel="1">
      <c r="A1264" s="89" t="s">
        <v>1104</v>
      </c>
      <c r="B1264" s="90" t="s">
        <v>1105</v>
      </c>
      <c r="C1264" s="89" t="s">
        <v>75</v>
      </c>
      <c r="D1264" s="91">
        <v>2.0</v>
      </c>
      <c r="E1264" s="92">
        <v>646.55</v>
      </c>
      <c r="F1264" s="92">
        <v>1293.1</v>
      </c>
      <c r="G1264" s="93"/>
      <c r="H1264" s="92"/>
      <c r="I1264" s="92"/>
      <c r="J1264" s="82" t="b">
        <v>0</v>
      </c>
    </row>
    <row r="1265" ht="12.75" hidden="1" customHeight="1" outlineLevel="1">
      <c r="D1265" s="79"/>
      <c r="E1265" s="80"/>
      <c r="F1265" s="80"/>
      <c r="G1265" s="81"/>
      <c r="H1265" s="80"/>
      <c r="I1265" s="80"/>
      <c r="J1265" s="82" t="b">
        <v>0</v>
      </c>
    </row>
    <row r="1266" ht="12.75" hidden="1" customHeight="1" outlineLevel="1">
      <c r="A1266" s="89" t="s">
        <v>1106</v>
      </c>
      <c r="B1266" s="90" t="s">
        <v>1068</v>
      </c>
      <c r="C1266" s="89" t="s">
        <v>75</v>
      </c>
      <c r="D1266" s="91">
        <v>4.0</v>
      </c>
      <c r="E1266" s="92">
        <v>646.55</v>
      </c>
      <c r="F1266" s="92">
        <v>2586.2</v>
      </c>
      <c r="G1266" s="93"/>
      <c r="H1266" s="92"/>
      <c r="I1266" s="92"/>
      <c r="J1266" s="82" t="b">
        <v>0</v>
      </c>
    </row>
    <row r="1267" ht="12.75" hidden="1" customHeight="1" outlineLevel="1">
      <c r="D1267" s="79"/>
      <c r="E1267" s="80"/>
      <c r="F1267" s="80"/>
      <c r="G1267" s="81"/>
      <c r="H1267" s="80"/>
      <c r="I1267" s="80"/>
      <c r="J1267" s="82" t="b">
        <v>0</v>
      </c>
    </row>
    <row r="1268" ht="12.75" hidden="1" customHeight="1" outlineLevel="1">
      <c r="A1268" s="89" t="s">
        <v>1107</v>
      </c>
      <c r="B1268" s="90" t="s">
        <v>1108</v>
      </c>
      <c r="C1268" s="89" t="s">
        <v>75</v>
      </c>
      <c r="D1268" s="91">
        <v>1.0</v>
      </c>
      <c r="E1268" s="92">
        <v>711.21</v>
      </c>
      <c r="F1268" s="92">
        <v>711.21</v>
      </c>
      <c r="G1268" s="93"/>
      <c r="H1268" s="92"/>
      <c r="I1268" s="92"/>
      <c r="J1268" s="82" t="b">
        <v>0</v>
      </c>
    </row>
    <row r="1269" ht="12.75" hidden="1" customHeight="1" outlineLevel="1">
      <c r="D1269" s="79"/>
      <c r="E1269" s="80"/>
      <c r="F1269" s="80"/>
      <c r="G1269" s="81"/>
      <c r="H1269" s="80"/>
      <c r="I1269" s="80"/>
      <c r="J1269" s="82" t="b">
        <v>0</v>
      </c>
    </row>
    <row r="1270" ht="12.75" hidden="1" customHeight="1" outlineLevel="1">
      <c r="A1270" s="89">
        <v>4.12</v>
      </c>
      <c r="B1270" s="90" t="s">
        <v>1109</v>
      </c>
      <c r="C1270" s="89" t="s">
        <v>75</v>
      </c>
      <c r="D1270" s="91">
        <v>8.0</v>
      </c>
      <c r="E1270" s="92">
        <v>711.21</v>
      </c>
      <c r="F1270" s="92">
        <v>5689.68</v>
      </c>
      <c r="G1270" s="93"/>
      <c r="H1270" s="92"/>
      <c r="I1270" s="92"/>
      <c r="J1270" s="82" t="b">
        <v>0</v>
      </c>
    </row>
    <row r="1271" ht="12.75" hidden="1" customHeight="1" outlineLevel="1">
      <c r="D1271" s="79"/>
      <c r="E1271" s="80"/>
      <c r="F1271" s="80"/>
      <c r="G1271" s="81"/>
      <c r="H1271" s="80"/>
      <c r="I1271" s="80"/>
      <c r="J1271" s="82" t="b">
        <v>0</v>
      </c>
    </row>
    <row r="1272" ht="12.75" hidden="1" customHeight="1" outlineLevel="1">
      <c r="A1272" s="89">
        <v>4.13</v>
      </c>
      <c r="B1272" s="90" t="s">
        <v>1110</v>
      </c>
      <c r="C1272" s="89" t="s">
        <v>75</v>
      </c>
      <c r="D1272" s="91">
        <v>9.0</v>
      </c>
      <c r="E1272" s="92">
        <v>58.19</v>
      </c>
      <c r="F1272" s="92">
        <v>523.71</v>
      </c>
      <c r="G1272" s="93"/>
      <c r="H1272" s="92"/>
      <c r="I1272" s="92"/>
      <c r="J1272" s="82" t="b">
        <v>0</v>
      </c>
    </row>
    <row r="1273" ht="12.75" hidden="1" customHeight="1" outlineLevel="1">
      <c r="D1273" s="79"/>
      <c r="E1273" s="80"/>
      <c r="F1273" s="80"/>
      <c r="G1273" s="81"/>
      <c r="H1273" s="80"/>
      <c r="I1273" s="80"/>
      <c r="J1273" s="82" t="b">
        <v>0</v>
      </c>
    </row>
    <row r="1274" ht="12.75" hidden="1" customHeight="1" outlineLevel="1">
      <c r="A1274" s="89">
        <v>4.14</v>
      </c>
      <c r="B1274" s="90" t="s">
        <v>1111</v>
      </c>
      <c r="C1274" s="89" t="s">
        <v>75</v>
      </c>
      <c r="D1274" s="91">
        <v>3.0</v>
      </c>
      <c r="E1274" s="92">
        <v>58.19</v>
      </c>
      <c r="F1274" s="92">
        <v>174.57</v>
      </c>
      <c r="G1274" s="93"/>
      <c r="H1274" s="92"/>
      <c r="I1274" s="92"/>
      <c r="J1274" s="82" t="b">
        <v>0</v>
      </c>
    </row>
    <row r="1275" ht="12.75" hidden="1" customHeight="1" outlineLevel="1">
      <c r="D1275" s="79"/>
      <c r="E1275" s="80"/>
      <c r="F1275" s="80"/>
      <c r="G1275" s="81"/>
      <c r="H1275" s="80"/>
      <c r="I1275" s="80"/>
      <c r="J1275" s="82" t="b">
        <v>0</v>
      </c>
    </row>
    <row r="1276" ht="12.75" hidden="1" customHeight="1" outlineLevel="1">
      <c r="A1276" s="89">
        <v>4.15</v>
      </c>
      <c r="B1276" s="90" t="s">
        <v>1112</v>
      </c>
      <c r="C1276" s="89" t="s">
        <v>161</v>
      </c>
      <c r="D1276" s="91">
        <v>5.5</v>
      </c>
      <c r="E1276" s="92">
        <v>323.28</v>
      </c>
      <c r="F1276" s="92">
        <v>1778.04</v>
      </c>
      <c r="G1276" s="93"/>
      <c r="H1276" s="92"/>
      <c r="I1276" s="92"/>
      <c r="J1276" s="82" t="b">
        <v>0</v>
      </c>
    </row>
    <row r="1277" ht="12.75" hidden="1" customHeight="1" outlineLevel="1">
      <c r="D1277" s="79"/>
      <c r="E1277" s="80"/>
      <c r="F1277" s="80"/>
      <c r="G1277" s="81"/>
      <c r="H1277" s="80"/>
      <c r="I1277" s="80"/>
      <c r="J1277" s="82" t="b">
        <v>0</v>
      </c>
    </row>
    <row r="1278" ht="12.75" hidden="1" customHeight="1" outlineLevel="1">
      <c r="A1278" s="89">
        <v>4.16</v>
      </c>
      <c r="B1278" s="90" t="s">
        <v>1113</v>
      </c>
      <c r="C1278" s="89" t="s">
        <v>161</v>
      </c>
      <c r="D1278" s="91">
        <v>2.0</v>
      </c>
      <c r="E1278" s="92">
        <v>187.9</v>
      </c>
      <c r="F1278" s="92">
        <v>375.8</v>
      </c>
      <c r="G1278" s="93"/>
      <c r="H1278" s="92"/>
      <c r="I1278" s="92"/>
      <c r="J1278" s="82" t="b">
        <v>0</v>
      </c>
    </row>
    <row r="1279" ht="12.75" hidden="1" customHeight="1" outlineLevel="1">
      <c r="D1279" s="79"/>
      <c r="E1279" s="80"/>
      <c r="F1279" s="80"/>
      <c r="G1279" s="81"/>
      <c r="H1279" s="80"/>
      <c r="I1279" s="80"/>
      <c r="J1279" s="82" t="b">
        <v>0</v>
      </c>
    </row>
    <row r="1280" ht="12.75" hidden="1" customHeight="1" outlineLevel="1">
      <c r="A1280" s="89">
        <v>4.17</v>
      </c>
      <c r="B1280" s="90" t="s">
        <v>1114</v>
      </c>
      <c r="D1280" s="79"/>
      <c r="E1280" s="80"/>
      <c r="F1280" s="80"/>
      <c r="G1280" s="81"/>
      <c r="H1280" s="80"/>
      <c r="I1280" s="80"/>
      <c r="J1280" s="82" t="b">
        <v>0</v>
      </c>
    </row>
    <row r="1281" ht="12.75" hidden="1" customHeight="1" outlineLevel="1">
      <c r="D1281" s="79"/>
      <c r="E1281" s="80"/>
      <c r="F1281" s="80"/>
      <c r="G1281" s="81"/>
      <c r="H1281" s="80"/>
      <c r="I1281" s="80"/>
      <c r="J1281" s="82" t="b">
        <v>0</v>
      </c>
    </row>
    <row r="1282" ht="12.75" hidden="1" customHeight="1" outlineLevel="1">
      <c r="B1282" s="90" t="s">
        <v>1115</v>
      </c>
      <c r="C1282" s="89" t="s">
        <v>75</v>
      </c>
      <c r="D1282" s="91">
        <v>1.0</v>
      </c>
      <c r="E1282" s="92">
        <v>229.38</v>
      </c>
      <c r="F1282" s="92">
        <v>229.38</v>
      </c>
      <c r="G1282" s="93"/>
      <c r="H1282" s="92"/>
      <c r="I1282" s="92"/>
      <c r="J1282" s="82" t="b">
        <v>0</v>
      </c>
    </row>
    <row r="1283" ht="12.75" hidden="1" customHeight="1" outlineLevel="1">
      <c r="D1283" s="79"/>
      <c r="E1283" s="80"/>
      <c r="F1283" s="80"/>
      <c r="G1283" s="81"/>
      <c r="H1283" s="80"/>
      <c r="I1283" s="80"/>
      <c r="J1283" s="82" t="b">
        <v>0</v>
      </c>
    </row>
    <row r="1284" ht="12.75" hidden="1" customHeight="1" outlineLevel="1">
      <c r="B1284" s="90" t="s">
        <v>1116</v>
      </c>
      <c r="C1284" s="89" t="s">
        <v>75</v>
      </c>
      <c r="D1284" s="91">
        <v>1.0</v>
      </c>
      <c r="E1284" s="92">
        <v>304.28</v>
      </c>
      <c r="F1284" s="92">
        <v>304.28</v>
      </c>
      <c r="G1284" s="93"/>
      <c r="H1284" s="92"/>
      <c r="I1284" s="92"/>
      <c r="J1284" s="82" t="b">
        <v>0</v>
      </c>
    </row>
    <row r="1285" ht="12.75" hidden="1" customHeight="1" outlineLevel="1">
      <c r="D1285" s="79"/>
      <c r="E1285" s="80"/>
      <c r="F1285" s="80"/>
      <c r="G1285" s="81"/>
      <c r="H1285" s="80"/>
      <c r="I1285" s="80"/>
      <c r="J1285" s="82" t="b">
        <v>0</v>
      </c>
    </row>
    <row r="1286" ht="12.75" hidden="1" customHeight="1" outlineLevel="1">
      <c r="A1286" s="89">
        <v>4.18</v>
      </c>
      <c r="B1286" s="90" t="s">
        <v>1117</v>
      </c>
      <c r="D1286" s="79"/>
      <c r="E1286" s="80"/>
      <c r="F1286" s="80"/>
      <c r="G1286" s="81"/>
      <c r="H1286" s="80"/>
      <c r="I1286" s="80"/>
      <c r="J1286" s="82" t="b">
        <v>0</v>
      </c>
    </row>
    <row r="1287" ht="12.75" hidden="1" customHeight="1" outlineLevel="1">
      <c r="D1287" s="79"/>
      <c r="E1287" s="80"/>
      <c r="F1287" s="80"/>
      <c r="G1287" s="81"/>
      <c r="H1287" s="80"/>
      <c r="I1287" s="80"/>
      <c r="J1287" s="82" t="b">
        <v>0</v>
      </c>
    </row>
    <row r="1288" ht="12.75" hidden="1" customHeight="1" outlineLevel="1">
      <c r="A1288" s="89" t="s">
        <v>1118</v>
      </c>
      <c r="B1288" s="90" t="s">
        <v>1119</v>
      </c>
      <c r="C1288" s="89" t="s">
        <v>75</v>
      </c>
      <c r="D1288" s="91">
        <v>2.0</v>
      </c>
      <c r="E1288" s="92">
        <v>193.97</v>
      </c>
      <c r="F1288" s="92">
        <v>387.94</v>
      </c>
      <c r="G1288" s="93"/>
      <c r="H1288" s="92"/>
      <c r="I1288" s="92"/>
      <c r="J1288" s="82" t="b">
        <v>0</v>
      </c>
    </row>
    <row r="1289" ht="12.75" hidden="1" customHeight="1" outlineLevel="1">
      <c r="D1289" s="79"/>
      <c r="E1289" s="80"/>
      <c r="F1289" s="80"/>
      <c r="G1289" s="81"/>
      <c r="H1289" s="80"/>
      <c r="I1289" s="80"/>
      <c r="J1289" s="82" t="b">
        <v>0</v>
      </c>
    </row>
    <row r="1290" ht="12.75" hidden="1" customHeight="1" outlineLevel="1">
      <c r="A1290" s="89">
        <v>4.19</v>
      </c>
      <c r="B1290" s="90" t="s">
        <v>1120</v>
      </c>
      <c r="C1290" s="89" t="s">
        <v>75</v>
      </c>
      <c r="D1290" s="91">
        <v>1.0</v>
      </c>
      <c r="E1290" s="92">
        <v>14107.38</v>
      </c>
      <c r="F1290" s="92">
        <v>14107.38</v>
      </c>
      <c r="G1290" s="93"/>
      <c r="H1290" s="92"/>
      <c r="I1290" s="92"/>
      <c r="J1290" s="82" t="b">
        <v>0</v>
      </c>
    </row>
    <row r="1291" ht="12.75" hidden="1" customHeight="1" outlineLevel="1">
      <c r="D1291" s="79"/>
      <c r="E1291" s="80"/>
      <c r="F1291" s="80"/>
      <c r="G1291" s="81"/>
      <c r="H1291" s="80"/>
      <c r="I1291" s="80"/>
      <c r="J1291" s="82" t="b">
        <v>0</v>
      </c>
    </row>
    <row r="1292" ht="12.75" hidden="1" customHeight="1" outlineLevel="1">
      <c r="A1292" s="89">
        <v>4.2</v>
      </c>
      <c r="B1292" s="90" t="s">
        <v>1121</v>
      </c>
      <c r="C1292" s="89" t="s">
        <v>75</v>
      </c>
      <c r="D1292" s="91">
        <v>2.0</v>
      </c>
      <c r="E1292" s="92">
        <v>708.05</v>
      </c>
      <c r="F1292" s="92">
        <v>1416.1</v>
      </c>
      <c r="G1292" s="93"/>
      <c r="H1292" s="92"/>
      <c r="I1292" s="92"/>
      <c r="J1292" s="82" t="b">
        <v>0</v>
      </c>
    </row>
    <row r="1293" ht="12.75" hidden="1" customHeight="1" outlineLevel="1">
      <c r="D1293" s="79"/>
      <c r="E1293" s="80"/>
      <c r="F1293" s="80"/>
      <c r="G1293" s="81"/>
      <c r="H1293" s="80"/>
      <c r="I1293" s="80"/>
      <c r="J1293" s="82" t="b">
        <v>0</v>
      </c>
    </row>
    <row r="1294" ht="12.75" hidden="1" customHeight="1" outlineLevel="1">
      <c r="A1294" s="89">
        <v>4.21</v>
      </c>
      <c r="B1294" s="90" t="s">
        <v>980</v>
      </c>
      <c r="C1294" s="89" t="s">
        <v>75</v>
      </c>
      <c r="D1294" s="91">
        <v>1.0</v>
      </c>
      <c r="E1294" s="92">
        <v>1326.02</v>
      </c>
      <c r="F1294" s="92">
        <v>1326.02</v>
      </c>
      <c r="G1294" s="93"/>
      <c r="H1294" s="92"/>
      <c r="I1294" s="92"/>
      <c r="J1294" s="82" t="b">
        <v>0</v>
      </c>
    </row>
    <row r="1295" ht="12.75" hidden="1" customHeight="1" outlineLevel="1">
      <c r="D1295" s="79"/>
      <c r="E1295" s="80"/>
      <c r="F1295" s="80"/>
      <c r="G1295" s="81"/>
      <c r="H1295" s="80"/>
      <c r="I1295" s="80"/>
      <c r="J1295" s="82" t="b">
        <v>0</v>
      </c>
    </row>
    <row r="1296" ht="12.75" hidden="1" customHeight="1" outlineLevel="1">
      <c r="A1296" s="89">
        <v>4.22</v>
      </c>
      <c r="B1296" s="90" t="s">
        <v>1073</v>
      </c>
      <c r="C1296" s="89" t="s">
        <v>33</v>
      </c>
      <c r="D1296" s="91">
        <v>1.0</v>
      </c>
      <c r="E1296" s="92">
        <v>3232.75</v>
      </c>
      <c r="F1296" s="92">
        <v>3232.75</v>
      </c>
      <c r="G1296" s="93"/>
      <c r="H1296" s="92"/>
      <c r="I1296" s="92"/>
      <c r="J1296" s="82" t="b">
        <v>0</v>
      </c>
    </row>
    <row r="1297" ht="12.75" hidden="1" customHeight="1" outlineLevel="1">
      <c r="D1297" s="79"/>
      <c r="E1297" s="80"/>
      <c r="F1297" s="80"/>
      <c r="G1297" s="81"/>
      <c r="H1297" s="80"/>
      <c r="I1297" s="80"/>
      <c r="J1297" s="82" t="b">
        <v>0</v>
      </c>
    </row>
    <row r="1298" ht="12.75" hidden="1" customHeight="1" outlineLevel="1">
      <c r="D1298" s="79"/>
      <c r="E1298" s="80"/>
      <c r="F1298" s="80"/>
      <c r="G1298" s="81"/>
      <c r="H1298" s="80"/>
      <c r="I1298" s="80"/>
      <c r="J1298" s="82" t="b">
        <v>0</v>
      </c>
    </row>
    <row r="1299" ht="12.75" customHeight="1" collapsed="1">
      <c r="A1299" s="134">
        <v>5.0</v>
      </c>
      <c r="B1299" s="84" t="s">
        <v>1122</v>
      </c>
      <c r="C1299" s="87">
        <f>SUM(F1303:F1317)</f>
        <v>2768.18</v>
      </c>
      <c r="D1299" s="86"/>
      <c r="E1299" s="88"/>
      <c r="F1299" s="88"/>
      <c r="G1299" s="81"/>
      <c r="H1299" s="80"/>
      <c r="I1299" s="80"/>
      <c r="J1299" s="82" t="b">
        <v>0</v>
      </c>
    </row>
    <row r="1300" ht="12.75" hidden="1" customHeight="1" outlineLevel="1">
      <c r="D1300" s="79"/>
      <c r="E1300" s="80"/>
      <c r="F1300" s="80"/>
      <c r="G1300" s="81"/>
      <c r="H1300" s="80"/>
      <c r="I1300" s="80"/>
      <c r="J1300" s="82" t="b">
        <v>0</v>
      </c>
    </row>
    <row r="1301" ht="12.75" hidden="1" customHeight="1" outlineLevel="1">
      <c r="A1301" s="89">
        <v>5.1</v>
      </c>
      <c r="B1301" s="90" t="s">
        <v>1123</v>
      </c>
      <c r="D1301" s="79"/>
      <c r="E1301" s="80"/>
      <c r="F1301" s="80"/>
      <c r="G1301" s="81"/>
      <c r="H1301" s="80"/>
      <c r="I1301" s="80"/>
      <c r="J1301" s="82" t="b">
        <v>0</v>
      </c>
    </row>
    <row r="1302" ht="12.75" hidden="1" customHeight="1" outlineLevel="1">
      <c r="D1302" s="79"/>
      <c r="E1302" s="80"/>
      <c r="F1302" s="80"/>
      <c r="G1302" s="81"/>
      <c r="H1302" s="80"/>
      <c r="I1302" s="80"/>
      <c r="J1302" s="82" t="b">
        <v>0</v>
      </c>
    </row>
    <row r="1303" ht="12.75" hidden="1" customHeight="1" outlineLevel="1">
      <c r="A1303" s="89" t="s">
        <v>1124</v>
      </c>
      <c r="B1303" s="90" t="s">
        <v>1125</v>
      </c>
      <c r="C1303" s="89" t="s">
        <v>161</v>
      </c>
      <c r="D1303" s="91">
        <v>19.19</v>
      </c>
      <c r="E1303" s="92">
        <v>12.93</v>
      </c>
      <c r="F1303" s="92">
        <v>248.13</v>
      </c>
      <c r="G1303" s="93"/>
      <c r="H1303" s="92"/>
      <c r="I1303" s="92"/>
      <c r="J1303" s="82" t="b">
        <v>0</v>
      </c>
    </row>
    <row r="1304" ht="12.75" hidden="1" customHeight="1" outlineLevel="1">
      <c r="D1304" s="79"/>
      <c r="E1304" s="80"/>
      <c r="F1304" s="80"/>
      <c r="G1304" s="81"/>
      <c r="H1304" s="80"/>
      <c r="I1304" s="80"/>
      <c r="J1304" s="82" t="b">
        <v>0</v>
      </c>
    </row>
    <row r="1305" ht="12.75" hidden="1" customHeight="1" outlineLevel="1">
      <c r="A1305" s="89" t="s">
        <v>1126</v>
      </c>
      <c r="B1305" s="90" t="s">
        <v>1127</v>
      </c>
      <c r="C1305" s="89" t="s">
        <v>161</v>
      </c>
      <c r="D1305" s="91">
        <v>13.91</v>
      </c>
      <c r="E1305" s="92">
        <v>16.16</v>
      </c>
      <c r="F1305" s="92">
        <v>224.79</v>
      </c>
      <c r="G1305" s="93"/>
      <c r="H1305" s="92"/>
      <c r="I1305" s="92"/>
      <c r="J1305" s="82" t="b">
        <v>0</v>
      </c>
    </row>
    <row r="1306" ht="12.75" hidden="1" customHeight="1" outlineLevel="1">
      <c r="D1306" s="79"/>
      <c r="E1306" s="80"/>
      <c r="F1306" s="80"/>
      <c r="G1306" s="81"/>
      <c r="H1306" s="80"/>
      <c r="I1306" s="80"/>
      <c r="J1306" s="82" t="b">
        <v>0</v>
      </c>
    </row>
    <row r="1307" ht="12.75" hidden="1" customHeight="1" outlineLevel="1">
      <c r="A1307" s="89">
        <v>5.2</v>
      </c>
      <c r="B1307" s="90" t="s">
        <v>1128</v>
      </c>
      <c r="D1307" s="79"/>
      <c r="E1307" s="80"/>
      <c r="F1307" s="80"/>
      <c r="G1307" s="81"/>
      <c r="H1307" s="80"/>
      <c r="I1307" s="80"/>
      <c r="J1307" s="82" t="b">
        <v>0</v>
      </c>
    </row>
    <row r="1308" ht="12.75" hidden="1" customHeight="1" outlineLevel="1">
      <c r="D1308" s="79"/>
      <c r="E1308" s="80"/>
      <c r="F1308" s="80"/>
      <c r="G1308" s="81"/>
      <c r="H1308" s="80"/>
      <c r="I1308" s="80"/>
      <c r="J1308" s="82" t="b">
        <v>0</v>
      </c>
    </row>
    <row r="1309" ht="12.75" hidden="1" customHeight="1" outlineLevel="1">
      <c r="A1309" s="89" t="s">
        <v>1129</v>
      </c>
      <c r="B1309" s="90" t="s">
        <v>1130</v>
      </c>
      <c r="C1309" s="89" t="s">
        <v>33</v>
      </c>
      <c r="D1309" s="91">
        <v>1.0</v>
      </c>
      <c r="E1309" s="92">
        <v>323.28</v>
      </c>
      <c r="F1309" s="92">
        <v>323.28</v>
      </c>
      <c r="G1309" s="93"/>
      <c r="H1309" s="92"/>
      <c r="I1309" s="92"/>
      <c r="J1309" s="82" t="b">
        <v>0</v>
      </c>
    </row>
    <row r="1310" ht="12.75" hidden="1" customHeight="1" outlineLevel="1">
      <c r="D1310" s="79"/>
      <c r="E1310" s="80"/>
      <c r="F1310" s="80"/>
      <c r="G1310" s="81"/>
      <c r="H1310" s="80"/>
      <c r="I1310" s="80"/>
      <c r="J1310" s="82" t="b">
        <v>0</v>
      </c>
    </row>
    <row r="1311" ht="12.75" hidden="1" customHeight="1" outlineLevel="1">
      <c r="A1311" s="89" t="s">
        <v>1131</v>
      </c>
      <c r="B1311" s="90" t="s">
        <v>1132</v>
      </c>
      <c r="C1311" s="89" t="s">
        <v>33</v>
      </c>
      <c r="D1311" s="91">
        <v>1.0</v>
      </c>
      <c r="E1311" s="92">
        <v>484.91</v>
      </c>
      <c r="F1311" s="92">
        <v>484.91</v>
      </c>
      <c r="G1311" s="93"/>
      <c r="H1311" s="92"/>
      <c r="I1311" s="92"/>
      <c r="J1311" s="82" t="b">
        <v>0</v>
      </c>
    </row>
    <row r="1312" ht="12.75" hidden="1" customHeight="1" outlineLevel="1">
      <c r="D1312" s="79"/>
      <c r="E1312" s="80"/>
      <c r="F1312" s="80"/>
      <c r="G1312" s="81"/>
      <c r="H1312" s="80"/>
      <c r="I1312" s="80"/>
      <c r="J1312" s="82" t="b">
        <v>0</v>
      </c>
    </row>
    <row r="1313" ht="12.75" hidden="1" customHeight="1" outlineLevel="1">
      <c r="A1313" s="89">
        <v>5.3</v>
      </c>
      <c r="B1313" s="90" t="s">
        <v>928</v>
      </c>
      <c r="D1313" s="79"/>
      <c r="E1313" s="80"/>
      <c r="F1313" s="80"/>
      <c r="G1313" s="81"/>
      <c r="H1313" s="80"/>
      <c r="I1313" s="80"/>
      <c r="J1313" s="82" t="b">
        <v>0</v>
      </c>
    </row>
    <row r="1314" ht="12.75" hidden="1" customHeight="1" outlineLevel="1">
      <c r="D1314" s="79"/>
      <c r="E1314" s="80"/>
      <c r="F1314" s="80"/>
      <c r="G1314" s="81"/>
      <c r="H1314" s="80"/>
      <c r="I1314" s="80"/>
      <c r="J1314" s="82" t="b">
        <v>0</v>
      </c>
    </row>
    <row r="1315" ht="12.75" hidden="1" customHeight="1" outlineLevel="1">
      <c r="A1315" s="89" t="s">
        <v>1133</v>
      </c>
      <c r="B1315" s="90" t="s">
        <v>979</v>
      </c>
      <c r="C1315" s="89" t="s">
        <v>33</v>
      </c>
      <c r="D1315" s="91">
        <v>1.0</v>
      </c>
      <c r="E1315" s="92">
        <v>1293.1</v>
      </c>
      <c r="F1315" s="92">
        <v>1293.1</v>
      </c>
      <c r="G1315" s="93"/>
      <c r="H1315" s="92"/>
      <c r="I1315" s="92"/>
      <c r="J1315" s="82" t="b">
        <v>0</v>
      </c>
    </row>
    <row r="1316" ht="12.75" hidden="1" customHeight="1" outlineLevel="1">
      <c r="D1316" s="79"/>
      <c r="E1316" s="80"/>
      <c r="F1316" s="80"/>
      <c r="G1316" s="81"/>
      <c r="H1316" s="80"/>
      <c r="I1316" s="80"/>
      <c r="J1316" s="82" t="b">
        <v>0</v>
      </c>
    </row>
    <row r="1317" ht="12.75" hidden="1" customHeight="1" outlineLevel="1">
      <c r="A1317" s="89" t="s">
        <v>1134</v>
      </c>
      <c r="B1317" s="90" t="s">
        <v>1135</v>
      </c>
      <c r="C1317" s="89" t="s">
        <v>33</v>
      </c>
      <c r="D1317" s="91">
        <v>1.0</v>
      </c>
      <c r="E1317" s="92">
        <v>193.97</v>
      </c>
      <c r="F1317" s="92">
        <v>193.97</v>
      </c>
      <c r="G1317" s="93"/>
      <c r="H1317" s="92"/>
      <c r="I1317" s="92"/>
      <c r="J1317" s="82" t="b">
        <v>0</v>
      </c>
    </row>
    <row r="1318" ht="12.75" hidden="1" customHeight="1" outlineLevel="1">
      <c r="D1318" s="79"/>
      <c r="E1318" s="80"/>
      <c r="F1318" s="80"/>
      <c r="G1318" s="81"/>
      <c r="H1318" s="80"/>
      <c r="I1318" s="80"/>
      <c r="J1318" s="82" t="b">
        <v>0</v>
      </c>
    </row>
    <row r="1319" ht="12.75" hidden="1" customHeight="1" outlineLevel="1">
      <c r="D1319" s="79"/>
      <c r="E1319" s="80"/>
      <c r="F1319" s="80"/>
      <c r="G1319" s="81"/>
      <c r="H1319" s="80"/>
      <c r="I1319" s="80"/>
      <c r="J1319" s="82" t="b">
        <v>0</v>
      </c>
    </row>
    <row r="1320" ht="12.75" hidden="1" customHeight="1" outlineLevel="1">
      <c r="D1320" s="79"/>
      <c r="E1320" s="80"/>
      <c r="F1320" s="80"/>
      <c r="G1320" s="81"/>
      <c r="H1320" s="80"/>
      <c r="I1320" s="80"/>
      <c r="J1320" s="82" t="b">
        <v>0</v>
      </c>
    </row>
    <row r="1321" ht="12.75" customHeight="1" collapsed="1">
      <c r="A1321" s="134">
        <v>6.0</v>
      </c>
      <c r="B1321" s="158" t="s">
        <v>1136</v>
      </c>
      <c r="C1321" s="85">
        <f>SUM(F1323:F1539)</f>
        <v>181241</v>
      </c>
      <c r="D1321" s="86"/>
      <c r="E1321" s="88"/>
      <c r="F1321" s="88"/>
      <c r="G1321" s="81"/>
      <c r="H1321" s="80"/>
      <c r="I1321" s="80"/>
      <c r="J1321" s="82" t="b">
        <v>0</v>
      </c>
    </row>
    <row r="1322" ht="12.75" hidden="1" customHeight="1" outlineLevel="1">
      <c r="D1322" s="79"/>
      <c r="E1322" s="80"/>
      <c r="F1322" s="80"/>
      <c r="G1322" s="81"/>
      <c r="H1322" s="80"/>
      <c r="I1322" s="80"/>
      <c r="J1322" s="82" t="b">
        <v>0</v>
      </c>
    </row>
    <row r="1323" ht="12.75" hidden="1" customHeight="1" outlineLevel="1">
      <c r="A1323" s="89" t="s">
        <v>1137</v>
      </c>
      <c r="B1323" s="90" t="s">
        <v>1138</v>
      </c>
      <c r="C1323" s="89" t="s">
        <v>75</v>
      </c>
      <c r="D1323" s="91">
        <v>1.0</v>
      </c>
      <c r="E1323" s="92">
        <v>13774.59</v>
      </c>
      <c r="F1323" s="92">
        <v>13774.59</v>
      </c>
      <c r="G1323" s="93"/>
      <c r="H1323" s="92"/>
      <c r="I1323" s="92"/>
      <c r="J1323" s="82" t="b">
        <v>0</v>
      </c>
    </row>
    <row r="1324" ht="12.75" hidden="1" customHeight="1" outlineLevel="1">
      <c r="D1324" s="79"/>
      <c r="E1324" s="80"/>
      <c r="F1324" s="80"/>
      <c r="G1324" s="81"/>
      <c r="H1324" s="80"/>
      <c r="I1324" s="80"/>
      <c r="J1324" s="82" t="b">
        <v>0</v>
      </c>
    </row>
    <row r="1325" ht="12.75" hidden="1" customHeight="1" outlineLevel="1">
      <c r="A1325" s="89" t="s">
        <v>1139</v>
      </c>
      <c r="B1325" s="90" t="s">
        <v>1140</v>
      </c>
      <c r="D1325" s="79"/>
      <c r="E1325" s="80"/>
      <c r="F1325" s="80"/>
      <c r="G1325" s="81"/>
      <c r="H1325" s="80"/>
      <c r="I1325" s="80"/>
      <c r="J1325" s="82" t="b">
        <v>0</v>
      </c>
    </row>
    <row r="1326" ht="12.75" hidden="1" customHeight="1" outlineLevel="1">
      <c r="D1326" s="79"/>
      <c r="E1326" s="80"/>
      <c r="F1326" s="80"/>
      <c r="G1326" s="81"/>
      <c r="H1326" s="80"/>
      <c r="I1326" s="80"/>
      <c r="J1326" s="82" t="b">
        <v>0</v>
      </c>
    </row>
    <row r="1327" ht="12.75" hidden="1" customHeight="1" outlineLevel="1">
      <c r="B1327" s="90" t="s">
        <v>1141</v>
      </c>
      <c r="C1327" s="89" t="s">
        <v>75</v>
      </c>
      <c r="D1327" s="91">
        <v>2.0</v>
      </c>
      <c r="E1327" s="92">
        <v>1668.93</v>
      </c>
      <c r="F1327" s="92">
        <v>3337.86</v>
      </c>
      <c r="G1327" s="93"/>
      <c r="H1327" s="92"/>
      <c r="I1327" s="92"/>
      <c r="J1327" s="82" t="b">
        <v>0</v>
      </c>
    </row>
    <row r="1328" ht="12.75" hidden="1" customHeight="1" outlineLevel="1">
      <c r="D1328" s="79"/>
      <c r="E1328" s="80"/>
      <c r="F1328" s="80"/>
      <c r="G1328" s="81"/>
      <c r="H1328" s="80"/>
      <c r="I1328" s="80"/>
      <c r="J1328" s="82" t="b">
        <v>0</v>
      </c>
    </row>
    <row r="1329" ht="12.75" hidden="1" customHeight="1" outlineLevel="1">
      <c r="B1329" s="90" t="s">
        <v>1142</v>
      </c>
      <c r="C1329" s="89" t="s">
        <v>75</v>
      </c>
      <c r="D1329" s="91">
        <v>4.0</v>
      </c>
      <c r="E1329" s="92">
        <v>1773.41</v>
      </c>
      <c r="F1329" s="92">
        <v>7093.64</v>
      </c>
      <c r="G1329" s="93"/>
      <c r="H1329" s="92"/>
      <c r="I1329" s="92"/>
      <c r="J1329" s="82" t="b">
        <v>0</v>
      </c>
    </row>
    <row r="1330" ht="12.75" hidden="1" customHeight="1" outlineLevel="1">
      <c r="D1330" s="79"/>
      <c r="E1330" s="80"/>
      <c r="F1330" s="80"/>
      <c r="G1330" s="81"/>
      <c r="H1330" s="80"/>
      <c r="I1330" s="80"/>
      <c r="J1330" s="82" t="b">
        <v>0</v>
      </c>
    </row>
    <row r="1331" ht="12.75" hidden="1" customHeight="1" outlineLevel="1">
      <c r="B1331" s="90" t="s">
        <v>1143</v>
      </c>
      <c r="C1331" s="89" t="s">
        <v>75</v>
      </c>
      <c r="D1331" s="91">
        <v>1.0</v>
      </c>
      <c r="E1331" s="92">
        <v>2703.28</v>
      </c>
      <c r="F1331" s="92">
        <v>2703.28</v>
      </c>
      <c r="G1331" s="93"/>
      <c r="H1331" s="92"/>
      <c r="I1331" s="92"/>
      <c r="J1331" s="82" t="b">
        <v>0</v>
      </c>
    </row>
    <row r="1332" ht="12.75" hidden="1" customHeight="1" outlineLevel="1">
      <c r="D1332" s="79"/>
      <c r="E1332" s="80"/>
      <c r="F1332" s="80"/>
      <c r="G1332" s="81"/>
      <c r="H1332" s="80"/>
      <c r="I1332" s="80"/>
      <c r="J1332" s="82" t="b">
        <v>0</v>
      </c>
    </row>
    <row r="1333" ht="12.75" hidden="1" customHeight="1" outlineLevel="1">
      <c r="A1333" s="89" t="s">
        <v>1144</v>
      </c>
      <c r="B1333" s="90" t="s">
        <v>1145</v>
      </c>
      <c r="D1333" s="79"/>
      <c r="E1333" s="80"/>
      <c r="F1333" s="80"/>
      <c r="G1333" s="81"/>
      <c r="H1333" s="80"/>
      <c r="I1333" s="80"/>
      <c r="J1333" s="82" t="b">
        <v>0</v>
      </c>
    </row>
    <row r="1334" ht="12.75" hidden="1" customHeight="1" outlineLevel="1">
      <c r="D1334" s="79"/>
      <c r="E1334" s="80"/>
      <c r="F1334" s="80"/>
      <c r="G1334" s="81"/>
      <c r="H1334" s="80"/>
      <c r="I1334" s="80"/>
      <c r="J1334" s="82" t="b">
        <v>0</v>
      </c>
    </row>
    <row r="1335" ht="12.75" hidden="1" customHeight="1" outlineLevel="1">
      <c r="B1335" s="90" t="s">
        <v>1146</v>
      </c>
      <c r="C1335" s="89" t="s">
        <v>75</v>
      </c>
      <c r="D1335" s="91">
        <v>7.0</v>
      </c>
      <c r="E1335" s="92">
        <v>41.9</v>
      </c>
      <c r="F1335" s="92">
        <v>293.3</v>
      </c>
      <c r="G1335" s="93"/>
      <c r="H1335" s="92"/>
      <c r="I1335" s="92"/>
      <c r="J1335" s="82" t="b">
        <v>0</v>
      </c>
    </row>
    <row r="1336" ht="12.75" hidden="1" customHeight="1" outlineLevel="1">
      <c r="D1336" s="79"/>
      <c r="E1336" s="80"/>
      <c r="F1336" s="80"/>
      <c r="G1336" s="81"/>
      <c r="H1336" s="80"/>
      <c r="I1336" s="80"/>
      <c r="J1336" s="82" t="b">
        <v>0</v>
      </c>
    </row>
    <row r="1337" ht="12.75" hidden="1" customHeight="1" outlineLevel="1">
      <c r="A1337" s="89" t="s">
        <v>1147</v>
      </c>
      <c r="B1337" s="90" t="s">
        <v>1148</v>
      </c>
      <c r="D1337" s="79"/>
      <c r="E1337" s="80"/>
      <c r="F1337" s="80"/>
      <c r="G1337" s="81"/>
      <c r="H1337" s="80"/>
      <c r="I1337" s="80"/>
      <c r="J1337" s="82" t="b">
        <v>0</v>
      </c>
    </row>
    <row r="1338" ht="12.75" hidden="1" customHeight="1" outlineLevel="1">
      <c r="D1338" s="79"/>
      <c r="E1338" s="80"/>
      <c r="F1338" s="80"/>
      <c r="G1338" s="81"/>
      <c r="H1338" s="80"/>
      <c r="I1338" s="80"/>
      <c r="J1338" s="82" t="b">
        <v>0</v>
      </c>
    </row>
    <row r="1339" ht="12.75" hidden="1" customHeight="1" outlineLevel="1">
      <c r="B1339" s="90" t="s">
        <v>1149</v>
      </c>
      <c r="C1339" s="89" t="s">
        <v>75</v>
      </c>
      <c r="D1339" s="91">
        <v>6.0</v>
      </c>
      <c r="E1339" s="92">
        <v>214.72</v>
      </c>
      <c r="F1339" s="92">
        <v>1288.32</v>
      </c>
      <c r="G1339" s="93"/>
      <c r="H1339" s="92"/>
      <c r="I1339" s="92"/>
      <c r="J1339" s="82" t="b">
        <v>0</v>
      </c>
    </row>
    <row r="1340" ht="12.75" hidden="1" customHeight="1" outlineLevel="1">
      <c r="D1340" s="79"/>
      <c r="E1340" s="80"/>
      <c r="F1340" s="80"/>
      <c r="G1340" s="81"/>
      <c r="H1340" s="80"/>
      <c r="I1340" s="80"/>
      <c r="J1340" s="82" t="b">
        <v>0</v>
      </c>
    </row>
    <row r="1341" ht="12.75" hidden="1" customHeight="1" outlineLevel="1">
      <c r="A1341" s="89" t="s">
        <v>1150</v>
      </c>
      <c r="B1341" s="90" t="s">
        <v>1151</v>
      </c>
      <c r="D1341" s="79"/>
      <c r="E1341" s="80"/>
      <c r="F1341" s="80"/>
      <c r="G1341" s="81"/>
      <c r="H1341" s="80"/>
      <c r="I1341" s="80"/>
      <c r="J1341" s="82" t="b">
        <v>0</v>
      </c>
    </row>
    <row r="1342" ht="12.75" hidden="1" customHeight="1" outlineLevel="1">
      <c r="D1342" s="79"/>
      <c r="E1342" s="80"/>
      <c r="F1342" s="80"/>
      <c r="G1342" s="81"/>
      <c r="H1342" s="80"/>
      <c r="I1342" s="80"/>
      <c r="J1342" s="82" t="b">
        <v>0</v>
      </c>
    </row>
    <row r="1343" ht="12.75" hidden="1" customHeight="1" outlineLevel="1">
      <c r="B1343" s="90" t="s">
        <v>1152</v>
      </c>
      <c r="C1343" s="89" t="s">
        <v>75</v>
      </c>
      <c r="D1343" s="91">
        <v>1.0</v>
      </c>
      <c r="E1343" s="92">
        <v>13551.34</v>
      </c>
      <c r="F1343" s="92">
        <v>13551.34</v>
      </c>
      <c r="G1343" s="93"/>
      <c r="H1343" s="92"/>
      <c r="I1343" s="92"/>
      <c r="J1343" s="82" t="b">
        <v>0</v>
      </c>
    </row>
    <row r="1344" ht="12.75" hidden="1" customHeight="1" outlineLevel="1">
      <c r="D1344" s="79"/>
      <c r="E1344" s="80"/>
      <c r="F1344" s="80"/>
      <c r="G1344" s="81"/>
      <c r="H1344" s="80"/>
      <c r="I1344" s="80"/>
      <c r="J1344" s="82" t="b">
        <v>0</v>
      </c>
    </row>
    <row r="1345" ht="12.75" hidden="1" customHeight="1" outlineLevel="1">
      <c r="A1345" s="89" t="s">
        <v>1153</v>
      </c>
      <c r="B1345" s="90" t="s">
        <v>1154</v>
      </c>
      <c r="C1345" s="89" t="s">
        <v>75</v>
      </c>
      <c r="D1345" s="91">
        <v>1.0</v>
      </c>
      <c r="E1345" s="92">
        <v>4023.77</v>
      </c>
      <c r="F1345" s="92">
        <v>4023.77</v>
      </c>
      <c r="G1345" s="93"/>
      <c r="H1345" s="92"/>
      <c r="I1345" s="92"/>
      <c r="J1345" s="82" t="b">
        <v>0</v>
      </c>
    </row>
    <row r="1346" ht="12.75" hidden="1" customHeight="1" outlineLevel="1">
      <c r="D1346" s="79"/>
      <c r="E1346" s="80"/>
      <c r="F1346" s="80"/>
      <c r="G1346" s="81"/>
      <c r="H1346" s="80"/>
      <c r="I1346" s="80"/>
      <c r="J1346" s="82" t="b">
        <v>0</v>
      </c>
    </row>
    <row r="1347" ht="12.75" hidden="1" customHeight="1" outlineLevel="1">
      <c r="A1347" s="89" t="s">
        <v>1155</v>
      </c>
      <c r="B1347" s="90" t="s">
        <v>1156</v>
      </c>
      <c r="C1347" s="89" t="s">
        <v>75</v>
      </c>
      <c r="D1347" s="91">
        <v>7.0</v>
      </c>
      <c r="E1347" s="92">
        <v>176.82</v>
      </c>
      <c r="F1347" s="92">
        <v>1237.74</v>
      </c>
      <c r="G1347" s="93"/>
      <c r="H1347" s="92"/>
      <c r="I1347" s="92"/>
      <c r="J1347" s="82" t="b">
        <v>0</v>
      </c>
    </row>
    <row r="1348" ht="12.75" hidden="1" customHeight="1" outlineLevel="1">
      <c r="D1348" s="79"/>
      <c r="E1348" s="80"/>
      <c r="F1348" s="80"/>
      <c r="G1348" s="81"/>
      <c r="H1348" s="80"/>
      <c r="I1348" s="80"/>
      <c r="J1348" s="82" t="b">
        <v>0</v>
      </c>
    </row>
    <row r="1349" ht="12.75" hidden="1" customHeight="1" outlineLevel="1">
      <c r="A1349" s="89" t="s">
        <v>1157</v>
      </c>
      <c r="B1349" s="90" t="s">
        <v>1158</v>
      </c>
      <c r="D1349" s="79"/>
      <c r="E1349" s="80"/>
      <c r="F1349" s="80"/>
      <c r="G1349" s="81"/>
      <c r="H1349" s="80"/>
      <c r="I1349" s="80"/>
      <c r="J1349" s="82" t="b">
        <v>0</v>
      </c>
    </row>
    <row r="1350" ht="12.75" hidden="1" customHeight="1" outlineLevel="1">
      <c r="D1350" s="79"/>
      <c r="E1350" s="80"/>
      <c r="F1350" s="80"/>
      <c r="G1350" s="81"/>
      <c r="H1350" s="80"/>
      <c r="I1350" s="80"/>
      <c r="J1350" s="82" t="b">
        <v>0</v>
      </c>
    </row>
    <row r="1351" ht="12.75" hidden="1" customHeight="1" outlineLevel="1">
      <c r="B1351" s="90" t="s">
        <v>1159</v>
      </c>
      <c r="C1351" s="89" t="s">
        <v>877</v>
      </c>
      <c r="D1351" s="91">
        <v>54.0</v>
      </c>
      <c r="E1351" s="92">
        <v>11.52</v>
      </c>
      <c r="F1351" s="92">
        <v>622.08</v>
      </c>
      <c r="G1351" s="93"/>
      <c r="H1351" s="92"/>
      <c r="I1351" s="92"/>
      <c r="J1351" s="82" t="b">
        <v>0</v>
      </c>
    </row>
    <row r="1352" ht="12.75" hidden="1" customHeight="1" outlineLevel="1">
      <c r="D1352" s="79"/>
      <c r="E1352" s="80"/>
      <c r="F1352" s="80"/>
      <c r="G1352" s="81"/>
      <c r="H1352" s="80"/>
      <c r="I1352" s="80"/>
      <c r="J1352" s="82" t="b">
        <v>0</v>
      </c>
    </row>
    <row r="1353" ht="12.75" hidden="1" customHeight="1" outlineLevel="1">
      <c r="B1353" s="90" t="s">
        <v>1160</v>
      </c>
      <c r="C1353" s="89" t="s">
        <v>877</v>
      </c>
      <c r="D1353" s="91">
        <v>22.0</v>
      </c>
      <c r="E1353" s="92">
        <v>14.24</v>
      </c>
      <c r="F1353" s="92">
        <v>313.28</v>
      </c>
      <c r="G1353" s="93"/>
      <c r="H1353" s="92"/>
      <c r="I1353" s="92"/>
      <c r="J1353" s="82" t="b">
        <v>0</v>
      </c>
    </row>
    <row r="1354" ht="12.75" hidden="1" customHeight="1" outlineLevel="1">
      <c r="D1354" s="79"/>
      <c r="E1354" s="80"/>
      <c r="F1354" s="80"/>
      <c r="G1354" s="81"/>
      <c r="H1354" s="80"/>
      <c r="I1354" s="80"/>
      <c r="J1354" s="82" t="b">
        <v>0</v>
      </c>
    </row>
    <row r="1355" ht="12.75" hidden="1" customHeight="1" outlineLevel="1">
      <c r="B1355" s="90" t="s">
        <v>1161</v>
      </c>
      <c r="C1355" s="89" t="s">
        <v>877</v>
      </c>
      <c r="D1355" s="91">
        <v>72.0</v>
      </c>
      <c r="E1355" s="92">
        <v>17.57</v>
      </c>
      <c r="F1355" s="92">
        <v>1265.04</v>
      </c>
      <c r="G1355" s="93"/>
      <c r="H1355" s="92"/>
      <c r="I1355" s="92"/>
      <c r="J1355" s="82" t="b">
        <v>0</v>
      </c>
    </row>
    <row r="1356" ht="12.75" hidden="1" customHeight="1" outlineLevel="1">
      <c r="D1356" s="79"/>
      <c r="E1356" s="80"/>
      <c r="F1356" s="80"/>
      <c r="G1356" s="81"/>
      <c r="H1356" s="80"/>
      <c r="I1356" s="80"/>
      <c r="J1356" s="82" t="b">
        <v>0</v>
      </c>
    </row>
    <row r="1357" ht="12.75" hidden="1" customHeight="1" outlineLevel="1">
      <c r="B1357" s="90" t="s">
        <v>1162</v>
      </c>
      <c r="C1357" s="89" t="s">
        <v>877</v>
      </c>
      <c r="D1357" s="91">
        <v>56.0</v>
      </c>
      <c r="E1357" s="92">
        <v>21.06</v>
      </c>
      <c r="F1357" s="92">
        <v>1179.36</v>
      </c>
      <c r="G1357" s="93"/>
      <c r="H1357" s="92"/>
      <c r="I1357" s="92"/>
      <c r="J1357" s="82" t="b">
        <v>0</v>
      </c>
    </row>
    <row r="1358" ht="12.75" hidden="1" customHeight="1" outlineLevel="1">
      <c r="D1358" s="79"/>
      <c r="E1358" s="80"/>
      <c r="F1358" s="80"/>
      <c r="G1358" s="81"/>
      <c r="H1358" s="80"/>
      <c r="I1358" s="80"/>
      <c r="J1358" s="82" t="b">
        <v>0</v>
      </c>
    </row>
    <row r="1359" ht="12.75" hidden="1" customHeight="1" outlineLevel="1">
      <c r="B1359" s="90" t="s">
        <v>1163</v>
      </c>
      <c r="C1359" s="89" t="s">
        <v>877</v>
      </c>
      <c r="D1359" s="91">
        <v>10.0</v>
      </c>
      <c r="E1359" s="92">
        <v>27.21</v>
      </c>
      <c r="F1359" s="92">
        <v>272.1</v>
      </c>
      <c r="G1359" s="93"/>
      <c r="H1359" s="92"/>
      <c r="I1359" s="92"/>
      <c r="J1359" s="82" t="b">
        <v>0</v>
      </c>
    </row>
    <row r="1360" ht="12.75" hidden="1" customHeight="1" outlineLevel="1">
      <c r="D1360" s="79"/>
      <c r="E1360" s="80"/>
      <c r="F1360" s="80"/>
      <c r="G1360" s="81"/>
      <c r="H1360" s="80"/>
      <c r="I1360" s="80"/>
      <c r="J1360" s="82" t="b">
        <v>0</v>
      </c>
    </row>
    <row r="1361" ht="12.75" hidden="1" customHeight="1" outlineLevel="1">
      <c r="B1361" s="90" t="s">
        <v>1164</v>
      </c>
      <c r="C1361" s="89" t="s">
        <v>877</v>
      </c>
      <c r="D1361" s="91">
        <v>8.0</v>
      </c>
      <c r="E1361" s="92">
        <v>28.33</v>
      </c>
      <c r="F1361" s="92">
        <v>226.64</v>
      </c>
      <c r="G1361" s="93"/>
      <c r="H1361" s="92"/>
      <c r="I1361" s="92"/>
      <c r="J1361" s="82" t="b">
        <v>0</v>
      </c>
    </row>
    <row r="1362" ht="12.75" hidden="1" customHeight="1" outlineLevel="1">
      <c r="D1362" s="79"/>
      <c r="E1362" s="80"/>
      <c r="F1362" s="80"/>
      <c r="G1362" s="81"/>
      <c r="H1362" s="80"/>
      <c r="I1362" s="80"/>
      <c r="J1362" s="82" t="b">
        <v>0</v>
      </c>
    </row>
    <row r="1363" ht="12.75" hidden="1" customHeight="1" outlineLevel="1">
      <c r="B1363" s="90" t="s">
        <v>1165</v>
      </c>
      <c r="C1363" s="89" t="s">
        <v>877</v>
      </c>
      <c r="D1363" s="91">
        <v>34.0</v>
      </c>
      <c r="E1363" s="92">
        <v>35.55</v>
      </c>
      <c r="F1363" s="92">
        <v>1208.7</v>
      </c>
      <c r="G1363" s="93"/>
      <c r="H1363" s="92"/>
      <c r="I1363" s="92"/>
      <c r="J1363" s="82" t="b">
        <v>0</v>
      </c>
    </row>
    <row r="1364" ht="12.75" hidden="1" customHeight="1" outlineLevel="1">
      <c r="D1364" s="79"/>
      <c r="E1364" s="80"/>
      <c r="F1364" s="80"/>
      <c r="G1364" s="81"/>
      <c r="H1364" s="80"/>
      <c r="I1364" s="80"/>
      <c r="J1364" s="82" t="b">
        <v>0</v>
      </c>
    </row>
    <row r="1365" ht="12.75" hidden="1" customHeight="1" outlineLevel="1">
      <c r="A1365" s="89">
        <v>6.9</v>
      </c>
      <c r="B1365" s="90" t="s">
        <v>1166</v>
      </c>
      <c r="D1365" s="79"/>
      <c r="E1365" s="80"/>
      <c r="F1365" s="80"/>
      <c r="G1365" s="81"/>
      <c r="H1365" s="80"/>
      <c r="I1365" s="80"/>
      <c r="J1365" s="82" t="b">
        <v>0</v>
      </c>
    </row>
    <row r="1366" ht="12.75" hidden="1" customHeight="1" outlineLevel="1">
      <c r="D1366" s="79"/>
      <c r="E1366" s="80"/>
      <c r="F1366" s="80"/>
      <c r="G1366" s="81"/>
      <c r="H1366" s="80"/>
      <c r="I1366" s="80"/>
      <c r="J1366" s="82" t="b">
        <v>0</v>
      </c>
    </row>
    <row r="1367" ht="12.75" hidden="1" customHeight="1" outlineLevel="1">
      <c r="B1367" s="90" t="s">
        <v>1167</v>
      </c>
      <c r="C1367" s="89" t="s">
        <v>877</v>
      </c>
      <c r="D1367" s="91">
        <v>56.0</v>
      </c>
      <c r="E1367" s="92">
        <v>12.93</v>
      </c>
      <c r="F1367" s="92">
        <v>724.08</v>
      </c>
      <c r="G1367" s="93"/>
      <c r="H1367" s="92"/>
      <c r="I1367" s="92"/>
      <c r="J1367" s="82" t="b">
        <v>0</v>
      </c>
    </row>
    <row r="1368" ht="12.75" hidden="1" customHeight="1" outlineLevel="1">
      <c r="D1368" s="79"/>
      <c r="E1368" s="80"/>
      <c r="F1368" s="80"/>
      <c r="G1368" s="81"/>
      <c r="H1368" s="80"/>
      <c r="I1368" s="80"/>
      <c r="J1368" s="82" t="b">
        <v>0</v>
      </c>
    </row>
    <row r="1369" ht="12.75" hidden="1" customHeight="1" outlineLevel="1">
      <c r="A1369" s="89">
        <v>6.1</v>
      </c>
      <c r="B1369" s="90" t="s">
        <v>1168</v>
      </c>
      <c r="D1369" s="79"/>
      <c r="E1369" s="80"/>
      <c r="F1369" s="80"/>
      <c r="G1369" s="81"/>
      <c r="H1369" s="80"/>
      <c r="I1369" s="80"/>
      <c r="J1369" s="82" t="b">
        <v>0</v>
      </c>
    </row>
    <row r="1370" ht="12.75" hidden="1" customHeight="1" outlineLevel="1">
      <c r="D1370" s="79"/>
      <c r="E1370" s="80"/>
      <c r="F1370" s="80"/>
      <c r="G1370" s="81"/>
      <c r="H1370" s="80"/>
      <c r="I1370" s="80"/>
      <c r="J1370" s="82" t="b">
        <v>0</v>
      </c>
    </row>
    <row r="1371" ht="12.75" hidden="1" customHeight="1" outlineLevel="1">
      <c r="B1371" s="90" t="s">
        <v>1169</v>
      </c>
      <c r="C1371" s="89" t="s">
        <v>877</v>
      </c>
      <c r="D1371" s="91">
        <v>28.0</v>
      </c>
      <c r="E1371" s="92">
        <v>12.59</v>
      </c>
      <c r="F1371" s="92">
        <v>352.52</v>
      </c>
      <c r="G1371" s="93"/>
      <c r="H1371" s="92"/>
      <c r="I1371" s="92"/>
      <c r="J1371" s="82" t="b">
        <v>0</v>
      </c>
    </row>
    <row r="1372" ht="12.75" hidden="1" customHeight="1" outlineLevel="1">
      <c r="D1372" s="79"/>
      <c r="E1372" s="80"/>
      <c r="F1372" s="80"/>
      <c r="G1372" s="81"/>
      <c r="H1372" s="80"/>
      <c r="I1372" s="80"/>
      <c r="J1372" s="82" t="b">
        <v>0</v>
      </c>
    </row>
    <row r="1373" ht="12.75" hidden="1" customHeight="1" outlineLevel="1">
      <c r="B1373" s="90" t="s">
        <v>1170</v>
      </c>
      <c r="C1373" s="89" t="s">
        <v>877</v>
      </c>
      <c r="D1373" s="91">
        <v>52.0</v>
      </c>
      <c r="E1373" s="92">
        <v>16.77</v>
      </c>
      <c r="F1373" s="92">
        <v>872.04</v>
      </c>
      <c r="G1373" s="93"/>
      <c r="H1373" s="92"/>
      <c r="I1373" s="92"/>
      <c r="J1373" s="82" t="b">
        <v>0</v>
      </c>
    </row>
    <row r="1374" ht="12.75" hidden="1" customHeight="1" outlineLevel="1">
      <c r="D1374" s="79"/>
      <c r="E1374" s="80"/>
      <c r="F1374" s="80"/>
      <c r="G1374" s="81"/>
      <c r="H1374" s="80"/>
      <c r="I1374" s="80"/>
      <c r="J1374" s="82" t="b">
        <v>0</v>
      </c>
    </row>
    <row r="1375" ht="12.75" hidden="1" customHeight="1" outlineLevel="1">
      <c r="B1375" s="90" t="s">
        <v>1167</v>
      </c>
      <c r="C1375" s="89" t="s">
        <v>877</v>
      </c>
      <c r="D1375" s="91">
        <v>76.0</v>
      </c>
      <c r="E1375" s="92">
        <v>20.75</v>
      </c>
      <c r="F1375" s="92">
        <v>1577.0</v>
      </c>
      <c r="G1375" s="93"/>
      <c r="H1375" s="92"/>
      <c r="I1375" s="92"/>
      <c r="J1375" s="82" t="b">
        <v>0</v>
      </c>
    </row>
    <row r="1376" ht="12.75" hidden="1" customHeight="1" outlineLevel="1">
      <c r="D1376" s="79"/>
      <c r="E1376" s="80"/>
      <c r="F1376" s="80"/>
      <c r="G1376" s="81"/>
      <c r="H1376" s="80"/>
      <c r="I1376" s="80"/>
      <c r="J1376" s="82" t="b">
        <v>0</v>
      </c>
    </row>
    <row r="1377" ht="12.75" hidden="1" customHeight="1" outlineLevel="1">
      <c r="B1377" s="90" t="s">
        <v>1171</v>
      </c>
      <c r="C1377" s="89" t="s">
        <v>877</v>
      </c>
      <c r="D1377" s="91">
        <v>20.0</v>
      </c>
      <c r="E1377" s="92">
        <v>32.69</v>
      </c>
      <c r="F1377" s="92">
        <v>653.8</v>
      </c>
      <c r="G1377" s="93"/>
      <c r="H1377" s="92"/>
      <c r="I1377" s="92"/>
      <c r="J1377" s="82" t="b">
        <v>0</v>
      </c>
    </row>
    <row r="1378" ht="12.75" hidden="1" customHeight="1" outlineLevel="1">
      <c r="D1378" s="79"/>
      <c r="E1378" s="80"/>
      <c r="F1378" s="80"/>
      <c r="G1378" s="81"/>
      <c r="H1378" s="80"/>
      <c r="I1378" s="80"/>
      <c r="J1378" s="82" t="b">
        <v>0</v>
      </c>
    </row>
    <row r="1379" ht="12.75" hidden="1" customHeight="1" outlineLevel="1">
      <c r="A1379" s="89" t="s">
        <v>1172</v>
      </c>
      <c r="B1379" s="90" t="s">
        <v>1173</v>
      </c>
      <c r="D1379" s="79"/>
      <c r="E1379" s="80"/>
      <c r="F1379" s="80"/>
      <c r="G1379" s="81"/>
      <c r="H1379" s="80"/>
      <c r="I1379" s="80"/>
      <c r="J1379" s="82" t="b">
        <v>0</v>
      </c>
    </row>
    <row r="1380" ht="12.75" hidden="1" customHeight="1" outlineLevel="1">
      <c r="D1380" s="79"/>
      <c r="E1380" s="80"/>
      <c r="F1380" s="80"/>
      <c r="G1380" s="81"/>
      <c r="H1380" s="80"/>
      <c r="I1380" s="80"/>
      <c r="J1380" s="82" t="b">
        <v>0</v>
      </c>
    </row>
    <row r="1381" ht="12.75" hidden="1" customHeight="1" outlineLevel="1">
      <c r="B1381" s="90" t="s">
        <v>1174</v>
      </c>
      <c r="C1381" s="89" t="s">
        <v>877</v>
      </c>
      <c r="D1381" s="91">
        <v>2200.0</v>
      </c>
      <c r="E1381" s="92">
        <v>2.59</v>
      </c>
      <c r="F1381" s="92">
        <v>5698.0</v>
      </c>
      <c r="G1381" s="93"/>
      <c r="H1381" s="92"/>
      <c r="I1381" s="92"/>
      <c r="J1381" s="82" t="b">
        <v>0</v>
      </c>
    </row>
    <row r="1382" ht="12.75" hidden="1" customHeight="1" outlineLevel="1">
      <c r="D1382" s="79"/>
      <c r="E1382" s="80"/>
      <c r="F1382" s="80"/>
      <c r="G1382" s="81"/>
      <c r="H1382" s="80"/>
      <c r="I1382" s="80"/>
      <c r="J1382" s="82" t="b">
        <v>0</v>
      </c>
    </row>
    <row r="1383" ht="12.75" hidden="1" customHeight="1" outlineLevel="1">
      <c r="B1383" s="90" t="s">
        <v>1175</v>
      </c>
      <c r="C1383" s="89" t="s">
        <v>40</v>
      </c>
      <c r="D1383" s="91">
        <v>300.0</v>
      </c>
      <c r="E1383" s="92">
        <v>32.17</v>
      </c>
      <c r="F1383" s="92">
        <v>9651.0</v>
      </c>
      <c r="G1383" s="93"/>
      <c r="H1383" s="92"/>
      <c r="I1383" s="92"/>
      <c r="J1383" s="82" t="b">
        <v>0</v>
      </c>
    </row>
    <row r="1384" ht="12.75" hidden="1" customHeight="1" outlineLevel="1">
      <c r="D1384" s="79"/>
      <c r="E1384" s="80"/>
      <c r="F1384" s="80"/>
      <c r="G1384" s="81"/>
      <c r="H1384" s="80"/>
      <c r="I1384" s="80"/>
      <c r="J1384" s="82" t="b">
        <v>0</v>
      </c>
    </row>
    <row r="1385" ht="12.75" hidden="1" customHeight="1" outlineLevel="1">
      <c r="B1385" s="90" t="s">
        <v>1176</v>
      </c>
      <c r="C1385" s="89" t="s">
        <v>877</v>
      </c>
      <c r="D1385" s="91">
        <v>270.0</v>
      </c>
      <c r="E1385" s="92">
        <v>2.94</v>
      </c>
      <c r="F1385" s="92">
        <v>793.8</v>
      </c>
      <c r="G1385" s="93"/>
      <c r="H1385" s="92"/>
      <c r="I1385" s="92"/>
      <c r="J1385" s="82" t="b">
        <v>0</v>
      </c>
    </row>
    <row r="1386" ht="12.75" hidden="1" customHeight="1" outlineLevel="1">
      <c r="D1386" s="79"/>
      <c r="E1386" s="80"/>
      <c r="F1386" s="80"/>
      <c r="G1386" s="81"/>
      <c r="H1386" s="80"/>
      <c r="I1386" s="80"/>
      <c r="J1386" s="82" t="b">
        <v>0</v>
      </c>
    </row>
    <row r="1387" ht="12.75" hidden="1" customHeight="1" outlineLevel="1">
      <c r="B1387" s="90" t="s">
        <v>1177</v>
      </c>
      <c r="C1387" s="89" t="s">
        <v>75</v>
      </c>
      <c r="D1387" s="91">
        <v>3.0</v>
      </c>
      <c r="E1387" s="92">
        <v>234.72</v>
      </c>
      <c r="F1387" s="92">
        <v>704.16</v>
      </c>
      <c r="G1387" s="93"/>
      <c r="H1387" s="92"/>
      <c r="I1387" s="92"/>
      <c r="J1387" s="82" t="b">
        <v>0</v>
      </c>
    </row>
    <row r="1388" ht="12.75" hidden="1" customHeight="1" outlineLevel="1">
      <c r="D1388" s="79"/>
      <c r="E1388" s="80"/>
      <c r="F1388" s="80"/>
      <c r="G1388" s="81"/>
      <c r="H1388" s="80"/>
      <c r="I1388" s="80"/>
      <c r="J1388" s="82" t="b">
        <v>0</v>
      </c>
    </row>
    <row r="1389" ht="12.75" hidden="1" customHeight="1" outlineLevel="1">
      <c r="B1389" s="90" t="s">
        <v>1178</v>
      </c>
      <c r="C1389" s="89" t="s">
        <v>75</v>
      </c>
      <c r="D1389" s="91">
        <v>300.0</v>
      </c>
      <c r="E1389" s="92">
        <v>1.11</v>
      </c>
      <c r="F1389" s="92">
        <v>333.0</v>
      </c>
      <c r="G1389" s="93"/>
      <c r="H1389" s="92"/>
      <c r="I1389" s="92"/>
      <c r="J1389" s="82" t="b">
        <v>0</v>
      </c>
    </row>
    <row r="1390" ht="12.75" hidden="1" customHeight="1" outlineLevel="1">
      <c r="D1390" s="79"/>
      <c r="E1390" s="80"/>
      <c r="F1390" s="80"/>
      <c r="G1390" s="81"/>
      <c r="H1390" s="80"/>
      <c r="I1390" s="80"/>
      <c r="J1390" s="82" t="b">
        <v>0</v>
      </c>
    </row>
    <row r="1391" ht="12.75" hidden="1" customHeight="1" outlineLevel="1">
      <c r="B1391" s="90" t="s">
        <v>1179</v>
      </c>
      <c r="C1391" s="89" t="s">
        <v>1180</v>
      </c>
      <c r="D1391" s="91">
        <v>4.0</v>
      </c>
      <c r="E1391" s="92">
        <v>72.4</v>
      </c>
      <c r="F1391" s="92">
        <v>289.6</v>
      </c>
      <c r="G1391" s="93"/>
      <c r="H1391" s="92"/>
      <c r="I1391" s="92"/>
      <c r="J1391" s="82" t="b">
        <v>0</v>
      </c>
    </row>
    <row r="1392" ht="12.75" hidden="1" customHeight="1" outlineLevel="1">
      <c r="D1392" s="79"/>
      <c r="E1392" s="80"/>
      <c r="F1392" s="80"/>
      <c r="G1392" s="81"/>
      <c r="H1392" s="80"/>
      <c r="I1392" s="80"/>
      <c r="J1392" s="82" t="b">
        <v>0</v>
      </c>
    </row>
    <row r="1393" ht="12.75" hidden="1" customHeight="1" outlineLevel="1">
      <c r="B1393" s="90" t="s">
        <v>1181</v>
      </c>
      <c r="C1393" s="89" t="s">
        <v>75</v>
      </c>
      <c r="D1393" s="91">
        <v>1.0</v>
      </c>
      <c r="E1393" s="92">
        <v>333.23</v>
      </c>
      <c r="F1393" s="92">
        <v>333.23</v>
      </c>
      <c r="G1393" s="93"/>
      <c r="H1393" s="92"/>
      <c r="I1393" s="92"/>
      <c r="J1393" s="82" t="b">
        <v>0</v>
      </c>
    </row>
    <row r="1394" ht="12.75" hidden="1" customHeight="1" outlineLevel="1">
      <c r="D1394" s="79"/>
      <c r="E1394" s="80"/>
      <c r="F1394" s="80"/>
      <c r="G1394" s="81"/>
      <c r="H1394" s="80"/>
      <c r="I1394" s="80"/>
      <c r="J1394" s="82" t="b">
        <v>0</v>
      </c>
    </row>
    <row r="1395" ht="12.75" hidden="1" customHeight="1" outlineLevel="1">
      <c r="B1395" s="90" t="s">
        <v>1182</v>
      </c>
      <c r="C1395" s="89" t="s">
        <v>75</v>
      </c>
      <c r="D1395" s="91">
        <v>2.0</v>
      </c>
      <c r="E1395" s="92">
        <v>365.55</v>
      </c>
      <c r="F1395" s="92">
        <v>731.1</v>
      </c>
      <c r="G1395" s="93"/>
      <c r="H1395" s="92"/>
      <c r="I1395" s="92"/>
      <c r="J1395" s="82" t="b">
        <v>0</v>
      </c>
    </row>
    <row r="1396" ht="12.75" hidden="1" customHeight="1" outlineLevel="1">
      <c r="D1396" s="79"/>
      <c r="E1396" s="80"/>
      <c r="F1396" s="80"/>
      <c r="G1396" s="81"/>
      <c r="H1396" s="80"/>
      <c r="I1396" s="80"/>
      <c r="J1396" s="82" t="b">
        <v>0</v>
      </c>
    </row>
    <row r="1397" ht="12.75" hidden="1" customHeight="1" outlineLevel="1">
      <c r="B1397" s="90" t="s">
        <v>1183</v>
      </c>
      <c r="C1397" s="89" t="s">
        <v>75</v>
      </c>
      <c r="D1397" s="91">
        <v>1.0</v>
      </c>
      <c r="E1397" s="92">
        <v>400.96</v>
      </c>
      <c r="F1397" s="92">
        <v>400.96</v>
      </c>
      <c r="G1397" s="93"/>
      <c r="H1397" s="92"/>
      <c r="I1397" s="92"/>
      <c r="J1397" s="82" t="b">
        <v>0</v>
      </c>
    </row>
    <row r="1398" ht="12.75" hidden="1" customHeight="1" outlineLevel="1">
      <c r="D1398" s="79"/>
      <c r="E1398" s="80"/>
      <c r="F1398" s="80"/>
      <c r="G1398" s="81"/>
      <c r="H1398" s="80"/>
      <c r="I1398" s="80"/>
      <c r="J1398" s="82" t="b">
        <v>0</v>
      </c>
    </row>
    <row r="1399" ht="12.75" hidden="1" customHeight="1" outlineLevel="1">
      <c r="B1399" s="90" t="s">
        <v>1184</v>
      </c>
      <c r="C1399" s="89" t="s">
        <v>75</v>
      </c>
      <c r="D1399" s="91">
        <v>1.0</v>
      </c>
      <c r="E1399" s="92">
        <v>242.12</v>
      </c>
      <c r="F1399" s="92">
        <v>242.12</v>
      </c>
      <c r="G1399" s="93"/>
      <c r="H1399" s="92"/>
      <c r="I1399" s="92"/>
      <c r="J1399" s="82" t="b">
        <v>0</v>
      </c>
    </row>
    <row r="1400" ht="12.75" hidden="1" customHeight="1" outlineLevel="1">
      <c r="D1400" s="79"/>
      <c r="E1400" s="80"/>
      <c r="F1400" s="80"/>
      <c r="G1400" s="81"/>
      <c r="H1400" s="80"/>
      <c r="I1400" s="80"/>
      <c r="J1400" s="82" t="b">
        <v>0</v>
      </c>
    </row>
    <row r="1401" ht="12.75" hidden="1" customHeight="1" outlineLevel="1">
      <c r="B1401" s="90" t="s">
        <v>1185</v>
      </c>
      <c r="C1401" s="89" t="s">
        <v>75</v>
      </c>
      <c r="D1401" s="91">
        <v>3.0</v>
      </c>
      <c r="E1401" s="92">
        <v>257.4</v>
      </c>
      <c r="F1401" s="92">
        <v>772.2</v>
      </c>
      <c r="G1401" s="93"/>
      <c r="H1401" s="92"/>
      <c r="I1401" s="92"/>
      <c r="J1401" s="82" t="b">
        <v>0</v>
      </c>
    </row>
    <row r="1402" ht="12.75" hidden="1" customHeight="1" outlineLevel="1">
      <c r="D1402" s="79"/>
      <c r="E1402" s="80"/>
      <c r="F1402" s="80"/>
      <c r="G1402" s="81"/>
      <c r="H1402" s="80"/>
      <c r="I1402" s="80"/>
      <c r="J1402" s="82" t="b">
        <v>0</v>
      </c>
    </row>
    <row r="1403" ht="12.75" hidden="1" customHeight="1" outlineLevel="1">
      <c r="B1403" s="90" t="s">
        <v>1186</v>
      </c>
      <c r="C1403" s="89" t="s">
        <v>75</v>
      </c>
      <c r="D1403" s="91">
        <v>8.0</v>
      </c>
      <c r="E1403" s="92">
        <v>92.78</v>
      </c>
      <c r="F1403" s="92">
        <v>742.24</v>
      </c>
      <c r="G1403" s="93"/>
      <c r="H1403" s="92"/>
      <c r="I1403" s="92"/>
      <c r="J1403" s="82" t="b">
        <v>0</v>
      </c>
    </row>
    <row r="1404" ht="12.75" hidden="1" customHeight="1" outlineLevel="1">
      <c r="D1404" s="79"/>
      <c r="E1404" s="80"/>
      <c r="F1404" s="80"/>
      <c r="G1404" s="81"/>
      <c r="H1404" s="80"/>
      <c r="I1404" s="80"/>
      <c r="J1404" s="82" t="b">
        <v>0</v>
      </c>
    </row>
    <row r="1405" ht="12.75" hidden="1" customHeight="1" outlineLevel="1">
      <c r="B1405" s="90" t="s">
        <v>1187</v>
      </c>
      <c r="C1405" s="89" t="s">
        <v>75</v>
      </c>
      <c r="D1405" s="91">
        <v>48.0</v>
      </c>
      <c r="E1405" s="92">
        <v>9.96</v>
      </c>
      <c r="F1405" s="92">
        <v>478.08</v>
      </c>
      <c r="G1405" s="93"/>
      <c r="H1405" s="92"/>
      <c r="I1405" s="92"/>
      <c r="J1405" s="82" t="b">
        <v>0</v>
      </c>
    </row>
    <row r="1406" ht="12.75" hidden="1" customHeight="1" outlineLevel="1">
      <c r="D1406" s="79"/>
      <c r="E1406" s="80"/>
      <c r="F1406" s="80"/>
      <c r="G1406" s="81"/>
      <c r="H1406" s="80"/>
      <c r="I1406" s="80"/>
      <c r="J1406" s="82" t="b">
        <v>0</v>
      </c>
    </row>
    <row r="1407" ht="12.75" hidden="1" customHeight="1" outlineLevel="1">
      <c r="B1407" s="90" t="s">
        <v>1188</v>
      </c>
      <c r="C1407" s="89" t="s">
        <v>75</v>
      </c>
      <c r="D1407" s="91">
        <v>1.0</v>
      </c>
      <c r="E1407" s="92">
        <v>2491.0</v>
      </c>
      <c r="F1407" s="92">
        <v>2491.0</v>
      </c>
      <c r="G1407" s="93"/>
      <c r="H1407" s="92"/>
      <c r="I1407" s="92"/>
      <c r="J1407" s="82" t="b">
        <v>0</v>
      </c>
    </row>
    <row r="1408" ht="12.75" hidden="1" customHeight="1" outlineLevel="1">
      <c r="D1408" s="79"/>
      <c r="E1408" s="80"/>
      <c r="F1408" s="80"/>
      <c r="G1408" s="81"/>
      <c r="H1408" s="80"/>
      <c r="I1408" s="80"/>
      <c r="J1408" s="82" t="b">
        <v>0</v>
      </c>
    </row>
    <row r="1409" ht="12.75" hidden="1" customHeight="1" outlineLevel="1">
      <c r="B1409" s="90" t="s">
        <v>1189</v>
      </c>
      <c r="C1409" s="89" t="s">
        <v>75</v>
      </c>
      <c r="D1409" s="91">
        <v>1.0</v>
      </c>
      <c r="E1409" s="92">
        <v>144.21</v>
      </c>
      <c r="F1409" s="92">
        <v>144.21</v>
      </c>
      <c r="G1409" s="93"/>
      <c r="H1409" s="92"/>
      <c r="I1409" s="92"/>
      <c r="J1409" s="82" t="b">
        <v>0</v>
      </c>
    </row>
    <row r="1410" ht="12.75" hidden="1" customHeight="1" outlineLevel="1">
      <c r="D1410" s="79"/>
      <c r="E1410" s="80"/>
      <c r="F1410" s="80"/>
      <c r="G1410" s="81"/>
      <c r="H1410" s="80"/>
      <c r="I1410" s="80"/>
      <c r="J1410" s="82" t="b">
        <v>0</v>
      </c>
    </row>
    <row r="1411" ht="12.75" hidden="1" customHeight="1" outlineLevel="1">
      <c r="B1411" s="90" t="s">
        <v>1190</v>
      </c>
      <c r="C1411" s="89" t="s">
        <v>75</v>
      </c>
      <c r="D1411" s="91">
        <v>1.0</v>
      </c>
      <c r="E1411" s="92">
        <v>304.73</v>
      </c>
      <c r="F1411" s="92">
        <v>304.73</v>
      </c>
      <c r="G1411" s="93"/>
      <c r="H1411" s="92"/>
      <c r="I1411" s="92"/>
      <c r="J1411" s="82" t="b">
        <v>0</v>
      </c>
    </row>
    <row r="1412" ht="12.75" hidden="1" customHeight="1" outlineLevel="1">
      <c r="D1412" s="79"/>
      <c r="E1412" s="80"/>
      <c r="F1412" s="80"/>
      <c r="G1412" s="81"/>
      <c r="H1412" s="80"/>
      <c r="I1412" s="80"/>
      <c r="J1412" s="82" t="b">
        <v>0</v>
      </c>
    </row>
    <row r="1413" ht="12.75" hidden="1" customHeight="1" outlineLevel="1">
      <c r="B1413" s="90" t="s">
        <v>1191</v>
      </c>
      <c r="C1413" s="89" t="s">
        <v>75</v>
      </c>
      <c r="D1413" s="91">
        <v>0.0</v>
      </c>
      <c r="E1413" s="80"/>
      <c r="F1413" s="92">
        <v>0.0</v>
      </c>
      <c r="G1413" s="93"/>
      <c r="H1413" s="92"/>
      <c r="I1413" s="92"/>
      <c r="J1413" s="82" t="b">
        <v>0</v>
      </c>
    </row>
    <row r="1414" ht="12.75" hidden="1" customHeight="1" outlineLevel="1">
      <c r="D1414" s="79"/>
      <c r="E1414" s="80"/>
      <c r="F1414" s="80"/>
      <c r="G1414" s="81"/>
      <c r="H1414" s="80"/>
      <c r="I1414" s="80"/>
      <c r="J1414" s="82" t="b">
        <v>0</v>
      </c>
    </row>
    <row r="1415" ht="12.75" hidden="1" customHeight="1" outlineLevel="1">
      <c r="B1415" s="90" t="s">
        <v>1192</v>
      </c>
      <c r="C1415" s="89" t="s">
        <v>75</v>
      </c>
      <c r="D1415" s="91">
        <v>24.0</v>
      </c>
      <c r="E1415" s="92">
        <v>49.19</v>
      </c>
      <c r="F1415" s="92">
        <v>1180.56</v>
      </c>
      <c r="G1415" s="93"/>
      <c r="H1415" s="92"/>
      <c r="I1415" s="92"/>
      <c r="J1415" s="82" t="b">
        <v>0</v>
      </c>
    </row>
    <row r="1416" ht="12.75" hidden="1" customHeight="1" outlineLevel="1">
      <c r="D1416" s="79"/>
      <c r="E1416" s="80"/>
      <c r="F1416" s="80"/>
      <c r="G1416" s="81"/>
      <c r="H1416" s="80"/>
      <c r="I1416" s="80"/>
      <c r="J1416" s="82" t="b">
        <v>0</v>
      </c>
    </row>
    <row r="1417" ht="12.75" hidden="1" customHeight="1" outlineLevel="1">
      <c r="B1417" s="90" t="s">
        <v>1193</v>
      </c>
      <c r="C1417" s="89" t="s">
        <v>75</v>
      </c>
      <c r="D1417" s="91">
        <v>2.0</v>
      </c>
      <c r="E1417" s="92">
        <v>1548.07</v>
      </c>
      <c r="F1417" s="92">
        <v>3096.14</v>
      </c>
      <c r="G1417" s="93"/>
      <c r="H1417" s="92"/>
      <c r="I1417" s="92"/>
      <c r="J1417" s="82" t="b">
        <v>0</v>
      </c>
    </row>
    <row r="1418" ht="12.75" hidden="1" customHeight="1" outlineLevel="1">
      <c r="D1418" s="79"/>
      <c r="E1418" s="80"/>
      <c r="F1418" s="80"/>
      <c r="G1418" s="81"/>
      <c r="H1418" s="80"/>
      <c r="I1418" s="80"/>
      <c r="J1418" s="82" t="b">
        <v>0</v>
      </c>
    </row>
    <row r="1419" ht="12.75" hidden="1" customHeight="1" outlineLevel="1">
      <c r="B1419" s="90" t="s">
        <v>1194</v>
      </c>
      <c r="C1419" s="89" t="s">
        <v>75</v>
      </c>
      <c r="D1419" s="91">
        <v>2.0</v>
      </c>
      <c r="E1419" s="80"/>
      <c r="F1419" s="135" t="s">
        <v>619</v>
      </c>
      <c r="G1419" s="159"/>
      <c r="H1419" s="135"/>
      <c r="I1419" s="135"/>
      <c r="J1419" s="82" t="b">
        <v>0</v>
      </c>
    </row>
    <row r="1420" ht="12.75" hidden="1" customHeight="1" outlineLevel="1">
      <c r="D1420" s="79"/>
      <c r="E1420" s="80"/>
      <c r="F1420" s="80"/>
      <c r="G1420" s="81"/>
      <c r="H1420" s="80"/>
      <c r="I1420" s="80"/>
      <c r="J1420" s="82" t="b">
        <v>0</v>
      </c>
    </row>
    <row r="1421" ht="12.75" hidden="1" customHeight="1" outlineLevel="1">
      <c r="B1421" s="90" t="s">
        <v>1195</v>
      </c>
      <c r="C1421" s="89" t="s">
        <v>75</v>
      </c>
      <c r="D1421" s="91">
        <v>2.0</v>
      </c>
      <c r="E1421" s="92">
        <v>273.04</v>
      </c>
      <c r="F1421" s="92">
        <v>546.08</v>
      </c>
      <c r="G1421" s="93"/>
      <c r="H1421" s="92"/>
      <c r="I1421" s="92"/>
      <c r="J1421" s="82" t="b">
        <v>0</v>
      </c>
    </row>
    <row r="1422" ht="12.75" hidden="1" customHeight="1" outlineLevel="1">
      <c r="D1422" s="79"/>
      <c r="E1422" s="80"/>
      <c r="F1422" s="80"/>
      <c r="G1422" s="81"/>
      <c r="H1422" s="80"/>
      <c r="I1422" s="80"/>
      <c r="J1422" s="82" t="b">
        <v>0</v>
      </c>
    </row>
    <row r="1423" ht="12.75" hidden="1" customHeight="1" outlineLevel="1">
      <c r="B1423" s="90" t="s">
        <v>1196</v>
      </c>
      <c r="C1423" s="89" t="s">
        <v>75</v>
      </c>
      <c r="D1423" s="91">
        <v>4.0</v>
      </c>
      <c r="E1423" s="80"/>
      <c r="F1423" s="135" t="s">
        <v>619</v>
      </c>
      <c r="G1423" s="159"/>
      <c r="H1423" s="135"/>
      <c r="I1423" s="135"/>
      <c r="J1423" s="82" t="b">
        <v>0</v>
      </c>
    </row>
    <row r="1424" ht="12.75" hidden="1" customHeight="1" outlineLevel="1">
      <c r="D1424" s="79"/>
      <c r="E1424" s="80"/>
      <c r="F1424" s="80"/>
      <c r="G1424" s="81"/>
      <c r="H1424" s="80"/>
      <c r="I1424" s="80"/>
      <c r="J1424" s="82" t="b">
        <v>0</v>
      </c>
    </row>
    <row r="1425" ht="12.75" hidden="1" customHeight="1" outlineLevel="1">
      <c r="B1425" s="90" t="s">
        <v>1197</v>
      </c>
      <c r="C1425" s="89" t="s">
        <v>75</v>
      </c>
      <c r="D1425" s="91">
        <v>4.0</v>
      </c>
      <c r="E1425" s="80"/>
      <c r="F1425" s="135" t="s">
        <v>619</v>
      </c>
      <c r="G1425" s="159"/>
      <c r="H1425" s="135"/>
      <c r="I1425" s="135"/>
      <c r="J1425" s="82" t="b">
        <v>0</v>
      </c>
    </row>
    <row r="1426" ht="12.75" hidden="1" customHeight="1" outlineLevel="1">
      <c r="D1426" s="79"/>
      <c r="E1426" s="80"/>
      <c r="F1426" s="80"/>
      <c r="G1426" s="81"/>
      <c r="H1426" s="80"/>
      <c r="I1426" s="80"/>
      <c r="J1426" s="82" t="b">
        <v>0</v>
      </c>
    </row>
    <row r="1427" ht="12.75" hidden="1" customHeight="1" outlineLevel="1">
      <c r="B1427" s="90" t="s">
        <v>1198</v>
      </c>
      <c r="C1427" s="89" t="s">
        <v>33</v>
      </c>
      <c r="D1427" s="91">
        <v>1.0</v>
      </c>
      <c r="E1427" s="92">
        <v>2589.17</v>
      </c>
      <c r="F1427" s="92">
        <v>2589.17</v>
      </c>
      <c r="G1427" s="93"/>
      <c r="H1427" s="92"/>
      <c r="I1427" s="92"/>
      <c r="J1427" s="82" t="b">
        <v>0</v>
      </c>
    </row>
    <row r="1428" ht="12.75" hidden="1" customHeight="1" outlineLevel="1">
      <c r="D1428" s="79"/>
      <c r="E1428" s="80"/>
      <c r="F1428" s="80"/>
      <c r="G1428" s="81"/>
      <c r="H1428" s="80"/>
      <c r="I1428" s="80"/>
      <c r="J1428" s="82" t="b">
        <v>0</v>
      </c>
    </row>
    <row r="1429" ht="12.75" hidden="1" customHeight="1" outlineLevel="1">
      <c r="A1429" s="89" t="s">
        <v>1199</v>
      </c>
      <c r="B1429" s="90" t="s">
        <v>1200</v>
      </c>
      <c r="D1429" s="79"/>
      <c r="E1429" s="80"/>
      <c r="F1429" s="80"/>
      <c r="G1429" s="81"/>
      <c r="H1429" s="80"/>
      <c r="I1429" s="80"/>
      <c r="J1429" s="82" t="b">
        <v>0</v>
      </c>
    </row>
    <row r="1430" ht="12.75" hidden="1" customHeight="1" outlineLevel="1">
      <c r="D1430" s="79"/>
      <c r="E1430" s="80"/>
      <c r="F1430" s="80"/>
      <c r="G1430" s="81"/>
      <c r="H1430" s="80"/>
      <c r="I1430" s="80"/>
      <c r="J1430" s="82" t="b">
        <v>0</v>
      </c>
    </row>
    <row r="1431" ht="12.75" hidden="1" customHeight="1" outlineLevel="1">
      <c r="B1431" s="90" t="s">
        <v>1201</v>
      </c>
      <c r="C1431" s="89" t="s">
        <v>1202</v>
      </c>
      <c r="D1431" s="91">
        <v>3.0</v>
      </c>
      <c r="E1431" s="92">
        <v>793.32</v>
      </c>
      <c r="F1431" s="92">
        <v>2379.96</v>
      </c>
      <c r="G1431" s="93"/>
      <c r="H1431" s="92"/>
      <c r="I1431" s="92"/>
      <c r="J1431" s="82" t="b">
        <v>0</v>
      </c>
    </row>
    <row r="1432" ht="12.75" hidden="1" customHeight="1" outlineLevel="1">
      <c r="D1432" s="79"/>
      <c r="E1432" s="80"/>
      <c r="F1432" s="80"/>
      <c r="G1432" s="81"/>
      <c r="H1432" s="80"/>
      <c r="I1432" s="80"/>
      <c r="J1432" s="82" t="b">
        <v>0</v>
      </c>
    </row>
    <row r="1433" ht="12.75" hidden="1" customHeight="1" outlineLevel="1">
      <c r="B1433" s="90" t="s">
        <v>1203</v>
      </c>
      <c r="C1433" s="89" t="s">
        <v>1202</v>
      </c>
      <c r="D1433" s="91">
        <v>3.0</v>
      </c>
      <c r="E1433" s="92">
        <v>1024.99</v>
      </c>
      <c r="F1433" s="92">
        <v>3074.97</v>
      </c>
      <c r="G1433" s="93"/>
      <c r="H1433" s="92"/>
      <c r="I1433" s="92"/>
      <c r="J1433" s="82" t="b">
        <v>0</v>
      </c>
    </row>
    <row r="1434" ht="12.75" hidden="1" customHeight="1" outlineLevel="1">
      <c r="D1434" s="79"/>
      <c r="E1434" s="80"/>
      <c r="F1434" s="80"/>
      <c r="G1434" s="81"/>
      <c r="H1434" s="80"/>
      <c r="I1434" s="80"/>
      <c r="J1434" s="82" t="b">
        <v>0</v>
      </c>
    </row>
    <row r="1435" ht="12.75" hidden="1" customHeight="1" outlineLevel="1">
      <c r="B1435" s="90" t="s">
        <v>1204</v>
      </c>
      <c r="C1435" s="89" t="s">
        <v>75</v>
      </c>
      <c r="D1435" s="91">
        <v>1.0</v>
      </c>
      <c r="E1435" s="92">
        <v>5205.12</v>
      </c>
      <c r="F1435" s="92">
        <v>5205.12</v>
      </c>
      <c r="G1435" s="93"/>
      <c r="H1435" s="92"/>
      <c r="I1435" s="92"/>
      <c r="J1435" s="82" t="b">
        <v>0</v>
      </c>
    </row>
    <row r="1436" ht="12.75" hidden="1" customHeight="1" outlineLevel="1">
      <c r="D1436" s="79"/>
      <c r="E1436" s="80"/>
      <c r="F1436" s="80"/>
      <c r="G1436" s="81"/>
      <c r="H1436" s="80"/>
      <c r="I1436" s="80"/>
      <c r="J1436" s="82" t="b">
        <v>0</v>
      </c>
    </row>
    <row r="1437" ht="12.75" hidden="1" customHeight="1" outlineLevel="1">
      <c r="B1437" s="90" t="s">
        <v>1205</v>
      </c>
      <c r="C1437" s="89" t="s">
        <v>75</v>
      </c>
      <c r="D1437" s="91">
        <v>1.0</v>
      </c>
      <c r="E1437" s="92">
        <v>1218.04</v>
      </c>
      <c r="F1437" s="92">
        <v>1218.04</v>
      </c>
      <c r="G1437" s="93"/>
      <c r="H1437" s="92"/>
      <c r="I1437" s="92"/>
      <c r="J1437" s="82" t="b">
        <v>0</v>
      </c>
    </row>
    <row r="1438" ht="12.75" hidden="1" customHeight="1" outlineLevel="1">
      <c r="D1438" s="79"/>
      <c r="E1438" s="80"/>
      <c r="F1438" s="80"/>
      <c r="G1438" s="81"/>
      <c r="H1438" s="80"/>
      <c r="I1438" s="80"/>
      <c r="J1438" s="82" t="b">
        <v>0</v>
      </c>
    </row>
    <row r="1439" ht="12.75" hidden="1" customHeight="1" outlineLevel="1">
      <c r="B1439" s="90" t="s">
        <v>1206</v>
      </c>
      <c r="C1439" s="89" t="s">
        <v>75</v>
      </c>
      <c r="D1439" s="91">
        <v>1.0</v>
      </c>
      <c r="E1439" s="92">
        <v>1170.29</v>
      </c>
      <c r="F1439" s="92">
        <v>1170.29</v>
      </c>
      <c r="G1439" s="93"/>
      <c r="H1439" s="92"/>
      <c r="I1439" s="92"/>
      <c r="J1439" s="82" t="b">
        <v>0</v>
      </c>
    </row>
    <row r="1440" ht="12.75" hidden="1" customHeight="1" outlineLevel="1">
      <c r="D1440" s="79"/>
      <c r="E1440" s="80"/>
      <c r="F1440" s="80"/>
      <c r="G1440" s="81"/>
      <c r="H1440" s="80"/>
      <c r="I1440" s="80"/>
      <c r="J1440" s="82" t="b">
        <v>0</v>
      </c>
    </row>
    <row r="1441" ht="12.75" hidden="1" customHeight="1" outlineLevel="1">
      <c r="B1441" s="90" t="s">
        <v>1207</v>
      </c>
      <c r="C1441" s="89" t="s">
        <v>1180</v>
      </c>
      <c r="D1441" s="91">
        <v>3.0</v>
      </c>
      <c r="E1441" s="92">
        <v>46.86</v>
      </c>
      <c r="F1441" s="92">
        <v>140.58</v>
      </c>
      <c r="G1441" s="93"/>
      <c r="H1441" s="92"/>
      <c r="I1441" s="92"/>
      <c r="J1441" s="82" t="b">
        <v>0</v>
      </c>
    </row>
    <row r="1442" ht="12.75" hidden="1" customHeight="1" outlineLevel="1">
      <c r="D1442" s="79"/>
      <c r="E1442" s="80"/>
      <c r="F1442" s="80"/>
      <c r="G1442" s="81"/>
      <c r="H1442" s="80"/>
      <c r="I1442" s="80"/>
      <c r="J1442" s="82" t="b">
        <v>0</v>
      </c>
    </row>
    <row r="1443" ht="12.75" hidden="1" customHeight="1" outlineLevel="1">
      <c r="B1443" s="90" t="s">
        <v>1208</v>
      </c>
      <c r="C1443" s="89" t="s">
        <v>75</v>
      </c>
      <c r="D1443" s="91">
        <v>1.0</v>
      </c>
      <c r="E1443" s="92">
        <v>296.42</v>
      </c>
      <c r="F1443" s="92">
        <v>296.42</v>
      </c>
      <c r="G1443" s="93"/>
      <c r="H1443" s="92"/>
      <c r="I1443" s="92"/>
      <c r="J1443" s="82" t="b">
        <v>0</v>
      </c>
    </row>
    <row r="1444" ht="12.75" hidden="1" customHeight="1" outlineLevel="1">
      <c r="D1444" s="79"/>
      <c r="E1444" s="80"/>
      <c r="F1444" s="80"/>
      <c r="G1444" s="81"/>
      <c r="H1444" s="80"/>
      <c r="I1444" s="80"/>
      <c r="J1444" s="82" t="b">
        <v>0</v>
      </c>
    </row>
    <row r="1445" ht="12.75" hidden="1" customHeight="1" outlineLevel="1">
      <c r="B1445" s="90" t="s">
        <v>1209</v>
      </c>
      <c r="C1445" s="89" t="s">
        <v>75</v>
      </c>
      <c r="D1445" s="91">
        <v>1.0</v>
      </c>
      <c r="E1445" s="92">
        <v>220.34</v>
      </c>
      <c r="F1445" s="92">
        <v>220.34</v>
      </c>
      <c r="G1445" s="93"/>
      <c r="H1445" s="92"/>
      <c r="I1445" s="92"/>
      <c r="J1445" s="82" t="b">
        <v>0</v>
      </c>
    </row>
    <row r="1446" ht="12.75" hidden="1" customHeight="1" outlineLevel="1">
      <c r="D1446" s="79"/>
      <c r="E1446" s="80"/>
      <c r="F1446" s="80"/>
      <c r="G1446" s="81"/>
      <c r="H1446" s="80"/>
      <c r="I1446" s="80"/>
      <c r="J1446" s="82" t="b">
        <v>0</v>
      </c>
    </row>
    <row r="1447" ht="12.75" hidden="1" customHeight="1" outlineLevel="1">
      <c r="B1447" s="90" t="s">
        <v>1210</v>
      </c>
      <c r="C1447" s="89" t="s">
        <v>75</v>
      </c>
      <c r="D1447" s="91">
        <v>1.0</v>
      </c>
      <c r="E1447" s="92">
        <v>185.92</v>
      </c>
      <c r="F1447" s="92">
        <v>185.92</v>
      </c>
      <c r="G1447" s="93"/>
      <c r="H1447" s="92"/>
      <c r="I1447" s="92"/>
      <c r="J1447" s="82" t="b">
        <v>0</v>
      </c>
    </row>
    <row r="1448" ht="12.75" hidden="1" customHeight="1" outlineLevel="1">
      <c r="D1448" s="79"/>
      <c r="E1448" s="80"/>
      <c r="F1448" s="80"/>
      <c r="G1448" s="81"/>
      <c r="H1448" s="80"/>
      <c r="I1448" s="80"/>
      <c r="J1448" s="82" t="b">
        <v>0</v>
      </c>
    </row>
    <row r="1449" ht="12.75" hidden="1" customHeight="1" outlineLevel="1">
      <c r="B1449" s="90" t="s">
        <v>1211</v>
      </c>
      <c r="C1449" s="89" t="s">
        <v>877</v>
      </c>
      <c r="D1449" s="91">
        <v>40.0</v>
      </c>
      <c r="E1449" s="92">
        <v>22.55</v>
      </c>
      <c r="F1449" s="92">
        <v>902.0</v>
      </c>
      <c r="G1449" s="93"/>
      <c r="H1449" s="92"/>
      <c r="I1449" s="92"/>
      <c r="J1449" s="82" t="b">
        <v>0</v>
      </c>
    </row>
    <row r="1450" ht="12.75" hidden="1" customHeight="1" outlineLevel="1">
      <c r="D1450" s="79"/>
      <c r="E1450" s="80"/>
      <c r="F1450" s="80"/>
      <c r="G1450" s="81"/>
      <c r="H1450" s="80"/>
      <c r="I1450" s="80"/>
      <c r="J1450" s="82" t="b">
        <v>0</v>
      </c>
    </row>
    <row r="1451" ht="12.75" hidden="1" customHeight="1" outlineLevel="1">
      <c r="B1451" s="90" t="s">
        <v>1212</v>
      </c>
      <c r="C1451" s="89" t="s">
        <v>75</v>
      </c>
      <c r="D1451" s="91">
        <v>1.0</v>
      </c>
      <c r="E1451" s="92">
        <v>109.98</v>
      </c>
      <c r="F1451" s="92">
        <v>109.98</v>
      </c>
      <c r="G1451" s="93"/>
      <c r="H1451" s="92"/>
      <c r="I1451" s="92"/>
      <c r="J1451" s="82" t="b">
        <v>0</v>
      </c>
    </row>
    <row r="1452" ht="12.75" hidden="1" customHeight="1" outlineLevel="1">
      <c r="D1452" s="79"/>
      <c r="E1452" s="80"/>
      <c r="F1452" s="80"/>
      <c r="G1452" s="81"/>
      <c r="H1452" s="80"/>
      <c r="I1452" s="80"/>
      <c r="J1452" s="82" t="b">
        <v>0</v>
      </c>
    </row>
    <row r="1453" ht="12.75" hidden="1" customHeight="1" outlineLevel="1">
      <c r="B1453" s="90" t="s">
        <v>1213</v>
      </c>
      <c r="C1453" s="89" t="s">
        <v>75</v>
      </c>
      <c r="D1453" s="91">
        <v>1.0</v>
      </c>
      <c r="E1453" s="80"/>
      <c r="F1453" s="135" t="s">
        <v>619</v>
      </c>
      <c r="G1453" s="159"/>
      <c r="H1453" s="135"/>
      <c r="I1453" s="135"/>
      <c r="J1453" s="82" t="b">
        <v>0</v>
      </c>
    </row>
    <row r="1454" ht="12.75" hidden="1" customHeight="1" outlineLevel="1">
      <c r="D1454" s="79"/>
      <c r="E1454" s="80"/>
      <c r="F1454" s="80"/>
      <c r="G1454" s="81"/>
      <c r="H1454" s="80"/>
      <c r="I1454" s="80"/>
      <c r="J1454" s="82" t="b">
        <v>0</v>
      </c>
    </row>
    <row r="1455" ht="12.75" hidden="1" customHeight="1" outlineLevel="1">
      <c r="B1455" s="90" t="s">
        <v>1214</v>
      </c>
      <c r="C1455" s="89" t="s">
        <v>75</v>
      </c>
      <c r="D1455" s="91">
        <v>1.0</v>
      </c>
      <c r="E1455" s="92">
        <v>545.21</v>
      </c>
      <c r="F1455" s="92">
        <v>545.21</v>
      </c>
      <c r="G1455" s="93"/>
      <c r="H1455" s="92"/>
      <c r="I1455" s="92"/>
      <c r="J1455" s="82" t="b">
        <v>0</v>
      </c>
    </row>
    <row r="1456" ht="12.75" hidden="1" customHeight="1" outlineLevel="1">
      <c r="D1456" s="79"/>
      <c r="E1456" s="80"/>
      <c r="F1456" s="80"/>
      <c r="G1456" s="81"/>
      <c r="H1456" s="80"/>
      <c r="I1456" s="80"/>
      <c r="J1456" s="82" t="b">
        <v>0</v>
      </c>
    </row>
    <row r="1457" ht="12.75" hidden="1" customHeight="1" outlineLevel="1">
      <c r="B1457" s="90" t="s">
        <v>1215</v>
      </c>
      <c r="C1457" s="89" t="s">
        <v>75</v>
      </c>
      <c r="D1457" s="91">
        <v>1.0</v>
      </c>
      <c r="E1457" s="92">
        <v>1468.47</v>
      </c>
      <c r="F1457" s="92">
        <v>1468.47</v>
      </c>
      <c r="G1457" s="93"/>
      <c r="H1457" s="92"/>
      <c r="I1457" s="92"/>
      <c r="J1457" s="82" t="b">
        <v>0</v>
      </c>
    </row>
    <row r="1458" ht="12.75" hidden="1" customHeight="1" outlineLevel="1">
      <c r="D1458" s="79"/>
      <c r="E1458" s="80"/>
      <c r="F1458" s="80"/>
      <c r="G1458" s="81"/>
      <c r="H1458" s="80"/>
      <c r="I1458" s="80"/>
      <c r="J1458" s="82" t="b">
        <v>0</v>
      </c>
    </row>
    <row r="1459" ht="12.75" hidden="1" customHeight="1" outlineLevel="1">
      <c r="B1459" s="90" t="s">
        <v>1216</v>
      </c>
      <c r="C1459" s="89" t="s">
        <v>75</v>
      </c>
      <c r="D1459" s="91">
        <v>1.0</v>
      </c>
      <c r="E1459" s="92">
        <v>1468.47</v>
      </c>
      <c r="F1459" s="92">
        <v>1468.47</v>
      </c>
      <c r="G1459" s="93"/>
      <c r="H1459" s="92"/>
      <c r="I1459" s="92"/>
      <c r="J1459" s="82" t="b">
        <v>0</v>
      </c>
    </row>
    <row r="1460" ht="12.75" hidden="1" customHeight="1" outlineLevel="1">
      <c r="D1460" s="79"/>
      <c r="E1460" s="80"/>
      <c r="F1460" s="80"/>
      <c r="G1460" s="81"/>
      <c r="H1460" s="80"/>
      <c r="I1460" s="80"/>
      <c r="J1460" s="82" t="b">
        <v>0</v>
      </c>
    </row>
    <row r="1461" ht="12.75" hidden="1" customHeight="1" outlineLevel="1">
      <c r="B1461" s="90" t="s">
        <v>1217</v>
      </c>
      <c r="C1461" s="89" t="s">
        <v>75</v>
      </c>
      <c r="D1461" s="91">
        <v>1.0</v>
      </c>
      <c r="E1461" s="92">
        <v>1468.47</v>
      </c>
      <c r="F1461" s="92">
        <v>1468.47</v>
      </c>
      <c r="G1461" s="93"/>
      <c r="H1461" s="92"/>
      <c r="I1461" s="92"/>
      <c r="J1461" s="82" t="b">
        <v>0</v>
      </c>
    </row>
    <row r="1462" ht="12.75" hidden="1" customHeight="1" outlineLevel="1">
      <c r="D1462" s="79"/>
      <c r="E1462" s="80"/>
      <c r="F1462" s="80"/>
      <c r="G1462" s="81"/>
      <c r="H1462" s="80"/>
      <c r="I1462" s="80"/>
      <c r="J1462" s="82" t="b">
        <v>0</v>
      </c>
    </row>
    <row r="1463" ht="12.75" hidden="1" customHeight="1" outlineLevel="1">
      <c r="B1463" s="90" t="s">
        <v>1218</v>
      </c>
      <c r="C1463" s="89" t="s">
        <v>75</v>
      </c>
      <c r="D1463" s="91">
        <v>1.0</v>
      </c>
      <c r="E1463" s="92">
        <v>1999.33</v>
      </c>
      <c r="F1463" s="92">
        <v>1999.33</v>
      </c>
      <c r="G1463" s="93"/>
      <c r="H1463" s="92"/>
      <c r="I1463" s="92"/>
      <c r="J1463" s="82" t="b">
        <v>0</v>
      </c>
    </row>
    <row r="1464" ht="12.75" hidden="1" customHeight="1" outlineLevel="1">
      <c r="D1464" s="79"/>
      <c r="E1464" s="80"/>
      <c r="F1464" s="80"/>
      <c r="G1464" s="81"/>
      <c r="H1464" s="80"/>
      <c r="I1464" s="80"/>
      <c r="J1464" s="82" t="b">
        <v>0</v>
      </c>
    </row>
    <row r="1465" ht="12.75" hidden="1" customHeight="1" outlineLevel="1">
      <c r="B1465" s="90" t="s">
        <v>1219</v>
      </c>
      <c r="C1465" s="89" t="s">
        <v>75</v>
      </c>
      <c r="D1465" s="91">
        <v>1.0</v>
      </c>
      <c r="E1465" s="92">
        <v>309.45</v>
      </c>
      <c r="F1465" s="92">
        <v>309.45</v>
      </c>
      <c r="G1465" s="93"/>
      <c r="H1465" s="92"/>
      <c r="I1465" s="92"/>
      <c r="J1465" s="82" t="b">
        <v>0</v>
      </c>
    </row>
    <row r="1466" ht="12.75" hidden="1" customHeight="1" outlineLevel="1">
      <c r="D1466" s="79"/>
      <c r="E1466" s="80"/>
      <c r="F1466" s="80"/>
      <c r="G1466" s="81"/>
      <c r="H1466" s="80"/>
      <c r="I1466" s="80"/>
      <c r="J1466" s="82" t="b">
        <v>0</v>
      </c>
    </row>
    <row r="1467" ht="12.75" hidden="1" customHeight="1" outlineLevel="1">
      <c r="B1467" s="90" t="s">
        <v>1220</v>
      </c>
      <c r="C1467" s="89" t="s">
        <v>75</v>
      </c>
      <c r="D1467" s="91">
        <v>1.0</v>
      </c>
      <c r="E1467" s="92">
        <v>301.65</v>
      </c>
      <c r="F1467" s="92">
        <v>301.65</v>
      </c>
      <c r="G1467" s="93"/>
      <c r="H1467" s="92"/>
      <c r="I1467" s="92"/>
      <c r="J1467" s="82" t="b">
        <v>0</v>
      </c>
    </row>
    <row r="1468" ht="12.75" hidden="1" customHeight="1" outlineLevel="1">
      <c r="D1468" s="79"/>
      <c r="E1468" s="80"/>
      <c r="F1468" s="80"/>
      <c r="G1468" s="81"/>
      <c r="H1468" s="80"/>
      <c r="I1468" s="80"/>
      <c r="J1468" s="82" t="b">
        <v>0</v>
      </c>
    </row>
    <row r="1469" ht="12.75" hidden="1" customHeight="1" outlineLevel="1">
      <c r="B1469" s="90" t="s">
        <v>1198</v>
      </c>
      <c r="C1469" s="89" t="s">
        <v>33</v>
      </c>
      <c r="D1469" s="91">
        <v>1.0</v>
      </c>
      <c r="E1469" s="92">
        <v>2167.42</v>
      </c>
      <c r="F1469" s="92">
        <v>2167.42</v>
      </c>
      <c r="G1469" s="93"/>
      <c r="H1469" s="92"/>
      <c r="I1469" s="92"/>
      <c r="J1469" s="82" t="b">
        <v>0</v>
      </c>
    </row>
    <row r="1470" ht="12.75" hidden="1" customHeight="1" outlineLevel="1">
      <c r="D1470" s="79"/>
      <c r="E1470" s="80"/>
      <c r="F1470" s="80"/>
      <c r="G1470" s="81"/>
      <c r="H1470" s="80"/>
      <c r="I1470" s="80"/>
      <c r="J1470" s="82" t="b">
        <v>0</v>
      </c>
    </row>
    <row r="1471" ht="12.75" hidden="1" customHeight="1" outlineLevel="1">
      <c r="A1471" s="89">
        <v>6.13</v>
      </c>
      <c r="B1471" s="90" t="s">
        <v>1221</v>
      </c>
      <c r="D1471" s="79"/>
      <c r="E1471" s="80"/>
      <c r="F1471" s="80"/>
      <c r="G1471" s="81"/>
      <c r="H1471" s="80"/>
      <c r="I1471" s="80"/>
      <c r="J1471" s="82" t="b">
        <v>0</v>
      </c>
    </row>
    <row r="1472" ht="12.75" hidden="1" customHeight="1" outlineLevel="1">
      <c r="D1472" s="79"/>
      <c r="E1472" s="80"/>
      <c r="F1472" s="80"/>
      <c r="G1472" s="81"/>
      <c r="H1472" s="80"/>
      <c r="I1472" s="80"/>
      <c r="J1472" s="82" t="b">
        <v>0</v>
      </c>
    </row>
    <row r="1473" ht="12.75" hidden="1" customHeight="1" outlineLevel="1">
      <c r="B1473" s="90" t="s">
        <v>1222</v>
      </c>
      <c r="C1473" s="89" t="s">
        <v>75</v>
      </c>
      <c r="D1473" s="91">
        <v>1.0</v>
      </c>
      <c r="E1473" s="92">
        <v>8405.15</v>
      </c>
      <c r="F1473" s="92">
        <v>8405.15</v>
      </c>
      <c r="G1473" s="93"/>
      <c r="H1473" s="92"/>
      <c r="I1473" s="92"/>
      <c r="J1473" s="82" t="b">
        <v>0</v>
      </c>
    </row>
    <row r="1474" ht="12.75" hidden="1" customHeight="1" outlineLevel="1">
      <c r="D1474" s="79"/>
      <c r="E1474" s="80"/>
      <c r="F1474" s="80"/>
      <c r="G1474" s="81"/>
      <c r="H1474" s="80"/>
      <c r="I1474" s="80"/>
      <c r="J1474" s="82" t="b">
        <v>0</v>
      </c>
    </row>
    <row r="1475" ht="12.75" hidden="1" customHeight="1" outlineLevel="1">
      <c r="A1475" s="89" t="s">
        <v>1223</v>
      </c>
      <c r="B1475" s="90" t="s">
        <v>1224</v>
      </c>
      <c r="D1475" s="79"/>
      <c r="E1475" s="80"/>
      <c r="F1475" s="80"/>
      <c r="G1475" s="81"/>
      <c r="H1475" s="80"/>
      <c r="I1475" s="80"/>
      <c r="J1475" s="82" t="b">
        <v>0</v>
      </c>
    </row>
    <row r="1476" ht="12.75" hidden="1" customHeight="1" outlineLevel="1">
      <c r="D1476" s="79"/>
      <c r="E1476" s="80"/>
      <c r="F1476" s="80"/>
      <c r="G1476" s="81"/>
      <c r="H1476" s="80"/>
      <c r="I1476" s="80"/>
      <c r="J1476" s="82" t="b">
        <v>0</v>
      </c>
    </row>
    <row r="1477" ht="12.75" hidden="1" customHeight="1" outlineLevel="1">
      <c r="B1477" s="90" t="s">
        <v>1225</v>
      </c>
      <c r="C1477" s="89" t="s">
        <v>877</v>
      </c>
      <c r="D1477" s="91">
        <v>20.0</v>
      </c>
      <c r="E1477" s="92">
        <v>32.16</v>
      </c>
      <c r="F1477" s="92">
        <v>643.2</v>
      </c>
      <c r="G1477" s="93"/>
      <c r="H1477" s="92"/>
      <c r="I1477" s="92"/>
      <c r="J1477" s="82" t="b">
        <v>0</v>
      </c>
    </row>
    <row r="1478" ht="12.75" hidden="1" customHeight="1" outlineLevel="1">
      <c r="D1478" s="79"/>
      <c r="E1478" s="80"/>
      <c r="F1478" s="80"/>
      <c r="G1478" s="81"/>
      <c r="H1478" s="80"/>
      <c r="I1478" s="80"/>
      <c r="J1478" s="82" t="b">
        <v>0</v>
      </c>
    </row>
    <row r="1479" ht="12.75" hidden="1" customHeight="1" outlineLevel="1">
      <c r="B1479" s="90" t="s">
        <v>1226</v>
      </c>
      <c r="C1479" s="89" t="s">
        <v>877</v>
      </c>
      <c r="D1479" s="91">
        <v>22.0</v>
      </c>
      <c r="E1479" s="92">
        <v>48.58</v>
      </c>
      <c r="F1479" s="92">
        <v>1068.76</v>
      </c>
      <c r="G1479" s="93"/>
      <c r="H1479" s="92"/>
      <c r="I1479" s="92"/>
      <c r="J1479" s="82" t="b">
        <v>0</v>
      </c>
    </row>
    <row r="1480" ht="12.75" hidden="1" customHeight="1" outlineLevel="1">
      <c r="D1480" s="79"/>
      <c r="E1480" s="80"/>
      <c r="F1480" s="80"/>
      <c r="G1480" s="81"/>
      <c r="H1480" s="80"/>
      <c r="I1480" s="80"/>
      <c r="J1480" s="82" t="b">
        <v>0</v>
      </c>
    </row>
    <row r="1481" ht="12.75" hidden="1" customHeight="1" outlineLevel="1">
      <c r="A1481" s="89" t="s">
        <v>1227</v>
      </c>
      <c r="B1481" s="90" t="s">
        <v>1228</v>
      </c>
      <c r="D1481" s="79"/>
      <c r="E1481" s="80"/>
      <c r="F1481" s="80"/>
      <c r="G1481" s="81"/>
      <c r="H1481" s="80"/>
      <c r="I1481" s="80"/>
      <c r="J1481" s="82" t="b">
        <v>0</v>
      </c>
    </row>
    <row r="1482" ht="12.75" hidden="1" customHeight="1" outlineLevel="1">
      <c r="D1482" s="79"/>
      <c r="E1482" s="80"/>
      <c r="F1482" s="80"/>
      <c r="G1482" s="81"/>
      <c r="H1482" s="80"/>
      <c r="I1482" s="80"/>
      <c r="J1482" s="82" t="b">
        <v>0</v>
      </c>
    </row>
    <row r="1483" ht="12.75" hidden="1" customHeight="1" outlineLevel="1">
      <c r="B1483" s="90" t="s">
        <v>1229</v>
      </c>
      <c r="C1483" s="89" t="s">
        <v>877</v>
      </c>
      <c r="D1483" s="91">
        <v>236.0</v>
      </c>
      <c r="E1483" s="92">
        <v>26.07</v>
      </c>
      <c r="F1483" s="92">
        <v>6152.52</v>
      </c>
      <c r="G1483" s="93"/>
      <c r="H1483" s="92"/>
      <c r="I1483" s="92"/>
      <c r="J1483" s="82" t="b">
        <v>0</v>
      </c>
    </row>
    <row r="1484" ht="12.75" hidden="1" customHeight="1" outlineLevel="1">
      <c r="D1484" s="79"/>
      <c r="E1484" s="80"/>
      <c r="F1484" s="80"/>
      <c r="G1484" s="81"/>
      <c r="H1484" s="80"/>
      <c r="I1484" s="80"/>
      <c r="J1484" s="82" t="b">
        <v>0</v>
      </c>
    </row>
    <row r="1485" ht="12.75" hidden="1" customHeight="1" outlineLevel="1">
      <c r="A1485" s="89" t="s">
        <v>1230</v>
      </c>
      <c r="B1485" s="90" t="s">
        <v>1231</v>
      </c>
      <c r="D1485" s="79"/>
      <c r="E1485" s="80"/>
      <c r="F1485" s="80"/>
      <c r="G1485" s="81"/>
      <c r="H1485" s="80"/>
      <c r="I1485" s="80"/>
      <c r="J1485" s="82" t="b">
        <v>0</v>
      </c>
    </row>
    <row r="1486" ht="12.75" hidden="1" customHeight="1" outlineLevel="1">
      <c r="D1486" s="79"/>
      <c r="E1486" s="80"/>
      <c r="F1486" s="80"/>
      <c r="G1486" s="81"/>
      <c r="H1486" s="80"/>
      <c r="I1486" s="80"/>
      <c r="J1486" s="82" t="b">
        <v>0</v>
      </c>
    </row>
    <row r="1487" ht="12.75" hidden="1" customHeight="1" outlineLevel="1">
      <c r="B1487" s="90" t="s">
        <v>1232</v>
      </c>
      <c r="C1487" s="89" t="s">
        <v>877</v>
      </c>
      <c r="D1487" s="91">
        <v>8.0</v>
      </c>
      <c r="E1487" s="92">
        <v>19.89</v>
      </c>
      <c r="F1487" s="92">
        <v>159.12</v>
      </c>
      <c r="G1487" s="93"/>
      <c r="H1487" s="92"/>
      <c r="I1487" s="92"/>
      <c r="J1487" s="82" t="b">
        <v>0</v>
      </c>
    </row>
    <row r="1488" ht="12.75" hidden="1" customHeight="1" outlineLevel="1">
      <c r="D1488" s="79"/>
      <c r="E1488" s="80"/>
      <c r="F1488" s="80"/>
      <c r="G1488" s="81"/>
      <c r="H1488" s="80"/>
      <c r="I1488" s="80"/>
      <c r="J1488" s="82" t="b">
        <v>0</v>
      </c>
    </row>
    <row r="1489" ht="12.75" hidden="1" customHeight="1" outlineLevel="1">
      <c r="B1489" s="90" t="s">
        <v>1233</v>
      </c>
      <c r="C1489" s="89" t="s">
        <v>877</v>
      </c>
      <c r="D1489" s="91">
        <v>4.0</v>
      </c>
      <c r="E1489" s="92">
        <v>25.85</v>
      </c>
      <c r="F1489" s="92">
        <v>103.4</v>
      </c>
      <c r="G1489" s="93"/>
      <c r="H1489" s="92"/>
      <c r="I1489" s="92"/>
      <c r="J1489" s="82" t="b">
        <v>0</v>
      </c>
    </row>
    <row r="1490" ht="12.75" hidden="1" customHeight="1" outlineLevel="1">
      <c r="D1490" s="79"/>
      <c r="E1490" s="80"/>
      <c r="F1490" s="80"/>
      <c r="G1490" s="81"/>
      <c r="H1490" s="80"/>
      <c r="I1490" s="80"/>
      <c r="J1490" s="82" t="b">
        <v>0</v>
      </c>
    </row>
    <row r="1491" ht="12.75" hidden="1" customHeight="1" outlineLevel="1">
      <c r="A1491" s="89" t="s">
        <v>1234</v>
      </c>
      <c r="B1491" s="90" t="s">
        <v>1235</v>
      </c>
      <c r="C1491" s="89" t="s">
        <v>1236</v>
      </c>
      <c r="D1491" s="91">
        <v>110.0</v>
      </c>
      <c r="E1491" s="92">
        <v>83.09</v>
      </c>
      <c r="F1491" s="92">
        <v>9139.9</v>
      </c>
      <c r="G1491" s="93"/>
      <c r="H1491" s="92"/>
      <c r="I1491" s="92"/>
      <c r="J1491" s="82" t="b">
        <v>0</v>
      </c>
    </row>
    <row r="1492" ht="12.75" hidden="1" customHeight="1" outlineLevel="1">
      <c r="D1492" s="79"/>
      <c r="E1492" s="80"/>
      <c r="F1492" s="80"/>
      <c r="G1492" s="81"/>
      <c r="H1492" s="80"/>
      <c r="I1492" s="80"/>
      <c r="J1492" s="82" t="b">
        <v>0</v>
      </c>
    </row>
    <row r="1493" ht="12.75" hidden="1" customHeight="1" outlineLevel="1">
      <c r="A1493" s="89" t="s">
        <v>1237</v>
      </c>
      <c r="B1493" s="90" t="s">
        <v>1238</v>
      </c>
      <c r="D1493" s="79"/>
      <c r="E1493" s="80"/>
      <c r="F1493" s="80"/>
      <c r="G1493" s="81"/>
      <c r="H1493" s="80"/>
      <c r="I1493" s="80"/>
      <c r="J1493" s="82" t="b">
        <v>0</v>
      </c>
    </row>
    <row r="1494" ht="12.75" hidden="1" customHeight="1" outlineLevel="1">
      <c r="D1494" s="79"/>
      <c r="E1494" s="80"/>
      <c r="F1494" s="80"/>
      <c r="G1494" s="81"/>
      <c r="H1494" s="80"/>
      <c r="I1494" s="80"/>
      <c r="J1494" s="82" t="b">
        <v>0</v>
      </c>
    </row>
    <row r="1495" ht="12.75" hidden="1" customHeight="1" outlineLevel="1">
      <c r="B1495" s="90" t="s">
        <v>1239</v>
      </c>
      <c r="C1495" s="89" t="s">
        <v>75</v>
      </c>
      <c r="D1495" s="91">
        <v>1.0</v>
      </c>
      <c r="E1495" s="92">
        <v>6960.87</v>
      </c>
      <c r="F1495" s="92">
        <v>6960.87</v>
      </c>
      <c r="G1495" s="93"/>
      <c r="H1495" s="92"/>
      <c r="I1495" s="92"/>
      <c r="J1495" s="82" t="b">
        <v>0</v>
      </c>
    </row>
    <row r="1496" ht="12.75" hidden="1" customHeight="1" outlineLevel="1">
      <c r="D1496" s="79"/>
      <c r="E1496" s="80"/>
      <c r="F1496" s="80"/>
      <c r="G1496" s="81"/>
      <c r="H1496" s="80"/>
      <c r="I1496" s="80"/>
      <c r="J1496" s="82" t="b">
        <v>0</v>
      </c>
    </row>
    <row r="1497" ht="12.75" hidden="1" customHeight="1" outlineLevel="1">
      <c r="A1497" s="89" t="s">
        <v>1240</v>
      </c>
      <c r="B1497" s="90" t="s">
        <v>1241</v>
      </c>
      <c r="D1497" s="79"/>
      <c r="E1497" s="80"/>
      <c r="F1497" s="80"/>
      <c r="G1497" s="81"/>
      <c r="H1497" s="80"/>
      <c r="I1497" s="80"/>
      <c r="J1497" s="82" t="b">
        <v>0</v>
      </c>
    </row>
    <row r="1498" ht="12.75" hidden="1" customHeight="1" outlineLevel="1">
      <c r="D1498" s="79"/>
      <c r="E1498" s="80"/>
      <c r="F1498" s="80"/>
      <c r="G1498" s="81"/>
      <c r="H1498" s="80"/>
      <c r="I1498" s="80"/>
      <c r="J1498" s="82" t="b">
        <v>0</v>
      </c>
    </row>
    <row r="1499" ht="12.75" hidden="1" customHeight="1" outlineLevel="1">
      <c r="B1499" s="90" t="s">
        <v>1242</v>
      </c>
      <c r="C1499" s="89" t="s">
        <v>75</v>
      </c>
      <c r="D1499" s="91">
        <v>1.0</v>
      </c>
      <c r="E1499" s="92">
        <v>489.39</v>
      </c>
      <c r="F1499" s="92">
        <v>489.39</v>
      </c>
      <c r="G1499" s="93"/>
      <c r="H1499" s="92"/>
      <c r="I1499" s="92"/>
      <c r="J1499" s="82" t="b">
        <v>0</v>
      </c>
    </row>
    <row r="1500" ht="12.75" hidden="1" customHeight="1" outlineLevel="1">
      <c r="D1500" s="79"/>
      <c r="E1500" s="80"/>
      <c r="F1500" s="80"/>
      <c r="G1500" s="81"/>
      <c r="H1500" s="80"/>
      <c r="I1500" s="80"/>
      <c r="J1500" s="82" t="b">
        <v>0</v>
      </c>
    </row>
    <row r="1501" ht="12.75" hidden="1" customHeight="1" outlineLevel="1">
      <c r="A1501" s="89">
        <v>6.2</v>
      </c>
      <c r="B1501" s="90" t="s">
        <v>1243</v>
      </c>
      <c r="C1501" s="89" t="s">
        <v>227</v>
      </c>
      <c r="D1501" s="91">
        <v>1.0</v>
      </c>
      <c r="E1501" s="92">
        <v>2623.54</v>
      </c>
      <c r="F1501" s="92">
        <v>2623.54</v>
      </c>
      <c r="G1501" s="93"/>
      <c r="H1501" s="92"/>
      <c r="I1501" s="92"/>
      <c r="J1501" s="82" t="b">
        <v>0</v>
      </c>
    </row>
    <row r="1502" ht="12.75" hidden="1" customHeight="1" outlineLevel="1">
      <c r="D1502" s="79"/>
      <c r="E1502" s="80"/>
      <c r="F1502" s="80"/>
      <c r="G1502" s="81"/>
      <c r="H1502" s="80"/>
      <c r="I1502" s="80"/>
      <c r="J1502" s="82" t="b">
        <v>0</v>
      </c>
    </row>
    <row r="1503" ht="12.75" hidden="1" customHeight="1" outlineLevel="1">
      <c r="A1503" s="89" t="s">
        <v>1244</v>
      </c>
      <c r="B1503" s="90" t="s">
        <v>1245</v>
      </c>
      <c r="D1503" s="79"/>
      <c r="E1503" s="80"/>
      <c r="F1503" s="80"/>
      <c r="G1503" s="81"/>
      <c r="H1503" s="80"/>
      <c r="I1503" s="80"/>
      <c r="J1503" s="82" t="b">
        <v>0</v>
      </c>
    </row>
    <row r="1504" ht="12.75" hidden="1" customHeight="1" outlineLevel="1">
      <c r="D1504" s="79"/>
      <c r="E1504" s="80"/>
      <c r="F1504" s="80"/>
      <c r="G1504" s="81"/>
      <c r="H1504" s="80"/>
      <c r="I1504" s="80"/>
      <c r="J1504" s="82" t="b">
        <v>0</v>
      </c>
    </row>
    <row r="1505" ht="12.75" hidden="1" customHeight="1" outlineLevel="1">
      <c r="B1505" s="90" t="s">
        <v>1246</v>
      </c>
      <c r="C1505" s="89" t="s">
        <v>75</v>
      </c>
      <c r="D1505" s="91">
        <v>10.0</v>
      </c>
      <c r="E1505" s="92">
        <v>32.5</v>
      </c>
      <c r="F1505" s="92">
        <v>325.0</v>
      </c>
      <c r="G1505" s="93"/>
      <c r="H1505" s="92"/>
      <c r="I1505" s="92"/>
      <c r="J1505" s="82" t="b">
        <v>0</v>
      </c>
    </row>
    <row r="1506" ht="12.75" hidden="1" customHeight="1" outlineLevel="1">
      <c r="D1506" s="79"/>
      <c r="E1506" s="80"/>
      <c r="F1506" s="80"/>
      <c r="G1506" s="81"/>
      <c r="H1506" s="80"/>
      <c r="I1506" s="80"/>
      <c r="J1506" s="82" t="b">
        <v>0</v>
      </c>
    </row>
    <row r="1507" ht="12.75" hidden="1" customHeight="1" outlineLevel="1">
      <c r="A1507" s="89" t="s">
        <v>1247</v>
      </c>
      <c r="B1507" s="90" t="s">
        <v>1248</v>
      </c>
      <c r="D1507" s="79"/>
      <c r="E1507" s="80"/>
      <c r="F1507" s="80"/>
      <c r="G1507" s="81"/>
      <c r="H1507" s="80"/>
      <c r="I1507" s="80"/>
      <c r="J1507" s="82" t="b">
        <v>0</v>
      </c>
    </row>
    <row r="1508" ht="12.75" hidden="1" customHeight="1" outlineLevel="1">
      <c r="D1508" s="79"/>
      <c r="E1508" s="80"/>
      <c r="F1508" s="80"/>
      <c r="G1508" s="81"/>
      <c r="H1508" s="80"/>
      <c r="I1508" s="80"/>
      <c r="J1508" s="82" t="b">
        <v>0</v>
      </c>
    </row>
    <row r="1509" ht="12.75" hidden="1" customHeight="1" outlineLevel="1">
      <c r="B1509" s="90" t="s">
        <v>1249</v>
      </c>
      <c r="C1509" s="89" t="s">
        <v>75</v>
      </c>
      <c r="D1509" s="91">
        <v>1.0</v>
      </c>
      <c r="E1509" s="92">
        <v>2201.61</v>
      </c>
      <c r="F1509" s="92">
        <v>2201.61</v>
      </c>
      <c r="G1509" s="93"/>
      <c r="H1509" s="92"/>
      <c r="I1509" s="92"/>
      <c r="J1509" s="82" t="b">
        <v>0</v>
      </c>
    </row>
    <row r="1510" ht="12.75" hidden="1" customHeight="1" outlineLevel="1">
      <c r="D1510" s="79"/>
      <c r="E1510" s="80"/>
      <c r="F1510" s="80"/>
      <c r="G1510" s="81"/>
      <c r="H1510" s="80"/>
      <c r="I1510" s="80"/>
      <c r="J1510" s="82" t="b">
        <v>0</v>
      </c>
    </row>
    <row r="1511" ht="12.75" hidden="1" customHeight="1" outlineLevel="1">
      <c r="B1511" s="90" t="s">
        <v>1250</v>
      </c>
      <c r="C1511" s="89" t="s">
        <v>75</v>
      </c>
      <c r="D1511" s="91">
        <v>1.0</v>
      </c>
      <c r="E1511" s="92">
        <v>4403.22</v>
      </c>
      <c r="F1511" s="92">
        <v>4403.22</v>
      </c>
      <c r="G1511" s="93"/>
      <c r="H1511" s="92"/>
      <c r="I1511" s="92"/>
      <c r="J1511" s="82" t="b">
        <v>0</v>
      </c>
    </row>
    <row r="1512" ht="12.75" hidden="1" customHeight="1" outlineLevel="1">
      <c r="D1512" s="79"/>
      <c r="E1512" s="80"/>
      <c r="F1512" s="80"/>
      <c r="G1512" s="81"/>
      <c r="H1512" s="80"/>
      <c r="I1512" s="80"/>
      <c r="J1512" s="82" t="b">
        <v>0</v>
      </c>
    </row>
    <row r="1513" ht="12.75" hidden="1" customHeight="1" outlineLevel="1">
      <c r="B1513" s="90" t="s">
        <v>1251</v>
      </c>
      <c r="C1513" s="89" t="s">
        <v>75</v>
      </c>
      <c r="D1513" s="91">
        <v>1.0</v>
      </c>
      <c r="E1513" s="92">
        <v>3331.12</v>
      </c>
      <c r="F1513" s="92">
        <v>3331.12</v>
      </c>
      <c r="G1513" s="93"/>
      <c r="H1513" s="92"/>
      <c r="I1513" s="92"/>
      <c r="J1513" s="82" t="b">
        <v>0</v>
      </c>
    </row>
    <row r="1514" ht="12.75" hidden="1" customHeight="1" outlineLevel="1">
      <c r="D1514" s="79"/>
      <c r="E1514" s="80"/>
      <c r="F1514" s="80"/>
      <c r="G1514" s="81"/>
      <c r="H1514" s="80"/>
      <c r="I1514" s="80"/>
      <c r="J1514" s="82" t="b">
        <v>0</v>
      </c>
    </row>
    <row r="1515" ht="12.75" hidden="1" customHeight="1" outlineLevel="1">
      <c r="B1515" s="90" t="s">
        <v>1252</v>
      </c>
      <c r="C1515" s="89" t="s">
        <v>75</v>
      </c>
      <c r="D1515" s="91">
        <v>3.0</v>
      </c>
      <c r="E1515" s="92">
        <v>2446.23</v>
      </c>
      <c r="F1515" s="92">
        <v>7338.69</v>
      </c>
      <c r="G1515" s="93"/>
      <c r="H1515" s="92"/>
      <c r="I1515" s="92"/>
      <c r="J1515" s="82" t="b">
        <v>0</v>
      </c>
    </row>
    <row r="1516" ht="12.75" hidden="1" customHeight="1" outlineLevel="1">
      <c r="D1516" s="79"/>
      <c r="E1516" s="80"/>
      <c r="F1516" s="80"/>
      <c r="G1516" s="81"/>
      <c r="H1516" s="80"/>
      <c r="I1516" s="80"/>
      <c r="J1516" s="82" t="b">
        <v>0</v>
      </c>
    </row>
    <row r="1517" ht="12.75" hidden="1" customHeight="1" outlineLevel="1">
      <c r="B1517" s="90" t="s">
        <v>1253</v>
      </c>
      <c r="C1517" s="89" t="s">
        <v>75</v>
      </c>
      <c r="D1517" s="91">
        <v>6.0</v>
      </c>
      <c r="E1517" s="92">
        <v>916.06</v>
      </c>
      <c r="F1517" s="92">
        <v>5496.36</v>
      </c>
      <c r="G1517" s="93"/>
      <c r="H1517" s="92"/>
      <c r="I1517" s="92"/>
      <c r="J1517" s="82" t="b">
        <v>0</v>
      </c>
    </row>
    <row r="1518" ht="12.75" hidden="1" customHeight="1" outlineLevel="1">
      <c r="D1518" s="79"/>
      <c r="E1518" s="80"/>
      <c r="F1518" s="80"/>
      <c r="G1518" s="81"/>
      <c r="H1518" s="80"/>
      <c r="I1518" s="80"/>
      <c r="J1518" s="82" t="b">
        <v>0</v>
      </c>
    </row>
    <row r="1519" ht="12.75" hidden="1" customHeight="1" outlineLevel="1">
      <c r="B1519" s="90" t="s">
        <v>1254</v>
      </c>
      <c r="C1519" s="89" t="s">
        <v>75</v>
      </c>
      <c r="D1519" s="91">
        <v>2.0</v>
      </c>
      <c r="E1519" s="92">
        <v>203.31</v>
      </c>
      <c r="F1519" s="92">
        <v>406.62</v>
      </c>
      <c r="G1519" s="93"/>
      <c r="H1519" s="92"/>
      <c r="I1519" s="92"/>
      <c r="J1519" s="82" t="b">
        <v>0</v>
      </c>
    </row>
    <row r="1520" ht="12.75" hidden="1" customHeight="1" outlineLevel="1">
      <c r="D1520" s="79"/>
      <c r="E1520" s="80"/>
      <c r="F1520" s="80"/>
      <c r="G1520" s="81"/>
      <c r="H1520" s="80"/>
      <c r="I1520" s="80"/>
      <c r="J1520" s="82" t="b">
        <v>0</v>
      </c>
    </row>
    <row r="1521" ht="12.75" hidden="1" customHeight="1" outlineLevel="1">
      <c r="B1521" s="90" t="s">
        <v>1255</v>
      </c>
      <c r="C1521" s="89" t="s">
        <v>75</v>
      </c>
      <c r="D1521" s="91">
        <v>2.0</v>
      </c>
      <c r="E1521" s="92">
        <v>203.31</v>
      </c>
      <c r="F1521" s="92">
        <v>406.62</v>
      </c>
      <c r="G1521" s="93"/>
      <c r="H1521" s="92"/>
      <c r="I1521" s="92"/>
      <c r="J1521" s="82" t="b">
        <v>0</v>
      </c>
    </row>
    <row r="1522" ht="12.75" hidden="1" customHeight="1" outlineLevel="1">
      <c r="D1522" s="79"/>
      <c r="E1522" s="80"/>
      <c r="F1522" s="80"/>
      <c r="G1522" s="81"/>
      <c r="H1522" s="80"/>
      <c r="I1522" s="80"/>
      <c r="J1522" s="82" t="b">
        <v>0</v>
      </c>
    </row>
    <row r="1523" ht="12.75" hidden="1" customHeight="1" outlineLevel="1">
      <c r="B1523" s="90" t="s">
        <v>1256</v>
      </c>
      <c r="C1523" s="89" t="s">
        <v>75</v>
      </c>
      <c r="D1523" s="91">
        <v>1.0</v>
      </c>
      <c r="E1523" s="92">
        <v>289.38</v>
      </c>
      <c r="F1523" s="92">
        <v>289.38</v>
      </c>
      <c r="G1523" s="93"/>
      <c r="H1523" s="92"/>
      <c r="I1523" s="92"/>
      <c r="J1523" s="82" t="b">
        <v>0</v>
      </c>
    </row>
    <row r="1524" ht="12.75" hidden="1" customHeight="1" outlineLevel="1">
      <c r="D1524" s="79"/>
      <c r="E1524" s="80"/>
      <c r="F1524" s="80"/>
      <c r="G1524" s="81"/>
      <c r="H1524" s="80"/>
      <c r="I1524" s="80"/>
      <c r="J1524" s="82" t="b">
        <v>0</v>
      </c>
    </row>
    <row r="1525" ht="12.75" hidden="1" customHeight="1" outlineLevel="1">
      <c r="B1525" s="90" t="s">
        <v>1257</v>
      </c>
      <c r="C1525" s="89" t="s">
        <v>75</v>
      </c>
      <c r="D1525" s="91">
        <v>1.0</v>
      </c>
      <c r="E1525" s="92">
        <v>289.38</v>
      </c>
      <c r="F1525" s="92">
        <v>289.38</v>
      </c>
      <c r="G1525" s="93"/>
      <c r="H1525" s="92"/>
      <c r="I1525" s="92"/>
      <c r="J1525" s="82" t="b">
        <v>0</v>
      </c>
    </row>
    <row r="1526" ht="12.75" hidden="1" customHeight="1" outlineLevel="1">
      <c r="D1526" s="79"/>
      <c r="E1526" s="80"/>
      <c r="F1526" s="80"/>
      <c r="G1526" s="81"/>
      <c r="H1526" s="80"/>
      <c r="I1526" s="80"/>
      <c r="J1526" s="82" t="b">
        <v>0</v>
      </c>
    </row>
    <row r="1527" ht="12.75" hidden="1" customHeight="1" outlineLevel="1">
      <c r="B1527" s="90" t="s">
        <v>1258</v>
      </c>
      <c r="C1527" s="89" t="s">
        <v>75</v>
      </c>
      <c r="D1527" s="91">
        <v>3.0</v>
      </c>
      <c r="E1527" s="92">
        <v>232.94</v>
      </c>
      <c r="F1527" s="92">
        <v>698.82</v>
      </c>
      <c r="G1527" s="93"/>
      <c r="H1527" s="92"/>
      <c r="I1527" s="92"/>
      <c r="J1527" s="82" t="b">
        <v>0</v>
      </c>
    </row>
    <row r="1528" ht="12.75" hidden="1" customHeight="1" outlineLevel="1">
      <c r="D1528" s="79"/>
      <c r="E1528" s="80"/>
      <c r="F1528" s="80"/>
      <c r="G1528" s="81"/>
      <c r="H1528" s="80"/>
      <c r="I1528" s="80"/>
      <c r="J1528" s="82" t="b">
        <v>0</v>
      </c>
    </row>
    <row r="1529" ht="12.75" hidden="1" customHeight="1" outlineLevel="1">
      <c r="B1529" s="90" t="s">
        <v>1259</v>
      </c>
      <c r="C1529" s="89" t="s">
        <v>75</v>
      </c>
      <c r="D1529" s="91">
        <v>1.0</v>
      </c>
      <c r="E1529" s="92">
        <v>133.33</v>
      </c>
      <c r="F1529" s="92">
        <v>133.33</v>
      </c>
      <c r="G1529" s="93"/>
      <c r="H1529" s="92"/>
      <c r="I1529" s="92"/>
      <c r="J1529" s="82" t="b">
        <v>0</v>
      </c>
    </row>
    <row r="1530" ht="12.75" hidden="1" customHeight="1" outlineLevel="1">
      <c r="D1530" s="79"/>
      <c r="E1530" s="80"/>
      <c r="F1530" s="80"/>
      <c r="G1530" s="81"/>
      <c r="H1530" s="80"/>
      <c r="I1530" s="80"/>
      <c r="J1530" s="82" t="b">
        <v>0</v>
      </c>
    </row>
    <row r="1531" ht="12.75" hidden="1" customHeight="1" outlineLevel="1">
      <c r="A1531" s="89" t="s">
        <v>1260</v>
      </c>
      <c r="B1531" s="90" t="s">
        <v>1261</v>
      </c>
      <c r="C1531" s="89" t="s">
        <v>33</v>
      </c>
      <c r="D1531" s="91">
        <v>1.0</v>
      </c>
      <c r="E1531" s="92">
        <v>2207.94</v>
      </c>
      <c r="F1531" s="92">
        <v>2207.94</v>
      </c>
      <c r="G1531" s="93"/>
      <c r="H1531" s="92"/>
      <c r="I1531" s="92"/>
      <c r="J1531" s="82" t="b">
        <v>0</v>
      </c>
    </row>
    <row r="1532" ht="12.75" hidden="1" customHeight="1" outlineLevel="1">
      <c r="D1532" s="79"/>
      <c r="E1532" s="80"/>
      <c r="F1532" s="80"/>
      <c r="G1532" s="81"/>
      <c r="H1532" s="80"/>
      <c r="I1532" s="80"/>
      <c r="J1532" s="82" t="b">
        <v>0</v>
      </c>
    </row>
    <row r="1533" ht="12.75" hidden="1" customHeight="1" outlineLevel="1">
      <c r="A1533" s="89" t="s">
        <v>1262</v>
      </c>
      <c r="B1533" s="90" t="s">
        <v>1263</v>
      </c>
      <c r="C1533" s="89" t="s">
        <v>227</v>
      </c>
      <c r="D1533" s="91">
        <v>1.0</v>
      </c>
      <c r="E1533" s="92">
        <v>2586.2</v>
      </c>
      <c r="F1533" s="92">
        <v>2586.2</v>
      </c>
      <c r="G1533" s="93"/>
      <c r="H1533" s="92"/>
      <c r="I1533" s="92"/>
      <c r="J1533" s="82" t="b">
        <v>0</v>
      </c>
    </row>
    <row r="1534" ht="12.75" hidden="1" customHeight="1" outlineLevel="1">
      <c r="D1534" s="79"/>
      <c r="E1534" s="80"/>
      <c r="F1534" s="80"/>
      <c r="G1534" s="81"/>
      <c r="H1534" s="80"/>
      <c r="I1534" s="80"/>
      <c r="J1534" s="82" t="b">
        <v>0</v>
      </c>
    </row>
    <row r="1535" ht="12.75" hidden="1" customHeight="1" outlineLevel="1">
      <c r="B1535" s="90" t="s">
        <v>1264</v>
      </c>
      <c r="C1535" s="89" t="s">
        <v>227</v>
      </c>
      <c r="D1535" s="91">
        <v>1.0</v>
      </c>
      <c r="E1535" s="92">
        <v>323.28</v>
      </c>
      <c r="F1535" s="92">
        <v>323.28</v>
      </c>
      <c r="G1535" s="93"/>
      <c r="H1535" s="92"/>
      <c r="I1535" s="92"/>
      <c r="J1535" s="82" t="b">
        <v>0</v>
      </c>
    </row>
    <row r="1536" ht="12.75" hidden="1" customHeight="1" outlineLevel="1">
      <c r="D1536" s="79"/>
      <c r="E1536" s="80"/>
      <c r="F1536" s="80"/>
      <c r="G1536" s="81"/>
      <c r="H1536" s="80"/>
      <c r="I1536" s="80"/>
      <c r="J1536" s="82" t="b">
        <v>0</v>
      </c>
    </row>
    <row r="1537" ht="12.75" hidden="1" customHeight="1" outlineLevel="1">
      <c r="B1537" s="90" t="s">
        <v>1265</v>
      </c>
      <c r="C1537" s="89" t="s">
        <v>227</v>
      </c>
      <c r="D1537" s="91">
        <v>1.0</v>
      </c>
      <c r="E1537" s="92">
        <v>370.78</v>
      </c>
      <c r="F1537" s="92">
        <v>370.78</v>
      </c>
      <c r="G1537" s="93"/>
      <c r="H1537" s="92"/>
      <c r="I1537" s="92"/>
      <c r="J1537" s="82" t="b">
        <v>0</v>
      </c>
    </row>
    <row r="1538" ht="12.75" hidden="1" customHeight="1" outlineLevel="1">
      <c r="D1538" s="79"/>
      <c r="E1538" s="80"/>
      <c r="F1538" s="80"/>
      <c r="G1538" s="81"/>
      <c r="H1538" s="80"/>
      <c r="I1538" s="80"/>
      <c r="J1538" s="82" t="b">
        <v>0</v>
      </c>
    </row>
    <row r="1539" ht="12.75" hidden="1" customHeight="1" outlineLevel="1">
      <c r="B1539" s="90" t="s">
        <v>1266</v>
      </c>
      <c r="C1539" s="89" t="s">
        <v>227</v>
      </c>
      <c r="D1539" s="91">
        <v>1.0</v>
      </c>
      <c r="E1539" s="92">
        <v>1962.85</v>
      </c>
      <c r="F1539" s="92">
        <v>1962.85</v>
      </c>
      <c r="G1539" s="93"/>
      <c r="H1539" s="92"/>
      <c r="I1539" s="92"/>
      <c r="J1539" s="82" t="b">
        <v>0</v>
      </c>
    </row>
    <row r="1540" ht="12.75" hidden="1" customHeight="1" outlineLevel="1">
      <c r="D1540" s="79"/>
      <c r="E1540" s="80"/>
      <c r="F1540" s="80"/>
      <c r="G1540" s="81"/>
      <c r="H1540" s="80"/>
      <c r="I1540" s="80"/>
      <c r="J1540" s="82" t="b">
        <v>0</v>
      </c>
    </row>
    <row r="1541" ht="12.75" hidden="1" customHeight="1" outlineLevel="1">
      <c r="D1541" s="79"/>
      <c r="E1541" s="80"/>
      <c r="F1541" s="80"/>
      <c r="G1541" s="81"/>
      <c r="H1541" s="80"/>
      <c r="I1541" s="80"/>
      <c r="J1541" s="82" t="b">
        <v>0</v>
      </c>
    </row>
    <row r="1542" ht="12.75" hidden="1" customHeight="1" outlineLevel="1">
      <c r="D1542" s="79"/>
      <c r="E1542" s="80"/>
      <c r="F1542" s="80"/>
      <c r="G1542" s="81"/>
      <c r="H1542" s="80"/>
      <c r="I1542" s="80"/>
      <c r="J1542" s="82" t="b">
        <v>0</v>
      </c>
    </row>
    <row r="1543" ht="12.75" customHeight="1" collapsed="1">
      <c r="A1543" s="134">
        <v>7.0</v>
      </c>
      <c r="B1543" s="158" t="s">
        <v>1267</v>
      </c>
      <c r="C1543" s="85">
        <f>SUM(F1547:F2123)</f>
        <v>213667.64</v>
      </c>
      <c r="D1543" s="86"/>
      <c r="E1543" s="88"/>
      <c r="F1543" s="88"/>
      <c r="G1543" s="81"/>
      <c r="H1543" s="80"/>
      <c r="I1543" s="80"/>
      <c r="J1543" s="82" t="b">
        <v>0</v>
      </c>
    </row>
    <row r="1544" ht="12.75" hidden="1" customHeight="1" outlineLevel="1">
      <c r="D1544" s="79"/>
      <c r="E1544" s="80"/>
      <c r="F1544" s="80"/>
      <c r="G1544" s="81"/>
      <c r="H1544" s="80"/>
      <c r="I1544" s="80"/>
      <c r="J1544" s="82" t="b">
        <v>0</v>
      </c>
    </row>
    <row r="1545" ht="12.75" hidden="1" customHeight="1" outlineLevel="1">
      <c r="A1545" s="89" t="s">
        <v>1268</v>
      </c>
      <c r="B1545" s="90" t="s">
        <v>1269</v>
      </c>
      <c r="D1545" s="79"/>
      <c r="E1545" s="80"/>
      <c r="F1545" s="80"/>
      <c r="G1545" s="81"/>
      <c r="H1545" s="80"/>
      <c r="I1545" s="80"/>
      <c r="J1545" s="82" t="b">
        <v>0</v>
      </c>
    </row>
    <row r="1546" ht="12.75" hidden="1" customHeight="1" outlineLevel="1">
      <c r="D1546" s="79"/>
      <c r="E1546" s="80"/>
      <c r="F1546" s="80"/>
      <c r="G1546" s="81"/>
      <c r="H1546" s="80"/>
      <c r="I1546" s="80"/>
      <c r="J1546" s="82" t="b">
        <v>0</v>
      </c>
    </row>
    <row r="1547" ht="12.75" hidden="1" customHeight="1" outlineLevel="1">
      <c r="B1547" s="90" t="s">
        <v>1270</v>
      </c>
      <c r="C1547" s="89" t="s">
        <v>33</v>
      </c>
      <c r="D1547" s="91">
        <v>1.0</v>
      </c>
      <c r="E1547" s="92">
        <v>239.87</v>
      </c>
      <c r="F1547" s="92">
        <v>239.87</v>
      </c>
      <c r="G1547" s="93"/>
      <c r="H1547" s="92"/>
      <c r="I1547" s="92"/>
      <c r="J1547" s="82" t="b">
        <v>0</v>
      </c>
    </row>
    <row r="1548" ht="12.75" hidden="1" customHeight="1" outlineLevel="1">
      <c r="D1548" s="79"/>
      <c r="E1548" s="80"/>
      <c r="F1548" s="80"/>
      <c r="G1548" s="81"/>
      <c r="H1548" s="80"/>
      <c r="I1548" s="80"/>
      <c r="J1548" s="82" t="b">
        <v>0</v>
      </c>
    </row>
    <row r="1549" ht="12.75" hidden="1" customHeight="1" outlineLevel="1">
      <c r="B1549" s="90" t="s">
        <v>1271</v>
      </c>
      <c r="C1549" s="89" t="s">
        <v>75</v>
      </c>
      <c r="D1549" s="91">
        <v>1.0</v>
      </c>
      <c r="E1549" s="92">
        <v>118.16</v>
      </c>
      <c r="F1549" s="92">
        <v>118.16</v>
      </c>
      <c r="G1549" s="93"/>
      <c r="H1549" s="92"/>
      <c r="I1549" s="92"/>
      <c r="J1549" s="82" t="b">
        <v>0</v>
      </c>
    </row>
    <row r="1550" ht="12.75" hidden="1" customHeight="1" outlineLevel="1">
      <c r="D1550" s="79"/>
      <c r="E1550" s="80"/>
      <c r="F1550" s="80"/>
      <c r="G1550" s="81"/>
      <c r="H1550" s="80"/>
      <c r="I1550" s="80"/>
      <c r="J1550" s="82" t="b">
        <v>0</v>
      </c>
    </row>
    <row r="1551" ht="12.75" hidden="1" customHeight="1" outlineLevel="1">
      <c r="A1551" s="89" t="s">
        <v>1272</v>
      </c>
      <c r="B1551" s="90" t="s">
        <v>1273</v>
      </c>
      <c r="D1551" s="79"/>
      <c r="E1551" s="80"/>
      <c r="F1551" s="80"/>
      <c r="G1551" s="81"/>
      <c r="H1551" s="80"/>
      <c r="I1551" s="80"/>
      <c r="J1551" s="82" t="b">
        <v>0</v>
      </c>
    </row>
    <row r="1552" ht="12.75" hidden="1" customHeight="1" outlineLevel="1">
      <c r="D1552" s="79"/>
      <c r="E1552" s="80"/>
      <c r="F1552" s="80"/>
      <c r="G1552" s="81"/>
      <c r="H1552" s="80"/>
      <c r="I1552" s="80"/>
      <c r="J1552" s="82" t="b">
        <v>0</v>
      </c>
    </row>
    <row r="1553" ht="12.75" hidden="1" customHeight="1" outlineLevel="1">
      <c r="B1553" s="90" t="s">
        <v>1274</v>
      </c>
      <c r="C1553" s="89" t="s">
        <v>33</v>
      </c>
      <c r="D1553" s="91">
        <v>1.0</v>
      </c>
      <c r="E1553" s="92">
        <v>7118.5</v>
      </c>
      <c r="F1553" s="92">
        <v>7118.5</v>
      </c>
      <c r="G1553" s="93"/>
      <c r="H1553" s="92"/>
      <c r="I1553" s="92"/>
      <c r="J1553" s="82" t="b">
        <v>0</v>
      </c>
    </row>
    <row r="1554" ht="12.75" hidden="1" customHeight="1" outlineLevel="1">
      <c r="D1554" s="79"/>
      <c r="E1554" s="80"/>
      <c r="F1554" s="80"/>
      <c r="G1554" s="81"/>
      <c r="H1554" s="80"/>
      <c r="I1554" s="80"/>
      <c r="J1554" s="82" t="b">
        <v>0</v>
      </c>
    </row>
    <row r="1555" ht="12.75" hidden="1" customHeight="1" outlineLevel="1">
      <c r="B1555" s="90" t="s">
        <v>1275</v>
      </c>
      <c r="C1555" s="89" t="s">
        <v>33</v>
      </c>
      <c r="D1555" s="91">
        <v>1.0</v>
      </c>
      <c r="E1555" s="92">
        <v>5003.02</v>
      </c>
      <c r="F1555" s="92">
        <v>5003.02</v>
      </c>
      <c r="G1555" s="93"/>
      <c r="H1555" s="92"/>
      <c r="I1555" s="92"/>
      <c r="J1555" s="82" t="b">
        <v>0</v>
      </c>
    </row>
    <row r="1556" ht="12.75" hidden="1" customHeight="1" outlineLevel="1">
      <c r="D1556" s="79"/>
      <c r="E1556" s="80"/>
      <c r="F1556" s="80"/>
      <c r="G1556" s="81"/>
      <c r="H1556" s="80"/>
      <c r="I1556" s="80"/>
      <c r="J1556" s="82" t="b">
        <v>0</v>
      </c>
    </row>
    <row r="1557" ht="12.75" hidden="1" customHeight="1" outlineLevel="1">
      <c r="B1557" s="90" t="s">
        <v>1276</v>
      </c>
      <c r="C1557" s="89" t="s">
        <v>33</v>
      </c>
      <c r="D1557" s="91">
        <v>1.0</v>
      </c>
      <c r="E1557" s="92">
        <v>6463.88</v>
      </c>
      <c r="F1557" s="92">
        <v>6463.88</v>
      </c>
      <c r="G1557" s="93"/>
      <c r="H1557" s="92"/>
      <c r="I1557" s="92"/>
      <c r="J1557" s="82" t="b">
        <v>0</v>
      </c>
    </row>
    <row r="1558" ht="12.75" hidden="1" customHeight="1" outlineLevel="1">
      <c r="D1558" s="79"/>
      <c r="E1558" s="80"/>
      <c r="F1558" s="80"/>
      <c r="G1558" s="81"/>
      <c r="H1558" s="80"/>
      <c r="I1558" s="80"/>
      <c r="J1558" s="82" t="b">
        <v>0</v>
      </c>
    </row>
    <row r="1559" ht="12.75" hidden="1" customHeight="1" outlineLevel="1">
      <c r="B1559" s="90" t="s">
        <v>1277</v>
      </c>
      <c r="C1559" s="89" t="s">
        <v>33</v>
      </c>
      <c r="D1559" s="91">
        <v>1.0</v>
      </c>
      <c r="E1559" s="92">
        <v>2459.3</v>
      </c>
      <c r="F1559" s="92">
        <v>2459.3</v>
      </c>
      <c r="G1559" s="93"/>
      <c r="H1559" s="92"/>
      <c r="I1559" s="92"/>
      <c r="J1559" s="82" t="b">
        <v>0</v>
      </c>
    </row>
    <row r="1560" ht="12.75" hidden="1" customHeight="1" outlineLevel="1">
      <c r="D1560" s="79"/>
      <c r="E1560" s="80"/>
      <c r="F1560" s="80"/>
      <c r="G1560" s="81"/>
      <c r="H1560" s="80"/>
      <c r="I1560" s="80"/>
      <c r="J1560" s="82" t="b">
        <v>0</v>
      </c>
    </row>
    <row r="1561" ht="12.75" hidden="1" customHeight="1" outlineLevel="1">
      <c r="B1561" s="90" t="s">
        <v>1278</v>
      </c>
      <c r="C1561" s="89" t="s">
        <v>33</v>
      </c>
      <c r="D1561" s="91">
        <v>1.0</v>
      </c>
      <c r="E1561" s="92">
        <v>1514.74</v>
      </c>
      <c r="F1561" s="92">
        <v>1514.74</v>
      </c>
      <c r="G1561" s="93"/>
      <c r="H1561" s="92"/>
      <c r="I1561" s="92"/>
      <c r="J1561" s="82" t="b">
        <v>0</v>
      </c>
    </row>
    <row r="1562" ht="12.75" hidden="1" customHeight="1" outlineLevel="1">
      <c r="D1562" s="79"/>
      <c r="E1562" s="80"/>
      <c r="F1562" s="80"/>
      <c r="G1562" s="81"/>
      <c r="H1562" s="80"/>
      <c r="I1562" s="80"/>
      <c r="J1562" s="82" t="b">
        <v>0</v>
      </c>
    </row>
    <row r="1563" ht="12.75" hidden="1" customHeight="1" outlineLevel="1">
      <c r="B1563" s="90" t="s">
        <v>1279</v>
      </c>
      <c r="C1563" s="89" t="s">
        <v>33</v>
      </c>
      <c r="D1563" s="91">
        <v>1.0</v>
      </c>
      <c r="E1563" s="92">
        <v>1385.22</v>
      </c>
      <c r="F1563" s="92">
        <v>1385.22</v>
      </c>
      <c r="G1563" s="93"/>
      <c r="H1563" s="92"/>
      <c r="I1563" s="92"/>
      <c r="J1563" s="82" t="b">
        <v>0</v>
      </c>
    </row>
    <row r="1564" ht="12.75" hidden="1" customHeight="1" outlineLevel="1">
      <c r="D1564" s="79"/>
      <c r="E1564" s="80"/>
      <c r="F1564" s="80"/>
      <c r="G1564" s="81"/>
      <c r="H1564" s="80"/>
      <c r="I1564" s="80"/>
      <c r="J1564" s="82" t="b">
        <v>0</v>
      </c>
    </row>
    <row r="1565" ht="12.75" hidden="1" customHeight="1" outlineLevel="1">
      <c r="B1565" s="90" t="s">
        <v>1280</v>
      </c>
      <c r="C1565" s="89" t="s">
        <v>33</v>
      </c>
      <c r="D1565" s="91">
        <v>1.0</v>
      </c>
      <c r="E1565" s="80"/>
      <c r="F1565" s="92">
        <v>0.0</v>
      </c>
      <c r="G1565" s="93"/>
      <c r="H1565" s="92"/>
      <c r="I1565" s="92"/>
      <c r="J1565" s="82" t="b">
        <v>0</v>
      </c>
    </row>
    <row r="1566" ht="12.75" hidden="1" customHeight="1" outlineLevel="1">
      <c r="D1566" s="79"/>
      <c r="E1566" s="80"/>
      <c r="F1566" s="80"/>
      <c r="G1566" s="81"/>
      <c r="H1566" s="80"/>
      <c r="I1566" s="80"/>
      <c r="J1566" s="82" t="b">
        <v>0</v>
      </c>
    </row>
    <row r="1567" ht="12.75" hidden="1" customHeight="1" outlineLevel="1">
      <c r="B1567" s="90" t="s">
        <v>1281</v>
      </c>
      <c r="C1567" s="89" t="s">
        <v>33</v>
      </c>
      <c r="D1567" s="91">
        <v>1.0</v>
      </c>
      <c r="E1567" s="80"/>
      <c r="F1567" s="92">
        <v>0.0</v>
      </c>
      <c r="G1567" s="93"/>
      <c r="H1567" s="92"/>
      <c r="I1567" s="92"/>
      <c r="J1567" s="82" t="b">
        <v>0</v>
      </c>
    </row>
    <row r="1568" ht="12.75" hidden="1" customHeight="1" outlineLevel="1">
      <c r="D1568" s="79"/>
      <c r="E1568" s="80"/>
      <c r="F1568" s="80"/>
      <c r="G1568" s="81"/>
      <c r="H1568" s="80"/>
      <c r="I1568" s="80"/>
      <c r="J1568" s="82" t="b">
        <v>0</v>
      </c>
    </row>
    <row r="1569" ht="12.75" hidden="1" customHeight="1" outlineLevel="1">
      <c r="B1569" s="90" t="s">
        <v>1282</v>
      </c>
      <c r="C1569" s="89" t="s">
        <v>33</v>
      </c>
      <c r="D1569" s="91">
        <v>1.0</v>
      </c>
      <c r="E1569" s="80"/>
      <c r="F1569" s="92">
        <v>0.0</v>
      </c>
      <c r="G1569" s="93"/>
      <c r="H1569" s="92"/>
      <c r="I1569" s="92"/>
      <c r="J1569" s="82" t="b">
        <v>0</v>
      </c>
    </row>
    <row r="1570" ht="12.75" hidden="1" customHeight="1" outlineLevel="1">
      <c r="D1570" s="79"/>
      <c r="E1570" s="80"/>
      <c r="F1570" s="80"/>
      <c r="G1570" s="81"/>
      <c r="H1570" s="80"/>
      <c r="I1570" s="80"/>
      <c r="J1570" s="82" t="b">
        <v>0</v>
      </c>
    </row>
    <row r="1571" ht="12.75" hidden="1" customHeight="1" outlineLevel="1">
      <c r="B1571" s="90" t="s">
        <v>1283</v>
      </c>
      <c r="C1571" s="89" t="s">
        <v>33</v>
      </c>
      <c r="D1571" s="91">
        <v>1.0</v>
      </c>
      <c r="E1571" s="80"/>
      <c r="F1571" s="92">
        <v>0.0</v>
      </c>
      <c r="G1571" s="93"/>
      <c r="H1571" s="92"/>
      <c r="I1571" s="92"/>
      <c r="J1571" s="82" t="b">
        <v>0</v>
      </c>
    </row>
    <row r="1572" ht="12.75" hidden="1" customHeight="1" outlineLevel="1">
      <c r="D1572" s="79"/>
      <c r="E1572" s="80"/>
      <c r="F1572" s="80"/>
      <c r="G1572" s="81"/>
      <c r="H1572" s="80"/>
      <c r="I1572" s="80"/>
      <c r="J1572" s="82" t="b">
        <v>0</v>
      </c>
    </row>
    <row r="1573" ht="12.75" hidden="1" customHeight="1" outlineLevel="1">
      <c r="A1573" s="89" t="s">
        <v>1284</v>
      </c>
      <c r="B1573" s="90" t="s">
        <v>1285</v>
      </c>
      <c r="D1573" s="79"/>
      <c r="E1573" s="80"/>
      <c r="F1573" s="80"/>
      <c r="G1573" s="81"/>
      <c r="H1573" s="80"/>
      <c r="I1573" s="80"/>
      <c r="J1573" s="82" t="b">
        <v>0</v>
      </c>
    </row>
    <row r="1574" ht="12.75" hidden="1" customHeight="1" outlineLevel="1">
      <c r="D1574" s="79"/>
      <c r="E1574" s="80"/>
      <c r="F1574" s="80"/>
      <c r="G1574" s="81"/>
      <c r="H1574" s="80"/>
      <c r="I1574" s="80"/>
      <c r="J1574" s="82" t="b">
        <v>0</v>
      </c>
    </row>
    <row r="1575" ht="12.75" hidden="1" customHeight="1" outlineLevel="1">
      <c r="B1575" s="90" t="s">
        <v>1286</v>
      </c>
      <c r="D1575" s="79"/>
      <c r="E1575" s="80"/>
      <c r="F1575" s="80"/>
      <c r="G1575" s="81"/>
      <c r="H1575" s="80"/>
      <c r="I1575" s="80"/>
      <c r="J1575" s="82" t="b">
        <v>0</v>
      </c>
    </row>
    <row r="1576" ht="12.75" hidden="1" customHeight="1" outlineLevel="1">
      <c r="D1576" s="79"/>
      <c r="E1576" s="80"/>
      <c r="F1576" s="80"/>
      <c r="G1576" s="81"/>
      <c r="H1576" s="80"/>
      <c r="I1576" s="80"/>
      <c r="J1576" s="82" t="b">
        <v>0</v>
      </c>
    </row>
    <row r="1577" ht="12.75" hidden="1" customHeight="1" outlineLevel="1">
      <c r="B1577" s="90" t="s">
        <v>1287</v>
      </c>
      <c r="C1577" s="89" t="s">
        <v>161</v>
      </c>
      <c r="D1577" s="91">
        <v>34.0</v>
      </c>
      <c r="E1577" s="92">
        <v>24.09</v>
      </c>
      <c r="F1577" s="92">
        <v>819.06</v>
      </c>
      <c r="G1577" s="93"/>
      <c r="H1577" s="92"/>
      <c r="I1577" s="92"/>
      <c r="J1577" s="82" t="b">
        <v>0</v>
      </c>
    </row>
    <row r="1578" ht="12.75" hidden="1" customHeight="1" outlineLevel="1">
      <c r="D1578" s="79"/>
      <c r="E1578" s="80"/>
      <c r="F1578" s="80"/>
      <c r="G1578" s="81"/>
      <c r="H1578" s="80"/>
      <c r="I1578" s="80"/>
      <c r="J1578" s="82" t="b">
        <v>0</v>
      </c>
    </row>
    <row r="1579" ht="12.75" hidden="1" customHeight="1" outlineLevel="1">
      <c r="B1579" s="90" t="s">
        <v>1288</v>
      </c>
      <c r="C1579" s="89" t="s">
        <v>161</v>
      </c>
      <c r="D1579" s="91">
        <v>12.0</v>
      </c>
      <c r="E1579" s="92">
        <v>8.38</v>
      </c>
      <c r="F1579" s="92">
        <v>100.56</v>
      </c>
      <c r="G1579" s="93"/>
      <c r="H1579" s="92"/>
      <c r="I1579" s="92"/>
      <c r="J1579" s="82" t="b">
        <v>0</v>
      </c>
    </row>
    <row r="1580" ht="12.75" hidden="1" customHeight="1" outlineLevel="1">
      <c r="D1580" s="79"/>
      <c r="E1580" s="80"/>
      <c r="F1580" s="80"/>
      <c r="G1580" s="81"/>
      <c r="H1580" s="80"/>
      <c r="I1580" s="80"/>
      <c r="J1580" s="82" t="b">
        <v>0</v>
      </c>
    </row>
    <row r="1581" ht="12.75" hidden="1" customHeight="1" outlineLevel="1">
      <c r="B1581" s="90" t="s">
        <v>1289</v>
      </c>
      <c r="C1581" s="89" t="s">
        <v>161</v>
      </c>
      <c r="D1581" s="91">
        <v>33.0</v>
      </c>
      <c r="E1581" s="92">
        <v>6.28</v>
      </c>
      <c r="F1581" s="92">
        <v>207.24</v>
      </c>
      <c r="G1581" s="93"/>
      <c r="H1581" s="92"/>
      <c r="I1581" s="92"/>
      <c r="J1581" s="82" t="b">
        <v>0</v>
      </c>
    </row>
    <row r="1582" ht="12.75" hidden="1" customHeight="1" outlineLevel="1">
      <c r="D1582" s="79"/>
      <c r="E1582" s="80"/>
      <c r="F1582" s="80"/>
      <c r="G1582" s="81"/>
      <c r="H1582" s="80"/>
      <c r="I1582" s="80"/>
      <c r="J1582" s="82" t="b">
        <v>0</v>
      </c>
    </row>
    <row r="1583" ht="12.75" hidden="1" customHeight="1" outlineLevel="1">
      <c r="B1583" s="90" t="s">
        <v>1290</v>
      </c>
      <c r="C1583" s="89" t="s">
        <v>161</v>
      </c>
      <c r="D1583" s="91">
        <v>9.0</v>
      </c>
      <c r="E1583" s="92">
        <v>19.32</v>
      </c>
      <c r="F1583" s="92">
        <v>173.88</v>
      </c>
      <c r="G1583" s="93"/>
      <c r="H1583" s="92"/>
      <c r="I1583" s="92"/>
      <c r="J1583" s="82" t="b">
        <v>0</v>
      </c>
    </row>
    <row r="1584" ht="12.75" hidden="1" customHeight="1" outlineLevel="1">
      <c r="D1584" s="79"/>
      <c r="E1584" s="80"/>
      <c r="F1584" s="80"/>
      <c r="G1584" s="81"/>
      <c r="H1584" s="80"/>
      <c r="I1584" s="80"/>
      <c r="J1584" s="82" t="b">
        <v>0</v>
      </c>
    </row>
    <row r="1585" ht="12.75" hidden="1" customHeight="1" outlineLevel="1">
      <c r="B1585" s="90" t="s">
        <v>1291</v>
      </c>
      <c r="C1585" s="89" t="s">
        <v>161</v>
      </c>
      <c r="D1585" s="91">
        <v>59.0</v>
      </c>
      <c r="E1585" s="92">
        <v>8.38</v>
      </c>
      <c r="F1585" s="92">
        <v>494.42</v>
      </c>
      <c r="G1585" s="93"/>
      <c r="H1585" s="92"/>
      <c r="I1585" s="92"/>
      <c r="J1585" s="82" t="b">
        <v>0</v>
      </c>
    </row>
    <row r="1586" ht="12.75" hidden="1" customHeight="1" outlineLevel="1">
      <c r="D1586" s="79"/>
      <c r="E1586" s="80"/>
      <c r="F1586" s="80"/>
      <c r="G1586" s="81"/>
      <c r="H1586" s="80"/>
      <c r="I1586" s="80"/>
      <c r="J1586" s="82" t="b">
        <v>0</v>
      </c>
    </row>
    <row r="1587" ht="12.75" hidden="1" customHeight="1" outlineLevel="1">
      <c r="B1587" s="90" t="s">
        <v>1292</v>
      </c>
      <c r="C1587" s="89" t="s">
        <v>161</v>
      </c>
      <c r="D1587" s="91">
        <v>33.0</v>
      </c>
      <c r="E1587" s="92">
        <v>8.38</v>
      </c>
      <c r="F1587" s="92">
        <v>276.54</v>
      </c>
      <c r="G1587" s="93"/>
      <c r="H1587" s="92"/>
      <c r="I1587" s="92"/>
      <c r="J1587" s="82" t="b">
        <v>0</v>
      </c>
    </row>
    <row r="1588" ht="12.75" hidden="1" customHeight="1" outlineLevel="1">
      <c r="D1588" s="79"/>
      <c r="E1588" s="80"/>
      <c r="F1588" s="80"/>
      <c r="G1588" s="81"/>
      <c r="H1588" s="80"/>
      <c r="I1588" s="80"/>
      <c r="J1588" s="82" t="b">
        <v>0</v>
      </c>
    </row>
    <row r="1589" ht="12.75" hidden="1" customHeight="1" outlineLevel="1">
      <c r="B1589" s="90" t="s">
        <v>1293</v>
      </c>
      <c r="C1589" s="89" t="s">
        <v>161</v>
      </c>
      <c r="D1589" s="91">
        <v>30.0</v>
      </c>
      <c r="E1589" s="92">
        <v>8.38</v>
      </c>
      <c r="F1589" s="92">
        <v>251.4</v>
      </c>
      <c r="G1589" s="93"/>
      <c r="H1589" s="92"/>
      <c r="I1589" s="92"/>
      <c r="J1589" s="82" t="b">
        <v>0</v>
      </c>
    </row>
    <row r="1590" ht="12.75" hidden="1" customHeight="1" outlineLevel="1">
      <c r="D1590" s="79"/>
      <c r="E1590" s="80"/>
      <c r="F1590" s="80"/>
      <c r="G1590" s="81"/>
      <c r="H1590" s="80"/>
      <c r="I1590" s="80"/>
      <c r="J1590" s="82" t="b">
        <v>0</v>
      </c>
    </row>
    <row r="1591" ht="12.75" hidden="1" customHeight="1" outlineLevel="1">
      <c r="B1591" s="90" t="s">
        <v>1294</v>
      </c>
      <c r="C1591" s="89" t="s">
        <v>161</v>
      </c>
      <c r="D1591" s="91">
        <v>13.0</v>
      </c>
      <c r="E1591" s="92">
        <v>8.38</v>
      </c>
      <c r="F1591" s="92">
        <v>108.94</v>
      </c>
      <c r="G1591" s="93"/>
      <c r="H1591" s="92"/>
      <c r="I1591" s="92"/>
      <c r="J1591" s="82" t="b">
        <v>0</v>
      </c>
    </row>
    <row r="1592" ht="12.75" hidden="1" customHeight="1" outlineLevel="1">
      <c r="D1592" s="79"/>
      <c r="E1592" s="80"/>
      <c r="F1592" s="80"/>
      <c r="G1592" s="81"/>
      <c r="H1592" s="80"/>
      <c r="I1592" s="80"/>
      <c r="J1592" s="82" t="b">
        <v>0</v>
      </c>
    </row>
    <row r="1593" ht="12.75" hidden="1" customHeight="1" outlineLevel="1">
      <c r="B1593" s="90" t="s">
        <v>1295</v>
      </c>
      <c r="C1593" s="89" t="s">
        <v>161</v>
      </c>
      <c r="D1593" s="91">
        <v>35.0</v>
      </c>
      <c r="E1593" s="92">
        <v>8.38</v>
      </c>
      <c r="F1593" s="92">
        <v>293.3</v>
      </c>
      <c r="G1593" s="93"/>
      <c r="H1593" s="92"/>
      <c r="I1593" s="92"/>
      <c r="J1593" s="82" t="b">
        <v>0</v>
      </c>
    </row>
    <row r="1594" ht="12.75" hidden="1" customHeight="1" outlineLevel="1">
      <c r="D1594" s="79"/>
      <c r="E1594" s="80"/>
      <c r="F1594" s="80"/>
      <c r="G1594" s="81"/>
      <c r="H1594" s="80"/>
      <c r="I1594" s="80"/>
      <c r="J1594" s="82" t="b">
        <v>0</v>
      </c>
    </row>
    <row r="1595" ht="12.75" hidden="1" customHeight="1" outlineLevel="1">
      <c r="B1595" s="90" t="s">
        <v>1296</v>
      </c>
      <c r="C1595" s="89" t="s">
        <v>161</v>
      </c>
      <c r="D1595" s="91">
        <v>30.0</v>
      </c>
      <c r="E1595" s="92">
        <v>8.38</v>
      </c>
      <c r="F1595" s="92">
        <v>251.4</v>
      </c>
      <c r="G1595" s="93"/>
      <c r="H1595" s="92"/>
      <c r="I1595" s="92"/>
      <c r="J1595" s="82" t="b">
        <v>0</v>
      </c>
    </row>
    <row r="1596" ht="12.75" hidden="1" customHeight="1" outlineLevel="1">
      <c r="D1596" s="79"/>
      <c r="E1596" s="80"/>
      <c r="F1596" s="80"/>
      <c r="G1596" s="81"/>
      <c r="H1596" s="80"/>
      <c r="I1596" s="80"/>
      <c r="J1596" s="82" t="b">
        <v>0</v>
      </c>
    </row>
    <row r="1597" ht="12.75" hidden="1" customHeight="1" outlineLevel="1">
      <c r="B1597" s="90" t="s">
        <v>1297</v>
      </c>
      <c r="C1597" s="89" t="s">
        <v>161</v>
      </c>
      <c r="D1597" s="91">
        <v>10.0</v>
      </c>
      <c r="E1597" s="92">
        <v>13.11</v>
      </c>
      <c r="F1597" s="92">
        <v>131.1</v>
      </c>
      <c r="G1597" s="93"/>
      <c r="H1597" s="92"/>
      <c r="I1597" s="92"/>
      <c r="J1597" s="82" t="b">
        <v>0</v>
      </c>
    </row>
    <row r="1598" ht="12.75" hidden="1" customHeight="1" outlineLevel="1">
      <c r="D1598" s="79"/>
      <c r="E1598" s="80"/>
      <c r="F1598" s="80"/>
      <c r="G1598" s="81"/>
      <c r="H1598" s="80"/>
      <c r="I1598" s="80"/>
      <c r="J1598" s="82" t="b">
        <v>0</v>
      </c>
    </row>
    <row r="1599" ht="12.75" hidden="1" customHeight="1" outlineLevel="1">
      <c r="B1599" s="90" t="s">
        <v>1298</v>
      </c>
      <c r="C1599" s="89" t="s">
        <v>161</v>
      </c>
      <c r="D1599" s="91">
        <v>10.0</v>
      </c>
      <c r="E1599" s="92">
        <v>6.28</v>
      </c>
      <c r="F1599" s="92">
        <v>62.8</v>
      </c>
      <c r="G1599" s="93"/>
      <c r="H1599" s="92"/>
      <c r="I1599" s="92"/>
      <c r="J1599" s="82" t="b">
        <v>0</v>
      </c>
    </row>
    <row r="1600" ht="12.75" hidden="1" customHeight="1" outlineLevel="1">
      <c r="D1600" s="79"/>
      <c r="E1600" s="80"/>
      <c r="F1600" s="80"/>
      <c r="G1600" s="81"/>
      <c r="H1600" s="80"/>
      <c r="I1600" s="80"/>
      <c r="J1600" s="82" t="b">
        <v>0</v>
      </c>
    </row>
    <row r="1601" ht="12.75" hidden="1" customHeight="1" outlineLevel="1">
      <c r="B1601" s="90" t="s">
        <v>1299</v>
      </c>
      <c r="C1601" s="89" t="s">
        <v>161</v>
      </c>
      <c r="D1601" s="91">
        <v>10.0</v>
      </c>
      <c r="E1601" s="92">
        <v>4.22</v>
      </c>
      <c r="F1601" s="92">
        <v>42.2</v>
      </c>
      <c r="G1601" s="93"/>
      <c r="H1601" s="92"/>
      <c r="I1601" s="92"/>
      <c r="J1601" s="82" t="b">
        <v>0</v>
      </c>
    </row>
    <row r="1602" ht="12.75" hidden="1" customHeight="1" outlineLevel="1">
      <c r="D1602" s="79"/>
      <c r="E1602" s="80"/>
      <c r="F1602" s="80"/>
      <c r="G1602" s="81"/>
      <c r="H1602" s="80"/>
      <c r="I1602" s="80"/>
      <c r="J1602" s="82" t="b">
        <v>0</v>
      </c>
    </row>
    <row r="1603" ht="12.75" hidden="1" customHeight="1" outlineLevel="1">
      <c r="B1603" s="90" t="s">
        <v>1300</v>
      </c>
      <c r="C1603" s="89" t="s">
        <v>161</v>
      </c>
      <c r="D1603" s="91">
        <v>10.0</v>
      </c>
      <c r="E1603" s="92">
        <v>8.38</v>
      </c>
      <c r="F1603" s="92">
        <v>83.8</v>
      </c>
      <c r="G1603" s="93"/>
      <c r="H1603" s="92"/>
      <c r="I1603" s="92"/>
      <c r="J1603" s="82" t="b">
        <v>0</v>
      </c>
    </row>
    <row r="1604" ht="12.75" hidden="1" customHeight="1" outlineLevel="1">
      <c r="D1604" s="79"/>
      <c r="E1604" s="80"/>
      <c r="F1604" s="80"/>
      <c r="G1604" s="81"/>
      <c r="H1604" s="80"/>
      <c r="I1604" s="80"/>
      <c r="J1604" s="82" t="b">
        <v>0</v>
      </c>
    </row>
    <row r="1605" ht="12.75" hidden="1" customHeight="1" outlineLevel="1">
      <c r="B1605" s="90" t="s">
        <v>1301</v>
      </c>
      <c r="C1605" s="89" t="s">
        <v>161</v>
      </c>
      <c r="D1605" s="91">
        <v>13.0</v>
      </c>
      <c r="E1605" s="92">
        <v>6.28</v>
      </c>
      <c r="F1605" s="92">
        <v>81.64</v>
      </c>
      <c r="G1605" s="93"/>
      <c r="H1605" s="92"/>
      <c r="I1605" s="92"/>
      <c r="J1605" s="82" t="b">
        <v>0</v>
      </c>
    </row>
    <row r="1606" ht="12.75" hidden="1" customHeight="1" outlineLevel="1">
      <c r="D1606" s="79"/>
      <c r="E1606" s="80"/>
      <c r="F1606" s="80"/>
      <c r="G1606" s="81"/>
      <c r="H1606" s="80"/>
      <c r="I1606" s="80"/>
      <c r="J1606" s="82" t="b">
        <v>0</v>
      </c>
    </row>
    <row r="1607" ht="12.75" hidden="1" customHeight="1" outlineLevel="1">
      <c r="B1607" s="90" t="s">
        <v>1302</v>
      </c>
      <c r="C1607" s="89" t="s">
        <v>161</v>
      </c>
      <c r="D1607" s="91">
        <v>10.0</v>
      </c>
      <c r="E1607" s="92">
        <v>4.22</v>
      </c>
      <c r="F1607" s="92">
        <v>42.2</v>
      </c>
      <c r="G1607" s="93"/>
      <c r="H1607" s="92"/>
      <c r="I1607" s="92"/>
      <c r="J1607" s="82" t="b">
        <v>0</v>
      </c>
    </row>
    <row r="1608" ht="12.75" hidden="1" customHeight="1" outlineLevel="1">
      <c r="D1608" s="79"/>
      <c r="E1608" s="80"/>
      <c r="F1608" s="80"/>
      <c r="G1608" s="81"/>
      <c r="H1608" s="80"/>
      <c r="I1608" s="80"/>
      <c r="J1608" s="82" t="b">
        <v>0</v>
      </c>
    </row>
    <row r="1609" ht="12.75" hidden="1" customHeight="1" outlineLevel="1">
      <c r="B1609" s="90" t="s">
        <v>1303</v>
      </c>
      <c r="C1609" s="89" t="s">
        <v>161</v>
      </c>
      <c r="D1609" s="91">
        <v>13.0</v>
      </c>
      <c r="E1609" s="92">
        <v>6.28</v>
      </c>
      <c r="F1609" s="92">
        <v>81.64</v>
      </c>
      <c r="G1609" s="93"/>
      <c r="H1609" s="92"/>
      <c r="I1609" s="92"/>
      <c r="J1609" s="82" t="b">
        <v>0</v>
      </c>
    </row>
    <row r="1610" ht="12.75" hidden="1" customHeight="1" outlineLevel="1">
      <c r="D1610" s="79"/>
      <c r="E1610" s="80"/>
      <c r="F1610" s="80"/>
      <c r="G1610" s="81"/>
      <c r="H1610" s="80"/>
      <c r="I1610" s="80"/>
      <c r="J1610" s="82" t="b">
        <v>0</v>
      </c>
    </row>
    <row r="1611" ht="12.75" hidden="1" customHeight="1" outlineLevel="1">
      <c r="B1611" s="90" t="s">
        <v>1304</v>
      </c>
      <c r="C1611" s="89" t="s">
        <v>161</v>
      </c>
      <c r="D1611" s="91">
        <v>13.0</v>
      </c>
      <c r="E1611" s="92">
        <v>6.28</v>
      </c>
      <c r="F1611" s="92">
        <v>81.64</v>
      </c>
      <c r="G1611" s="93"/>
      <c r="H1611" s="92"/>
      <c r="I1611" s="92"/>
      <c r="J1611" s="82" t="b">
        <v>0</v>
      </c>
    </row>
    <row r="1612" ht="12.75" hidden="1" customHeight="1" outlineLevel="1">
      <c r="D1612" s="79"/>
      <c r="E1612" s="80"/>
      <c r="F1612" s="80"/>
      <c r="G1612" s="81"/>
      <c r="H1612" s="80"/>
      <c r="I1612" s="80"/>
      <c r="J1612" s="82" t="b">
        <v>0</v>
      </c>
    </row>
    <row r="1613" ht="12.75" hidden="1" customHeight="1" outlineLevel="1">
      <c r="B1613" s="90" t="s">
        <v>1305</v>
      </c>
      <c r="C1613" s="89" t="s">
        <v>161</v>
      </c>
      <c r="D1613" s="91">
        <v>13.0</v>
      </c>
      <c r="E1613" s="92">
        <v>6.28</v>
      </c>
      <c r="F1613" s="92">
        <v>81.64</v>
      </c>
      <c r="G1613" s="93"/>
      <c r="H1613" s="92"/>
      <c r="I1613" s="92"/>
      <c r="J1613" s="82" t="b">
        <v>0</v>
      </c>
    </row>
    <row r="1614" ht="12.75" hidden="1" customHeight="1" outlineLevel="1">
      <c r="D1614" s="79"/>
      <c r="E1614" s="80"/>
      <c r="F1614" s="80"/>
      <c r="G1614" s="81"/>
      <c r="H1614" s="80"/>
      <c r="I1614" s="80"/>
      <c r="J1614" s="82" t="b">
        <v>0</v>
      </c>
    </row>
    <row r="1615" ht="12.75" hidden="1" customHeight="1" outlineLevel="1">
      <c r="B1615" s="90" t="s">
        <v>1306</v>
      </c>
      <c r="C1615" s="89" t="s">
        <v>161</v>
      </c>
      <c r="D1615" s="91">
        <v>13.0</v>
      </c>
      <c r="E1615" s="92">
        <v>6.28</v>
      </c>
      <c r="F1615" s="92">
        <v>81.64</v>
      </c>
      <c r="G1615" s="93"/>
      <c r="H1615" s="92"/>
      <c r="I1615" s="92"/>
      <c r="J1615" s="82" t="b">
        <v>0</v>
      </c>
    </row>
    <row r="1616" ht="12.75" hidden="1" customHeight="1" outlineLevel="1">
      <c r="D1616" s="79"/>
      <c r="E1616" s="80"/>
      <c r="F1616" s="80"/>
      <c r="G1616" s="81"/>
      <c r="H1616" s="80"/>
      <c r="I1616" s="80"/>
      <c r="J1616" s="82" t="b">
        <v>0</v>
      </c>
    </row>
    <row r="1617" ht="12.75" hidden="1" customHeight="1" outlineLevel="1">
      <c r="B1617" s="90" t="s">
        <v>1123</v>
      </c>
      <c r="D1617" s="79"/>
      <c r="E1617" s="80"/>
      <c r="F1617" s="80"/>
      <c r="G1617" s="81"/>
      <c r="H1617" s="80"/>
      <c r="I1617" s="80"/>
      <c r="J1617" s="82" t="b">
        <v>0</v>
      </c>
    </row>
    <row r="1618" ht="12.75" hidden="1" customHeight="1" outlineLevel="1">
      <c r="D1618" s="79"/>
      <c r="E1618" s="80"/>
      <c r="F1618" s="80"/>
      <c r="G1618" s="81"/>
      <c r="H1618" s="80"/>
      <c r="I1618" s="80"/>
      <c r="J1618" s="82" t="b">
        <v>0</v>
      </c>
    </row>
    <row r="1619" ht="12.75" hidden="1" customHeight="1" outlineLevel="1">
      <c r="B1619" s="90" t="s">
        <v>1307</v>
      </c>
      <c r="C1619" s="89" t="s">
        <v>161</v>
      </c>
      <c r="D1619" s="91">
        <v>7.0</v>
      </c>
      <c r="E1619" s="92">
        <v>6.54</v>
      </c>
      <c r="F1619" s="92">
        <v>45.78</v>
      </c>
      <c r="G1619" s="93"/>
      <c r="H1619" s="92"/>
      <c r="I1619" s="92"/>
      <c r="J1619" s="82" t="b">
        <v>0</v>
      </c>
    </row>
    <row r="1620" ht="12.75" hidden="1" customHeight="1" outlineLevel="1">
      <c r="D1620" s="79"/>
      <c r="E1620" s="80"/>
      <c r="F1620" s="80"/>
      <c r="G1620" s="81"/>
      <c r="H1620" s="80"/>
      <c r="I1620" s="80"/>
      <c r="J1620" s="82" t="b">
        <v>0</v>
      </c>
    </row>
    <row r="1621" ht="12.75" hidden="1" customHeight="1" outlineLevel="1">
      <c r="B1621" s="90" t="s">
        <v>1308</v>
      </c>
      <c r="C1621" s="89" t="s">
        <v>161</v>
      </c>
      <c r="D1621" s="91">
        <v>550.0</v>
      </c>
      <c r="E1621" s="92">
        <v>4.05</v>
      </c>
      <c r="F1621" s="92">
        <v>2227.5</v>
      </c>
      <c r="G1621" s="93"/>
      <c r="H1621" s="92"/>
      <c r="I1621" s="92"/>
      <c r="J1621" s="82" t="b">
        <v>0</v>
      </c>
    </row>
    <row r="1622" ht="12.75" hidden="1" customHeight="1" outlineLevel="1">
      <c r="D1622" s="79"/>
      <c r="E1622" s="80"/>
      <c r="F1622" s="80"/>
      <c r="G1622" s="81"/>
      <c r="H1622" s="80"/>
      <c r="I1622" s="80"/>
      <c r="J1622" s="82" t="b">
        <v>0</v>
      </c>
    </row>
    <row r="1623" ht="12.75" hidden="1" customHeight="1" outlineLevel="1">
      <c r="B1623" s="90" t="s">
        <v>1309</v>
      </c>
      <c r="C1623" s="89" t="s">
        <v>161</v>
      </c>
      <c r="D1623" s="91">
        <v>64.0</v>
      </c>
      <c r="E1623" s="92">
        <v>3.72</v>
      </c>
      <c r="F1623" s="92">
        <v>238.08</v>
      </c>
      <c r="G1623" s="93"/>
      <c r="H1623" s="92"/>
      <c r="I1623" s="92"/>
      <c r="J1623" s="82" t="b">
        <v>0</v>
      </c>
    </row>
    <row r="1624" ht="12.75" hidden="1" customHeight="1" outlineLevel="1">
      <c r="D1624" s="79"/>
      <c r="E1624" s="80"/>
      <c r="F1624" s="80"/>
      <c r="G1624" s="81"/>
      <c r="H1624" s="80"/>
      <c r="I1624" s="80"/>
      <c r="J1624" s="82" t="b">
        <v>0</v>
      </c>
    </row>
    <row r="1625" ht="12.75" hidden="1" customHeight="1" outlineLevel="1">
      <c r="B1625" s="90" t="s">
        <v>1310</v>
      </c>
      <c r="C1625" s="89" t="s">
        <v>161</v>
      </c>
      <c r="D1625" s="91">
        <v>169.0</v>
      </c>
      <c r="E1625" s="92">
        <v>2.66</v>
      </c>
      <c r="F1625" s="92">
        <v>449.54</v>
      </c>
      <c r="G1625" s="93"/>
      <c r="H1625" s="92"/>
      <c r="I1625" s="92"/>
      <c r="J1625" s="82" t="b">
        <v>0</v>
      </c>
    </row>
    <row r="1626" ht="12.75" hidden="1" customHeight="1" outlineLevel="1">
      <c r="D1626" s="79"/>
      <c r="E1626" s="80"/>
      <c r="F1626" s="80"/>
      <c r="G1626" s="81"/>
      <c r="H1626" s="80"/>
      <c r="I1626" s="80"/>
      <c r="J1626" s="82" t="b">
        <v>0</v>
      </c>
    </row>
    <row r="1627" ht="12.75" hidden="1" customHeight="1" outlineLevel="1">
      <c r="B1627" s="90" t="s">
        <v>1311</v>
      </c>
      <c r="C1627" s="89" t="s">
        <v>161</v>
      </c>
      <c r="D1627" s="91">
        <v>98.0</v>
      </c>
      <c r="E1627" s="92">
        <v>2.24</v>
      </c>
      <c r="F1627" s="92">
        <v>219.52</v>
      </c>
      <c r="G1627" s="93"/>
      <c r="H1627" s="92"/>
      <c r="I1627" s="92"/>
      <c r="J1627" s="82" t="b">
        <v>0</v>
      </c>
    </row>
    <row r="1628" ht="12.75" hidden="1" customHeight="1" outlineLevel="1">
      <c r="D1628" s="79"/>
      <c r="E1628" s="80"/>
      <c r="F1628" s="80"/>
      <c r="G1628" s="81"/>
      <c r="H1628" s="80"/>
      <c r="I1628" s="80"/>
      <c r="J1628" s="82" t="b">
        <v>0</v>
      </c>
    </row>
    <row r="1629" ht="12.75" hidden="1" customHeight="1" outlineLevel="1">
      <c r="B1629" s="90" t="s">
        <v>1312</v>
      </c>
      <c r="C1629" s="89" t="s">
        <v>161</v>
      </c>
      <c r="D1629" s="91">
        <v>25.0</v>
      </c>
      <c r="E1629" s="92">
        <v>1.81</v>
      </c>
      <c r="F1629" s="92">
        <v>45.25</v>
      </c>
      <c r="G1629" s="93"/>
      <c r="H1629" s="92"/>
      <c r="I1629" s="92"/>
      <c r="J1629" s="82" t="b">
        <v>0</v>
      </c>
    </row>
    <row r="1630" ht="12.75" hidden="1" customHeight="1" outlineLevel="1">
      <c r="D1630" s="79"/>
      <c r="E1630" s="80"/>
      <c r="F1630" s="80"/>
      <c r="G1630" s="81"/>
      <c r="H1630" s="80"/>
      <c r="I1630" s="80"/>
      <c r="J1630" s="82" t="b">
        <v>0</v>
      </c>
    </row>
    <row r="1631" ht="12.75" hidden="1" customHeight="1" outlineLevel="1">
      <c r="B1631" s="90" t="s">
        <v>1313</v>
      </c>
      <c r="C1631" s="89" t="s">
        <v>161</v>
      </c>
      <c r="D1631" s="91">
        <v>75.0</v>
      </c>
      <c r="E1631" s="92">
        <v>2.84</v>
      </c>
      <c r="F1631" s="92">
        <v>213.0</v>
      </c>
      <c r="G1631" s="93"/>
      <c r="H1631" s="92"/>
      <c r="I1631" s="92"/>
      <c r="J1631" s="82" t="b">
        <v>0</v>
      </c>
    </row>
    <row r="1632" ht="12.75" hidden="1" customHeight="1" outlineLevel="1">
      <c r="D1632" s="79"/>
      <c r="E1632" s="80"/>
      <c r="F1632" s="80"/>
      <c r="G1632" s="81"/>
      <c r="H1632" s="80"/>
      <c r="I1632" s="80"/>
      <c r="J1632" s="82" t="b">
        <v>0</v>
      </c>
    </row>
    <row r="1633" ht="12.75" hidden="1" customHeight="1" outlineLevel="1">
      <c r="B1633" s="90" t="s">
        <v>1128</v>
      </c>
      <c r="D1633" s="79"/>
      <c r="E1633" s="80"/>
      <c r="F1633" s="80"/>
      <c r="G1633" s="81"/>
      <c r="H1633" s="80"/>
      <c r="I1633" s="80"/>
      <c r="J1633" s="82" t="b">
        <v>0</v>
      </c>
    </row>
    <row r="1634" ht="12.75" hidden="1" customHeight="1" outlineLevel="1">
      <c r="D1634" s="79"/>
      <c r="E1634" s="80"/>
      <c r="F1634" s="80"/>
      <c r="G1634" s="81"/>
      <c r="H1634" s="80"/>
      <c r="I1634" s="80"/>
      <c r="J1634" s="82" t="b">
        <v>0</v>
      </c>
    </row>
    <row r="1635" ht="12.75" hidden="1" customHeight="1" outlineLevel="1">
      <c r="B1635" s="90" t="s">
        <v>1314</v>
      </c>
      <c r="C1635" s="89" t="s">
        <v>75</v>
      </c>
      <c r="D1635" s="91">
        <v>13.0</v>
      </c>
      <c r="E1635" s="92">
        <v>193.97</v>
      </c>
      <c r="F1635" s="92">
        <v>2521.61</v>
      </c>
      <c r="G1635" s="93"/>
      <c r="H1635" s="92"/>
      <c r="I1635" s="92"/>
      <c r="J1635" s="82" t="b">
        <v>0</v>
      </c>
    </row>
    <row r="1636" ht="12.75" hidden="1" customHeight="1" outlineLevel="1">
      <c r="D1636" s="79"/>
      <c r="E1636" s="80"/>
      <c r="F1636" s="80"/>
      <c r="G1636" s="81"/>
      <c r="H1636" s="80"/>
      <c r="I1636" s="80"/>
      <c r="J1636" s="82" t="b">
        <v>0</v>
      </c>
    </row>
    <row r="1637" ht="12.75" hidden="1" customHeight="1" outlineLevel="1">
      <c r="A1637" s="89" t="s">
        <v>1315</v>
      </c>
      <c r="B1637" s="90" t="s">
        <v>1316</v>
      </c>
      <c r="D1637" s="79"/>
      <c r="E1637" s="80"/>
      <c r="F1637" s="80"/>
      <c r="G1637" s="81"/>
      <c r="H1637" s="80"/>
      <c r="I1637" s="80"/>
      <c r="J1637" s="82" t="b">
        <v>0</v>
      </c>
    </row>
    <row r="1638" ht="12.75" hidden="1" customHeight="1" outlineLevel="1">
      <c r="D1638" s="79"/>
      <c r="E1638" s="80"/>
      <c r="F1638" s="80"/>
      <c r="G1638" s="81"/>
      <c r="H1638" s="80"/>
      <c r="I1638" s="80"/>
      <c r="J1638" s="82" t="b">
        <v>0</v>
      </c>
    </row>
    <row r="1639" ht="12.75" hidden="1" customHeight="1" outlineLevel="1">
      <c r="B1639" s="90" t="s">
        <v>1317</v>
      </c>
      <c r="D1639" s="79"/>
      <c r="E1639" s="80"/>
      <c r="F1639" s="80"/>
      <c r="G1639" s="81"/>
      <c r="H1639" s="80"/>
      <c r="I1639" s="80"/>
      <c r="J1639" s="82" t="b">
        <v>0</v>
      </c>
    </row>
    <row r="1640" ht="12.75" hidden="1" customHeight="1" outlineLevel="1">
      <c r="D1640" s="79"/>
      <c r="E1640" s="80"/>
      <c r="F1640" s="80"/>
      <c r="G1640" s="81"/>
      <c r="H1640" s="80"/>
      <c r="I1640" s="80"/>
      <c r="J1640" s="82" t="b">
        <v>0</v>
      </c>
    </row>
    <row r="1641" ht="12.75" hidden="1" customHeight="1" outlineLevel="1">
      <c r="B1641" s="90" t="s">
        <v>1318</v>
      </c>
      <c r="C1641" s="89" t="s">
        <v>75</v>
      </c>
      <c r="D1641" s="91">
        <v>1.0</v>
      </c>
      <c r="E1641" s="92">
        <v>107.0</v>
      </c>
      <c r="F1641" s="92">
        <v>107.0</v>
      </c>
      <c r="G1641" s="93"/>
      <c r="H1641" s="92"/>
      <c r="I1641" s="92"/>
      <c r="J1641" s="82" t="b">
        <v>0</v>
      </c>
    </row>
    <row r="1642" ht="12.75" hidden="1" customHeight="1" outlineLevel="1">
      <c r="D1642" s="79"/>
      <c r="E1642" s="80"/>
      <c r="F1642" s="80"/>
      <c r="G1642" s="81"/>
      <c r="H1642" s="80"/>
      <c r="I1642" s="80"/>
      <c r="J1642" s="82" t="b">
        <v>0</v>
      </c>
    </row>
    <row r="1643" ht="12.75" hidden="1" customHeight="1" outlineLevel="1">
      <c r="B1643" s="90" t="s">
        <v>1319</v>
      </c>
      <c r="C1643" s="89" t="s">
        <v>161</v>
      </c>
      <c r="D1643" s="91">
        <v>13.0</v>
      </c>
      <c r="E1643" s="92">
        <v>6.4</v>
      </c>
      <c r="F1643" s="92">
        <v>83.2</v>
      </c>
      <c r="G1643" s="93"/>
      <c r="H1643" s="92"/>
      <c r="I1643" s="92"/>
      <c r="J1643" s="82" t="b">
        <v>0</v>
      </c>
    </row>
    <row r="1644" ht="12.75" hidden="1" customHeight="1" outlineLevel="1">
      <c r="D1644" s="79"/>
      <c r="E1644" s="80"/>
      <c r="F1644" s="80"/>
      <c r="G1644" s="81"/>
      <c r="H1644" s="80"/>
      <c r="I1644" s="80"/>
      <c r="J1644" s="82" t="b">
        <v>0</v>
      </c>
    </row>
    <row r="1645" ht="12.75" hidden="1" customHeight="1" outlineLevel="1">
      <c r="B1645" s="90" t="s">
        <v>1320</v>
      </c>
      <c r="C1645" s="89" t="s">
        <v>75</v>
      </c>
      <c r="D1645" s="91">
        <v>3.0</v>
      </c>
      <c r="E1645" s="92">
        <v>45.43</v>
      </c>
      <c r="F1645" s="92">
        <v>136.29</v>
      </c>
      <c r="G1645" s="93"/>
      <c r="H1645" s="92"/>
      <c r="I1645" s="92"/>
      <c r="J1645" s="82" t="b">
        <v>0</v>
      </c>
    </row>
    <row r="1646" ht="12.75" hidden="1" customHeight="1" outlineLevel="1">
      <c r="D1646" s="79"/>
      <c r="E1646" s="80"/>
      <c r="F1646" s="80"/>
      <c r="G1646" s="81"/>
      <c r="H1646" s="80"/>
      <c r="I1646" s="80"/>
      <c r="J1646" s="82" t="b">
        <v>0</v>
      </c>
    </row>
    <row r="1647" ht="12.75" hidden="1" customHeight="1" outlineLevel="1">
      <c r="B1647" s="90" t="s">
        <v>1321</v>
      </c>
      <c r="C1647" s="89" t="s">
        <v>161</v>
      </c>
      <c r="D1647" s="91">
        <v>13.0</v>
      </c>
      <c r="E1647" s="92">
        <v>2.2</v>
      </c>
      <c r="F1647" s="92">
        <v>28.6</v>
      </c>
      <c r="G1647" s="93"/>
      <c r="H1647" s="92"/>
      <c r="I1647" s="92"/>
      <c r="J1647" s="82" t="b">
        <v>0</v>
      </c>
    </row>
    <row r="1648" ht="12.75" hidden="1" customHeight="1" outlineLevel="1">
      <c r="D1648" s="79"/>
      <c r="E1648" s="80"/>
      <c r="F1648" s="80"/>
      <c r="G1648" s="81"/>
      <c r="H1648" s="80"/>
      <c r="I1648" s="80"/>
      <c r="J1648" s="82" t="b">
        <v>0</v>
      </c>
    </row>
    <row r="1649" ht="12.75" hidden="1" customHeight="1" outlineLevel="1">
      <c r="B1649" s="90" t="s">
        <v>1322</v>
      </c>
      <c r="C1649" s="89" t="s">
        <v>161</v>
      </c>
      <c r="D1649" s="91">
        <v>7.0</v>
      </c>
      <c r="E1649" s="92">
        <v>6.4</v>
      </c>
      <c r="F1649" s="92">
        <v>44.8</v>
      </c>
      <c r="G1649" s="93"/>
      <c r="H1649" s="92"/>
      <c r="I1649" s="92"/>
      <c r="J1649" s="82" t="b">
        <v>0</v>
      </c>
    </row>
    <row r="1650" ht="12.75" hidden="1" customHeight="1" outlineLevel="1">
      <c r="D1650" s="79"/>
      <c r="E1650" s="80"/>
      <c r="F1650" s="80"/>
      <c r="G1650" s="81"/>
      <c r="H1650" s="80"/>
      <c r="I1650" s="80"/>
      <c r="J1650" s="82" t="b">
        <v>0</v>
      </c>
    </row>
    <row r="1651" ht="12.75" hidden="1" customHeight="1" outlineLevel="1">
      <c r="B1651" s="90" t="s">
        <v>1323</v>
      </c>
      <c r="C1651" s="89" t="s">
        <v>161</v>
      </c>
      <c r="D1651" s="91">
        <v>63.0</v>
      </c>
      <c r="E1651" s="92">
        <v>0.96</v>
      </c>
      <c r="F1651" s="92">
        <v>60.48</v>
      </c>
      <c r="G1651" s="93"/>
      <c r="H1651" s="92"/>
      <c r="I1651" s="92"/>
      <c r="J1651" s="82" t="b">
        <v>0</v>
      </c>
    </row>
    <row r="1652" ht="12.75" hidden="1" customHeight="1" outlineLevel="1">
      <c r="D1652" s="79"/>
      <c r="E1652" s="80"/>
      <c r="F1652" s="80"/>
      <c r="G1652" s="81"/>
      <c r="H1652" s="80"/>
      <c r="I1652" s="80"/>
      <c r="J1652" s="82" t="b">
        <v>0</v>
      </c>
    </row>
    <row r="1653" ht="12.75" hidden="1" customHeight="1" outlineLevel="1">
      <c r="B1653" s="90" t="s">
        <v>1324</v>
      </c>
      <c r="C1653" s="89" t="s">
        <v>161</v>
      </c>
      <c r="D1653" s="91">
        <v>63.0</v>
      </c>
      <c r="E1653" s="92">
        <v>1.81</v>
      </c>
      <c r="F1653" s="92">
        <v>114.03</v>
      </c>
      <c r="G1653" s="93"/>
      <c r="H1653" s="92"/>
      <c r="I1653" s="92"/>
      <c r="J1653" s="82" t="b">
        <v>0</v>
      </c>
    </row>
    <row r="1654" ht="12.75" hidden="1" customHeight="1" outlineLevel="1">
      <c r="D1654" s="79"/>
      <c r="E1654" s="80"/>
      <c r="F1654" s="80"/>
      <c r="G1654" s="81"/>
      <c r="H1654" s="80"/>
      <c r="I1654" s="80"/>
      <c r="J1654" s="82" t="b">
        <v>0</v>
      </c>
    </row>
    <row r="1655" ht="12.75" hidden="1" customHeight="1" outlineLevel="1">
      <c r="A1655" s="89" t="s">
        <v>1325</v>
      </c>
      <c r="B1655" s="90" t="s">
        <v>1326</v>
      </c>
      <c r="D1655" s="79"/>
      <c r="E1655" s="80"/>
      <c r="F1655" s="80"/>
      <c r="G1655" s="81"/>
      <c r="H1655" s="80"/>
      <c r="I1655" s="80"/>
      <c r="J1655" s="82" t="b">
        <v>0</v>
      </c>
    </row>
    <row r="1656" ht="12.75" hidden="1" customHeight="1" outlineLevel="1">
      <c r="D1656" s="79"/>
      <c r="E1656" s="80"/>
      <c r="F1656" s="80"/>
      <c r="G1656" s="81"/>
      <c r="H1656" s="80"/>
      <c r="I1656" s="80"/>
      <c r="J1656" s="82" t="b">
        <v>0</v>
      </c>
    </row>
    <row r="1657" ht="12.75" hidden="1" customHeight="1" outlineLevel="1">
      <c r="B1657" s="90" t="s">
        <v>1286</v>
      </c>
      <c r="D1657" s="79"/>
      <c r="E1657" s="80"/>
      <c r="F1657" s="80"/>
      <c r="G1657" s="81"/>
      <c r="H1657" s="80"/>
      <c r="I1657" s="80"/>
      <c r="J1657" s="82" t="b">
        <v>0</v>
      </c>
    </row>
    <row r="1658" ht="12.75" hidden="1" customHeight="1" outlineLevel="1">
      <c r="D1658" s="79"/>
      <c r="E1658" s="80"/>
      <c r="F1658" s="80"/>
      <c r="G1658" s="81"/>
      <c r="H1658" s="80"/>
      <c r="I1658" s="80"/>
      <c r="J1658" s="82" t="b">
        <v>0</v>
      </c>
    </row>
    <row r="1659" ht="12.75" hidden="1" customHeight="1" outlineLevel="1">
      <c r="B1659" s="90" t="s">
        <v>1317</v>
      </c>
      <c r="D1659" s="79"/>
      <c r="E1659" s="80"/>
      <c r="F1659" s="80"/>
      <c r="G1659" s="81"/>
      <c r="H1659" s="80"/>
      <c r="I1659" s="80"/>
      <c r="J1659" s="82" t="b">
        <v>0</v>
      </c>
    </row>
    <row r="1660" ht="12.75" hidden="1" customHeight="1" outlineLevel="1">
      <c r="D1660" s="79"/>
      <c r="E1660" s="80"/>
      <c r="F1660" s="80"/>
      <c r="G1660" s="81"/>
      <c r="H1660" s="80"/>
      <c r="I1660" s="80"/>
      <c r="J1660" s="82" t="b">
        <v>0</v>
      </c>
    </row>
    <row r="1661" ht="12.75" hidden="1" customHeight="1" outlineLevel="1">
      <c r="B1661" s="90" t="s">
        <v>1327</v>
      </c>
      <c r="C1661" s="89" t="s">
        <v>161</v>
      </c>
      <c r="D1661" s="91">
        <v>290.0</v>
      </c>
      <c r="E1661" s="92">
        <v>2.38</v>
      </c>
      <c r="F1661" s="92">
        <v>690.2</v>
      </c>
      <c r="G1661" s="93"/>
      <c r="H1661" s="92"/>
      <c r="I1661" s="92"/>
      <c r="J1661" s="82" t="b">
        <v>0</v>
      </c>
    </row>
    <row r="1662" ht="12.75" hidden="1" customHeight="1" outlineLevel="1">
      <c r="D1662" s="79"/>
      <c r="E1662" s="80"/>
      <c r="F1662" s="80"/>
      <c r="G1662" s="81"/>
      <c r="H1662" s="80"/>
      <c r="I1662" s="80"/>
      <c r="J1662" s="82" t="b">
        <v>0</v>
      </c>
    </row>
    <row r="1663" ht="12.75" hidden="1" customHeight="1" outlineLevel="1">
      <c r="B1663" s="90" t="s">
        <v>1328</v>
      </c>
      <c r="C1663" s="89" t="s">
        <v>161</v>
      </c>
      <c r="D1663" s="91">
        <v>19.0</v>
      </c>
      <c r="E1663" s="92">
        <v>3.89</v>
      </c>
      <c r="F1663" s="92">
        <v>73.91</v>
      </c>
      <c r="G1663" s="93"/>
      <c r="H1663" s="92"/>
      <c r="I1663" s="92"/>
      <c r="J1663" s="82" t="b">
        <v>0</v>
      </c>
    </row>
    <row r="1664" ht="12.75" hidden="1" customHeight="1" outlineLevel="1">
      <c r="D1664" s="79"/>
      <c r="E1664" s="80"/>
      <c r="F1664" s="80"/>
      <c r="G1664" s="81"/>
      <c r="H1664" s="80"/>
      <c r="I1664" s="80"/>
      <c r="J1664" s="82" t="b">
        <v>0</v>
      </c>
    </row>
    <row r="1665" ht="12.75" hidden="1" customHeight="1" outlineLevel="1">
      <c r="B1665" s="90" t="s">
        <v>1329</v>
      </c>
      <c r="C1665" s="89" t="s">
        <v>161</v>
      </c>
      <c r="D1665" s="91">
        <v>290.0</v>
      </c>
      <c r="E1665" s="92">
        <v>1.81</v>
      </c>
      <c r="F1665" s="92">
        <v>524.9</v>
      </c>
      <c r="G1665" s="93"/>
      <c r="H1665" s="92"/>
      <c r="I1665" s="92"/>
      <c r="J1665" s="82" t="b">
        <v>0</v>
      </c>
    </row>
    <row r="1666" ht="12.75" hidden="1" customHeight="1" outlineLevel="1">
      <c r="D1666" s="79"/>
      <c r="E1666" s="80"/>
      <c r="F1666" s="80"/>
      <c r="G1666" s="81"/>
      <c r="H1666" s="80"/>
      <c r="I1666" s="80"/>
      <c r="J1666" s="82" t="b">
        <v>0</v>
      </c>
    </row>
    <row r="1667" ht="12.75" hidden="1" customHeight="1" outlineLevel="1">
      <c r="B1667" s="90" t="s">
        <v>1330</v>
      </c>
      <c r="C1667" s="89" t="s">
        <v>161</v>
      </c>
      <c r="D1667" s="91">
        <v>19.0</v>
      </c>
      <c r="E1667" s="92">
        <v>2.34</v>
      </c>
      <c r="F1667" s="92">
        <v>44.46</v>
      </c>
      <c r="G1667" s="93"/>
      <c r="H1667" s="92"/>
      <c r="I1667" s="92"/>
      <c r="J1667" s="82" t="b">
        <v>0</v>
      </c>
    </row>
    <row r="1668" ht="12.75" hidden="1" customHeight="1" outlineLevel="1">
      <c r="D1668" s="79"/>
      <c r="E1668" s="80"/>
      <c r="F1668" s="80"/>
      <c r="G1668" s="81"/>
      <c r="H1668" s="80"/>
      <c r="I1668" s="80"/>
      <c r="J1668" s="82" t="b">
        <v>0</v>
      </c>
    </row>
    <row r="1669" ht="12.75" hidden="1" customHeight="1" outlineLevel="1">
      <c r="B1669" s="90" t="s">
        <v>1331</v>
      </c>
      <c r="C1669" s="89" t="s">
        <v>75</v>
      </c>
      <c r="D1669" s="91">
        <v>12.0</v>
      </c>
      <c r="E1669" s="92">
        <v>1.23</v>
      </c>
      <c r="F1669" s="92">
        <v>14.76</v>
      </c>
      <c r="G1669" s="93"/>
      <c r="H1669" s="92"/>
      <c r="I1669" s="92"/>
      <c r="J1669" s="82" t="b">
        <v>0</v>
      </c>
    </row>
    <row r="1670" ht="12.75" hidden="1" customHeight="1" outlineLevel="1">
      <c r="D1670" s="79"/>
      <c r="E1670" s="80"/>
      <c r="F1670" s="80"/>
      <c r="G1670" s="81"/>
      <c r="H1670" s="80"/>
      <c r="I1670" s="80"/>
      <c r="J1670" s="82" t="b">
        <v>0</v>
      </c>
    </row>
    <row r="1671" ht="12.75" hidden="1" customHeight="1" outlineLevel="1">
      <c r="A1671" s="89" t="s">
        <v>1332</v>
      </c>
      <c r="B1671" s="90" t="s">
        <v>1333</v>
      </c>
      <c r="D1671" s="79"/>
      <c r="E1671" s="80"/>
      <c r="F1671" s="80"/>
      <c r="G1671" s="81"/>
      <c r="H1671" s="80"/>
      <c r="I1671" s="80"/>
      <c r="J1671" s="82" t="b">
        <v>0</v>
      </c>
    </row>
    <row r="1672" ht="12.75" hidden="1" customHeight="1" outlineLevel="1">
      <c r="D1672" s="79"/>
      <c r="E1672" s="80"/>
      <c r="F1672" s="80"/>
      <c r="G1672" s="81"/>
      <c r="H1672" s="80"/>
      <c r="I1672" s="80"/>
      <c r="J1672" s="82" t="b">
        <v>0</v>
      </c>
    </row>
    <row r="1673" ht="12.75" hidden="1" customHeight="1" outlineLevel="1">
      <c r="B1673" s="90" t="s">
        <v>1286</v>
      </c>
      <c r="D1673" s="79"/>
      <c r="E1673" s="80"/>
      <c r="F1673" s="80"/>
      <c r="G1673" s="81"/>
      <c r="H1673" s="80"/>
      <c r="I1673" s="80"/>
      <c r="J1673" s="82" t="b">
        <v>0</v>
      </c>
    </row>
    <row r="1674" ht="12.75" hidden="1" customHeight="1" outlineLevel="1">
      <c r="D1674" s="79"/>
      <c r="E1674" s="80"/>
      <c r="F1674" s="80"/>
      <c r="G1674" s="81"/>
      <c r="H1674" s="80"/>
      <c r="I1674" s="80"/>
      <c r="J1674" s="82" t="b">
        <v>0</v>
      </c>
    </row>
    <row r="1675" ht="12.75" hidden="1" customHeight="1" outlineLevel="1">
      <c r="B1675" s="90" t="s">
        <v>1317</v>
      </c>
      <c r="D1675" s="79"/>
      <c r="E1675" s="80"/>
      <c r="F1675" s="80"/>
      <c r="G1675" s="81"/>
      <c r="H1675" s="80"/>
      <c r="I1675" s="80"/>
      <c r="J1675" s="82" t="b">
        <v>0</v>
      </c>
    </row>
    <row r="1676" ht="12.75" hidden="1" customHeight="1" outlineLevel="1">
      <c r="D1676" s="79"/>
      <c r="E1676" s="80"/>
      <c r="F1676" s="80"/>
      <c r="G1676" s="81"/>
      <c r="H1676" s="80"/>
      <c r="I1676" s="80"/>
      <c r="J1676" s="82" t="b">
        <v>0</v>
      </c>
    </row>
    <row r="1677" ht="12.75" hidden="1" customHeight="1" outlineLevel="1">
      <c r="B1677" s="90" t="s">
        <v>1334</v>
      </c>
      <c r="C1677" s="89" t="s">
        <v>161</v>
      </c>
      <c r="D1677" s="91">
        <v>732.0</v>
      </c>
      <c r="E1677" s="92">
        <v>3.09</v>
      </c>
      <c r="F1677" s="92">
        <v>2261.88</v>
      </c>
      <c r="G1677" s="93"/>
      <c r="H1677" s="92"/>
      <c r="I1677" s="92"/>
      <c r="J1677" s="82" t="b">
        <v>0</v>
      </c>
    </row>
    <row r="1678" ht="12.75" hidden="1" customHeight="1" outlineLevel="1">
      <c r="D1678" s="79"/>
      <c r="E1678" s="80"/>
      <c r="F1678" s="80"/>
      <c r="G1678" s="81"/>
      <c r="H1678" s="80"/>
      <c r="I1678" s="80"/>
      <c r="J1678" s="82" t="b">
        <v>0</v>
      </c>
    </row>
    <row r="1679" ht="12.75" hidden="1" customHeight="1" outlineLevel="1">
      <c r="B1679" s="90" t="s">
        <v>1335</v>
      </c>
      <c r="C1679" s="89" t="s">
        <v>161</v>
      </c>
      <c r="D1679" s="91">
        <v>780.0</v>
      </c>
      <c r="E1679" s="92">
        <v>2.86</v>
      </c>
      <c r="F1679" s="92">
        <v>2230.8</v>
      </c>
      <c r="G1679" s="93"/>
      <c r="H1679" s="92"/>
      <c r="I1679" s="92"/>
      <c r="J1679" s="82" t="b">
        <v>0</v>
      </c>
    </row>
    <row r="1680" ht="12.75" hidden="1" customHeight="1" outlineLevel="1">
      <c r="D1680" s="79"/>
      <c r="E1680" s="80"/>
      <c r="F1680" s="80"/>
      <c r="G1680" s="81"/>
      <c r="H1680" s="80"/>
      <c r="I1680" s="80"/>
      <c r="J1680" s="82" t="b">
        <v>0</v>
      </c>
    </row>
    <row r="1681" ht="12.75" hidden="1" customHeight="1" outlineLevel="1">
      <c r="B1681" s="90" t="s">
        <v>1336</v>
      </c>
      <c r="C1681" s="89" t="s">
        <v>161</v>
      </c>
      <c r="D1681" s="91">
        <v>40.0</v>
      </c>
      <c r="E1681" s="92">
        <v>3.17</v>
      </c>
      <c r="F1681" s="92">
        <v>126.8</v>
      </c>
      <c r="G1681" s="93"/>
      <c r="H1681" s="92"/>
      <c r="I1681" s="92"/>
      <c r="J1681" s="82" t="b">
        <v>0</v>
      </c>
    </row>
    <row r="1682" ht="12.75" hidden="1" customHeight="1" outlineLevel="1">
      <c r="D1682" s="79"/>
      <c r="E1682" s="80"/>
      <c r="F1682" s="80"/>
      <c r="G1682" s="81"/>
      <c r="H1682" s="80"/>
      <c r="I1682" s="80"/>
      <c r="J1682" s="82" t="b">
        <v>0</v>
      </c>
    </row>
    <row r="1683" ht="12.75" hidden="1" customHeight="1" outlineLevel="1">
      <c r="B1683" s="90" t="s">
        <v>1337</v>
      </c>
      <c r="C1683" s="89" t="s">
        <v>161</v>
      </c>
      <c r="D1683" s="91">
        <v>33.0</v>
      </c>
      <c r="E1683" s="92">
        <v>4.59</v>
      </c>
      <c r="F1683" s="92">
        <v>151.47</v>
      </c>
      <c r="G1683" s="93"/>
      <c r="H1683" s="92"/>
      <c r="I1683" s="92"/>
      <c r="J1683" s="82" t="b">
        <v>0</v>
      </c>
    </row>
    <row r="1684" ht="12.75" hidden="1" customHeight="1" outlineLevel="1">
      <c r="D1684" s="79"/>
      <c r="E1684" s="80"/>
      <c r="F1684" s="80"/>
      <c r="G1684" s="81"/>
      <c r="H1684" s="80"/>
      <c r="I1684" s="80"/>
      <c r="J1684" s="82" t="b">
        <v>0</v>
      </c>
    </row>
    <row r="1685" ht="12.75" hidden="1" customHeight="1" outlineLevel="1">
      <c r="B1685" s="90" t="s">
        <v>1123</v>
      </c>
      <c r="D1685" s="79"/>
      <c r="E1685" s="80"/>
      <c r="F1685" s="80"/>
      <c r="G1685" s="81"/>
      <c r="H1685" s="80"/>
      <c r="I1685" s="80"/>
      <c r="J1685" s="82" t="b">
        <v>0</v>
      </c>
    </row>
    <row r="1686" ht="12.75" hidden="1" customHeight="1" outlineLevel="1">
      <c r="D1686" s="79"/>
      <c r="E1686" s="80"/>
      <c r="F1686" s="80"/>
      <c r="G1686" s="81"/>
      <c r="H1686" s="80"/>
      <c r="I1686" s="80"/>
      <c r="J1686" s="82" t="b">
        <v>0</v>
      </c>
    </row>
    <row r="1687" ht="12.75" hidden="1" customHeight="1" outlineLevel="1">
      <c r="B1687" s="90" t="s">
        <v>1317</v>
      </c>
      <c r="D1687" s="79"/>
      <c r="E1687" s="80"/>
      <c r="F1687" s="80"/>
      <c r="G1687" s="81"/>
      <c r="H1687" s="80"/>
      <c r="I1687" s="80"/>
      <c r="J1687" s="82" t="b">
        <v>0</v>
      </c>
    </row>
    <row r="1688" ht="12.75" hidden="1" customHeight="1" outlineLevel="1">
      <c r="D1688" s="79"/>
      <c r="E1688" s="80"/>
      <c r="F1688" s="80"/>
      <c r="G1688" s="81"/>
      <c r="H1688" s="80"/>
      <c r="I1688" s="80"/>
      <c r="J1688" s="82" t="b">
        <v>0</v>
      </c>
    </row>
    <row r="1689" ht="12.75" hidden="1" customHeight="1" outlineLevel="1">
      <c r="B1689" s="90" t="s">
        <v>1329</v>
      </c>
      <c r="C1689" s="89" t="s">
        <v>161</v>
      </c>
      <c r="D1689" s="91">
        <v>1552.0</v>
      </c>
      <c r="E1689" s="92">
        <v>1.81</v>
      </c>
      <c r="F1689" s="92">
        <v>2809.12</v>
      </c>
      <c r="G1689" s="93"/>
      <c r="H1689" s="92"/>
      <c r="I1689" s="92"/>
      <c r="J1689" s="82" t="b">
        <v>0</v>
      </c>
    </row>
    <row r="1690" ht="12.75" hidden="1" customHeight="1" outlineLevel="1">
      <c r="D1690" s="79"/>
      <c r="E1690" s="80"/>
      <c r="F1690" s="80"/>
      <c r="G1690" s="81"/>
      <c r="H1690" s="80"/>
      <c r="I1690" s="80"/>
      <c r="J1690" s="82" t="b">
        <v>0</v>
      </c>
    </row>
    <row r="1691" ht="12.75" hidden="1" customHeight="1" outlineLevel="1">
      <c r="B1691" s="90" t="s">
        <v>1330</v>
      </c>
      <c r="C1691" s="89" t="s">
        <v>161</v>
      </c>
      <c r="D1691" s="91">
        <v>33.0</v>
      </c>
      <c r="E1691" s="92">
        <v>2.34</v>
      </c>
      <c r="F1691" s="92">
        <v>77.22</v>
      </c>
      <c r="G1691" s="93"/>
      <c r="H1691" s="92"/>
      <c r="I1691" s="92"/>
      <c r="J1691" s="82" t="b">
        <v>0</v>
      </c>
    </row>
    <row r="1692" ht="12.75" hidden="1" customHeight="1" outlineLevel="1">
      <c r="D1692" s="79"/>
      <c r="E1692" s="80"/>
      <c r="F1692" s="80"/>
      <c r="G1692" s="81"/>
      <c r="H1692" s="80"/>
      <c r="I1692" s="80"/>
      <c r="J1692" s="82" t="b">
        <v>0</v>
      </c>
    </row>
    <row r="1693" ht="12.75" hidden="1" customHeight="1" outlineLevel="1">
      <c r="B1693" s="90" t="s">
        <v>1128</v>
      </c>
      <c r="D1693" s="79"/>
      <c r="E1693" s="80"/>
      <c r="F1693" s="80"/>
      <c r="G1693" s="81"/>
      <c r="H1693" s="80"/>
      <c r="I1693" s="80"/>
      <c r="J1693" s="82" t="b">
        <v>0</v>
      </c>
    </row>
    <row r="1694" ht="12.75" hidden="1" customHeight="1" outlineLevel="1">
      <c r="D1694" s="79"/>
      <c r="E1694" s="80"/>
      <c r="F1694" s="80"/>
      <c r="G1694" s="81"/>
      <c r="H1694" s="80"/>
      <c r="I1694" s="80"/>
      <c r="J1694" s="82" t="b">
        <v>0</v>
      </c>
    </row>
    <row r="1695" ht="12.75" hidden="1" customHeight="1" outlineLevel="1">
      <c r="B1695" s="90" t="s">
        <v>1317</v>
      </c>
      <c r="D1695" s="79"/>
      <c r="E1695" s="80"/>
      <c r="F1695" s="80"/>
      <c r="G1695" s="81"/>
      <c r="H1695" s="80"/>
      <c r="I1695" s="80"/>
      <c r="J1695" s="82" t="b">
        <v>0</v>
      </c>
    </row>
    <row r="1696" ht="12.75" hidden="1" customHeight="1" outlineLevel="1">
      <c r="D1696" s="79"/>
      <c r="E1696" s="80"/>
      <c r="F1696" s="80"/>
      <c r="G1696" s="81"/>
      <c r="H1696" s="80"/>
      <c r="I1696" s="80"/>
      <c r="J1696" s="82" t="b">
        <v>0</v>
      </c>
    </row>
    <row r="1697" ht="12.75" hidden="1" customHeight="1" outlineLevel="1">
      <c r="B1697" s="90" t="s">
        <v>1338</v>
      </c>
      <c r="C1697" s="89" t="s">
        <v>75</v>
      </c>
      <c r="D1697" s="91">
        <v>160.0</v>
      </c>
      <c r="E1697" s="92">
        <v>2.3</v>
      </c>
      <c r="F1697" s="92">
        <v>368.0</v>
      </c>
      <c r="G1697" s="93"/>
      <c r="H1697" s="92"/>
      <c r="I1697" s="92"/>
      <c r="J1697" s="82" t="b">
        <v>0</v>
      </c>
    </row>
    <row r="1698" ht="12.75" hidden="1" customHeight="1" outlineLevel="1">
      <c r="D1698" s="79"/>
      <c r="E1698" s="80"/>
      <c r="F1698" s="80"/>
      <c r="G1698" s="81"/>
      <c r="H1698" s="80"/>
      <c r="I1698" s="80"/>
      <c r="J1698" s="82" t="b">
        <v>0</v>
      </c>
    </row>
    <row r="1699" ht="12.75" hidden="1" customHeight="1" outlineLevel="1">
      <c r="B1699" s="90" t="s">
        <v>1339</v>
      </c>
      <c r="D1699" s="79"/>
      <c r="E1699" s="80"/>
      <c r="F1699" s="80"/>
      <c r="G1699" s="81"/>
      <c r="H1699" s="80"/>
      <c r="I1699" s="80"/>
      <c r="J1699" s="82" t="b">
        <v>0</v>
      </c>
    </row>
    <row r="1700" ht="12.75" hidden="1" customHeight="1" outlineLevel="1">
      <c r="D1700" s="79"/>
      <c r="E1700" s="80"/>
      <c r="F1700" s="80"/>
      <c r="G1700" s="81"/>
      <c r="H1700" s="80"/>
      <c r="I1700" s="80"/>
      <c r="J1700" s="82" t="b">
        <v>0</v>
      </c>
    </row>
    <row r="1701" ht="12.75" hidden="1" customHeight="1" outlineLevel="1">
      <c r="B1701" s="90" t="s">
        <v>1317</v>
      </c>
      <c r="D1701" s="79"/>
      <c r="E1701" s="80"/>
      <c r="F1701" s="80"/>
      <c r="G1701" s="81"/>
      <c r="H1701" s="80"/>
      <c r="I1701" s="80"/>
      <c r="J1701" s="82" t="b">
        <v>0</v>
      </c>
    </row>
    <row r="1702" ht="12.75" hidden="1" customHeight="1" outlineLevel="1">
      <c r="D1702" s="79"/>
      <c r="E1702" s="80"/>
      <c r="F1702" s="80"/>
      <c r="G1702" s="81"/>
      <c r="H1702" s="80"/>
      <c r="I1702" s="80"/>
      <c r="J1702" s="82" t="b">
        <v>0</v>
      </c>
    </row>
    <row r="1703" ht="12.75" hidden="1" customHeight="1" outlineLevel="1">
      <c r="B1703" s="90" t="s">
        <v>1340</v>
      </c>
      <c r="C1703" s="89" t="s">
        <v>75</v>
      </c>
      <c r="D1703" s="91">
        <v>21.0</v>
      </c>
      <c r="E1703" s="92">
        <v>25.67</v>
      </c>
      <c r="F1703" s="92">
        <v>539.07</v>
      </c>
      <c r="G1703" s="93"/>
      <c r="H1703" s="92"/>
      <c r="I1703" s="92"/>
      <c r="J1703" s="82" t="b">
        <v>0</v>
      </c>
    </row>
    <row r="1704" ht="12.75" hidden="1" customHeight="1" outlineLevel="1">
      <c r="D1704" s="79"/>
      <c r="E1704" s="80"/>
      <c r="F1704" s="80"/>
      <c r="G1704" s="81"/>
      <c r="H1704" s="80"/>
      <c r="I1704" s="80"/>
      <c r="J1704" s="82" t="b">
        <v>0</v>
      </c>
    </row>
    <row r="1705" ht="12.75" hidden="1" customHeight="1" outlineLevel="1">
      <c r="B1705" s="90" t="s">
        <v>1341</v>
      </c>
      <c r="C1705" s="89" t="s">
        <v>75</v>
      </c>
      <c r="D1705" s="91">
        <v>41.0</v>
      </c>
      <c r="E1705" s="92">
        <v>51.34</v>
      </c>
      <c r="F1705" s="92">
        <v>2104.94</v>
      </c>
      <c r="G1705" s="93"/>
      <c r="H1705" s="92"/>
      <c r="I1705" s="92"/>
      <c r="J1705" s="82" t="b">
        <v>0</v>
      </c>
    </row>
    <row r="1706" ht="12.75" hidden="1" customHeight="1" outlineLevel="1">
      <c r="D1706" s="79"/>
      <c r="E1706" s="80"/>
      <c r="F1706" s="80"/>
      <c r="G1706" s="81"/>
      <c r="H1706" s="80"/>
      <c r="I1706" s="80"/>
      <c r="J1706" s="82" t="b">
        <v>0</v>
      </c>
    </row>
    <row r="1707" ht="12.75" hidden="1" customHeight="1" outlineLevel="1">
      <c r="B1707" s="90" t="s">
        <v>1342</v>
      </c>
      <c r="C1707" s="89" t="s">
        <v>75</v>
      </c>
      <c r="D1707" s="91">
        <v>8.0</v>
      </c>
      <c r="E1707" s="92">
        <v>145.73</v>
      </c>
      <c r="F1707" s="92">
        <v>1165.84</v>
      </c>
      <c r="G1707" s="93"/>
      <c r="H1707" s="92"/>
      <c r="I1707" s="92"/>
      <c r="J1707" s="82" t="b">
        <v>0</v>
      </c>
    </row>
    <row r="1708" ht="12.75" hidden="1" customHeight="1" outlineLevel="1">
      <c r="D1708" s="79"/>
      <c r="E1708" s="80"/>
      <c r="F1708" s="80"/>
      <c r="G1708" s="81"/>
      <c r="H1708" s="80"/>
      <c r="I1708" s="80"/>
      <c r="J1708" s="82" t="b">
        <v>0</v>
      </c>
    </row>
    <row r="1709" ht="12.75" hidden="1" customHeight="1" outlineLevel="1">
      <c r="B1709" s="90" t="s">
        <v>1343</v>
      </c>
      <c r="C1709" s="89" t="s">
        <v>75</v>
      </c>
      <c r="D1709" s="91">
        <v>9.0</v>
      </c>
      <c r="E1709" s="92">
        <v>36.58</v>
      </c>
      <c r="F1709" s="92">
        <v>329.22</v>
      </c>
      <c r="G1709" s="93"/>
      <c r="H1709" s="92"/>
      <c r="I1709" s="92"/>
      <c r="J1709" s="82" t="b">
        <v>0</v>
      </c>
    </row>
    <row r="1710" ht="12.75" hidden="1" customHeight="1" outlineLevel="1">
      <c r="D1710" s="79"/>
      <c r="E1710" s="80"/>
      <c r="F1710" s="80"/>
      <c r="G1710" s="81"/>
      <c r="H1710" s="80"/>
      <c r="I1710" s="80"/>
      <c r="J1710" s="82" t="b">
        <v>0</v>
      </c>
    </row>
    <row r="1711" ht="12.75" hidden="1" customHeight="1" outlineLevel="1">
      <c r="B1711" s="90" t="s">
        <v>1344</v>
      </c>
      <c r="C1711" s="89" t="s">
        <v>75</v>
      </c>
      <c r="D1711" s="91">
        <v>6.0</v>
      </c>
      <c r="E1711" s="92">
        <v>73.16</v>
      </c>
      <c r="F1711" s="92">
        <v>438.96</v>
      </c>
      <c r="G1711" s="93"/>
      <c r="H1711" s="92"/>
      <c r="I1711" s="92"/>
      <c r="J1711" s="82" t="b">
        <v>0</v>
      </c>
    </row>
    <row r="1712" ht="12.75" hidden="1" customHeight="1" outlineLevel="1">
      <c r="D1712" s="79"/>
      <c r="E1712" s="80"/>
      <c r="F1712" s="80"/>
      <c r="G1712" s="81"/>
      <c r="H1712" s="80"/>
      <c r="I1712" s="80"/>
      <c r="J1712" s="82" t="b">
        <v>0</v>
      </c>
    </row>
    <row r="1713" ht="12.75" hidden="1" customHeight="1" outlineLevel="1">
      <c r="B1713" s="90" t="s">
        <v>1345</v>
      </c>
      <c r="C1713" s="89" t="s">
        <v>75</v>
      </c>
      <c r="D1713" s="91">
        <v>2.0</v>
      </c>
      <c r="E1713" s="92">
        <v>1664.22</v>
      </c>
      <c r="F1713" s="92">
        <v>3328.44</v>
      </c>
      <c r="G1713" s="93"/>
      <c r="H1713" s="92"/>
      <c r="I1713" s="92"/>
      <c r="J1713" s="82" t="b">
        <v>0</v>
      </c>
    </row>
    <row r="1714" ht="12.75" hidden="1" customHeight="1" outlineLevel="1">
      <c r="D1714" s="79"/>
      <c r="E1714" s="80"/>
      <c r="F1714" s="80"/>
      <c r="G1714" s="81"/>
      <c r="H1714" s="80"/>
      <c r="I1714" s="80"/>
      <c r="J1714" s="82" t="b">
        <v>0</v>
      </c>
    </row>
    <row r="1715" ht="12.75" hidden="1" customHeight="1" outlineLevel="1">
      <c r="B1715" s="90" t="s">
        <v>1346</v>
      </c>
      <c r="C1715" s="89" t="s">
        <v>75</v>
      </c>
      <c r="D1715" s="91">
        <v>10.0</v>
      </c>
      <c r="E1715" s="92">
        <v>657.44</v>
      </c>
      <c r="F1715" s="92">
        <v>6574.4</v>
      </c>
      <c r="G1715" s="93"/>
      <c r="H1715" s="92"/>
      <c r="I1715" s="92"/>
      <c r="J1715" s="82" t="b">
        <v>0</v>
      </c>
    </row>
    <row r="1716" ht="12.75" hidden="1" customHeight="1" outlineLevel="1">
      <c r="D1716" s="79"/>
      <c r="E1716" s="80"/>
      <c r="F1716" s="80"/>
      <c r="G1716" s="81"/>
      <c r="H1716" s="80"/>
      <c r="I1716" s="80"/>
      <c r="J1716" s="82" t="b">
        <v>0</v>
      </c>
    </row>
    <row r="1717" ht="12.75" hidden="1" customHeight="1" outlineLevel="1">
      <c r="B1717" s="90" t="s">
        <v>1347</v>
      </c>
      <c r="C1717" s="89" t="s">
        <v>75</v>
      </c>
      <c r="D1717" s="91">
        <v>2.0</v>
      </c>
      <c r="E1717" s="92">
        <v>191.44</v>
      </c>
      <c r="F1717" s="92">
        <v>382.88</v>
      </c>
      <c r="G1717" s="93"/>
      <c r="H1717" s="92"/>
      <c r="I1717" s="92"/>
      <c r="J1717" s="82" t="b">
        <v>0</v>
      </c>
    </row>
    <row r="1718" ht="12.75" hidden="1" customHeight="1" outlineLevel="1">
      <c r="D1718" s="79"/>
      <c r="E1718" s="80"/>
      <c r="F1718" s="80"/>
      <c r="G1718" s="81"/>
      <c r="H1718" s="80"/>
      <c r="I1718" s="80"/>
      <c r="J1718" s="82" t="b">
        <v>0</v>
      </c>
    </row>
    <row r="1719" ht="12.75" hidden="1" customHeight="1" outlineLevel="1">
      <c r="B1719" s="90" t="s">
        <v>1348</v>
      </c>
      <c r="C1719" s="89" t="s">
        <v>75</v>
      </c>
      <c r="D1719" s="91">
        <v>14.0</v>
      </c>
      <c r="E1719" s="92">
        <v>65.95</v>
      </c>
      <c r="F1719" s="92">
        <v>923.3</v>
      </c>
      <c r="G1719" s="93"/>
      <c r="H1719" s="92"/>
      <c r="I1719" s="92"/>
      <c r="J1719" s="82" t="b">
        <v>0</v>
      </c>
    </row>
    <row r="1720" ht="12.75" hidden="1" customHeight="1" outlineLevel="1">
      <c r="D1720" s="79"/>
      <c r="E1720" s="80"/>
      <c r="F1720" s="80"/>
      <c r="G1720" s="81"/>
      <c r="H1720" s="80"/>
      <c r="I1720" s="80"/>
      <c r="J1720" s="82" t="b">
        <v>0</v>
      </c>
    </row>
    <row r="1721" ht="12.75" hidden="1" customHeight="1" outlineLevel="1">
      <c r="A1721" s="89" t="s">
        <v>1349</v>
      </c>
      <c r="B1721" s="90" t="s">
        <v>1350</v>
      </c>
      <c r="D1721" s="79"/>
      <c r="E1721" s="80"/>
      <c r="F1721" s="80"/>
      <c r="G1721" s="81"/>
      <c r="H1721" s="80"/>
      <c r="I1721" s="80"/>
      <c r="J1721" s="82" t="b">
        <v>0</v>
      </c>
    </row>
    <row r="1722" ht="12.75" hidden="1" customHeight="1" outlineLevel="1">
      <c r="D1722" s="79"/>
      <c r="E1722" s="80"/>
      <c r="F1722" s="80"/>
      <c r="G1722" s="81"/>
      <c r="H1722" s="80"/>
      <c r="I1722" s="80"/>
      <c r="J1722" s="82" t="b">
        <v>0</v>
      </c>
    </row>
    <row r="1723" ht="12.75" hidden="1" customHeight="1" outlineLevel="1">
      <c r="B1723" s="90" t="s">
        <v>1286</v>
      </c>
      <c r="D1723" s="79"/>
      <c r="E1723" s="80"/>
      <c r="F1723" s="80"/>
      <c r="G1723" s="81"/>
      <c r="H1723" s="80"/>
      <c r="I1723" s="80"/>
      <c r="J1723" s="82" t="b">
        <v>0</v>
      </c>
    </row>
    <row r="1724" ht="12.75" hidden="1" customHeight="1" outlineLevel="1">
      <c r="D1724" s="79"/>
      <c r="E1724" s="80"/>
      <c r="F1724" s="80"/>
      <c r="G1724" s="81"/>
      <c r="H1724" s="80"/>
      <c r="I1724" s="80"/>
      <c r="J1724" s="82" t="b">
        <v>0</v>
      </c>
    </row>
    <row r="1725" ht="12.75" hidden="1" customHeight="1" outlineLevel="1">
      <c r="B1725" s="90" t="s">
        <v>1317</v>
      </c>
      <c r="D1725" s="79"/>
      <c r="E1725" s="80"/>
      <c r="F1725" s="80"/>
      <c r="G1725" s="81"/>
      <c r="H1725" s="80"/>
      <c r="I1725" s="80"/>
      <c r="J1725" s="82" t="b">
        <v>0</v>
      </c>
    </row>
    <row r="1726" ht="12.75" hidden="1" customHeight="1" outlineLevel="1">
      <c r="D1726" s="79"/>
      <c r="E1726" s="80"/>
      <c r="F1726" s="80"/>
      <c r="G1726" s="81"/>
      <c r="H1726" s="80"/>
      <c r="I1726" s="80"/>
      <c r="J1726" s="82" t="b">
        <v>0</v>
      </c>
    </row>
    <row r="1727" ht="12.75" hidden="1" customHeight="1" outlineLevel="1">
      <c r="B1727" s="90" t="s">
        <v>1351</v>
      </c>
      <c r="C1727" s="89" t="s">
        <v>161</v>
      </c>
      <c r="D1727" s="91">
        <v>704.0</v>
      </c>
      <c r="E1727" s="92">
        <v>3.04</v>
      </c>
      <c r="F1727" s="92">
        <v>2140.16</v>
      </c>
      <c r="G1727" s="93"/>
      <c r="H1727" s="92"/>
      <c r="I1727" s="92"/>
      <c r="J1727" s="82" t="b">
        <v>0</v>
      </c>
    </row>
    <row r="1728" ht="12.75" hidden="1" customHeight="1" outlineLevel="1">
      <c r="D1728" s="79"/>
      <c r="E1728" s="80"/>
      <c r="F1728" s="80"/>
      <c r="G1728" s="81"/>
      <c r="H1728" s="80"/>
      <c r="I1728" s="80"/>
      <c r="J1728" s="82" t="b">
        <v>0</v>
      </c>
    </row>
    <row r="1729" ht="12.75" hidden="1" customHeight="1" outlineLevel="1">
      <c r="B1729" s="90" t="s">
        <v>1123</v>
      </c>
      <c r="D1729" s="79"/>
      <c r="E1729" s="80"/>
      <c r="F1729" s="80"/>
      <c r="G1729" s="81"/>
      <c r="H1729" s="80"/>
      <c r="I1729" s="80"/>
      <c r="J1729" s="82" t="b">
        <v>0</v>
      </c>
    </row>
    <row r="1730" ht="12.75" hidden="1" customHeight="1" outlineLevel="1">
      <c r="D1730" s="79"/>
      <c r="E1730" s="80"/>
      <c r="F1730" s="80"/>
      <c r="G1730" s="81"/>
      <c r="H1730" s="80"/>
      <c r="I1730" s="80"/>
      <c r="J1730" s="82" t="b">
        <v>0</v>
      </c>
    </row>
    <row r="1731" ht="12.75" hidden="1" customHeight="1" outlineLevel="1">
      <c r="B1731" s="90" t="s">
        <v>1317</v>
      </c>
      <c r="D1731" s="79"/>
      <c r="E1731" s="80"/>
      <c r="F1731" s="80"/>
      <c r="G1731" s="81"/>
      <c r="H1731" s="80"/>
      <c r="I1731" s="80"/>
      <c r="J1731" s="82" t="b">
        <v>0</v>
      </c>
    </row>
    <row r="1732" ht="12.75" hidden="1" customHeight="1" outlineLevel="1">
      <c r="D1732" s="79"/>
      <c r="E1732" s="80"/>
      <c r="F1732" s="80"/>
      <c r="G1732" s="81"/>
      <c r="H1732" s="80"/>
      <c r="I1732" s="80"/>
      <c r="J1732" s="82" t="b">
        <v>0</v>
      </c>
    </row>
    <row r="1733" ht="12.75" hidden="1" customHeight="1" outlineLevel="1">
      <c r="B1733" s="90" t="s">
        <v>1352</v>
      </c>
      <c r="C1733" s="89" t="s">
        <v>161</v>
      </c>
      <c r="D1733" s="91">
        <v>704.0</v>
      </c>
      <c r="E1733" s="92">
        <v>1.81</v>
      </c>
      <c r="F1733" s="92">
        <v>1274.24</v>
      </c>
      <c r="G1733" s="93"/>
      <c r="H1733" s="92"/>
      <c r="I1733" s="92"/>
      <c r="J1733" s="82" t="b">
        <v>0</v>
      </c>
    </row>
    <row r="1734" ht="12.75" hidden="1" customHeight="1" outlineLevel="1">
      <c r="D1734" s="79"/>
      <c r="E1734" s="80"/>
      <c r="F1734" s="80"/>
      <c r="G1734" s="81"/>
      <c r="H1734" s="80"/>
      <c r="I1734" s="80"/>
      <c r="J1734" s="82" t="b">
        <v>0</v>
      </c>
    </row>
    <row r="1735" ht="12.75" hidden="1" customHeight="1" outlineLevel="1">
      <c r="B1735" s="90" t="s">
        <v>1128</v>
      </c>
      <c r="D1735" s="79"/>
      <c r="E1735" s="80"/>
      <c r="F1735" s="80"/>
      <c r="G1735" s="81"/>
      <c r="H1735" s="80"/>
      <c r="I1735" s="80"/>
      <c r="J1735" s="82" t="b">
        <v>0</v>
      </c>
    </row>
    <row r="1736" ht="12.75" hidden="1" customHeight="1" outlineLevel="1">
      <c r="D1736" s="79"/>
      <c r="E1736" s="80"/>
      <c r="F1736" s="80"/>
      <c r="G1736" s="81"/>
      <c r="H1736" s="80"/>
      <c r="I1736" s="80"/>
      <c r="J1736" s="82" t="b">
        <v>0</v>
      </c>
    </row>
    <row r="1737" ht="12.75" hidden="1" customHeight="1" outlineLevel="1">
      <c r="B1737" s="90" t="s">
        <v>1317</v>
      </c>
      <c r="D1737" s="79"/>
      <c r="E1737" s="80"/>
      <c r="F1737" s="80"/>
      <c r="G1737" s="81"/>
      <c r="H1737" s="80"/>
      <c r="I1737" s="80"/>
      <c r="J1737" s="82" t="b">
        <v>0</v>
      </c>
    </row>
    <row r="1738" ht="12.75" hidden="1" customHeight="1" outlineLevel="1">
      <c r="D1738" s="79"/>
      <c r="E1738" s="80"/>
      <c r="F1738" s="80"/>
      <c r="G1738" s="81"/>
      <c r="H1738" s="80"/>
      <c r="I1738" s="80"/>
      <c r="J1738" s="82" t="b">
        <v>0</v>
      </c>
    </row>
    <row r="1739" ht="12.75" hidden="1" customHeight="1" outlineLevel="1">
      <c r="B1739" s="90" t="s">
        <v>1353</v>
      </c>
      <c r="C1739" s="89" t="s">
        <v>75</v>
      </c>
      <c r="D1739" s="91">
        <v>29.0</v>
      </c>
      <c r="E1739" s="92">
        <v>11.26</v>
      </c>
      <c r="F1739" s="92">
        <v>326.54</v>
      </c>
      <c r="G1739" s="93"/>
      <c r="H1739" s="92"/>
      <c r="I1739" s="92"/>
      <c r="J1739" s="82" t="b">
        <v>0</v>
      </c>
    </row>
    <row r="1740" ht="12.75" hidden="1" customHeight="1" outlineLevel="1">
      <c r="D1740" s="79"/>
      <c r="E1740" s="80"/>
      <c r="F1740" s="80"/>
      <c r="G1740" s="81"/>
      <c r="H1740" s="80"/>
      <c r="I1740" s="80"/>
      <c r="J1740" s="82" t="b">
        <v>0</v>
      </c>
    </row>
    <row r="1741" ht="12.75" hidden="1" customHeight="1" outlineLevel="1">
      <c r="A1741" s="89" t="s">
        <v>1354</v>
      </c>
      <c r="B1741" s="90" t="s">
        <v>1355</v>
      </c>
      <c r="D1741" s="79"/>
      <c r="E1741" s="80"/>
      <c r="F1741" s="80"/>
      <c r="G1741" s="81"/>
      <c r="H1741" s="80"/>
      <c r="I1741" s="80"/>
      <c r="J1741" s="82" t="b">
        <v>0</v>
      </c>
    </row>
    <row r="1742" ht="12.75" hidden="1" customHeight="1" outlineLevel="1">
      <c r="D1742" s="79"/>
      <c r="E1742" s="80"/>
      <c r="F1742" s="80"/>
      <c r="G1742" s="81"/>
      <c r="H1742" s="80"/>
      <c r="I1742" s="80"/>
      <c r="J1742" s="82" t="b">
        <v>0</v>
      </c>
    </row>
    <row r="1743" ht="12.75" hidden="1" customHeight="1" outlineLevel="1">
      <c r="B1743" s="90" t="s">
        <v>1286</v>
      </c>
      <c r="D1743" s="79"/>
      <c r="E1743" s="80"/>
      <c r="F1743" s="80"/>
      <c r="G1743" s="81"/>
      <c r="H1743" s="80"/>
      <c r="I1743" s="80"/>
      <c r="J1743" s="82" t="b">
        <v>0</v>
      </c>
    </row>
    <row r="1744" ht="12.75" hidden="1" customHeight="1" outlineLevel="1">
      <c r="D1744" s="79"/>
      <c r="E1744" s="80"/>
      <c r="F1744" s="80"/>
      <c r="G1744" s="81"/>
      <c r="H1744" s="80"/>
      <c r="I1744" s="80"/>
      <c r="J1744" s="82" t="b">
        <v>0</v>
      </c>
    </row>
    <row r="1745" ht="12.75" hidden="1" customHeight="1" outlineLevel="1">
      <c r="B1745" s="90" t="s">
        <v>1317</v>
      </c>
      <c r="D1745" s="79"/>
      <c r="E1745" s="80"/>
      <c r="F1745" s="80"/>
      <c r="G1745" s="81"/>
      <c r="H1745" s="80"/>
      <c r="I1745" s="80"/>
      <c r="J1745" s="82" t="b">
        <v>0</v>
      </c>
    </row>
    <row r="1746" ht="12.75" hidden="1" customHeight="1" outlineLevel="1">
      <c r="D1746" s="79"/>
      <c r="E1746" s="80"/>
      <c r="F1746" s="80"/>
      <c r="G1746" s="81"/>
      <c r="H1746" s="80"/>
      <c r="I1746" s="80"/>
      <c r="J1746" s="82" t="b">
        <v>0</v>
      </c>
    </row>
    <row r="1747" ht="12.75" hidden="1" customHeight="1" outlineLevel="1">
      <c r="B1747" s="90" t="s">
        <v>1356</v>
      </c>
      <c r="C1747" s="89" t="s">
        <v>161</v>
      </c>
      <c r="D1747" s="91">
        <v>984.0</v>
      </c>
      <c r="E1747" s="92">
        <v>2.12</v>
      </c>
      <c r="F1747" s="92">
        <v>2086.08</v>
      </c>
      <c r="G1747" s="93"/>
      <c r="H1747" s="92"/>
      <c r="I1747" s="92"/>
      <c r="J1747" s="82" t="b">
        <v>0</v>
      </c>
    </row>
    <row r="1748" ht="12.75" hidden="1" customHeight="1" outlineLevel="1">
      <c r="D1748" s="79"/>
      <c r="E1748" s="80"/>
      <c r="F1748" s="80"/>
      <c r="G1748" s="81"/>
      <c r="H1748" s="80"/>
      <c r="I1748" s="80"/>
      <c r="J1748" s="82" t="b">
        <v>0</v>
      </c>
    </row>
    <row r="1749" ht="12.75" hidden="1" customHeight="1" outlineLevel="1">
      <c r="B1749" s="90" t="s">
        <v>1357</v>
      </c>
      <c r="C1749" s="89" t="s">
        <v>161</v>
      </c>
      <c r="D1749" s="91">
        <v>1527.0</v>
      </c>
      <c r="E1749" s="92">
        <v>2.38</v>
      </c>
      <c r="F1749" s="92">
        <v>3634.26</v>
      </c>
      <c r="G1749" s="93"/>
      <c r="H1749" s="92"/>
      <c r="I1749" s="92"/>
      <c r="J1749" s="82" t="b">
        <v>0</v>
      </c>
    </row>
    <row r="1750" ht="12.75" hidden="1" customHeight="1" outlineLevel="1">
      <c r="D1750" s="79"/>
      <c r="E1750" s="80"/>
      <c r="F1750" s="80"/>
      <c r="G1750" s="81"/>
      <c r="H1750" s="80"/>
      <c r="I1750" s="80"/>
      <c r="J1750" s="82" t="b">
        <v>0</v>
      </c>
    </row>
    <row r="1751" ht="12.75" hidden="1" customHeight="1" outlineLevel="1">
      <c r="B1751" s="90" t="s">
        <v>1358</v>
      </c>
      <c r="C1751" s="89" t="s">
        <v>161</v>
      </c>
      <c r="D1751" s="91">
        <v>355.0</v>
      </c>
      <c r="E1751" s="92">
        <v>3.36</v>
      </c>
      <c r="F1751" s="92">
        <v>1192.8</v>
      </c>
      <c r="G1751" s="93"/>
      <c r="H1751" s="92"/>
      <c r="I1751" s="92"/>
      <c r="J1751" s="82" t="b">
        <v>0</v>
      </c>
    </row>
    <row r="1752" ht="12.75" hidden="1" customHeight="1" outlineLevel="1">
      <c r="D1752" s="79"/>
      <c r="E1752" s="80"/>
      <c r="F1752" s="80"/>
      <c r="G1752" s="81"/>
      <c r="H1752" s="80"/>
      <c r="I1752" s="80"/>
      <c r="J1752" s="82" t="b">
        <v>0</v>
      </c>
    </row>
    <row r="1753" ht="12.75" hidden="1" customHeight="1" outlineLevel="1">
      <c r="B1753" s="90" t="s">
        <v>1123</v>
      </c>
      <c r="D1753" s="79"/>
      <c r="E1753" s="80"/>
      <c r="F1753" s="80"/>
      <c r="G1753" s="81"/>
      <c r="H1753" s="80"/>
      <c r="I1753" s="80"/>
      <c r="J1753" s="82" t="b">
        <v>0</v>
      </c>
    </row>
    <row r="1754" ht="12.75" hidden="1" customHeight="1" outlineLevel="1">
      <c r="D1754" s="79"/>
      <c r="E1754" s="80"/>
      <c r="F1754" s="80"/>
      <c r="G1754" s="81"/>
      <c r="H1754" s="80"/>
      <c r="I1754" s="80"/>
      <c r="J1754" s="82" t="b">
        <v>0</v>
      </c>
    </row>
    <row r="1755" ht="12.75" hidden="1" customHeight="1" outlineLevel="1">
      <c r="B1755" s="90" t="s">
        <v>1317</v>
      </c>
      <c r="D1755" s="79"/>
      <c r="E1755" s="80"/>
      <c r="F1755" s="80"/>
      <c r="G1755" s="81"/>
      <c r="H1755" s="80"/>
      <c r="I1755" s="80"/>
      <c r="J1755" s="82" t="b">
        <v>0</v>
      </c>
    </row>
    <row r="1756" ht="12.75" hidden="1" customHeight="1" outlineLevel="1">
      <c r="D1756" s="79"/>
      <c r="E1756" s="80"/>
      <c r="F1756" s="80"/>
      <c r="G1756" s="81"/>
      <c r="H1756" s="80"/>
      <c r="I1756" s="80"/>
      <c r="J1756" s="82" t="b">
        <v>0</v>
      </c>
    </row>
    <row r="1757" ht="12.75" hidden="1" customHeight="1" outlineLevel="1">
      <c r="B1757" s="90" t="s">
        <v>1359</v>
      </c>
      <c r="C1757" s="89" t="s">
        <v>161</v>
      </c>
      <c r="D1757" s="91">
        <v>2865.0</v>
      </c>
      <c r="E1757" s="92">
        <v>1.81</v>
      </c>
      <c r="F1757" s="92">
        <v>5185.65</v>
      </c>
      <c r="G1757" s="93"/>
      <c r="H1757" s="92"/>
      <c r="I1757" s="92"/>
      <c r="J1757" s="82" t="b">
        <v>0</v>
      </c>
    </row>
    <row r="1758" ht="12.75" hidden="1" customHeight="1" outlineLevel="1">
      <c r="D1758" s="79"/>
      <c r="E1758" s="80"/>
      <c r="F1758" s="80"/>
      <c r="G1758" s="81"/>
      <c r="H1758" s="80"/>
      <c r="I1758" s="80"/>
      <c r="J1758" s="82" t="b">
        <v>0</v>
      </c>
    </row>
    <row r="1759" ht="12.75" hidden="1" customHeight="1" outlineLevel="1">
      <c r="B1759" s="90" t="s">
        <v>1128</v>
      </c>
      <c r="D1759" s="79"/>
      <c r="E1759" s="80"/>
      <c r="F1759" s="80"/>
      <c r="G1759" s="81"/>
      <c r="H1759" s="80"/>
      <c r="I1759" s="80"/>
      <c r="J1759" s="82" t="b">
        <v>0</v>
      </c>
    </row>
    <row r="1760" ht="12.75" hidden="1" customHeight="1" outlineLevel="1">
      <c r="D1760" s="79"/>
      <c r="E1760" s="80"/>
      <c r="F1760" s="80"/>
      <c r="G1760" s="81"/>
      <c r="H1760" s="80"/>
      <c r="I1760" s="80"/>
      <c r="J1760" s="82" t="b">
        <v>0</v>
      </c>
    </row>
    <row r="1761" ht="12.75" hidden="1" customHeight="1" outlineLevel="1">
      <c r="B1761" s="90" t="s">
        <v>1317</v>
      </c>
      <c r="D1761" s="79"/>
      <c r="E1761" s="80"/>
      <c r="F1761" s="80"/>
      <c r="G1761" s="81"/>
      <c r="H1761" s="80"/>
      <c r="I1761" s="80"/>
      <c r="J1761" s="82" t="b">
        <v>0</v>
      </c>
    </row>
    <row r="1762" ht="12.75" hidden="1" customHeight="1" outlineLevel="1">
      <c r="D1762" s="79"/>
      <c r="E1762" s="80"/>
      <c r="F1762" s="80"/>
      <c r="G1762" s="81"/>
      <c r="H1762" s="80"/>
      <c r="I1762" s="80"/>
      <c r="J1762" s="82" t="b">
        <v>0</v>
      </c>
    </row>
    <row r="1763" ht="12.75" hidden="1" customHeight="1" outlineLevel="1">
      <c r="B1763" s="90" t="s">
        <v>1360</v>
      </c>
      <c r="C1763" s="89" t="s">
        <v>75</v>
      </c>
      <c r="D1763" s="91">
        <v>199.0</v>
      </c>
      <c r="E1763" s="92">
        <v>13.53</v>
      </c>
      <c r="F1763" s="92">
        <v>2692.47</v>
      </c>
      <c r="G1763" s="93"/>
      <c r="H1763" s="92"/>
      <c r="I1763" s="92"/>
      <c r="J1763" s="82" t="b">
        <v>0</v>
      </c>
    </row>
    <row r="1764" ht="12.75" hidden="1" customHeight="1" outlineLevel="1">
      <c r="D1764" s="79"/>
      <c r="E1764" s="80"/>
      <c r="F1764" s="80"/>
      <c r="G1764" s="81"/>
      <c r="H1764" s="80"/>
      <c r="I1764" s="80"/>
      <c r="J1764" s="82" t="b">
        <v>0</v>
      </c>
    </row>
    <row r="1765" ht="12.75" hidden="1" customHeight="1" outlineLevel="1">
      <c r="B1765" s="90" t="s">
        <v>1361</v>
      </c>
      <c r="C1765" s="89" t="s">
        <v>75</v>
      </c>
      <c r="D1765" s="91">
        <v>15.0</v>
      </c>
      <c r="E1765" s="92">
        <v>84.7</v>
      </c>
      <c r="F1765" s="92">
        <v>1270.5</v>
      </c>
      <c r="G1765" s="93"/>
      <c r="H1765" s="92"/>
      <c r="I1765" s="92"/>
      <c r="J1765" s="82" t="b">
        <v>0</v>
      </c>
    </row>
    <row r="1766" ht="12.75" hidden="1" customHeight="1" outlineLevel="1">
      <c r="D1766" s="79"/>
      <c r="E1766" s="80"/>
      <c r="F1766" s="80"/>
      <c r="G1766" s="81"/>
      <c r="H1766" s="80"/>
      <c r="I1766" s="80"/>
      <c r="J1766" s="82" t="b">
        <v>0</v>
      </c>
    </row>
    <row r="1767" ht="12.75" hidden="1" customHeight="1" outlineLevel="1">
      <c r="B1767" s="90" t="s">
        <v>1362</v>
      </c>
      <c r="C1767" s="89" t="s">
        <v>75</v>
      </c>
      <c r="D1767" s="91">
        <v>16.0</v>
      </c>
      <c r="E1767" s="92">
        <v>1.23</v>
      </c>
      <c r="F1767" s="92">
        <v>19.68</v>
      </c>
      <c r="G1767" s="93"/>
      <c r="H1767" s="92"/>
      <c r="I1767" s="92"/>
      <c r="J1767" s="82" t="b">
        <v>0</v>
      </c>
    </row>
    <row r="1768" ht="12.75" hidden="1" customHeight="1" outlineLevel="1">
      <c r="D1768" s="79"/>
      <c r="E1768" s="80"/>
      <c r="F1768" s="80"/>
      <c r="G1768" s="81"/>
      <c r="H1768" s="80"/>
      <c r="I1768" s="80"/>
      <c r="J1768" s="82" t="b">
        <v>0</v>
      </c>
    </row>
    <row r="1769" ht="12.75" hidden="1" customHeight="1" outlineLevel="1">
      <c r="B1769" s="90" t="s">
        <v>1363</v>
      </c>
      <c r="C1769" s="89" t="s">
        <v>75</v>
      </c>
      <c r="D1769" s="91">
        <v>10.0</v>
      </c>
      <c r="E1769" s="92">
        <v>61.67</v>
      </c>
      <c r="F1769" s="92">
        <v>616.7</v>
      </c>
      <c r="G1769" s="93"/>
      <c r="H1769" s="92"/>
      <c r="I1769" s="92"/>
      <c r="J1769" s="82" t="b">
        <v>0</v>
      </c>
    </row>
    <row r="1770" ht="12.75" hidden="1" customHeight="1" outlineLevel="1">
      <c r="D1770" s="79"/>
      <c r="E1770" s="80"/>
      <c r="F1770" s="80"/>
      <c r="G1770" s="81"/>
      <c r="H1770" s="80"/>
      <c r="I1770" s="80"/>
      <c r="J1770" s="82" t="b">
        <v>0</v>
      </c>
    </row>
    <row r="1771" ht="12.75" hidden="1" customHeight="1" outlineLevel="1">
      <c r="B1771" s="90" t="s">
        <v>1364</v>
      </c>
      <c r="D1771" s="79"/>
      <c r="E1771" s="80"/>
      <c r="F1771" s="80"/>
      <c r="G1771" s="81"/>
      <c r="H1771" s="80"/>
      <c r="I1771" s="80"/>
      <c r="J1771" s="82" t="b">
        <v>0</v>
      </c>
    </row>
    <row r="1772" ht="12.75" hidden="1" customHeight="1" outlineLevel="1">
      <c r="D1772" s="79"/>
      <c r="E1772" s="80"/>
      <c r="F1772" s="80"/>
      <c r="G1772" s="81"/>
      <c r="H1772" s="80"/>
      <c r="I1772" s="80"/>
      <c r="J1772" s="82" t="b">
        <v>0</v>
      </c>
    </row>
    <row r="1773" ht="12.75" hidden="1" customHeight="1" outlineLevel="1">
      <c r="B1773" s="90" t="s">
        <v>1365</v>
      </c>
      <c r="D1773" s="79"/>
      <c r="E1773" s="80"/>
      <c r="F1773" s="80"/>
      <c r="G1773" s="81"/>
      <c r="H1773" s="80"/>
      <c r="I1773" s="80"/>
      <c r="J1773" s="82" t="b">
        <v>0</v>
      </c>
    </row>
    <row r="1774" ht="12.75" hidden="1" customHeight="1" outlineLevel="1">
      <c r="D1774" s="79"/>
      <c r="E1774" s="80"/>
      <c r="F1774" s="80"/>
      <c r="G1774" s="81"/>
      <c r="H1774" s="80"/>
      <c r="I1774" s="80"/>
      <c r="J1774" s="82" t="b">
        <v>0</v>
      </c>
    </row>
    <row r="1775" ht="12.75" hidden="1" customHeight="1" outlineLevel="1">
      <c r="B1775" s="90" t="s">
        <v>1366</v>
      </c>
      <c r="D1775" s="79"/>
      <c r="E1775" s="80"/>
      <c r="F1775" s="80"/>
      <c r="G1775" s="81"/>
      <c r="H1775" s="80"/>
      <c r="I1775" s="80"/>
      <c r="J1775" s="82" t="b">
        <v>0</v>
      </c>
    </row>
    <row r="1776" ht="12.75" hidden="1" customHeight="1" outlineLevel="1">
      <c r="D1776" s="79"/>
      <c r="E1776" s="80"/>
      <c r="F1776" s="80"/>
      <c r="G1776" s="81"/>
      <c r="H1776" s="80"/>
      <c r="I1776" s="80"/>
      <c r="J1776" s="82" t="b">
        <v>0</v>
      </c>
    </row>
    <row r="1777" ht="12.75" hidden="1" customHeight="1" outlineLevel="1">
      <c r="B1777" s="90" t="s">
        <v>1367</v>
      </c>
      <c r="D1777" s="79"/>
      <c r="E1777" s="80"/>
      <c r="F1777" s="80"/>
      <c r="G1777" s="81"/>
      <c r="H1777" s="80"/>
      <c r="I1777" s="80"/>
      <c r="J1777" s="82" t="b">
        <v>0</v>
      </c>
    </row>
    <row r="1778" ht="12.75" hidden="1" customHeight="1" outlineLevel="1">
      <c r="D1778" s="79"/>
      <c r="E1778" s="80"/>
      <c r="F1778" s="80"/>
      <c r="G1778" s="81"/>
      <c r="H1778" s="80"/>
      <c r="I1778" s="80"/>
      <c r="J1778" s="82" t="b">
        <v>0</v>
      </c>
    </row>
    <row r="1779" ht="12.75" hidden="1" customHeight="1" outlineLevel="1">
      <c r="B1779" s="90" t="s">
        <v>1368</v>
      </c>
      <c r="C1779" s="89" t="s">
        <v>75</v>
      </c>
      <c r="D1779" s="91">
        <v>9.0</v>
      </c>
      <c r="E1779" s="92">
        <v>9.18</v>
      </c>
      <c r="F1779" s="92">
        <v>82.62</v>
      </c>
      <c r="G1779" s="93"/>
      <c r="H1779" s="92"/>
      <c r="I1779" s="92"/>
      <c r="J1779" s="82" t="b">
        <v>0</v>
      </c>
    </row>
    <row r="1780" ht="12.75" hidden="1" customHeight="1" outlineLevel="1">
      <c r="D1780" s="79"/>
      <c r="E1780" s="80"/>
      <c r="F1780" s="80"/>
      <c r="G1780" s="81"/>
      <c r="H1780" s="80"/>
      <c r="I1780" s="80"/>
      <c r="J1780" s="82" t="b">
        <v>0</v>
      </c>
    </row>
    <row r="1781" ht="12.75" hidden="1" customHeight="1" outlineLevel="1">
      <c r="B1781" s="90" t="s">
        <v>1369</v>
      </c>
      <c r="C1781" s="89" t="s">
        <v>75</v>
      </c>
      <c r="D1781" s="91">
        <v>11.0</v>
      </c>
      <c r="E1781" s="92">
        <v>9.18</v>
      </c>
      <c r="F1781" s="92">
        <v>100.98</v>
      </c>
      <c r="G1781" s="93"/>
      <c r="H1781" s="92"/>
      <c r="I1781" s="92"/>
      <c r="J1781" s="82" t="b">
        <v>0</v>
      </c>
    </row>
    <row r="1782" ht="12.75" hidden="1" customHeight="1" outlineLevel="1">
      <c r="D1782" s="79"/>
      <c r="E1782" s="80"/>
      <c r="F1782" s="80"/>
      <c r="G1782" s="81"/>
      <c r="H1782" s="80"/>
      <c r="I1782" s="80"/>
      <c r="J1782" s="82" t="b">
        <v>0</v>
      </c>
    </row>
    <row r="1783" ht="12.75" hidden="1" customHeight="1" outlineLevel="1">
      <c r="B1783" s="90" t="s">
        <v>1370</v>
      </c>
      <c r="C1783" s="89" t="s">
        <v>75</v>
      </c>
      <c r="D1783" s="91">
        <v>7.0</v>
      </c>
      <c r="E1783" s="92">
        <v>9.18</v>
      </c>
      <c r="F1783" s="92">
        <v>64.26</v>
      </c>
      <c r="G1783" s="93"/>
      <c r="H1783" s="92"/>
      <c r="I1783" s="92"/>
      <c r="J1783" s="82" t="b">
        <v>0</v>
      </c>
    </row>
    <row r="1784" ht="12.75" hidden="1" customHeight="1" outlineLevel="1">
      <c r="D1784" s="79"/>
      <c r="E1784" s="80"/>
      <c r="F1784" s="80"/>
      <c r="G1784" s="81"/>
      <c r="H1784" s="80"/>
      <c r="I1784" s="80"/>
      <c r="J1784" s="82" t="b">
        <v>0</v>
      </c>
    </row>
    <row r="1785" ht="12.75" hidden="1" customHeight="1" outlineLevel="1">
      <c r="B1785" s="90" t="s">
        <v>1371</v>
      </c>
      <c r="C1785" s="89" t="s">
        <v>75</v>
      </c>
      <c r="D1785" s="91">
        <v>2.0</v>
      </c>
      <c r="E1785" s="92">
        <v>9.18</v>
      </c>
      <c r="F1785" s="92">
        <v>18.36</v>
      </c>
      <c r="G1785" s="93"/>
      <c r="H1785" s="92"/>
      <c r="I1785" s="92"/>
      <c r="J1785" s="82" t="b">
        <v>0</v>
      </c>
    </row>
    <row r="1786" ht="12.75" hidden="1" customHeight="1" outlineLevel="1">
      <c r="D1786" s="79"/>
      <c r="E1786" s="80"/>
      <c r="F1786" s="80"/>
      <c r="G1786" s="81"/>
      <c r="H1786" s="80"/>
      <c r="I1786" s="80"/>
      <c r="J1786" s="82" t="b">
        <v>0</v>
      </c>
    </row>
    <row r="1787" ht="12.75" hidden="1" customHeight="1" outlineLevel="1">
      <c r="B1787" s="90" t="s">
        <v>1372</v>
      </c>
      <c r="C1787" s="89" t="s">
        <v>75</v>
      </c>
      <c r="D1787" s="91">
        <v>8.0</v>
      </c>
      <c r="E1787" s="92">
        <v>9.18</v>
      </c>
      <c r="F1787" s="92">
        <v>73.44</v>
      </c>
      <c r="G1787" s="93"/>
      <c r="H1787" s="92"/>
      <c r="I1787" s="92"/>
      <c r="J1787" s="82" t="b">
        <v>0</v>
      </c>
    </row>
    <row r="1788" ht="12.75" hidden="1" customHeight="1" outlineLevel="1">
      <c r="D1788" s="79"/>
      <c r="E1788" s="80"/>
      <c r="F1788" s="80"/>
      <c r="G1788" s="81"/>
      <c r="H1788" s="80"/>
      <c r="I1788" s="80"/>
      <c r="J1788" s="82" t="b">
        <v>0</v>
      </c>
    </row>
    <row r="1789" ht="12.75" hidden="1" customHeight="1" outlineLevel="1">
      <c r="B1789" s="90" t="s">
        <v>1373</v>
      </c>
      <c r="C1789" s="89" t="s">
        <v>1374</v>
      </c>
      <c r="D1789" s="91">
        <v>2.0</v>
      </c>
      <c r="E1789" s="92">
        <v>9.18</v>
      </c>
      <c r="F1789" s="92">
        <v>18.36</v>
      </c>
      <c r="G1789" s="93"/>
      <c r="H1789" s="92"/>
      <c r="I1789" s="92"/>
      <c r="J1789" s="82" t="b">
        <v>0</v>
      </c>
    </row>
    <row r="1790" ht="12.75" hidden="1" customHeight="1" outlineLevel="1">
      <c r="D1790" s="79"/>
      <c r="E1790" s="80"/>
      <c r="F1790" s="80"/>
      <c r="G1790" s="81"/>
      <c r="H1790" s="80"/>
      <c r="I1790" s="80"/>
      <c r="J1790" s="82" t="b">
        <v>0</v>
      </c>
    </row>
    <row r="1791" ht="12.75" hidden="1" customHeight="1" outlineLevel="1">
      <c r="B1791" s="90" t="s">
        <v>1375</v>
      </c>
      <c r="C1791" s="89" t="s">
        <v>75</v>
      </c>
      <c r="D1791" s="91">
        <v>1.0</v>
      </c>
      <c r="E1791" s="92">
        <v>9.18</v>
      </c>
      <c r="F1791" s="92">
        <v>9.18</v>
      </c>
      <c r="G1791" s="93"/>
      <c r="H1791" s="92"/>
      <c r="I1791" s="92"/>
      <c r="J1791" s="82" t="b">
        <v>0</v>
      </c>
    </row>
    <row r="1792" ht="12.75" hidden="1" customHeight="1" outlineLevel="1">
      <c r="D1792" s="79"/>
      <c r="E1792" s="80"/>
      <c r="F1792" s="80"/>
      <c r="G1792" s="81"/>
      <c r="H1792" s="80"/>
      <c r="I1792" s="80"/>
      <c r="J1792" s="82" t="b">
        <v>0</v>
      </c>
    </row>
    <row r="1793" ht="12.75" hidden="1" customHeight="1" outlineLevel="1">
      <c r="B1793" s="90" t="s">
        <v>1376</v>
      </c>
      <c r="C1793" s="89" t="s">
        <v>75</v>
      </c>
      <c r="D1793" s="91">
        <v>3.0</v>
      </c>
      <c r="E1793" s="92">
        <v>2.12</v>
      </c>
      <c r="F1793" s="92">
        <v>6.36</v>
      </c>
      <c r="G1793" s="93"/>
      <c r="H1793" s="92"/>
      <c r="I1793" s="92"/>
      <c r="J1793" s="82" t="b">
        <v>0</v>
      </c>
    </row>
    <row r="1794" ht="12.75" hidden="1" customHeight="1" outlineLevel="1">
      <c r="D1794" s="79"/>
      <c r="E1794" s="80"/>
      <c r="F1794" s="80"/>
      <c r="G1794" s="81"/>
      <c r="H1794" s="80"/>
      <c r="I1794" s="80"/>
      <c r="J1794" s="82" t="b">
        <v>0</v>
      </c>
    </row>
    <row r="1795" ht="12.75" hidden="1" customHeight="1" outlineLevel="1">
      <c r="B1795" s="90" t="s">
        <v>1377</v>
      </c>
      <c r="C1795" s="89" t="s">
        <v>75</v>
      </c>
      <c r="D1795" s="91">
        <v>2.0</v>
      </c>
      <c r="E1795" s="92">
        <v>9.18</v>
      </c>
      <c r="F1795" s="92">
        <v>18.36</v>
      </c>
      <c r="G1795" s="93"/>
      <c r="H1795" s="92"/>
      <c r="I1795" s="92"/>
      <c r="J1795" s="82" t="b">
        <v>0</v>
      </c>
    </row>
    <row r="1796" ht="12.75" hidden="1" customHeight="1" outlineLevel="1">
      <c r="D1796" s="79"/>
      <c r="E1796" s="80"/>
      <c r="F1796" s="80"/>
      <c r="G1796" s="81"/>
      <c r="H1796" s="80"/>
      <c r="I1796" s="80"/>
      <c r="J1796" s="82" t="b">
        <v>0</v>
      </c>
    </row>
    <row r="1797" ht="12.75" hidden="1" customHeight="1" outlineLevel="1">
      <c r="B1797" s="90" t="s">
        <v>1378</v>
      </c>
      <c r="C1797" s="89" t="s">
        <v>75</v>
      </c>
      <c r="D1797" s="91">
        <v>1.0</v>
      </c>
      <c r="E1797" s="92">
        <v>9.18</v>
      </c>
      <c r="F1797" s="92">
        <v>9.18</v>
      </c>
      <c r="G1797" s="93"/>
      <c r="H1797" s="92"/>
      <c r="I1797" s="92"/>
      <c r="J1797" s="82" t="b">
        <v>0</v>
      </c>
    </row>
    <row r="1798" ht="12.75" hidden="1" customHeight="1" outlineLevel="1">
      <c r="D1798" s="79"/>
      <c r="E1798" s="80"/>
      <c r="F1798" s="80"/>
      <c r="G1798" s="81"/>
      <c r="H1798" s="80"/>
      <c r="I1798" s="80"/>
      <c r="J1798" s="82" t="b">
        <v>0</v>
      </c>
    </row>
    <row r="1799" ht="12.75" hidden="1" customHeight="1" outlineLevel="1">
      <c r="B1799" s="90" t="s">
        <v>1379</v>
      </c>
      <c r="C1799" s="89" t="s">
        <v>75</v>
      </c>
      <c r="D1799" s="91">
        <v>1.0</v>
      </c>
      <c r="E1799" s="92">
        <v>9.18</v>
      </c>
      <c r="F1799" s="92">
        <v>9.18</v>
      </c>
      <c r="G1799" s="93"/>
      <c r="H1799" s="92"/>
      <c r="I1799" s="92"/>
      <c r="J1799" s="82" t="b">
        <v>0</v>
      </c>
    </row>
    <row r="1800" ht="12.75" hidden="1" customHeight="1" outlineLevel="1">
      <c r="D1800" s="79"/>
      <c r="E1800" s="80"/>
      <c r="F1800" s="80"/>
      <c r="G1800" s="81"/>
      <c r="H1800" s="80"/>
      <c r="I1800" s="80"/>
      <c r="J1800" s="82" t="b">
        <v>0</v>
      </c>
    </row>
    <row r="1801" ht="12.75" hidden="1" customHeight="1" outlineLevel="1">
      <c r="B1801" s="90" t="s">
        <v>1380</v>
      </c>
      <c r="C1801" s="89" t="s">
        <v>75</v>
      </c>
      <c r="D1801" s="91">
        <v>1.0</v>
      </c>
      <c r="E1801" s="92">
        <v>9.18</v>
      </c>
      <c r="F1801" s="92">
        <v>9.18</v>
      </c>
      <c r="G1801" s="93"/>
      <c r="H1801" s="92"/>
      <c r="I1801" s="92"/>
      <c r="J1801" s="82" t="b">
        <v>0</v>
      </c>
    </row>
    <row r="1802" ht="12.75" hidden="1" customHeight="1" outlineLevel="1">
      <c r="D1802" s="79"/>
      <c r="E1802" s="80"/>
      <c r="F1802" s="80"/>
      <c r="G1802" s="81"/>
      <c r="H1802" s="80"/>
      <c r="I1802" s="80"/>
      <c r="J1802" s="82" t="b">
        <v>0</v>
      </c>
    </row>
    <row r="1803" ht="12.75" hidden="1" customHeight="1" outlineLevel="1">
      <c r="B1803" s="90" t="s">
        <v>1381</v>
      </c>
      <c r="C1803" s="89" t="s">
        <v>75</v>
      </c>
      <c r="D1803" s="91">
        <v>1.0</v>
      </c>
      <c r="E1803" s="92">
        <v>69.67</v>
      </c>
      <c r="F1803" s="92">
        <v>69.67</v>
      </c>
      <c r="G1803" s="93"/>
      <c r="H1803" s="92"/>
      <c r="I1803" s="92"/>
      <c r="J1803" s="82" t="b">
        <v>0</v>
      </c>
    </row>
    <row r="1804" ht="12.75" hidden="1" customHeight="1" outlineLevel="1">
      <c r="D1804" s="79"/>
      <c r="E1804" s="80"/>
      <c r="F1804" s="80"/>
      <c r="G1804" s="81"/>
      <c r="H1804" s="80"/>
      <c r="I1804" s="80"/>
      <c r="J1804" s="82" t="b">
        <v>0</v>
      </c>
    </row>
    <row r="1805" ht="12.75" hidden="1" customHeight="1" outlineLevel="1">
      <c r="B1805" s="90" t="s">
        <v>1382</v>
      </c>
      <c r="C1805" s="89" t="s">
        <v>75</v>
      </c>
      <c r="D1805" s="91">
        <v>3.0</v>
      </c>
      <c r="E1805" s="92">
        <v>21.66</v>
      </c>
      <c r="F1805" s="92">
        <v>64.98</v>
      </c>
      <c r="G1805" s="93"/>
      <c r="H1805" s="92"/>
      <c r="I1805" s="92"/>
      <c r="J1805" s="82" t="b">
        <v>0</v>
      </c>
    </row>
    <row r="1806" ht="12.75" hidden="1" customHeight="1" outlineLevel="1">
      <c r="D1806" s="79"/>
      <c r="E1806" s="80"/>
      <c r="F1806" s="80"/>
      <c r="G1806" s="81"/>
      <c r="H1806" s="80"/>
      <c r="I1806" s="80"/>
      <c r="J1806" s="82" t="b">
        <v>0</v>
      </c>
    </row>
    <row r="1807" ht="12.75" hidden="1" customHeight="1" outlineLevel="1">
      <c r="B1807" s="90" t="s">
        <v>1383</v>
      </c>
      <c r="C1807" s="89" t="s">
        <v>75</v>
      </c>
      <c r="D1807" s="91">
        <v>6.0</v>
      </c>
      <c r="E1807" s="92">
        <v>107.0</v>
      </c>
      <c r="F1807" s="92">
        <v>642.0</v>
      </c>
      <c r="G1807" s="93"/>
      <c r="H1807" s="92"/>
      <c r="I1807" s="92"/>
      <c r="J1807" s="82" t="b">
        <v>0</v>
      </c>
    </row>
    <row r="1808" ht="12.75" hidden="1" customHeight="1" outlineLevel="1">
      <c r="D1808" s="79"/>
      <c r="E1808" s="80"/>
      <c r="F1808" s="80"/>
      <c r="G1808" s="81"/>
      <c r="H1808" s="80"/>
      <c r="I1808" s="80"/>
      <c r="J1808" s="82" t="b">
        <v>0</v>
      </c>
    </row>
    <row r="1809" ht="12.75" hidden="1" customHeight="1" outlineLevel="1">
      <c r="B1809" s="90" t="s">
        <v>1384</v>
      </c>
      <c r="D1809" s="79"/>
      <c r="E1809" s="80"/>
      <c r="F1809" s="80"/>
      <c r="G1809" s="81"/>
      <c r="H1809" s="80"/>
      <c r="I1809" s="80"/>
      <c r="J1809" s="82" t="b">
        <v>0</v>
      </c>
    </row>
    <row r="1810" ht="12.75" hidden="1" customHeight="1" outlineLevel="1">
      <c r="D1810" s="79"/>
      <c r="E1810" s="80"/>
      <c r="F1810" s="80"/>
      <c r="G1810" s="81"/>
      <c r="H1810" s="80"/>
      <c r="I1810" s="80"/>
      <c r="J1810" s="82" t="b">
        <v>0</v>
      </c>
    </row>
    <row r="1811" ht="12.75" hidden="1" customHeight="1" outlineLevel="1">
      <c r="B1811" s="90" t="s">
        <v>1369</v>
      </c>
      <c r="C1811" s="89" t="s">
        <v>75</v>
      </c>
      <c r="D1811" s="91">
        <v>27.0</v>
      </c>
      <c r="E1811" s="92">
        <v>9.18</v>
      </c>
      <c r="F1811" s="92">
        <v>247.86</v>
      </c>
      <c r="G1811" s="93"/>
      <c r="H1811" s="92"/>
      <c r="I1811" s="92"/>
      <c r="J1811" s="82" t="b">
        <v>0</v>
      </c>
    </row>
    <row r="1812" ht="12.75" hidden="1" customHeight="1" outlineLevel="1">
      <c r="D1812" s="79"/>
      <c r="E1812" s="80"/>
      <c r="F1812" s="80"/>
      <c r="G1812" s="81"/>
      <c r="H1812" s="80"/>
      <c r="I1812" s="80"/>
      <c r="J1812" s="82" t="b">
        <v>0</v>
      </c>
    </row>
    <row r="1813" ht="12.75" hidden="1" customHeight="1" outlineLevel="1">
      <c r="B1813" s="90" t="s">
        <v>1372</v>
      </c>
      <c r="C1813" s="89" t="s">
        <v>75</v>
      </c>
      <c r="D1813" s="91">
        <v>40.0</v>
      </c>
      <c r="E1813" s="92">
        <v>9.18</v>
      </c>
      <c r="F1813" s="92">
        <v>367.2</v>
      </c>
      <c r="G1813" s="93"/>
      <c r="H1813" s="92"/>
      <c r="I1813" s="92"/>
      <c r="J1813" s="82" t="b">
        <v>0</v>
      </c>
    </row>
    <row r="1814" ht="12.75" hidden="1" customHeight="1" outlineLevel="1">
      <c r="D1814" s="79"/>
      <c r="E1814" s="80"/>
      <c r="F1814" s="80"/>
      <c r="G1814" s="81"/>
      <c r="H1814" s="80"/>
      <c r="I1814" s="80"/>
      <c r="J1814" s="82" t="b">
        <v>0</v>
      </c>
    </row>
    <row r="1815" ht="12.75" hidden="1" customHeight="1" outlineLevel="1">
      <c r="B1815" s="90" t="s">
        <v>1385</v>
      </c>
      <c r="C1815" s="89" t="s">
        <v>75</v>
      </c>
      <c r="D1815" s="91">
        <v>5.0</v>
      </c>
      <c r="E1815" s="92">
        <v>9.18</v>
      </c>
      <c r="F1815" s="92">
        <v>45.9</v>
      </c>
      <c r="G1815" s="93"/>
      <c r="H1815" s="92"/>
      <c r="I1815" s="92"/>
      <c r="J1815" s="82" t="b">
        <v>0</v>
      </c>
    </row>
    <row r="1816" ht="12.75" hidden="1" customHeight="1" outlineLevel="1">
      <c r="D1816" s="79"/>
      <c r="E1816" s="80"/>
      <c r="F1816" s="80"/>
      <c r="G1816" s="81"/>
      <c r="H1816" s="80"/>
      <c r="I1816" s="80"/>
      <c r="J1816" s="82" t="b">
        <v>0</v>
      </c>
    </row>
    <row r="1817" ht="12.75" hidden="1" customHeight="1" outlineLevel="1">
      <c r="B1817" s="90" t="s">
        <v>1375</v>
      </c>
      <c r="C1817" s="89" t="s">
        <v>75</v>
      </c>
      <c r="D1817" s="91">
        <v>14.0</v>
      </c>
      <c r="E1817" s="92">
        <v>9.18</v>
      </c>
      <c r="F1817" s="92">
        <v>128.52</v>
      </c>
      <c r="G1817" s="93"/>
      <c r="H1817" s="92"/>
      <c r="I1817" s="92"/>
      <c r="J1817" s="82" t="b">
        <v>0</v>
      </c>
    </row>
    <row r="1818" ht="12.75" hidden="1" customHeight="1" outlineLevel="1">
      <c r="D1818" s="79"/>
      <c r="E1818" s="80"/>
      <c r="F1818" s="80"/>
      <c r="G1818" s="81"/>
      <c r="H1818" s="80"/>
      <c r="I1818" s="80"/>
      <c r="J1818" s="82" t="b">
        <v>0</v>
      </c>
    </row>
    <row r="1819" ht="12.75" hidden="1" customHeight="1" outlineLevel="1">
      <c r="B1819" s="90" t="s">
        <v>1386</v>
      </c>
      <c r="C1819" s="89" t="s">
        <v>75</v>
      </c>
      <c r="D1819" s="91">
        <v>52.0</v>
      </c>
      <c r="E1819" s="92">
        <v>9.18</v>
      </c>
      <c r="F1819" s="92">
        <v>477.36</v>
      </c>
      <c r="G1819" s="93"/>
      <c r="H1819" s="92"/>
      <c r="I1819" s="92"/>
      <c r="J1819" s="82" t="b">
        <v>0</v>
      </c>
    </row>
    <row r="1820" ht="12.75" hidden="1" customHeight="1" outlineLevel="1">
      <c r="D1820" s="79"/>
      <c r="E1820" s="80"/>
      <c r="F1820" s="80"/>
      <c r="G1820" s="81"/>
      <c r="H1820" s="80"/>
      <c r="I1820" s="80"/>
      <c r="J1820" s="82" t="b">
        <v>0</v>
      </c>
    </row>
    <row r="1821" ht="12.75" hidden="1" customHeight="1" outlineLevel="1">
      <c r="B1821" s="90" t="s">
        <v>1387</v>
      </c>
      <c r="C1821" s="89" t="s">
        <v>75</v>
      </c>
      <c r="D1821" s="91">
        <v>3.0</v>
      </c>
      <c r="E1821" s="92">
        <v>9.18</v>
      </c>
      <c r="F1821" s="92">
        <v>27.54</v>
      </c>
      <c r="G1821" s="93"/>
      <c r="H1821" s="92"/>
      <c r="I1821" s="92"/>
      <c r="J1821" s="82" t="b">
        <v>0</v>
      </c>
    </row>
    <row r="1822" ht="12.75" hidden="1" customHeight="1" outlineLevel="1">
      <c r="D1822" s="79"/>
      <c r="E1822" s="80"/>
      <c r="F1822" s="80"/>
      <c r="G1822" s="81"/>
      <c r="H1822" s="80"/>
      <c r="I1822" s="80"/>
      <c r="J1822" s="82" t="b">
        <v>0</v>
      </c>
    </row>
    <row r="1823" ht="12.75" hidden="1" customHeight="1" outlineLevel="1">
      <c r="B1823" s="90" t="s">
        <v>1373</v>
      </c>
      <c r="C1823" s="89" t="s">
        <v>1374</v>
      </c>
      <c r="D1823" s="91">
        <v>1.0</v>
      </c>
      <c r="E1823" s="92">
        <v>9.18</v>
      </c>
      <c r="F1823" s="92">
        <v>9.18</v>
      </c>
      <c r="G1823" s="93"/>
      <c r="H1823" s="92"/>
      <c r="I1823" s="92"/>
      <c r="J1823" s="82" t="b">
        <v>0</v>
      </c>
    </row>
    <row r="1824" ht="12.75" hidden="1" customHeight="1" outlineLevel="1">
      <c r="D1824" s="79"/>
      <c r="E1824" s="80"/>
      <c r="F1824" s="80"/>
      <c r="G1824" s="81"/>
      <c r="H1824" s="80"/>
      <c r="I1824" s="80"/>
      <c r="J1824" s="82" t="b">
        <v>0</v>
      </c>
    </row>
    <row r="1825" ht="12.75" hidden="1" customHeight="1" outlineLevel="1">
      <c r="B1825" s="90" t="s">
        <v>1388</v>
      </c>
      <c r="C1825" s="89" t="s">
        <v>75</v>
      </c>
      <c r="D1825" s="91">
        <v>4.0</v>
      </c>
      <c r="E1825" s="92">
        <v>9.18</v>
      </c>
      <c r="F1825" s="92">
        <v>36.72</v>
      </c>
      <c r="G1825" s="93"/>
      <c r="H1825" s="92"/>
      <c r="I1825" s="92"/>
      <c r="J1825" s="82" t="b">
        <v>0</v>
      </c>
    </row>
    <row r="1826" ht="12.75" hidden="1" customHeight="1" outlineLevel="1">
      <c r="D1826" s="79"/>
      <c r="E1826" s="80"/>
      <c r="F1826" s="80"/>
      <c r="G1826" s="81"/>
      <c r="H1826" s="80"/>
      <c r="I1826" s="80"/>
      <c r="J1826" s="82" t="b">
        <v>0</v>
      </c>
    </row>
    <row r="1827" ht="12.75" hidden="1" customHeight="1" outlineLevel="1">
      <c r="B1827" s="90" t="s">
        <v>1389</v>
      </c>
      <c r="C1827" s="89" t="s">
        <v>75</v>
      </c>
      <c r="D1827" s="91">
        <v>22.0</v>
      </c>
      <c r="E1827" s="92">
        <v>9.18</v>
      </c>
      <c r="F1827" s="92">
        <v>201.96</v>
      </c>
      <c r="G1827" s="93"/>
      <c r="H1827" s="92"/>
      <c r="I1827" s="92"/>
      <c r="J1827" s="82" t="b">
        <v>0</v>
      </c>
    </row>
    <row r="1828" ht="12.75" hidden="1" customHeight="1" outlineLevel="1">
      <c r="D1828" s="79"/>
      <c r="E1828" s="80"/>
      <c r="F1828" s="80"/>
      <c r="G1828" s="81"/>
      <c r="H1828" s="80"/>
      <c r="I1828" s="80"/>
      <c r="J1828" s="82" t="b">
        <v>0</v>
      </c>
    </row>
    <row r="1829" ht="12.75" hidden="1" customHeight="1" outlineLevel="1">
      <c r="B1829" s="90" t="s">
        <v>1390</v>
      </c>
      <c r="C1829" s="89" t="s">
        <v>75</v>
      </c>
      <c r="D1829" s="91">
        <v>1.0</v>
      </c>
      <c r="E1829" s="92">
        <v>9.18</v>
      </c>
      <c r="F1829" s="92">
        <v>9.18</v>
      </c>
      <c r="G1829" s="93"/>
      <c r="H1829" s="92"/>
      <c r="I1829" s="92"/>
      <c r="J1829" s="82" t="b">
        <v>0</v>
      </c>
    </row>
    <row r="1830" ht="12.75" hidden="1" customHeight="1" outlineLevel="1">
      <c r="D1830" s="79"/>
      <c r="E1830" s="80"/>
      <c r="F1830" s="80"/>
      <c r="G1830" s="81"/>
      <c r="H1830" s="80"/>
      <c r="I1830" s="80"/>
      <c r="J1830" s="82" t="b">
        <v>0</v>
      </c>
    </row>
    <row r="1831" ht="12.75" hidden="1" customHeight="1" outlineLevel="1">
      <c r="B1831" s="90" t="s">
        <v>1391</v>
      </c>
      <c r="C1831" s="89" t="s">
        <v>75</v>
      </c>
      <c r="D1831" s="91">
        <v>1.0</v>
      </c>
      <c r="E1831" s="92">
        <v>9.18</v>
      </c>
      <c r="F1831" s="92">
        <v>9.18</v>
      </c>
      <c r="G1831" s="93"/>
      <c r="H1831" s="92"/>
      <c r="I1831" s="92"/>
      <c r="J1831" s="82" t="b">
        <v>0</v>
      </c>
    </row>
    <row r="1832" ht="12.75" hidden="1" customHeight="1" outlineLevel="1">
      <c r="D1832" s="79"/>
      <c r="E1832" s="80"/>
      <c r="F1832" s="80"/>
      <c r="G1832" s="81"/>
      <c r="H1832" s="80"/>
      <c r="I1832" s="80"/>
      <c r="J1832" s="82" t="b">
        <v>0</v>
      </c>
    </row>
    <row r="1833" ht="12.75" hidden="1" customHeight="1" outlineLevel="1">
      <c r="B1833" s="90" t="s">
        <v>1392</v>
      </c>
      <c r="C1833" s="89" t="s">
        <v>75</v>
      </c>
      <c r="D1833" s="91">
        <v>1.0</v>
      </c>
      <c r="E1833" s="92">
        <v>9.18</v>
      </c>
      <c r="F1833" s="92">
        <v>9.18</v>
      </c>
      <c r="G1833" s="93"/>
      <c r="H1833" s="92"/>
      <c r="I1833" s="92"/>
      <c r="J1833" s="82" t="b">
        <v>0</v>
      </c>
    </row>
    <row r="1834" ht="12.75" hidden="1" customHeight="1" outlineLevel="1">
      <c r="D1834" s="79"/>
      <c r="E1834" s="80"/>
      <c r="F1834" s="80"/>
      <c r="G1834" s="81"/>
      <c r="H1834" s="80"/>
      <c r="I1834" s="80"/>
      <c r="J1834" s="82" t="b">
        <v>0</v>
      </c>
    </row>
    <row r="1835" ht="12.75" hidden="1" customHeight="1" outlineLevel="1">
      <c r="B1835" s="90" t="s">
        <v>1393</v>
      </c>
      <c r="C1835" s="89" t="s">
        <v>75</v>
      </c>
      <c r="D1835" s="91">
        <v>1.0</v>
      </c>
      <c r="E1835" s="92">
        <v>9.18</v>
      </c>
      <c r="F1835" s="92">
        <v>9.18</v>
      </c>
      <c r="G1835" s="93"/>
      <c r="H1835" s="92"/>
      <c r="I1835" s="92"/>
      <c r="J1835" s="82" t="b">
        <v>0</v>
      </c>
    </row>
    <row r="1836" ht="12.75" hidden="1" customHeight="1" outlineLevel="1">
      <c r="D1836" s="79"/>
      <c r="E1836" s="80"/>
      <c r="F1836" s="80"/>
      <c r="G1836" s="81"/>
      <c r="H1836" s="80"/>
      <c r="I1836" s="80"/>
      <c r="J1836" s="82" t="b">
        <v>0</v>
      </c>
    </row>
    <row r="1837" ht="12.75" hidden="1" customHeight="1" outlineLevel="1">
      <c r="B1837" s="90" t="s">
        <v>1394</v>
      </c>
      <c r="C1837" s="89" t="s">
        <v>75</v>
      </c>
      <c r="D1837" s="91">
        <v>1.0</v>
      </c>
      <c r="E1837" s="92">
        <v>9.18</v>
      </c>
      <c r="F1837" s="92">
        <v>9.18</v>
      </c>
      <c r="G1837" s="93"/>
      <c r="H1837" s="92"/>
      <c r="I1837" s="92"/>
      <c r="J1837" s="82" t="b">
        <v>0</v>
      </c>
    </row>
    <row r="1838" ht="12.75" hidden="1" customHeight="1" outlineLevel="1">
      <c r="D1838" s="79"/>
      <c r="E1838" s="80"/>
      <c r="F1838" s="80"/>
      <c r="G1838" s="81"/>
      <c r="H1838" s="80"/>
      <c r="I1838" s="80"/>
      <c r="J1838" s="82" t="b">
        <v>0</v>
      </c>
    </row>
    <row r="1839" ht="12.75" hidden="1" customHeight="1" outlineLevel="1">
      <c r="B1839" s="90" t="s">
        <v>1395</v>
      </c>
      <c r="C1839" s="89" t="s">
        <v>75</v>
      </c>
      <c r="D1839" s="91">
        <v>1.0</v>
      </c>
      <c r="E1839" s="92">
        <v>9.18</v>
      </c>
      <c r="F1839" s="92">
        <v>9.18</v>
      </c>
      <c r="G1839" s="93"/>
      <c r="H1839" s="92"/>
      <c r="I1839" s="92"/>
      <c r="J1839" s="82" t="b">
        <v>0</v>
      </c>
    </row>
    <row r="1840" ht="12.75" hidden="1" customHeight="1" outlineLevel="1">
      <c r="D1840" s="79"/>
      <c r="E1840" s="80"/>
      <c r="F1840" s="80"/>
      <c r="G1840" s="81"/>
      <c r="H1840" s="80"/>
      <c r="I1840" s="80"/>
      <c r="J1840" s="82" t="b">
        <v>0</v>
      </c>
    </row>
    <row r="1841" ht="12.75" hidden="1" customHeight="1" outlineLevel="1">
      <c r="B1841" s="90" t="s">
        <v>1396</v>
      </c>
      <c r="C1841" s="89" t="s">
        <v>1374</v>
      </c>
      <c r="D1841" s="91">
        <v>1.0</v>
      </c>
      <c r="E1841" s="92">
        <v>9.18</v>
      </c>
      <c r="F1841" s="92">
        <v>9.18</v>
      </c>
      <c r="G1841" s="93"/>
      <c r="H1841" s="92"/>
      <c r="I1841" s="92"/>
      <c r="J1841" s="82" t="b">
        <v>0</v>
      </c>
    </row>
    <row r="1842" ht="12.75" hidden="1" customHeight="1" outlineLevel="1">
      <c r="D1842" s="79"/>
      <c r="E1842" s="80"/>
      <c r="F1842" s="80"/>
      <c r="G1842" s="81"/>
      <c r="H1842" s="80"/>
      <c r="I1842" s="80"/>
      <c r="J1842" s="82" t="b">
        <v>0</v>
      </c>
    </row>
    <row r="1843" ht="12.75" hidden="1" customHeight="1" outlineLevel="1">
      <c r="B1843" s="90" t="s">
        <v>1397</v>
      </c>
      <c r="C1843" s="89" t="s">
        <v>75</v>
      </c>
      <c r="D1843" s="91">
        <v>1.0</v>
      </c>
      <c r="E1843" s="92">
        <v>9.18</v>
      </c>
      <c r="F1843" s="92">
        <v>9.18</v>
      </c>
      <c r="G1843" s="93"/>
      <c r="H1843" s="92"/>
      <c r="I1843" s="92"/>
      <c r="J1843" s="82" t="b">
        <v>0</v>
      </c>
    </row>
    <row r="1844" ht="12.75" hidden="1" customHeight="1" outlineLevel="1">
      <c r="D1844" s="79"/>
      <c r="E1844" s="80"/>
      <c r="F1844" s="80"/>
      <c r="G1844" s="81"/>
      <c r="H1844" s="80"/>
      <c r="I1844" s="80"/>
      <c r="J1844" s="82" t="b">
        <v>0</v>
      </c>
    </row>
    <row r="1845" ht="12.75" hidden="1" customHeight="1" outlineLevel="1">
      <c r="B1845" s="90" t="s">
        <v>1398</v>
      </c>
      <c r="C1845" s="89" t="s">
        <v>75</v>
      </c>
      <c r="D1845" s="91">
        <v>5.0</v>
      </c>
      <c r="E1845" s="92">
        <v>9.18</v>
      </c>
      <c r="F1845" s="92">
        <v>45.9</v>
      </c>
      <c r="G1845" s="93"/>
      <c r="H1845" s="92"/>
      <c r="I1845" s="92"/>
      <c r="J1845" s="82" t="b">
        <v>0</v>
      </c>
    </row>
    <row r="1846" ht="12.75" hidden="1" customHeight="1" outlineLevel="1">
      <c r="D1846" s="79"/>
      <c r="E1846" s="80"/>
      <c r="F1846" s="80"/>
      <c r="G1846" s="81"/>
      <c r="H1846" s="80"/>
      <c r="I1846" s="80"/>
      <c r="J1846" s="82" t="b">
        <v>0</v>
      </c>
    </row>
    <row r="1847" ht="12.75" hidden="1" customHeight="1" outlineLevel="1">
      <c r="B1847" s="90" t="s">
        <v>1380</v>
      </c>
      <c r="C1847" s="89" t="s">
        <v>75</v>
      </c>
      <c r="D1847" s="91">
        <v>2.0</v>
      </c>
      <c r="E1847" s="92">
        <v>9.18</v>
      </c>
      <c r="F1847" s="92">
        <v>18.36</v>
      </c>
      <c r="G1847" s="93"/>
      <c r="H1847" s="92"/>
      <c r="I1847" s="92"/>
      <c r="J1847" s="82" t="b">
        <v>0</v>
      </c>
    </row>
    <row r="1848" ht="12.75" hidden="1" customHeight="1" outlineLevel="1">
      <c r="D1848" s="79"/>
      <c r="E1848" s="80"/>
      <c r="F1848" s="80"/>
      <c r="G1848" s="81"/>
      <c r="H1848" s="80"/>
      <c r="I1848" s="80"/>
      <c r="J1848" s="82" t="b">
        <v>0</v>
      </c>
    </row>
    <row r="1849" ht="12.75" hidden="1" customHeight="1" outlineLevel="1">
      <c r="B1849" s="90" t="s">
        <v>1399</v>
      </c>
      <c r="C1849" s="89" t="s">
        <v>75</v>
      </c>
      <c r="D1849" s="91">
        <v>1.0</v>
      </c>
      <c r="E1849" s="92">
        <v>9.18</v>
      </c>
      <c r="F1849" s="92">
        <v>9.18</v>
      </c>
      <c r="G1849" s="93"/>
      <c r="H1849" s="92"/>
      <c r="I1849" s="92"/>
      <c r="J1849" s="82" t="b">
        <v>0</v>
      </c>
    </row>
    <row r="1850" ht="12.75" hidden="1" customHeight="1" outlineLevel="1">
      <c r="D1850" s="79"/>
      <c r="E1850" s="80"/>
      <c r="F1850" s="80"/>
      <c r="G1850" s="81"/>
      <c r="H1850" s="80"/>
      <c r="I1850" s="80"/>
      <c r="J1850" s="82" t="b">
        <v>0</v>
      </c>
    </row>
    <row r="1851" ht="12.75" hidden="1" customHeight="1" outlineLevel="1">
      <c r="B1851" s="90" t="s">
        <v>1400</v>
      </c>
      <c r="C1851" s="89" t="s">
        <v>75</v>
      </c>
      <c r="D1851" s="91">
        <v>1.0</v>
      </c>
      <c r="E1851" s="92">
        <v>9.18</v>
      </c>
      <c r="F1851" s="92">
        <v>9.18</v>
      </c>
      <c r="G1851" s="93"/>
      <c r="H1851" s="92"/>
      <c r="I1851" s="92"/>
      <c r="J1851" s="82" t="b">
        <v>0</v>
      </c>
    </row>
    <row r="1852" ht="12.75" hidden="1" customHeight="1" outlineLevel="1">
      <c r="D1852" s="79"/>
      <c r="E1852" s="80"/>
      <c r="F1852" s="80"/>
      <c r="G1852" s="81"/>
      <c r="H1852" s="80"/>
      <c r="I1852" s="80"/>
      <c r="J1852" s="82" t="b">
        <v>0</v>
      </c>
    </row>
    <row r="1853" ht="12.75" hidden="1" customHeight="1" outlineLevel="1">
      <c r="B1853" s="90" t="s">
        <v>1401</v>
      </c>
      <c r="C1853" s="89" t="s">
        <v>75</v>
      </c>
      <c r="D1853" s="91">
        <v>1.0</v>
      </c>
      <c r="E1853" s="92">
        <v>9.18</v>
      </c>
      <c r="F1853" s="92">
        <v>9.18</v>
      </c>
      <c r="G1853" s="93"/>
      <c r="H1853" s="92"/>
      <c r="I1853" s="92"/>
      <c r="J1853" s="82" t="b">
        <v>0</v>
      </c>
    </row>
    <row r="1854" ht="12.75" hidden="1" customHeight="1" outlineLevel="1">
      <c r="D1854" s="79"/>
      <c r="E1854" s="80"/>
      <c r="F1854" s="80"/>
      <c r="G1854" s="81"/>
      <c r="H1854" s="80"/>
      <c r="I1854" s="80"/>
      <c r="J1854" s="82" t="b">
        <v>0</v>
      </c>
    </row>
    <row r="1855" ht="12.75" hidden="1" customHeight="1" outlineLevel="1">
      <c r="B1855" s="90" t="s">
        <v>1402</v>
      </c>
      <c r="C1855" s="89" t="s">
        <v>75</v>
      </c>
      <c r="D1855" s="91">
        <v>1.0</v>
      </c>
      <c r="E1855" s="92">
        <v>9.18</v>
      </c>
      <c r="F1855" s="92">
        <v>9.18</v>
      </c>
      <c r="G1855" s="93"/>
      <c r="H1855" s="92"/>
      <c r="I1855" s="92"/>
      <c r="J1855" s="82" t="b">
        <v>0</v>
      </c>
    </row>
    <row r="1856" ht="12.75" hidden="1" customHeight="1" outlineLevel="1">
      <c r="D1856" s="79"/>
      <c r="E1856" s="80"/>
      <c r="F1856" s="80"/>
      <c r="G1856" s="81"/>
      <c r="H1856" s="80"/>
      <c r="I1856" s="80"/>
      <c r="J1856" s="82" t="b">
        <v>0</v>
      </c>
    </row>
    <row r="1857" ht="12.75" hidden="1" customHeight="1" outlineLevel="1">
      <c r="B1857" s="90" t="s">
        <v>1403</v>
      </c>
      <c r="C1857" s="89" t="s">
        <v>75</v>
      </c>
      <c r="D1857" s="91">
        <v>1.0</v>
      </c>
      <c r="E1857" s="92">
        <v>9.18</v>
      </c>
      <c r="F1857" s="92">
        <v>9.18</v>
      </c>
      <c r="G1857" s="93"/>
      <c r="H1857" s="92"/>
      <c r="I1857" s="92"/>
      <c r="J1857" s="82" t="b">
        <v>0</v>
      </c>
    </row>
    <row r="1858" ht="12.75" hidden="1" customHeight="1" outlineLevel="1">
      <c r="D1858" s="79"/>
      <c r="E1858" s="80"/>
      <c r="F1858" s="80"/>
      <c r="G1858" s="81"/>
      <c r="H1858" s="80"/>
      <c r="I1858" s="80"/>
      <c r="J1858" s="82" t="b">
        <v>0</v>
      </c>
    </row>
    <row r="1859" ht="12.75" hidden="1" customHeight="1" outlineLevel="1">
      <c r="B1859" s="90" t="s">
        <v>1404</v>
      </c>
      <c r="C1859" s="89" t="s">
        <v>75</v>
      </c>
      <c r="D1859" s="91">
        <v>1.0</v>
      </c>
      <c r="E1859" s="92">
        <v>9.18</v>
      </c>
      <c r="F1859" s="92">
        <v>9.18</v>
      </c>
      <c r="G1859" s="93"/>
      <c r="H1859" s="92"/>
      <c r="I1859" s="92"/>
      <c r="J1859" s="82" t="b">
        <v>0</v>
      </c>
    </row>
    <row r="1860" ht="12.75" hidden="1" customHeight="1" outlineLevel="1">
      <c r="D1860" s="79"/>
      <c r="E1860" s="80"/>
      <c r="F1860" s="80"/>
      <c r="G1860" s="81"/>
      <c r="H1860" s="80"/>
      <c r="I1860" s="80"/>
      <c r="J1860" s="82" t="b">
        <v>0</v>
      </c>
    </row>
    <row r="1861" ht="12.75" hidden="1" customHeight="1" outlineLevel="1">
      <c r="B1861" s="90" t="s">
        <v>1405</v>
      </c>
      <c r="C1861" s="89" t="s">
        <v>75</v>
      </c>
      <c r="D1861" s="91">
        <v>1.0</v>
      </c>
      <c r="E1861" s="92">
        <v>9.18</v>
      </c>
      <c r="F1861" s="92">
        <v>9.18</v>
      </c>
      <c r="G1861" s="93"/>
      <c r="H1861" s="92"/>
      <c r="I1861" s="92"/>
      <c r="J1861" s="82" t="b">
        <v>0</v>
      </c>
    </row>
    <row r="1862" ht="12.75" hidden="1" customHeight="1" outlineLevel="1">
      <c r="D1862" s="79"/>
      <c r="E1862" s="80"/>
      <c r="F1862" s="80"/>
      <c r="G1862" s="81"/>
      <c r="H1862" s="80"/>
      <c r="I1862" s="80"/>
      <c r="J1862" s="82" t="b">
        <v>0</v>
      </c>
    </row>
    <row r="1863" ht="12.75" hidden="1" customHeight="1" outlineLevel="1">
      <c r="B1863" s="90" t="s">
        <v>1406</v>
      </c>
      <c r="C1863" s="89" t="s">
        <v>75</v>
      </c>
      <c r="D1863" s="91">
        <v>1.0</v>
      </c>
      <c r="E1863" s="92">
        <v>9.18</v>
      </c>
      <c r="F1863" s="92">
        <v>9.18</v>
      </c>
      <c r="G1863" s="93"/>
      <c r="H1863" s="92"/>
      <c r="I1863" s="92"/>
      <c r="J1863" s="82" t="b">
        <v>0</v>
      </c>
    </row>
    <row r="1864" ht="12.75" hidden="1" customHeight="1" outlineLevel="1">
      <c r="D1864" s="79"/>
      <c r="E1864" s="80"/>
      <c r="F1864" s="80"/>
      <c r="G1864" s="81"/>
      <c r="H1864" s="80"/>
      <c r="I1864" s="80"/>
      <c r="J1864" s="82" t="b">
        <v>0</v>
      </c>
    </row>
    <row r="1865" ht="12.75" hidden="1" customHeight="1" outlineLevel="1">
      <c r="B1865" s="90" t="s">
        <v>1407</v>
      </c>
      <c r="C1865" s="89" t="s">
        <v>75</v>
      </c>
      <c r="D1865" s="91">
        <v>1.0</v>
      </c>
      <c r="E1865" s="92">
        <v>9.18</v>
      </c>
      <c r="F1865" s="92">
        <v>9.18</v>
      </c>
      <c r="G1865" s="93"/>
      <c r="H1865" s="92"/>
      <c r="I1865" s="92"/>
      <c r="J1865" s="82" t="b">
        <v>0</v>
      </c>
    </row>
    <row r="1866" ht="12.75" hidden="1" customHeight="1" outlineLevel="1">
      <c r="D1866" s="79"/>
      <c r="E1866" s="80"/>
      <c r="F1866" s="80"/>
      <c r="G1866" s="81"/>
      <c r="H1866" s="80"/>
      <c r="I1866" s="80"/>
      <c r="J1866" s="82" t="b">
        <v>0</v>
      </c>
    </row>
    <row r="1867" ht="12.75" hidden="1" customHeight="1" outlineLevel="1">
      <c r="B1867" s="90" t="s">
        <v>1408</v>
      </c>
      <c r="C1867" s="89" t="s">
        <v>75</v>
      </c>
      <c r="D1867" s="91">
        <v>1.0</v>
      </c>
      <c r="E1867" s="92">
        <v>9.18</v>
      </c>
      <c r="F1867" s="92">
        <v>9.18</v>
      </c>
      <c r="G1867" s="93"/>
      <c r="H1867" s="92"/>
      <c r="I1867" s="92"/>
      <c r="J1867" s="82" t="b">
        <v>0</v>
      </c>
    </row>
    <row r="1868" ht="12.75" hidden="1" customHeight="1" outlineLevel="1">
      <c r="D1868" s="79"/>
      <c r="E1868" s="80"/>
      <c r="F1868" s="80"/>
      <c r="G1868" s="81"/>
      <c r="H1868" s="80"/>
      <c r="I1868" s="80"/>
      <c r="J1868" s="82" t="b">
        <v>0</v>
      </c>
    </row>
    <row r="1869" ht="12.75" hidden="1" customHeight="1" outlineLevel="1">
      <c r="B1869" s="90" t="s">
        <v>1409</v>
      </c>
      <c r="C1869" s="89" t="s">
        <v>75</v>
      </c>
      <c r="D1869" s="91">
        <v>1.0</v>
      </c>
      <c r="E1869" s="92">
        <v>9.18</v>
      </c>
      <c r="F1869" s="92">
        <v>9.18</v>
      </c>
      <c r="G1869" s="93"/>
      <c r="H1869" s="92"/>
      <c r="I1869" s="92"/>
      <c r="J1869" s="82" t="b">
        <v>0</v>
      </c>
    </row>
    <row r="1870" ht="12.75" hidden="1" customHeight="1" outlineLevel="1">
      <c r="D1870" s="79"/>
      <c r="E1870" s="80"/>
      <c r="F1870" s="80"/>
      <c r="G1870" s="81"/>
      <c r="H1870" s="80"/>
      <c r="I1870" s="80"/>
      <c r="J1870" s="82" t="b">
        <v>0</v>
      </c>
    </row>
    <row r="1871" ht="12.75" hidden="1" customHeight="1" outlineLevel="1">
      <c r="B1871" s="90" t="s">
        <v>1410</v>
      </c>
      <c r="C1871" s="89" t="s">
        <v>75</v>
      </c>
      <c r="D1871" s="91">
        <v>1.0</v>
      </c>
      <c r="E1871" s="92">
        <v>9.18</v>
      </c>
      <c r="F1871" s="92">
        <v>9.18</v>
      </c>
      <c r="G1871" s="93"/>
      <c r="H1871" s="92"/>
      <c r="I1871" s="92"/>
      <c r="J1871" s="82" t="b">
        <v>0</v>
      </c>
    </row>
    <row r="1872" ht="12.75" hidden="1" customHeight="1" outlineLevel="1">
      <c r="D1872" s="79"/>
      <c r="E1872" s="80"/>
      <c r="F1872" s="80"/>
      <c r="G1872" s="81"/>
      <c r="H1872" s="80"/>
      <c r="I1872" s="80"/>
      <c r="J1872" s="82" t="b">
        <v>0</v>
      </c>
    </row>
    <row r="1873" ht="12.75" hidden="1" customHeight="1" outlineLevel="1">
      <c r="B1873" s="90" t="s">
        <v>1376</v>
      </c>
      <c r="C1873" s="89" t="s">
        <v>75</v>
      </c>
      <c r="D1873" s="91">
        <v>6.0</v>
      </c>
      <c r="E1873" s="92">
        <v>2.12</v>
      </c>
      <c r="F1873" s="92">
        <v>12.72</v>
      </c>
      <c r="G1873" s="93"/>
      <c r="H1873" s="92"/>
      <c r="I1873" s="92"/>
      <c r="J1873" s="82" t="b">
        <v>0</v>
      </c>
    </row>
    <row r="1874" ht="12.75" hidden="1" customHeight="1" outlineLevel="1">
      <c r="D1874" s="79"/>
      <c r="E1874" s="80"/>
      <c r="F1874" s="80"/>
      <c r="G1874" s="81"/>
      <c r="H1874" s="80"/>
      <c r="I1874" s="80"/>
      <c r="J1874" s="82" t="b">
        <v>0</v>
      </c>
    </row>
    <row r="1875" ht="12.75" hidden="1" customHeight="1" outlineLevel="1">
      <c r="B1875" s="90" t="s">
        <v>1411</v>
      </c>
      <c r="C1875" s="89" t="s">
        <v>75</v>
      </c>
      <c r="D1875" s="91">
        <v>8.0</v>
      </c>
      <c r="E1875" s="92">
        <v>49.14</v>
      </c>
      <c r="F1875" s="92">
        <v>393.12</v>
      </c>
      <c r="G1875" s="93"/>
      <c r="H1875" s="92"/>
      <c r="I1875" s="92"/>
      <c r="J1875" s="82" t="b">
        <v>0</v>
      </c>
    </row>
    <row r="1876" ht="12.75" hidden="1" customHeight="1" outlineLevel="1">
      <c r="D1876" s="79"/>
      <c r="E1876" s="80"/>
      <c r="F1876" s="80"/>
      <c r="G1876" s="81"/>
      <c r="H1876" s="80"/>
      <c r="I1876" s="80"/>
      <c r="J1876" s="82" t="b">
        <v>0</v>
      </c>
    </row>
    <row r="1877" ht="12.75" hidden="1" customHeight="1" outlineLevel="1">
      <c r="B1877" s="90" t="s">
        <v>1368</v>
      </c>
      <c r="C1877" s="89" t="s">
        <v>75</v>
      </c>
      <c r="D1877" s="91">
        <v>1.0</v>
      </c>
      <c r="E1877" s="92">
        <v>9.18</v>
      </c>
      <c r="F1877" s="92">
        <v>9.18</v>
      </c>
      <c r="G1877" s="93"/>
      <c r="H1877" s="92"/>
      <c r="I1877" s="92"/>
      <c r="J1877" s="82" t="b">
        <v>0</v>
      </c>
    </row>
    <row r="1878" ht="12.75" hidden="1" customHeight="1" outlineLevel="1">
      <c r="D1878" s="79"/>
      <c r="E1878" s="80"/>
      <c r="F1878" s="80"/>
      <c r="G1878" s="81"/>
      <c r="H1878" s="80"/>
      <c r="I1878" s="80"/>
      <c r="J1878" s="82" t="b">
        <v>0</v>
      </c>
    </row>
    <row r="1879" ht="12.75" hidden="1" customHeight="1" outlineLevel="1">
      <c r="B1879" s="90" t="s">
        <v>1383</v>
      </c>
      <c r="C1879" s="89" t="s">
        <v>75</v>
      </c>
      <c r="D1879" s="91">
        <v>2.0</v>
      </c>
      <c r="E1879" s="92">
        <v>107.0</v>
      </c>
      <c r="F1879" s="92">
        <v>214.0</v>
      </c>
      <c r="G1879" s="93"/>
      <c r="H1879" s="92"/>
      <c r="I1879" s="92"/>
      <c r="J1879" s="82" t="b">
        <v>0</v>
      </c>
    </row>
    <row r="1880" ht="12.75" hidden="1" customHeight="1" outlineLevel="1">
      <c r="D1880" s="79"/>
      <c r="E1880" s="80"/>
      <c r="F1880" s="80"/>
      <c r="G1880" s="81"/>
      <c r="H1880" s="80"/>
      <c r="I1880" s="80"/>
      <c r="J1880" s="82" t="b">
        <v>0</v>
      </c>
    </row>
    <row r="1881" ht="12.75" hidden="1" customHeight="1" outlineLevel="1">
      <c r="B1881" s="90" t="s">
        <v>1381</v>
      </c>
      <c r="C1881" s="89" t="s">
        <v>75</v>
      </c>
      <c r="D1881" s="91">
        <v>1.0</v>
      </c>
      <c r="E1881" s="92">
        <v>69.67</v>
      </c>
      <c r="F1881" s="92">
        <v>69.67</v>
      </c>
      <c r="G1881" s="93"/>
      <c r="H1881" s="92"/>
      <c r="I1881" s="92"/>
      <c r="J1881" s="82" t="b">
        <v>0</v>
      </c>
    </row>
    <row r="1882" ht="12.75" hidden="1" customHeight="1" outlineLevel="1">
      <c r="D1882" s="79"/>
      <c r="E1882" s="80"/>
      <c r="F1882" s="80"/>
      <c r="G1882" s="81"/>
      <c r="H1882" s="80"/>
      <c r="I1882" s="80"/>
      <c r="J1882" s="82" t="b">
        <v>0</v>
      </c>
    </row>
    <row r="1883" ht="12.75" hidden="1" customHeight="1" outlineLevel="1">
      <c r="B1883" s="90" t="s">
        <v>1412</v>
      </c>
      <c r="D1883" s="79"/>
      <c r="E1883" s="80"/>
      <c r="F1883" s="80"/>
      <c r="G1883" s="81"/>
      <c r="H1883" s="80"/>
      <c r="I1883" s="80"/>
      <c r="J1883" s="82" t="b">
        <v>0</v>
      </c>
    </row>
    <row r="1884" ht="12.75" hidden="1" customHeight="1" outlineLevel="1">
      <c r="D1884" s="79"/>
      <c r="E1884" s="80"/>
      <c r="F1884" s="80"/>
      <c r="G1884" s="81"/>
      <c r="H1884" s="80"/>
      <c r="I1884" s="80"/>
      <c r="J1884" s="82" t="b">
        <v>0</v>
      </c>
    </row>
    <row r="1885" ht="12.75" hidden="1" customHeight="1" outlineLevel="1">
      <c r="B1885" s="90" t="s">
        <v>1413</v>
      </c>
      <c r="C1885" s="89" t="s">
        <v>75</v>
      </c>
      <c r="D1885" s="91">
        <v>51.0</v>
      </c>
      <c r="E1885" s="92">
        <v>9.18</v>
      </c>
      <c r="F1885" s="92">
        <v>468.18</v>
      </c>
      <c r="G1885" s="93"/>
      <c r="H1885" s="92"/>
      <c r="I1885" s="92"/>
      <c r="J1885" s="82" t="b">
        <v>0</v>
      </c>
    </row>
    <row r="1886" ht="12.75" hidden="1" customHeight="1" outlineLevel="1">
      <c r="D1886" s="79"/>
      <c r="E1886" s="80"/>
      <c r="F1886" s="80"/>
      <c r="G1886" s="81"/>
      <c r="H1886" s="80"/>
      <c r="I1886" s="80"/>
      <c r="J1886" s="82" t="b">
        <v>0</v>
      </c>
    </row>
    <row r="1887" ht="12.75" hidden="1" customHeight="1" outlineLevel="1">
      <c r="B1887" s="90" t="s">
        <v>1377</v>
      </c>
      <c r="C1887" s="89" t="s">
        <v>75</v>
      </c>
      <c r="D1887" s="91">
        <v>6.0</v>
      </c>
      <c r="E1887" s="92">
        <v>9.18</v>
      </c>
      <c r="F1887" s="92">
        <v>55.08</v>
      </c>
      <c r="G1887" s="93"/>
      <c r="H1887" s="92"/>
      <c r="I1887" s="92"/>
      <c r="J1887" s="82" t="b">
        <v>0</v>
      </c>
    </row>
    <row r="1888" ht="12.75" hidden="1" customHeight="1" outlineLevel="1">
      <c r="D1888" s="79"/>
      <c r="E1888" s="80"/>
      <c r="F1888" s="80"/>
      <c r="G1888" s="81"/>
      <c r="H1888" s="80"/>
      <c r="I1888" s="80"/>
      <c r="J1888" s="82" t="b">
        <v>0</v>
      </c>
    </row>
    <row r="1889" ht="12.75" hidden="1" customHeight="1" outlineLevel="1">
      <c r="B1889" s="90" t="s">
        <v>1375</v>
      </c>
      <c r="C1889" s="89" t="s">
        <v>75</v>
      </c>
      <c r="D1889" s="91">
        <v>11.0</v>
      </c>
      <c r="E1889" s="92">
        <v>9.18</v>
      </c>
      <c r="F1889" s="92">
        <v>100.98</v>
      </c>
      <c r="G1889" s="93"/>
      <c r="H1889" s="92"/>
      <c r="I1889" s="92"/>
      <c r="J1889" s="82" t="b">
        <v>0</v>
      </c>
    </row>
    <row r="1890" ht="12.75" hidden="1" customHeight="1" outlineLevel="1">
      <c r="D1890" s="79"/>
      <c r="E1890" s="80"/>
      <c r="F1890" s="80"/>
      <c r="G1890" s="81"/>
      <c r="H1890" s="80"/>
      <c r="I1890" s="80"/>
      <c r="J1890" s="82" t="b">
        <v>0</v>
      </c>
    </row>
    <row r="1891" ht="12.75" hidden="1" customHeight="1" outlineLevel="1">
      <c r="B1891" s="90" t="s">
        <v>1373</v>
      </c>
      <c r="C1891" s="89" t="s">
        <v>1374</v>
      </c>
      <c r="D1891" s="91">
        <v>4.0</v>
      </c>
      <c r="E1891" s="92">
        <v>9.18</v>
      </c>
      <c r="F1891" s="92">
        <v>36.72</v>
      </c>
      <c r="G1891" s="93"/>
      <c r="H1891" s="92"/>
      <c r="I1891" s="92"/>
      <c r="J1891" s="82" t="b">
        <v>0</v>
      </c>
    </row>
    <row r="1892" ht="12.75" hidden="1" customHeight="1" outlineLevel="1">
      <c r="D1892" s="79"/>
      <c r="E1892" s="80"/>
      <c r="F1892" s="80"/>
      <c r="G1892" s="81"/>
      <c r="H1892" s="80"/>
      <c r="I1892" s="80"/>
      <c r="J1892" s="82" t="b">
        <v>0</v>
      </c>
    </row>
    <row r="1893" ht="12.75" hidden="1" customHeight="1" outlineLevel="1">
      <c r="B1893" s="90" t="s">
        <v>1414</v>
      </c>
      <c r="C1893" s="89" t="s">
        <v>75</v>
      </c>
      <c r="D1893" s="91">
        <v>1.0</v>
      </c>
      <c r="E1893" s="92">
        <v>9.18</v>
      </c>
      <c r="F1893" s="92">
        <v>9.18</v>
      </c>
      <c r="G1893" s="93"/>
      <c r="H1893" s="92"/>
      <c r="I1893" s="92"/>
      <c r="J1893" s="82" t="b">
        <v>0</v>
      </c>
    </row>
    <row r="1894" ht="12.75" hidden="1" customHeight="1" outlineLevel="1">
      <c r="D1894" s="79"/>
      <c r="E1894" s="80"/>
      <c r="F1894" s="80"/>
      <c r="G1894" s="81"/>
      <c r="H1894" s="80"/>
      <c r="I1894" s="80"/>
      <c r="J1894" s="82" t="b">
        <v>0</v>
      </c>
    </row>
    <row r="1895" ht="12.75" hidden="1" customHeight="1" outlineLevel="1">
      <c r="B1895" s="90" t="s">
        <v>1369</v>
      </c>
      <c r="C1895" s="89" t="s">
        <v>75</v>
      </c>
      <c r="D1895" s="91">
        <v>9.0</v>
      </c>
      <c r="E1895" s="92">
        <v>9.18</v>
      </c>
      <c r="F1895" s="92">
        <v>82.62</v>
      </c>
      <c r="G1895" s="93"/>
      <c r="H1895" s="92"/>
      <c r="I1895" s="92"/>
      <c r="J1895" s="82" t="b">
        <v>0</v>
      </c>
    </row>
    <row r="1896" ht="12.75" hidden="1" customHeight="1" outlineLevel="1">
      <c r="D1896" s="79"/>
      <c r="E1896" s="80"/>
      <c r="F1896" s="80"/>
      <c r="G1896" s="81"/>
      <c r="H1896" s="80"/>
      <c r="I1896" s="80"/>
      <c r="J1896" s="82" t="b">
        <v>0</v>
      </c>
    </row>
    <row r="1897" ht="12.75" hidden="1" customHeight="1" outlineLevel="1">
      <c r="B1897" s="90" t="s">
        <v>1389</v>
      </c>
      <c r="C1897" s="89" t="s">
        <v>75</v>
      </c>
      <c r="D1897" s="91">
        <v>4.0</v>
      </c>
      <c r="E1897" s="92">
        <v>9.18</v>
      </c>
      <c r="F1897" s="92">
        <v>36.72</v>
      </c>
      <c r="G1897" s="93"/>
      <c r="H1897" s="92"/>
      <c r="I1897" s="92"/>
      <c r="J1897" s="82" t="b">
        <v>0</v>
      </c>
    </row>
    <row r="1898" ht="12.75" hidden="1" customHeight="1" outlineLevel="1">
      <c r="D1898" s="79"/>
      <c r="E1898" s="80"/>
      <c r="F1898" s="80"/>
      <c r="G1898" s="81"/>
      <c r="H1898" s="80"/>
      <c r="I1898" s="80"/>
      <c r="J1898" s="82" t="b">
        <v>0</v>
      </c>
    </row>
    <row r="1899" ht="12.75" hidden="1" customHeight="1" outlineLevel="1">
      <c r="B1899" s="90" t="s">
        <v>1388</v>
      </c>
      <c r="C1899" s="89" t="s">
        <v>75</v>
      </c>
      <c r="D1899" s="91">
        <v>4.0</v>
      </c>
      <c r="E1899" s="92">
        <v>9.18</v>
      </c>
      <c r="F1899" s="92">
        <v>36.72</v>
      </c>
      <c r="G1899" s="93"/>
      <c r="H1899" s="92"/>
      <c r="I1899" s="92"/>
      <c r="J1899" s="82" t="b">
        <v>0</v>
      </c>
    </row>
    <row r="1900" ht="12.75" hidden="1" customHeight="1" outlineLevel="1">
      <c r="D1900" s="79"/>
      <c r="E1900" s="80"/>
      <c r="F1900" s="80"/>
      <c r="G1900" s="81"/>
      <c r="H1900" s="80"/>
      <c r="I1900" s="80"/>
      <c r="J1900" s="82" t="b">
        <v>0</v>
      </c>
    </row>
    <row r="1901" ht="12.75" hidden="1" customHeight="1" outlineLevel="1">
      <c r="B1901" s="90" t="s">
        <v>1376</v>
      </c>
      <c r="C1901" s="89" t="s">
        <v>75</v>
      </c>
      <c r="D1901" s="91">
        <v>4.0</v>
      </c>
      <c r="E1901" s="92">
        <v>2.12</v>
      </c>
      <c r="F1901" s="92">
        <v>8.48</v>
      </c>
      <c r="G1901" s="93"/>
      <c r="H1901" s="92"/>
      <c r="I1901" s="92"/>
      <c r="J1901" s="82" t="b">
        <v>0</v>
      </c>
    </row>
    <row r="1902" ht="12.75" hidden="1" customHeight="1" outlineLevel="1">
      <c r="D1902" s="79"/>
      <c r="E1902" s="80"/>
      <c r="F1902" s="80"/>
      <c r="G1902" s="81"/>
      <c r="H1902" s="80"/>
      <c r="I1902" s="80"/>
      <c r="J1902" s="82" t="b">
        <v>0</v>
      </c>
    </row>
    <row r="1903" ht="12.75" hidden="1" customHeight="1" outlineLevel="1">
      <c r="B1903" s="90" t="s">
        <v>1415</v>
      </c>
      <c r="C1903" s="89" t="s">
        <v>75</v>
      </c>
      <c r="D1903" s="91">
        <v>1.0</v>
      </c>
      <c r="E1903" s="92">
        <v>9.18</v>
      </c>
      <c r="F1903" s="92">
        <v>9.18</v>
      </c>
      <c r="G1903" s="93"/>
      <c r="H1903" s="92"/>
      <c r="I1903" s="92"/>
      <c r="J1903" s="82" t="b">
        <v>0</v>
      </c>
    </row>
    <row r="1904" ht="12.75" hidden="1" customHeight="1" outlineLevel="1">
      <c r="D1904" s="79"/>
      <c r="E1904" s="80"/>
      <c r="F1904" s="80"/>
      <c r="G1904" s="81"/>
      <c r="H1904" s="80"/>
      <c r="I1904" s="80"/>
      <c r="J1904" s="82" t="b">
        <v>0</v>
      </c>
    </row>
    <row r="1905" ht="12.75" hidden="1" customHeight="1" outlineLevel="1">
      <c r="B1905" s="90" t="s">
        <v>1416</v>
      </c>
      <c r="C1905" s="89" t="s">
        <v>75</v>
      </c>
      <c r="D1905" s="91">
        <v>1.0</v>
      </c>
      <c r="E1905" s="92">
        <v>9.18</v>
      </c>
      <c r="F1905" s="92">
        <v>9.18</v>
      </c>
      <c r="G1905" s="93"/>
      <c r="H1905" s="92"/>
      <c r="I1905" s="92"/>
      <c r="J1905" s="82" t="b">
        <v>0</v>
      </c>
    </row>
    <row r="1906" ht="12.75" hidden="1" customHeight="1" outlineLevel="1">
      <c r="D1906" s="79"/>
      <c r="E1906" s="80"/>
      <c r="F1906" s="80"/>
      <c r="G1906" s="81"/>
      <c r="H1906" s="80"/>
      <c r="I1906" s="80"/>
      <c r="J1906" s="82" t="b">
        <v>0</v>
      </c>
    </row>
    <row r="1907" ht="12.75" hidden="1" customHeight="1" outlineLevel="1">
      <c r="B1907" s="90" t="s">
        <v>1417</v>
      </c>
      <c r="C1907" s="89" t="s">
        <v>75</v>
      </c>
      <c r="D1907" s="91">
        <v>1.0</v>
      </c>
      <c r="E1907" s="92">
        <v>9.18</v>
      </c>
      <c r="F1907" s="92">
        <v>9.18</v>
      </c>
      <c r="G1907" s="93"/>
      <c r="H1907" s="92"/>
      <c r="I1907" s="92"/>
      <c r="J1907" s="82" t="b">
        <v>0</v>
      </c>
    </row>
    <row r="1908" ht="12.75" hidden="1" customHeight="1" outlineLevel="1">
      <c r="D1908" s="79"/>
      <c r="E1908" s="80"/>
      <c r="F1908" s="80"/>
      <c r="G1908" s="81"/>
      <c r="H1908" s="80"/>
      <c r="I1908" s="80"/>
      <c r="J1908" s="82" t="b">
        <v>0</v>
      </c>
    </row>
    <row r="1909" ht="12.75" hidden="1" customHeight="1" outlineLevel="1">
      <c r="B1909" s="90" t="s">
        <v>1418</v>
      </c>
      <c r="C1909" s="89" t="s">
        <v>75</v>
      </c>
      <c r="D1909" s="91">
        <v>1.0</v>
      </c>
      <c r="E1909" s="92">
        <v>9.18</v>
      </c>
      <c r="F1909" s="92">
        <v>9.18</v>
      </c>
      <c r="G1909" s="93"/>
      <c r="H1909" s="92"/>
      <c r="I1909" s="92"/>
      <c r="J1909" s="82" t="b">
        <v>0</v>
      </c>
    </row>
    <row r="1910" ht="12.75" hidden="1" customHeight="1" outlineLevel="1">
      <c r="D1910" s="79"/>
      <c r="E1910" s="80"/>
      <c r="F1910" s="80"/>
      <c r="G1910" s="81"/>
      <c r="H1910" s="80"/>
      <c r="I1910" s="80"/>
      <c r="J1910" s="82" t="b">
        <v>0</v>
      </c>
    </row>
    <row r="1911" ht="12.75" hidden="1" customHeight="1" outlineLevel="1">
      <c r="B1911" s="90" t="s">
        <v>1419</v>
      </c>
      <c r="C1911" s="89" t="s">
        <v>75</v>
      </c>
      <c r="D1911" s="91">
        <v>1.0</v>
      </c>
      <c r="E1911" s="92">
        <v>9.18</v>
      </c>
      <c r="F1911" s="92">
        <v>9.18</v>
      </c>
      <c r="G1911" s="93"/>
      <c r="H1911" s="92"/>
      <c r="I1911" s="92"/>
      <c r="J1911" s="82" t="b">
        <v>0</v>
      </c>
    </row>
    <row r="1912" ht="12.75" hidden="1" customHeight="1" outlineLevel="1">
      <c r="D1912" s="79"/>
      <c r="E1912" s="80"/>
      <c r="F1912" s="80"/>
      <c r="G1912" s="81"/>
      <c r="H1912" s="80"/>
      <c r="I1912" s="80"/>
      <c r="J1912" s="82" t="b">
        <v>0</v>
      </c>
    </row>
    <row r="1913" ht="12.75" hidden="1" customHeight="1" outlineLevel="1">
      <c r="B1913" s="90" t="s">
        <v>1420</v>
      </c>
      <c r="C1913" s="89" t="s">
        <v>75</v>
      </c>
      <c r="D1913" s="91">
        <v>1.0</v>
      </c>
      <c r="E1913" s="92">
        <v>9.18</v>
      </c>
      <c r="F1913" s="92">
        <v>9.18</v>
      </c>
      <c r="G1913" s="93"/>
      <c r="H1913" s="92"/>
      <c r="I1913" s="92"/>
      <c r="J1913" s="82" t="b">
        <v>0</v>
      </c>
    </row>
    <row r="1914" ht="12.75" hidden="1" customHeight="1" outlineLevel="1">
      <c r="D1914" s="79"/>
      <c r="E1914" s="80"/>
      <c r="F1914" s="80"/>
      <c r="G1914" s="81"/>
      <c r="H1914" s="80"/>
      <c r="I1914" s="80"/>
      <c r="J1914" s="82" t="b">
        <v>0</v>
      </c>
    </row>
    <row r="1915" ht="12.75" hidden="1" customHeight="1" outlineLevel="1">
      <c r="B1915" s="90" t="s">
        <v>1421</v>
      </c>
      <c r="C1915" s="89" t="s">
        <v>75</v>
      </c>
      <c r="D1915" s="91">
        <v>1.0</v>
      </c>
      <c r="E1915" s="92">
        <v>9.18</v>
      </c>
      <c r="F1915" s="92">
        <v>9.18</v>
      </c>
      <c r="G1915" s="93"/>
      <c r="H1915" s="92"/>
      <c r="I1915" s="92"/>
      <c r="J1915" s="82" t="b">
        <v>0</v>
      </c>
    </row>
    <row r="1916" ht="12.75" hidden="1" customHeight="1" outlineLevel="1">
      <c r="D1916" s="79"/>
      <c r="E1916" s="80"/>
      <c r="F1916" s="80"/>
      <c r="G1916" s="81"/>
      <c r="H1916" s="80"/>
      <c r="I1916" s="80"/>
      <c r="J1916" s="82" t="b">
        <v>0</v>
      </c>
    </row>
    <row r="1917" ht="12.75" hidden="1" customHeight="1" outlineLevel="1">
      <c r="B1917" s="90" t="s">
        <v>1422</v>
      </c>
      <c r="C1917" s="89" t="s">
        <v>75</v>
      </c>
      <c r="D1917" s="91">
        <v>1.0</v>
      </c>
      <c r="E1917" s="92">
        <v>9.18</v>
      </c>
      <c r="F1917" s="92">
        <v>9.18</v>
      </c>
      <c r="G1917" s="93"/>
      <c r="H1917" s="92"/>
      <c r="I1917" s="92"/>
      <c r="J1917" s="82" t="b">
        <v>0</v>
      </c>
    </row>
    <row r="1918" ht="12.75" hidden="1" customHeight="1" outlineLevel="1">
      <c r="D1918" s="79"/>
      <c r="E1918" s="80"/>
      <c r="F1918" s="80"/>
      <c r="G1918" s="81"/>
      <c r="H1918" s="80"/>
      <c r="I1918" s="80"/>
      <c r="J1918" s="82" t="b">
        <v>0</v>
      </c>
    </row>
    <row r="1919" ht="12.75" hidden="1" customHeight="1" outlineLevel="1">
      <c r="B1919" s="90" t="s">
        <v>1423</v>
      </c>
      <c r="C1919" s="89" t="s">
        <v>1374</v>
      </c>
      <c r="D1919" s="91">
        <v>1.0</v>
      </c>
      <c r="E1919" s="92">
        <v>9.18</v>
      </c>
      <c r="F1919" s="92">
        <v>9.18</v>
      </c>
      <c r="G1919" s="93"/>
      <c r="H1919" s="92"/>
      <c r="I1919" s="92"/>
      <c r="J1919" s="82" t="b">
        <v>0</v>
      </c>
    </row>
    <row r="1920" ht="12.75" hidden="1" customHeight="1" outlineLevel="1">
      <c r="D1920" s="79"/>
      <c r="E1920" s="80"/>
      <c r="F1920" s="80"/>
      <c r="G1920" s="81"/>
      <c r="H1920" s="80"/>
      <c r="I1920" s="80"/>
      <c r="J1920" s="82" t="b">
        <v>0</v>
      </c>
    </row>
    <row r="1921" ht="12.75" hidden="1" customHeight="1" outlineLevel="1">
      <c r="B1921" s="90" t="s">
        <v>1396</v>
      </c>
      <c r="C1921" s="89" t="s">
        <v>1374</v>
      </c>
      <c r="D1921" s="91">
        <v>1.0</v>
      </c>
      <c r="E1921" s="92">
        <v>9.18</v>
      </c>
      <c r="F1921" s="92">
        <v>9.18</v>
      </c>
      <c r="G1921" s="93"/>
      <c r="H1921" s="92"/>
      <c r="I1921" s="92"/>
      <c r="J1921" s="82" t="b">
        <v>0</v>
      </c>
    </row>
    <row r="1922" ht="12.75" hidden="1" customHeight="1" outlineLevel="1">
      <c r="D1922" s="79"/>
      <c r="E1922" s="80"/>
      <c r="F1922" s="80"/>
      <c r="G1922" s="81"/>
      <c r="H1922" s="80"/>
      <c r="I1922" s="80"/>
      <c r="J1922" s="82" t="b">
        <v>0</v>
      </c>
    </row>
    <row r="1923" ht="12.75" hidden="1" customHeight="1" outlineLevel="1">
      <c r="B1923" s="90" t="s">
        <v>1424</v>
      </c>
      <c r="C1923" s="89" t="s">
        <v>75</v>
      </c>
      <c r="D1923" s="91">
        <v>1.0</v>
      </c>
      <c r="E1923" s="92">
        <v>9.18</v>
      </c>
      <c r="F1923" s="92">
        <v>9.18</v>
      </c>
      <c r="G1923" s="93"/>
      <c r="H1923" s="92"/>
      <c r="I1923" s="92"/>
      <c r="J1923" s="82" t="b">
        <v>0</v>
      </c>
    </row>
    <row r="1924" ht="12.75" hidden="1" customHeight="1" outlineLevel="1">
      <c r="D1924" s="79"/>
      <c r="E1924" s="80"/>
      <c r="F1924" s="80"/>
      <c r="G1924" s="81"/>
      <c r="H1924" s="80"/>
      <c r="I1924" s="80"/>
      <c r="J1924" s="82" t="b">
        <v>0</v>
      </c>
    </row>
    <row r="1925" ht="12.75" hidden="1" customHeight="1" outlineLevel="1">
      <c r="B1925" s="90" t="s">
        <v>1383</v>
      </c>
      <c r="C1925" s="89" t="s">
        <v>75</v>
      </c>
      <c r="D1925" s="91">
        <v>14.0</v>
      </c>
      <c r="E1925" s="92">
        <v>107.0</v>
      </c>
      <c r="F1925" s="92">
        <v>1498.0</v>
      </c>
      <c r="G1925" s="93"/>
      <c r="H1925" s="92"/>
      <c r="I1925" s="92"/>
      <c r="J1925" s="82" t="b">
        <v>0</v>
      </c>
    </row>
    <row r="1926" ht="12.75" hidden="1" customHeight="1" outlineLevel="1">
      <c r="D1926" s="79"/>
      <c r="E1926" s="80"/>
      <c r="F1926" s="80"/>
      <c r="G1926" s="81"/>
      <c r="H1926" s="80"/>
      <c r="I1926" s="80"/>
      <c r="J1926" s="82" t="b">
        <v>0</v>
      </c>
    </row>
    <row r="1927" ht="12.75" hidden="1" customHeight="1" outlineLevel="1">
      <c r="B1927" s="90" t="s">
        <v>1425</v>
      </c>
      <c r="C1927" s="89" t="s">
        <v>75</v>
      </c>
      <c r="D1927" s="91">
        <v>3.0</v>
      </c>
      <c r="E1927" s="92">
        <v>49.14</v>
      </c>
      <c r="F1927" s="92">
        <v>147.42</v>
      </c>
      <c r="G1927" s="93"/>
      <c r="H1927" s="92"/>
      <c r="I1927" s="92"/>
      <c r="J1927" s="82" t="b">
        <v>0</v>
      </c>
    </row>
    <row r="1928" ht="12.75" hidden="1" customHeight="1" outlineLevel="1">
      <c r="D1928" s="79"/>
      <c r="E1928" s="80"/>
      <c r="F1928" s="80"/>
      <c r="G1928" s="81"/>
      <c r="H1928" s="80"/>
      <c r="I1928" s="80"/>
      <c r="J1928" s="82" t="b">
        <v>0</v>
      </c>
    </row>
    <row r="1929" ht="12.75" hidden="1" customHeight="1" outlineLevel="1">
      <c r="B1929" s="90" t="s">
        <v>1426</v>
      </c>
      <c r="C1929" s="89" t="s">
        <v>33</v>
      </c>
      <c r="D1929" s="91">
        <v>1.0</v>
      </c>
      <c r="E1929" s="92">
        <v>19571.21</v>
      </c>
      <c r="F1929" s="92">
        <v>19571.21</v>
      </c>
      <c r="G1929" s="93"/>
      <c r="H1929" s="92"/>
      <c r="I1929" s="92"/>
      <c r="J1929" s="82" t="b">
        <v>0</v>
      </c>
    </row>
    <row r="1930" ht="12.75" hidden="1" customHeight="1" outlineLevel="1">
      <c r="D1930" s="79"/>
      <c r="E1930" s="80"/>
      <c r="F1930" s="80"/>
      <c r="G1930" s="81"/>
      <c r="H1930" s="80"/>
      <c r="I1930" s="80"/>
      <c r="J1930" s="82" t="b">
        <v>0</v>
      </c>
    </row>
    <row r="1931" ht="12.75" hidden="1" customHeight="1" outlineLevel="1">
      <c r="B1931" s="90" t="s">
        <v>1427</v>
      </c>
      <c r="C1931" s="89" t="s">
        <v>33</v>
      </c>
      <c r="D1931" s="91">
        <v>1.0</v>
      </c>
      <c r="E1931" s="80"/>
      <c r="F1931" s="135" t="s">
        <v>1428</v>
      </c>
      <c r="G1931" s="159"/>
      <c r="H1931" s="135"/>
      <c r="I1931" s="135"/>
      <c r="J1931" s="82" t="b">
        <v>0</v>
      </c>
    </row>
    <row r="1932" ht="12.75" hidden="1" customHeight="1" outlineLevel="1">
      <c r="D1932" s="79"/>
      <c r="E1932" s="80"/>
      <c r="F1932" s="80"/>
      <c r="G1932" s="81"/>
      <c r="H1932" s="80"/>
      <c r="I1932" s="80"/>
      <c r="J1932" s="82" t="b">
        <v>0</v>
      </c>
    </row>
    <row r="1933" ht="12.75" hidden="1" customHeight="1" outlineLevel="1">
      <c r="A1933" s="89" t="s">
        <v>1429</v>
      </c>
      <c r="B1933" s="90" t="s">
        <v>1430</v>
      </c>
      <c r="D1933" s="79"/>
      <c r="E1933" s="80"/>
      <c r="F1933" s="80"/>
      <c r="G1933" s="81"/>
      <c r="H1933" s="80"/>
      <c r="I1933" s="80"/>
      <c r="J1933" s="82" t="b">
        <v>0</v>
      </c>
    </row>
    <row r="1934" ht="12.75" hidden="1" customHeight="1" outlineLevel="1">
      <c r="D1934" s="79"/>
      <c r="E1934" s="80"/>
      <c r="F1934" s="80"/>
      <c r="G1934" s="81"/>
      <c r="H1934" s="80"/>
      <c r="I1934" s="80"/>
      <c r="J1934" s="82" t="b">
        <v>0</v>
      </c>
    </row>
    <row r="1935" ht="12.75" hidden="1" customHeight="1" outlineLevel="1">
      <c r="B1935" s="90" t="s">
        <v>1135</v>
      </c>
      <c r="C1935" s="89" t="s">
        <v>33</v>
      </c>
      <c r="D1935" s="91">
        <v>1.0</v>
      </c>
      <c r="E1935" s="92">
        <v>338.79</v>
      </c>
      <c r="F1935" s="92">
        <v>338.79</v>
      </c>
      <c r="G1935" s="93"/>
      <c r="H1935" s="92"/>
      <c r="I1935" s="92"/>
      <c r="J1935" s="82" t="b">
        <v>0</v>
      </c>
    </row>
    <row r="1936" ht="12.75" hidden="1" customHeight="1" outlineLevel="1">
      <c r="D1936" s="79"/>
      <c r="E1936" s="80"/>
      <c r="F1936" s="80"/>
      <c r="G1936" s="81"/>
      <c r="H1936" s="80"/>
      <c r="I1936" s="80"/>
      <c r="J1936" s="82" t="b">
        <v>0</v>
      </c>
    </row>
    <row r="1937" ht="15.75" hidden="1" customHeight="1" outlineLevel="1">
      <c r="B1937" s="90" t="s">
        <v>1431</v>
      </c>
      <c r="C1937" s="89" t="s">
        <v>33</v>
      </c>
      <c r="D1937" s="91">
        <v>1.0</v>
      </c>
      <c r="E1937" s="92">
        <v>499.78</v>
      </c>
      <c r="F1937" s="92">
        <v>499.78</v>
      </c>
      <c r="G1937" s="93"/>
      <c r="H1937" s="92"/>
      <c r="I1937" s="92"/>
      <c r="J1937" s="82" t="b">
        <v>0</v>
      </c>
    </row>
    <row r="1938" ht="15.75" hidden="1" customHeight="1" outlineLevel="1">
      <c r="D1938" s="79"/>
      <c r="E1938" s="80"/>
      <c r="F1938" s="80"/>
      <c r="G1938" s="81"/>
      <c r="H1938" s="80"/>
      <c r="I1938" s="80"/>
      <c r="J1938" s="82" t="b">
        <v>0</v>
      </c>
    </row>
    <row r="1939" ht="12.75" hidden="1" customHeight="1" outlineLevel="1">
      <c r="A1939" s="89" t="s">
        <v>1432</v>
      </c>
      <c r="B1939" s="90" t="s">
        <v>1433</v>
      </c>
      <c r="D1939" s="79"/>
      <c r="E1939" s="80"/>
      <c r="F1939" s="80"/>
      <c r="G1939" s="81"/>
      <c r="H1939" s="80"/>
      <c r="I1939" s="80"/>
      <c r="J1939" s="82" t="b">
        <v>0</v>
      </c>
    </row>
    <row r="1940" ht="12.75" hidden="1" customHeight="1" outlineLevel="1">
      <c r="D1940" s="79"/>
      <c r="E1940" s="80"/>
      <c r="F1940" s="80"/>
      <c r="G1940" s="81"/>
      <c r="H1940" s="80"/>
      <c r="I1940" s="80"/>
      <c r="J1940" s="82" t="b">
        <v>0</v>
      </c>
    </row>
    <row r="1941" ht="12.75" hidden="1" customHeight="1" outlineLevel="1">
      <c r="A1941" s="160"/>
      <c r="B1941" s="161" t="s">
        <v>1434</v>
      </c>
      <c r="C1941" s="162" t="s">
        <v>1435</v>
      </c>
      <c r="D1941" s="163">
        <v>1.0</v>
      </c>
      <c r="E1941" s="164">
        <v>58958.71</v>
      </c>
      <c r="F1941" s="164">
        <v>58958.71</v>
      </c>
      <c r="G1941" s="165">
        <f>F1941</f>
        <v>58958.71</v>
      </c>
      <c r="H1941" s="164"/>
      <c r="I1941" s="164"/>
      <c r="J1941" s="166" t="b">
        <v>0</v>
      </c>
    </row>
    <row r="1942" ht="12.75" hidden="1" customHeight="1" outlineLevel="1">
      <c r="D1942" s="79"/>
      <c r="E1942" s="80"/>
      <c r="F1942" s="80"/>
      <c r="G1942" s="81"/>
      <c r="H1942" s="80"/>
      <c r="I1942" s="80"/>
      <c r="J1942" s="82" t="b">
        <v>0</v>
      </c>
    </row>
    <row r="1943" ht="12.75" hidden="1" customHeight="1" outlineLevel="1">
      <c r="A1943" s="89" t="s">
        <v>1436</v>
      </c>
      <c r="B1943" s="90" t="s">
        <v>1437</v>
      </c>
      <c r="D1943" s="79"/>
      <c r="E1943" s="80"/>
      <c r="F1943" s="80"/>
      <c r="G1943" s="81"/>
      <c r="H1943" s="80"/>
      <c r="I1943" s="80"/>
      <c r="J1943" s="82" t="b">
        <v>0</v>
      </c>
    </row>
    <row r="1944" ht="12.75" hidden="1" customHeight="1" outlineLevel="1">
      <c r="D1944" s="79"/>
      <c r="E1944" s="80"/>
      <c r="F1944" s="80"/>
      <c r="G1944" s="81"/>
      <c r="H1944" s="80"/>
      <c r="I1944" s="80"/>
      <c r="J1944" s="82" t="b">
        <v>0</v>
      </c>
    </row>
    <row r="1945" ht="12.75" hidden="1" customHeight="1" outlineLevel="1">
      <c r="B1945" s="90" t="s">
        <v>1438</v>
      </c>
      <c r="D1945" s="79"/>
      <c r="E1945" s="80"/>
      <c r="F1945" s="80"/>
      <c r="G1945" s="81"/>
      <c r="H1945" s="80"/>
      <c r="I1945" s="80"/>
      <c r="J1945" s="82" t="b">
        <v>0</v>
      </c>
    </row>
    <row r="1946" ht="12.75" hidden="1" customHeight="1" outlineLevel="1">
      <c r="D1946" s="79"/>
      <c r="E1946" s="80"/>
      <c r="F1946" s="80"/>
      <c r="G1946" s="81"/>
      <c r="H1946" s="80"/>
      <c r="I1946" s="80"/>
      <c r="J1946" s="82" t="b">
        <v>0</v>
      </c>
    </row>
    <row r="1947" ht="12.75" hidden="1" customHeight="1" outlineLevel="1">
      <c r="B1947" s="90" t="s">
        <v>1439</v>
      </c>
      <c r="D1947" s="79"/>
      <c r="E1947" s="80"/>
      <c r="F1947" s="80"/>
      <c r="G1947" s="81"/>
      <c r="H1947" s="80"/>
      <c r="I1947" s="80"/>
      <c r="J1947" s="82" t="b">
        <v>0</v>
      </c>
    </row>
    <row r="1948" ht="12.75" hidden="1" customHeight="1" outlineLevel="1">
      <c r="D1948" s="79"/>
      <c r="E1948" s="80"/>
      <c r="F1948" s="80"/>
      <c r="G1948" s="81"/>
      <c r="H1948" s="80"/>
      <c r="I1948" s="80"/>
      <c r="J1948" s="82" t="b">
        <v>0</v>
      </c>
    </row>
    <row r="1949" ht="12.75" hidden="1" customHeight="1" outlineLevel="1">
      <c r="B1949" s="90" t="s">
        <v>1440</v>
      </c>
      <c r="C1949" s="89" t="s">
        <v>75</v>
      </c>
      <c r="D1949" s="91">
        <v>28.0</v>
      </c>
      <c r="E1949" s="80"/>
      <c r="F1949" s="135" t="s">
        <v>619</v>
      </c>
      <c r="G1949" s="159"/>
      <c r="H1949" s="135"/>
      <c r="I1949" s="135"/>
      <c r="J1949" s="82" t="b">
        <v>0</v>
      </c>
    </row>
    <row r="1950" ht="12.75" hidden="1" customHeight="1" outlineLevel="1">
      <c r="D1950" s="79"/>
      <c r="E1950" s="80"/>
      <c r="F1950" s="80"/>
      <c r="G1950" s="81"/>
      <c r="H1950" s="80"/>
      <c r="I1950" s="80"/>
      <c r="J1950" s="82" t="b">
        <v>0</v>
      </c>
    </row>
    <row r="1951" ht="12.75" hidden="1" customHeight="1" outlineLevel="1">
      <c r="B1951" s="90" t="s">
        <v>1441</v>
      </c>
      <c r="C1951" s="89" t="s">
        <v>75</v>
      </c>
      <c r="D1951" s="91">
        <v>6.0</v>
      </c>
      <c r="E1951" s="80"/>
      <c r="F1951" s="135" t="s">
        <v>619</v>
      </c>
      <c r="G1951" s="159"/>
      <c r="H1951" s="135"/>
      <c r="I1951" s="135"/>
      <c r="J1951" s="82" t="b">
        <v>0</v>
      </c>
    </row>
    <row r="1952" ht="12.75" hidden="1" customHeight="1" outlineLevel="1">
      <c r="D1952" s="79"/>
      <c r="E1952" s="80"/>
      <c r="F1952" s="80"/>
      <c r="G1952" s="81"/>
      <c r="H1952" s="80"/>
      <c r="I1952" s="80"/>
      <c r="J1952" s="82" t="b">
        <v>0</v>
      </c>
    </row>
    <row r="1953" ht="12.75" hidden="1" customHeight="1" outlineLevel="1">
      <c r="B1953" s="90" t="s">
        <v>1442</v>
      </c>
      <c r="C1953" s="89" t="s">
        <v>75</v>
      </c>
      <c r="D1953" s="91">
        <v>1.0</v>
      </c>
      <c r="E1953" s="80"/>
      <c r="F1953" s="135" t="s">
        <v>619</v>
      </c>
      <c r="G1953" s="159"/>
      <c r="H1953" s="135"/>
      <c r="I1953" s="135"/>
      <c r="J1953" s="82" t="b">
        <v>0</v>
      </c>
    </row>
    <row r="1954" ht="12.75" hidden="1" customHeight="1" outlineLevel="1">
      <c r="D1954" s="79"/>
      <c r="E1954" s="80"/>
      <c r="F1954" s="80"/>
      <c r="G1954" s="81"/>
      <c r="H1954" s="80"/>
      <c r="I1954" s="80"/>
      <c r="J1954" s="82" t="b">
        <v>0</v>
      </c>
    </row>
    <row r="1955" ht="12.75" hidden="1" customHeight="1" outlineLevel="1">
      <c r="B1955" s="90" t="s">
        <v>1443</v>
      </c>
      <c r="D1955" s="79"/>
      <c r="E1955" s="80"/>
      <c r="F1955" s="80"/>
      <c r="G1955" s="81"/>
      <c r="H1955" s="80"/>
      <c r="I1955" s="80"/>
      <c r="J1955" s="82" t="b">
        <v>0</v>
      </c>
    </row>
    <row r="1956" ht="12.75" hidden="1" customHeight="1" outlineLevel="1">
      <c r="D1956" s="79"/>
      <c r="E1956" s="80"/>
      <c r="F1956" s="80"/>
      <c r="G1956" s="81"/>
      <c r="H1956" s="80"/>
      <c r="I1956" s="80"/>
      <c r="J1956" s="82" t="b">
        <v>0</v>
      </c>
    </row>
    <row r="1957" ht="12.75" hidden="1" customHeight="1" outlineLevel="1">
      <c r="B1957" s="90" t="s">
        <v>1444</v>
      </c>
      <c r="C1957" s="89" t="s">
        <v>75</v>
      </c>
      <c r="D1957" s="91">
        <v>7.0</v>
      </c>
      <c r="E1957" s="80"/>
      <c r="F1957" s="135" t="s">
        <v>619</v>
      </c>
      <c r="G1957" s="159"/>
      <c r="H1957" s="135"/>
      <c r="I1957" s="135"/>
      <c r="J1957" s="82" t="b">
        <v>0</v>
      </c>
    </row>
    <row r="1958" ht="12.75" hidden="1" customHeight="1" outlineLevel="1">
      <c r="D1958" s="79"/>
      <c r="E1958" s="80"/>
      <c r="F1958" s="80"/>
      <c r="G1958" s="81"/>
      <c r="H1958" s="80"/>
      <c r="I1958" s="80"/>
      <c r="J1958" s="82" t="b">
        <v>0</v>
      </c>
    </row>
    <row r="1959" ht="12.75" hidden="1" customHeight="1" outlineLevel="1">
      <c r="B1959" s="90" t="s">
        <v>1445</v>
      </c>
      <c r="C1959" s="89" t="s">
        <v>75</v>
      </c>
      <c r="D1959" s="91">
        <v>8.0</v>
      </c>
      <c r="E1959" s="80"/>
      <c r="F1959" s="135" t="s">
        <v>619</v>
      </c>
      <c r="G1959" s="159"/>
      <c r="H1959" s="135"/>
      <c r="I1959" s="135"/>
      <c r="J1959" s="82" t="b">
        <v>0</v>
      </c>
    </row>
    <row r="1960" ht="12.75" hidden="1" customHeight="1" outlineLevel="1">
      <c r="D1960" s="79"/>
      <c r="E1960" s="80"/>
      <c r="F1960" s="80"/>
      <c r="G1960" s="81"/>
      <c r="H1960" s="80"/>
      <c r="I1960" s="80"/>
      <c r="J1960" s="82" t="b">
        <v>0</v>
      </c>
    </row>
    <row r="1961" ht="12.75" hidden="1" customHeight="1" outlineLevel="1">
      <c r="B1961" s="90" t="s">
        <v>1446</v>
      </c>
      <c r="D1961" s="79"/>
      <c r="E1961" s="80"/>
      <c r="F1961" s="80"/>
      <c r="G1961" s="81"/>
      <c r="H1961" s="80"/>
      <c r="I1961" s="80"/>
      <c r="J1961" s="82" t="b">
        <v>0</v>
      </c>
    </row>
    <row r="1962" ht="12.75" hidden="1" customHeight="1" outlineLevel="1">
      <c r="D1962" s="79"/>
      <c r="E1962" s="80"/>
      <c r="F1962" s="80"/>
      <c r="G1962" s="81"/>
      <c r="H1962" s="80"/>
      <c r="I1962" s="80"/>
      <c r="J1962" s="82" t="b">
        <v>0</v>
      </c>
    </row>
    <row r="1963" ht="12.75" hidden="1" customHeight="1" outlineLevel="1">
      <c r="B1963" s="90" t="s">
        <v>1286</v>
      </c>
      <c r="D1963" s="79"/>
      <c r="E1963" s="80"/>
      <c r="F1963" s="80"/>
      <c r="G1963" s="81"/>
      <c r="H1963" s="80"/>
      <c r="I1963" s="80"/>
      <c r="J1963" s="82" t="b">
        <v>0</v>
      </c>
    </row>
    <row r="1964" ht="12.75" hidden="1" customHeight="1" outlineLevel="1">
      <c r="D1964" s="79"/>
      <c r="E1964" s="80"/>
      <c r="F1964" s="80"/>
      <c r="G1964" s="81"/>
      <c r="H1964" s="80"/>
      <c r="I1964" s="80"/>
      <c r="J1964" s="82" t="b">
        <v>0</v>
      </c>
    </row>
    <row r="1965" ht="12.75" hidden="1" customHeight="1" outlineLevel="1">
      <c r="B1965" s="90" t="s">
        <v>1317</v>
      </c>
      <c r="D1965" s="79"/>
      <c r="E1965" s="80"/>
      <c r="F1965" s="80"/>
      <c r="G1965" s="81"/>
      <c r="H1965" s="80"/>
      <c r="I1965" s="80"/>
      <c r="J1965" s="82" t="b">
        <v>0</v>
      </c>
    </row>
    <row r="1966" ht="12.75" hidden="1" customHeight="1" outlineLevel="1">
      <c r="D1966" s="79"/>
      <c r="E1966" s="80"/>
      <c r="F1966" s="80"/>
      <c r="G1966" s="81"/>
      <c r="H1966" s="80"/>
      <c r="I1966" s="80"/>
      <c r="J1966" s="82" t="b">
        <v>0</v>
      </c>
    </row>
    <row r="1967" ht="12.75" hidden="1" customHeight="1" outlineLevel="1">
      <c r="B1967" s="90" t="s">
        <v>1447</v>
      </c>
      <c r="C1967" s="89" t="s">
        <v>161</v>
      </c>
      <c r="D1967" s="91">
        <v>488.0</v>
      </c>
      <c r="E1967" s="80"/>
      <c r="F1967" s="135" t="s">
        <v>619</v>
      </c>
      <c r="G1967" s="159"/>
      <c r="H1967" s="135"/>
      <c r="I1967" s="135"/>
      <c r="J1967" s="82" t="b">
        <v>0</v>
      </c>
    </row>
    <row r="1968" ht="12.75" hidden="1" customHeight="1" outlineLevel="1">
      <c r="D1968" s="79"/>
      <c r="E1968" s="80"/>
      <c r="F1968" s="80"/>
      <c r="G1968" s="81"/>
      <c r="H1968" s="80"/>
      <c r="I1968" s="80"/>
      <c r="J1968" s="82" t="b">
        <v>0</v>
      </c>
    </row>
    <row r="1969" ht="12.75" hidden="1" customHeight="1" outlineLevel="1">
      <c r="B1969" s="90" t="s">
        <v>1123</v>
      </c>
      <c r="D1969" s="79"/>
      <c r="E1969" s="80"/>
      <c r="F1969" s="80"/>
      <c r="G1969" s="81"/>
      <c r="H1969" s="80"/>
      <c r="I1969" s="80"/>
      <c r="J1969" s="82" t="b">
        <v>0</v>
      </c>
    </row>
    <row r="1970" ht="12.75" hidden="1" customHeight="1" outlineLevel="1">
      <c r="D1970" s="79"/>
      <c r="E1970" s="80"/>
      <c r="F1970" s="80"/>
      <c r="G1970" s="81"/>
      <c r="H1970" s="80"/>
      <c r="I1970" s="80"/>
      <c r="J1970" s="82" t="b">
        <v>0</v>
      </c>
    </row>
    <row r="1971" ht="12.75" hidden="1" customHeight="1" outlineLevel="1">
      <c r="B1971" s="90" t="s">
        <v>1317</v>
      </c>
      <c r="D1971" s="79"/>
      <c r="E1971" s="80"/>
      <c r="F1971" s="80"/>
      <c r="G1971" s="81"/>
      <c r="H1971" s="80"/>
      <c r="I1971" s="80"/>
      <c r="J1971" s="82" t="b">
        <v>0</v>
      </c>
    </row>
    <row r="1972" ht="12.75" hidden="1" customHeight="1" outlineLevel="1">
      <c r="D1972" s="79"/>
      <c r="E1972" s="80"/>
      <c r="F1972" s="80"/>
      <c r="G1972" s="81"/>
      <c r="H1972" s="80"/>
      <c r="I1972" s="80"/>
      <c r="J1972" s="82" t="b">
        <v>0</v>
      </c>
    </row>
    <row r="1973" ht="12.75" hidden="1" customHeight="1" outlineLevel="1">
      <c r="B1973" s="90" t="s">
        <v>1329</v>
      </c>
      <c r="C1973" s="89" t="s">
        <v>161</v>
      </c>
      <c r="D1973" s="91">
        <v>457.0</v>
      </c>
      <c r="E1973" s="92">
        <v>1.81</v>
      </c>
      <c r="F1973" s="92">
        <v>827.17</v>
      </c>
      <c r="G1973" s="93"/>
      <c r="H1973" s="92"/>
      <c r="I1973" s="92"/>
      <c r="J1973" s="82" t="b">
        <v>0</v>
      </c>
    </row>
    <row r="1974" ht="12.75" hidden="1" customHeight="1" outlineLevel="1">
      <c r="D1974" s="79"/>
      <c r="E1974" s="80"/>
      <c r="F1974" s="80"/>
      <c r="G1974" s="81"/>
      <c r="H1974" s="80"/>
      <c r="I1974" s="80"/>
      <c r="J1974" s="82" t="b">
        <v>0</v>
      </c>
    </row>
    <row r="1975" ht="12.75" hidden="1" customHeight="1" outlineLevel="1">
      <c r="B1975" s="90" t="s">
        <v>1448</v>
      </c>
      <c r="C1975" s="89" t="s">
        <v>161</v>
      </c>
      <c r="D1975" s="91">
        <v>32.0</v>
      </c>
      <c r="E1975" s="92">
        <v>2.2</v>
      </c>
      <c r="F1975" s="92">
        <v>70.4</v>
      </c>
      <c r="G1975" s="93"/>
      <c r="H1975" s="92"/>
      <c r="I1975" s="92"/>
      <c r="J1975" s="82" t="b">
        <v>0</v>
      </c>
    </row>
    <row r="1976" ht="12.75" hidden="1" customHeight="1" outlineLevel="1">
      <c r="D1976" s="79"/>
      <c r="E1976" s="80"/>
      <c r="F1976" s="80"/>
      <c r="G1976" s="81"/>
      <c r="H1976" s="80"/>
      <c r="I1976" s="80"/>
      <c r="J1976" s="82" t="b">
        <v>0</v>
      </c>
    </row>
    <row r="1977" ht="12.75" hidden="1" customHeight="1" outlineLevel="1">
      <c r="B1977" s="90" t="s">
        <v>1128</v>
      </c>
      <c r="D1977" s="79"/>
      <c r="E1977" s="80"/>
      <c r="F1977" s="80"/>
      <c r="G1977" s="81"/>
      <c r="H1977" s="80"/>
      <c r="I1977" s="80"/>
      <c r="J1977" s="82" t="b">
        <v>0</v>
      </c>
    </row>
    <row r="1978" ht="12.75" hidden="1" customHeight="1" outlineLevel="1">
      <c r="D1978" s="79"/>
      <c r="E1978" s="80"/>
      <c r="F1978" s="80"/>
      <c r="G1978" s="81"/>
      <c r="H1978" s="80"/>
      <c r="I1978" s="80"/>
      <c r="J1978" s="82" t="b">
        <v>0</v>
      </c>
    </row>
    <row r="1979" ht="12.75" hidden="1" customHeight="1" outlineLevel="1">
      <c r="B1979" s="90" t="s">
        <v>1317</v>
      </c>
      <c r="D1979" s="79"/>
      <c r="E1979" s="80"/>
      <c r="F1979" s="80"/>
      <c r="G1979" s="81"/>
      <c r="H1979" s="80"/>
      <c r="I1979" s="80"/>
      <c r="J1979" s="82" t="b">
        <v>0</v>
      </c>
    </row>
    <row r="1980" ht="12.75" hidden="1" customHeight="1" outlineLevel="1">
      <c r="D1980" s="79"/>
      <c r="E1980" s="80"/>
      <c r="F1980" s="80"/>
      <c r="G1980" s="81"/>
      <c r="H1980" s="80"/>
      <c r="I1980" s="80"/>
      <c r="J1980" s="82" t="b">
        <v>0</v>
      </c>
    </row>
    <row r="1981" ht="12.75" hidden="1" customHeight="1" outlineLevel="1">
      <c r="B1981" s="90" t="s">
        <v>1449</v>
      </c>
      <c r="C1981" s="89" t="s">
        <v>75</v>
      </c>
      <c r="D1981" s="91">
        <v>50.0</v>
      </c>
      <c r="E1981" s="92">
        <v>2.3</v>
      </c>
      <c r="F1981" s="92">
        <v>115.0</v>
      </c>
      <c r="G1981" s="93"/>
      <c r="H1981" s="92"/>
      <c r="I1981" s="92"/>
      <c r="J1981" s="82" t="b">
        <v>0</v>
      </c>
    </row>
    <row r="1982" ht="12.75" hidden="1" customHeight="1" outlineLevel="1">
      <c r="D1982" s="79"/>
      <c r="E1982" s="80"/>
      <c r="F1982" s="80"/>
      <c r="G1982" s="81"/>
      <c r="H1982" s="80"/>
      <c r="I1982" s="80"/>
      <c r="J1982" s="82" t="b">
        <v>0</v>
      </c>
    </row>
    <row r="1983" ht="12.75" hidden="1" customHeight="1" outlineLevel="1">
      <c r="B1983" s="90" t="s">
        <v>1450</v>
      </c>
      <c r="C1983" s="89" t="s">
        <v>75</v>
      </c>
      <c r="D1983" s="91">
        <v>2.0</v>
      </c>
      <c r="E1983" s="92">
        <v>21.66</v>
      </c>
      <c r="F1983" s="92">
        <v>43.32</v>
      </c>
      <c r="G1983" s="93"/>
      <c r="H1983" s="92"/>
      <c r="I1983" s="92"/>
      <c r="J1983" s="82" t="b">
        <v>0</v>
      </c>
    </row>
    <row r="1984" ht="12.75" hidden="1" customHeight="1" outlineLevel="1">
      <c r="D1984" s="79"/>
      <c r="E1984" s="80"/>
      <c r="F1984" s="80"/>
      <c r="G1984" s="81"/>
      <c r="H1984" s="80"/>
      <c r="I1984" s="80"/>
      <c r="J1984" s="82" t="b">
        <v>0</v>
      </c>
    </row>
    <row r="1985" ht="12.75" hidden="1" customHeight="1" outlineLevel="1">
      <c r="A1985" s="89" t="s">
        <v>1451</v>
      </c>
      <c r="B1985" s="90" t="s">
        <v>1452</v>
      </c>
      <c r="C1985" s="89" t="s">
        <v>1435</v>
      </c>
      <c r="D1985" s="91">
        <v>1.0</v>
      </c>
      <c r="E1985" s="92">
        <v>5810.6</v>
      </c>
      <c r="F1985" s="92">
        <v>5810.6</v>
      </c>
      <c r="G1985" s="93"/>
      <c r="H1985" s="92"/>
      <c r="I1985" s="92"/>
      <c r="J1985" s="82" t="b">
        <v>0</v>
      </c>
    </row>
    <row r="1986" ht="12.75" hidden="1" customHeight="1" outlineLevel="1">
      <c r="D1986" s="79"/>
      <c r="E1986" s="80"/>
      <c r="F1986" s="80"/>
      <c r="G1986" s="81"/>
      <c r="H1986" s="80"/>
      <c r="I1986" s="80"/>
      <c r="J1986" s="82" t="b">
        <v>0</v>
      </c>
    </row>
    <row r="1987" ht="12.75" hidden="1" customHeight="1" outlineLevel="1">
      <c r="B1987" s="90" t="s">
        <v>1453</v>
      </c>
      <c r="D1987" s="79"/>
      <c r="E1987" s="80"/>
      <c r="F1987" s="80"/>
      <c r="G1987" s="81"/>
      <c r="H1987" s="80"/>
      <c r="I1987" s="80"/>
      <c r="J1987" s="82" t="b">
        <v>0</v>
      </c>
    </row>
    <row r="1988" ht="12.75" hidden="1" customHeight="1" outlineLevel="1">
      <c r="D1988" s="79"/>
      <c r="E1988" s="80"/>
      <c r="F1988" s="80"/>
      <c r="G1988" s="81"/>
      <c r="H1988" s="80"/>
      <c r="I1988" s="80"/>
      <c r="J1988" s="82" t="b">
        <v>0</v>
      </c>
    </row>
    <row r="1989" ht="12.75" hidden="1" customHeight="1" outlineLevel="1">
      <c r="B1989" s="90" t="s">
        <v>1454</v>
      </c>
      <c r="D1989" s="79"/>
      <c r="E1989" s="80"/>
      <c r="F1989" s="80"/>
      <c r="G1989" s="81"/>
      <c r="H1989" s="80"/>
      <c r="I1989" s="80"/>
      <c r="J1989" s="82" t="b">
        <v>0</v>
      </c>
    </row>
    <row r="1990" ht="12.75" hidden="1" customHeight="1" outlineLevel="1">
      <c r="D1990" s="79"/>
      <c r="E1990" s="80"/>
      <c r="F1990" s="80"/>
      <c r="G1990" s="81"/>
      <c r="H1990" s="80"/>
      <c r="I1990" s="80"/>
      <c r="J1990" s="82" t="b">
        <v>0</v>
      </c>
    </row>
    <row r="1991" ht="12.75" hidden="1" customHeight="1" outlineLevel="1">
      <c r="B1991" s="90" t="s">
        <v>1455</v>
      </c>
      <c r="C1991" s="89" t="s">
        <v>75</v>
      </c>
      <c r="D1991" s="91">
        <v>10.0</v>
      </c>
      <c r="E1991" s="80"/>
      <c r="F1991" s="135" t="s">
        <v>619</v>
      </c>
      <c r="G1991" s="159"/>
      <c r="H1991" s="135"/>
      <c r="I1991" s="135"/>
      <c r="J1991" s="82" t="b">
        <v>0</v>
      </c>
    </row>
    <row r="1992" ht="12.75" hidden="1" customHeight="1" outlineLevel="1">
      <c r="D1992" s="79"/>
      <c r="E1992" s="80"/>
      <c r="F1992" s="80"/>
      <c r="G1992" s="81"/>
      <c r="H1992" s="80"/>
      <c r="I1992" s="80"/>
      <c r="J1992" s="82" t="b">
        <v>0</v>
      </c>
    </row>
    <row r="1993" ht="12.75" hidden="1" customHeight="1" outlineLevel="1">
      <c r="B1993" s="90" t="s">
        <v>1456</v>
      </c>
      <c r="C1993" s="89" t="s">
        <v>75</v>
      </c>
      <c r="D1993" s="91">
        <v>1.0</v>
      </c>
      <c r="E1993" s="80"/>
      <c r="F1993" s="135" t="s">
        <v>619</v>
      </c>
      <c r="G1993" s="159"/>
      <c r="H1993" s="135"/>
      <c r="I1993" s="135"/>
      <c r="J1993" s="82" t="b">
        <v>0</v>
      </c>
    </row>
    <row r="1994" ht="12.75" hidden="1" customHeight="1" outlineLevel="1">
      <c r="D1994" s="79"/>
      <c r="E1994" s="80"/>
      <c r="F1994" s="80"/>
      <c r="G1994" s="81"/>
      <c r="H1994" s="80"/>
      <c r="I1994" s="80"/>
      <c r="J1994" s="82" t="b">
        <v>0</v>
      </c>
    </row>
    <row r="1995" ht="12.75" hidden="1" customHeight="1" outlineLevel="1">
      <c r="B1995" s="90" t="s">
        <v>1457</v>
      </c>
      <c r="C1995" s="89" t="s">
        <v>75</v>
      </c>
      <c r="D1995" s="91">
        <v>11.0</v>
      </c>
      <c r="E1995" s="80"/>
      <c r="F1995" s="135" t="s">
        <v>619</v>
      </c>
      <c r="G1995" s="159"/>
      <c r="H1995" s="135"/>
      <c r="I1995" s="135"/>
      <c r="J1995" s="82" t="b">
        <v>0</v>
      </c>
    </row>
    <row r="1996" ht="12.75" hidden="1" customHeight="1" outlineLevel="1">
      <c r="D1996" s="79"/>
      <c r="E1996" s="80"/>
      <c r="F1996" s="80"/>
      <c r="G1996" s="81"/>
      <c r="H1996" s="80"/>
      <c r="I1996" s="80"/>
      <c r="J1996" s="82" t="b">
        <v>0</v>
      </c>
    </row>
    <row r="1997" ht="12.75" hidden="1" customHeight="1" outlineLevel="1">
      <c r="B1997" s="90" t="s">
        <v>1458</v>
      </c>
      <c r="D1997" s="79"/>
      <c r="E1997" s="80"/>
      <c r="F1997" s="80"/>
      <c r="G1997" s="81"/>
      <c r="H1997" s="80"/>
      <c r="I1997" s="80"/>
      <c r="J1997" s="82" t="b">
        <v>0</v>
      </c>
    </row>
    <row r="1998" ht="12.75" hidden="1" customHeight="1" outlineLevel="1">
      <c r="D1998" s="79"/>
      <c r="E1998" s="80"/>
      <c r="F1998" s="80"/>
      <c r="G1998" s="81"/>
      <c r="H1998" s="80"/>
      <c r="I1998" s="80"/>
      <c r="J1998" s="82" t="b">
        <v>0</v>
      </c>
    </row>
    <row r="1999" ht="12.75" hidden="1" customHeight="1" outlineLevel="1">
      <c r="B1999" s="90" t="s">
        <v>1459</v>
      </c>
      <c r="C1999" s="89" t="s">
        <v>75</v>
      </c>
      <c r="D1999" s="91">
        <v>1.0</v>
      </c>
      <c r="E1999" s="80"/>
      <c r="F1999" s="135" t="s">
        <v>619</v>
      </c>
      <c r="G1999" s="159"/>
      <c r="H1999" s="135"/>
      <c r="I1999" s="135"/>
      <c r="J1999" s="82" t="b">
        <v>0</v>
      </c>
    </row>
    <row r="2000" ht="12.75" hidden="1" customHeight="1" outlineLevel="1">
      <c r="D2000" s="79"/>
      <c r="E2000" s="80"/>
      <c r="F2000" s="80"/>
      <c r="G2000" s="81"/>
      <c r="H2000" s="80"/>
      <c r="I2000" s="80"/>
      <c r="J2000" s="82" t="b">
        <v>0</v>
      </c>
    </row>
    <row r="2001" ht="12.75" hidden="1" customHeight="1" outlineLevel="1">
      <c r="B2001" s="90" t="s">
        <v>1460</v>
      </c>
      <c r="C2001" s="89" t="s">
        <v>75</v>
      </c>
      <c r="D2001" s="91">
        <v>1.0</v>
      </c>
      <c r="E2001" s="80"/>
      <c r="F2001" s="135" t="s">
        <v>619</v>
      </c>
      <c r="G2001" s="159"/>
      <c r="H2001" s="135"/>
      <c r="I2001" s="135"/>
      <c r="J2001" s="82" t="b">
        <v>0</v>
      </c>
    </row>
    <row r="2002" ht="12.75" hidden="1" customHeight="1" outlineLevel="1">
      <c r="D2002" s="79"/>
      <c r="E2002" s="80"/>
      <c r="F2002" s="80"/>
      <c r="G2002" s="81"/>
      <c r="H2002" s="80"/>
      <c r="I2002" s="80"/>
      <c r="J2002" s="82" t="b">
        <v>0</v>
      </c>
    </row>
    <row r="2003" ht="12.75" hidden="1" customHeight="1" outlineLevel="1">
      <c r="B2003" s="90" t="s">
        <v>1461</v>
      </c>
      <c r="C2003" s="89" t="s">
        <v>75</v>
      </c>
      <c r="D2003" s="91">
        <v>1.0</v>
      </c>
      <c r="E2003" s="80"/>
      <c r="F2003" s="135" t="s">
        <v>619</v>
      </c>
      <c r="G2003" s="159"/>
      <c r="H2003" s="135"/>
      <c r="I2003" s="135"/>
      <c r="J2003" s="82" t="b">
        <v>0</v>
      </c>
    </row>
    <row r="2004" ht="12.75" hidden="1" customHeight="1" outlineLevel="1">
      <c r="D2004" s="79"/>
      <c r="E2004" s="80"/>
      <c r="F2004" s="80"/>
      <c r="G2004" s="81"/>
      <c r="H2004" s="80"/>
      <c r="I2004" s="80"/>
      <c r="J2004" s="82" t="b">
        <v>0</v>
      </c>
    </row>
    <row r="2005" ht="12.75" hidden="1" customHeight="1" outlineLevel="1">
      <c r="B2005" s="90" t="s">
        <v>1462</v>
      </c>
      <c r="C2005" s="89" t="s">
        <v>75</v>
      </c>
      <c r="D2005" s="91">
        <v>1.0</v>
      </c>
      <c r="E2005" s="80"/>
      <c r="F2005" s="135" t="s">
        <v>619</v>
      </c>
      <c r="G2005" s="159"/>
      <c r="H2005" s="135"/>
      <c r="I2005" s="135"/>
      <c r="J2005" s="82" t="b">
        <v>0</v>
      </c>
    </row>
    <row r="2006" ht="12.75" hidden="1" customHeight="1" outlineLevel="1">
      <c r="D2006" s="79"/>
      <c r="E2006" s="80"/>
      <c r="F2006" s="80"/>
      <c r="G2006" s="81"/>
      <c r="H2006" s="80"/>
      <c r="I2006" s="80"/>
      <c r="J2006" s="82" t="b">
        <v>0</v>
      </c>
    </row>
    <row r="2007" ht="12.75" hidden="1" customHeight="1" outlineLevel="1">
      <c r="B2007" s="90" t="s">
        <v>1463</v>
      </c>
      <c r="C2007" s="89" t="s">
        <v>75</v>
      </c>
      <c r="D2007" s="91">
        <v>1.0</v>
      </c>
      <c r="E2007" s="80"/>
      <c r="F2007" s="135" t="s">
        <v>619</v>
      </c>
      <c r="G2007" s="159"/>
      <c r="H2007" s="135"/>
      <c r="I2007" s="135"/>
      <c r="J2007" s="82" t="b">
        <v>0</v>
      </c>
    </row>
    <row r="2008" ht="12.75" hidden="1" customHeight="1" outlineLevel="1">
      <c r="D2008" s="79"/>
      <c r="E2008" s="80"/>
      <c r="F2008" s="80"/>
      <c r="G2008" s="81"/>
      <c r="H2008" s="80"/>
      <c r="I2008" s="80"/>
      <c r="J2008" s="82" t="b">
        <v>0</v>
      </c>
    </row>
    <row r="2009" ht="12.75" hidden="1" customHeight="1" outlineLevel="1">
      <c r="B2009" s="90" t="s">
        <v>1464</v>
      </c>
      <c r="C2009" s="89" t="s">
        <v>161</v>
      </c>
      <c r="D2009" s="91">
        <v>303.0</v>
      </c>
      <c r="E2009" s="80"/>
      <c r="F2009" s="135" t="s">
        <v>619</v>
      </c>
      <c r="G2009" s="159"/>
      <c r="H2009" s="135"/>
      <c r="I2009" s="135"/>
      <c r="J2009" s="82" t="b">
        <v>0</v>
      </c>
    </row>
    <row r="2010" ht="12.75" hidden="1" customHeight="1" outlineLevel="1">
      <c r="D2010" s="79"/>
      <c r="E2010" s="80"/>
      <c r="F2010" s="80"/>
      <c r="G2010" s="81"/>
      <c r="H2010" s="80"/>
      <c r="I2010" s="80"/>
      <c r="J2010" s="82" t="b">
        <v>0</v>
      </c>
    </row>
    <row r="2011" ht="12.75" hidden="1" customHeight="1" outlineLevel="1">
      <c r="B2011" s="90" t="s">
        <v>1465</v>
      </c>
      <c r="C2011" s="89" t="s">
        <v>75</v>
      </c>
      <c r="D2011" s="91">
        <v>11.0</v>
      </c>
      <c r="E2011" s="80"/>
      <c r="F2011" s="135" t="s">
        <v>619</v>
      </c>
      <c r="G2011" s="159"/>
      <c r="H2011" s="135"/>
      <c r="I2011" s="135"/>
      <c r="J2011" s="82" t="b">
        <v>0</v>
      </c>
    </row>
    <row r="2012" ht="12.75" hidden="1" customHeight="1" outlineLevel="1">
      <c r="D2012" s="79"/>
      <c r="E2012" s="80"/>
      <c r="F2012" s="80"/>
      <c r="G2012" s="81"/>
      <c r="H2012" s="80"/>
      <c r="I2012" s="80"/>
      <c r="J2012" s="82" t="b">
        <v>0</v>
      </c>
    </row>
    <row r="2013" ht="12.75" hidden="1" customHeight="1" outlineLevel="1">
      <c r="B2013" s="90" t="s">
        <v>1466</v>
      </c>
      <c r="C2013" s="89" t="s">
        <v>161</v>
      </c>
      <c r="D2013" s="91">
        <v>183.0</v>
      </c>
      <c r="E2013" s="92">
        <v>2.2</v>
      </c>
      <c r="F2013" s="92">
        <v>402.6</v>
      </c>
      <c r="G2013" s="93"/>
      <c r="H2013" s="92"/>
      <c r="I2013" s="92"/>
      <c r="J2013" s="82" t="b">
        <v>0</v>
      </c>
    </row>
    <row r="2014" ht="12.75" hidden="1" customHeight="1" outlineLevel="1">
      <c r="D2014" s="79"/>
      <c r="E2014" s="80"/>
      <c r="F2014" s="80"/>
      <c r="G2014" s="81"/>
      <c r="H2014" s="80"/>
      <c r="I2014" s="80"/>
      <c r="J2014" s="82" t="b">
        <v>0</v>
      </c>
    </row>
    <row r="2015" ht="12.75" hidden="1" customHeight="1" outlineLevel="1">
      <c r="B2015" s="90" t="s">
        <v>1467</v>
      </c>
      <c r="C2015" s="89" t="s">
        <v>161</v>
      </c>
      <c r="D2015" s="91">
        <v>19.0</v>
      </c>
      <c r="E2015" s="92">
        <v>3.34</v>
      </c>
      <c r="F2015" s="92">
        <v>63.46</v>
      </c>
      <c r="G2015" s="93"/>
      <c r="H2015" s="92"/>
      <c r="I2015" s="92"/>
      <c r="J2015" s="82" t="b">
        <v>0</v>
      </c>
    </row>
    <row r="2016" ht="12.75" hidden="1" customHeight="1" outlineLevel="1">
      <c r="D2016" s="79"/>
      <c r="E2016" s="80"/>
      <c r="F2016" s="80"/>
      <c r="G2016" s="81"/>
      <c r="H2016" s="80"/>
      <c r="I2016" s="80"/>
      <c r="J2016" s="82" t="b">
        <v>0</v>
      </c>
    </row>
    <row r="2017" ht="12.75" hidden="1" customHeight="1" outlineLevel="1">
      <c r="B2017" s="90" t="s">
        <v>1468</v>
      </c>
      <c r="C2017" s="89" t="s">
        <v>75</v>
      </c>
      <c r="D2017" s="91">
        <v>2.0</v>
      </c>
      <c r="E2017" s="92">
        <v>61.67</v>
      </c>
      <c r="F2017" s="92">
        <v>123.34</v>
      </c>
      <c r="G2017" s="93"/>
      <c r="H2017" s="92"/>
      <c r="I2017" s="92"/>
      <c r="J2017" s="82" t="b">
        <v>0</v>
      </c>
    </row>
    <row r="2018" ht="12.75" hidden="1" customHeight="1" outlineLevel="1">
      <c r="D2018" s="79"/>
      <c r="E2018" s="80"/>
      <c r="F2018" s="80"/>
      <c r="G2018" s="81"/>
      <c r="H2018" s="80"/>
      <c r="I2018" s="80"/>
      <c r="J2018" s="82" t="b">
        <v>0</v>
      </c>
    </row>
    <row r="2019" ht="12.75" hidden="1" customHeight="1" outlineLevel="1">
      <c r="A2019" s="89" t="s">
        <v>1469</v>
      </c>
      <c r="B2019" s="90" t="s">
        <v>1470</v>
      </c>
      <c r="C2019" s="89" t="s">
        <v>1435</v>
      </c>
      <c r="D2019" s="91">
        <v>0.0</v>
      </c>
      <c r="E2019" s="80"/>
      <c r="F2019" s="92">
        <v>0.0</v>
      </c>
      <c r="G2019" s="93"/>
      <c r="H2019" s="92"/>
      <c r="I2019" s="92"/>
      <c r="J2019" s="82" t="b">
        <v>0</v>
      </c>
    </row>
    <row r="2020" ht="12.75" hidden="1" customHeight="1" outlineLevel="1">
      <c r="D2020" s="79"/>
      <c r="E2020" s="80"/>
      <c r="F2020" s="80"/>
      <c r="G2020" s="81"/>
      <c r="H2020" s="80"/>
      <c r="I2020" s="80"/>
      <c r="J2020" s="82" t="b">
        <v>0</v>
      </c>
    </row>
    <row r="2021" ht="12.75" hidden="1" customHeight="1" outlineLevel="1">
      <c r="A2021" s="89" t="s">
        <v>1471</v>
      </c>
      <c r="B2021" s="90" t="s">
        <v>1472</v>
      </c>
      <c r="C2021" s="89" t="s">
        <v>1435</v>
      </c>
      <c r="D2021" s="91">
        <v>1.0</v>
      </c>
      <c r="E2021" s="92">
        <v>21963.67</v>
      </c>
      <c r="F2021" s="92">
        <v>21963.67</v>
      </c>
      <c r="G2021" s="93"/>
      <c r="H2021" s="92"/>
      <c r="I2021" s="92"/>
      <c r="J2021" s="82" t="b">
        <v>0</v>
      </c>
    </row>
    <row r="2022" ht="12.75" hidden="1" customHeight="1" outlineLevel="1">
      <c r="D2022" s="79"/>
      <c r="E2022" s="80"/>
      <c r="F2022" s="80"/>
      <c r="G2022" s="81"/>
      <c r="H2022" s="80"/>
      <c r="I2022" s="80"/>
      <c r="J2022" s="82" t="b">
        <v>0</v>
      </c>
    </row>
    <row r="2023" ht="12.75" hidden="1" customHeight="1" outlineLevel="1">
      <c r="B2023" s="90" t="s">
        <v>1473</v>
      </c>
      <c r="C2023" s="89" t="s">
        <v>161</v>
      </c>
      <c r="D2023" s="91">
        <v>98.0</v>
      </c>
      <c r="E2023" s="80"/>
      <c r="F2023" s="135" t="s">
        <v>619</v>
      </c>
      <c r="G2023" s="159"/>
      <c r="H2023" s="135"/>
      <c r="I2023" s="135"/>
      <c r="J2023" s="82" t="b">
        <v>0</v>
      </c>
    </row>
    <row r="2024" ht="12.75" hidden="1" customHeight="1" outlineLevel="1">
      <c r="D2024" s="79"/>
      <c r="E2024" s="80"/>
      <c r="F2024" s="80"/>
      <c r="G2024" s="81"/>
      <c r="H2024" s="80"/>
      <c r="I2024" s="80"/>
      <c r="J2024" s="82" t="b">
        <v>0</v>
      </c>
    </row>
    <row r="2025" ht="12.75" hidden="1" customHeight="1" outlineLevel="1">
      <c r="B2025" s="90" t="s">
        <v>1317</v>
      </c>
      <c r="D2025" s="79"/>
      <c r="E2025" s="80"/>
      <c r="F2025" s="80"/>
      <c r="G2025" s="81"/>
      <c r="H2025" s="80"/>
      <c r="I2025" s="80"/>
      <c r="J2025" s="82" t="b">
        <v>0</v>
      </c>
    </row>
    <row r="2026" ht="12.75" hidden="1" customHeight="1" outlineLevel="1">
      <c r="D2026" s="79"/>
      <c r="E2026" s="80"/>
      <c r="F2026" s="80"/>
      <c r="G2026" s="81"/>
      <c r="H2026" s="80"/>
      <c r="I2026" s="80"/>
      <c r="J2026" s="82" t="b">
        <v>0</v>
      </c>
    </row>
    <row r="2027" ht="12.75" hidden="1" customHeight="1" outlineLevel="1">
      <c r="B2027" s="90" t="s">
        <v>1474</v>
      </c>
      <c r="C2027" s="89" t="s">
        <v>75</v>
      </c>
      <c r="D2027" s="91">
        <v>1.0</v>
      </c>
      <c r="E2027" s="80"/>
      <c r="F2027" s="135" t="s">
        <v>619</v>
      </c>
      <c r="G2027" s="159"/>
      <c r="H2027" s="135"/>
      <c r="I2027" s="135"/>
      <c r="J2027" s="82" t="b">
        <v>0</v>
      </c>
    </row>
    <row r="2028" ht="12.75" hidden="1" customHeight="1" outlineLevel="1">
      <c r="D2028" s="79"/>
      <c r="E2028" s="80"/>
      <c r="F2028" s="80"/>
      <c r="G2028" s="81"/>
      <c r="H2028" s="80"/>
      <c r="I2028" s="80"/>
      <c r="J2028" s="82" t="b">
        <v>0</v>
      </c>
    </row>
    <row r="2029" ht="12.75" hidden="1" customHeight="1" outlineLevel="1">
      <c r="B2029" s="90" t="s">
        <v>1475</v>
      </c>
      <c r="C2029" s="89" t="s">
        <v>75</v>
      </c>
      <c r="D2029" s="91">
        <v>1.0</v>
      </c>
      <c r="E2029" s="80"/>
      <c r="F2029" s="135" t="s">
        <v>619</v>
      </c>
      <c r="G2029" s="159"/>
      <c r="H2029" s="135"/>
      <c r="I2029" s="135"/>
      <c r="J2029" s="82" t="b">
        <v>0</v>
      </c>
    </row>
    <row r="2030" ht="12.75" hidden="1" customHeight="1" outlineLevel="1">
      <c r="D2030" s="79"/>
      <c r="E2030" s="80"/>
      <c r="F2030" s="80"/>
      <c r="G2030" s="81"/>
      <c r="H2030" s="80"/>
      <c r="I2030" s="80"/>
      <c r="J2030" s="82" t="b">
        <v>0</v>
      </c>
    </row>
    <row r="2031" ht="12.75" hidden="1" customHeight="1" outlineLevel="1">
      <c r="B2031" s="90" t="s">
        <v>1465</v>
      </c>
      <c r="C2031" s="89" t="s">
        <v>75</v>
      </c>
      <c r="D2031" s="91">
        <v>1.0</v>
      </c>
      <c r="E2031" s="80"/>
      <c r="F2031" s="135" t="s">
        <v>619</v>
      </c>
      <c r="G2031" s="159"/>
      <c r="H2031" s="135"/>
      <c r="I2031" s="135"/>
      <c r="J2031" s="82" t="b">
        <v>0</v>
      </c>
    </row>
    <row r="2032" ht="12.75" hidden="1" customHeight="1" outlineLevel="1">
      <c r="D2032" s="79"/>
      <c r="E2032" s="80"/>
      <c r="F2032" s="80"/>
      <c r="G2032" s="81"/>
      <c r="H2032" s="80"/>
      <c r="I2032" s="80"/>
      <c r="J2032" s="82" t="b">
        <v>0</v>
      </c>
    </row>
    <row r="2033" ht="12.75" hidden="1" customHeight="1" outlineLevel="1">
      <c r="B2033" s="90" t="s">
        <v>1317</v>
      </c>
      <c r="D2033" s="79"/>
      <c r="E2033" s="80"/>
      <c r="F2033" s="80"/>
      <c r="G2033" s="81"/>
      <c r="H2033" s="80"/>
      <c r="I2033" s="80"/>
      <c r="J2033" s="82" t="b">
        <v>0</v>
      </c>
    </row>
    <row r="2034" ht="12.75" hidden="1" customHeight="1" outlineLevel="1">
      <c r="D2034" s="79"/>
      <c r="E2034" s="80"/>
      <c r="F2034" s="80"/>
      <c r="G2034" s="81"/>
      <c r="H2034" s="80"/>
      <c r="I2034" s="80"/>
      <c r="J2034" s="82" t="b">
        <v>0</v>
      </c>
    </row>
    <row r="2035" ht="12.75" hidden="1" customHeight="1" outlineLevel="1">
      <c r="B2035" s="90" t="s">
        <v>1466</v>
      </c>
      <c r="C2035" s="89" t="s">
        <v>161</v>
      </c>
      <c r="D2035" s="91">
        <v>50.0</v>
      </c>
      <c r="E2035" s="92">
        <v>2.2</v>
      </c>
      <c r="F2035" s="92">
        <v>110.0</v>
      </c>
      <c r="G2035" s="93"/>
      <c r="H2035" s="92"/>
      <c r="I2035" s="92"/>
      <c r="J2035" s="82" t="b">
        <v>0</v>
      </c>
    </row>
    <row r="2036" ht="12.75" hidden="1" customHeight="1" outlineLevel="1">
      <c r="D2036" s="79"/>
      <c r="E2036" s="80"/>
      <c r="F2036" s="80"/>
      <c r="G2036" s="81"/>
      <c r="H2036" s="80"/>
      <c r="I2036" s="80"/>
      <c r="J2036" s="82" t="b">
        <v>0</v>
      </c>
    </row>
    <row r="2037" ht="12.75" hidden="1" customHeight="1" outlineLevel="1">
      <c r="B2037" s="90" t="s">
        <v>1476</v>
      </c>
      <c r="C2037" s="89" t="s">
        <v>75</v>
      </c>
      <c r="D2037" s="91">
        <v>1.0</v>
      </c>
      <c r="E2037" s="92">
        <v>21.66</v>
      </c>
      <c r="F2037" s="92">
        <v>21.66</v>
      </c>
      <c r="G2037" s="93"/>
      <c r="H2037" s="92"/>
      <c r="I2037" s="92"/>
      <c r="J2037" s="82" t="b">
        <v>0</v>
      </c>
    </row>
    <row r="2038" ht="12.75" hidden="1" customHeight="1" outlineLevel="1">
      <c r="D2038" s="79"/>
      <c r="E2038" s="80"/>
      <c r="F2038" s="80"/>
      <c r="G2038" s="81"/>
      <c r="H2038" s="80"/>
      <c r="I2038" s="80"/>
      <c r="J2038" s="82" t="b">
        <v>0</v>
      </c>
    </row>
    <row r="2039" ht="12.75" hidden="1" customHeight="1" outlineLevel="1">
      <c r="A2039" s="89" t="s">
        <v>1477</v>
      </c>
      <c r="B2039" s="90" t="s">
        <v>1478</v>
      </c>
      <c r="D2039" s="79"/>
      <c r="E2039" s="80"/>
      <c r="F2039" s="80"/>
      <c r="G2039" s="81"/>
      <c r="H2039" s="80"/>
      <c r="I2039" s="80"/>
      <c r="J2039" s="82" t="b">
        <v>0</v>
      </c>
    </row>
    <row r="2040" ht="12.75" hidden="1" customHeight="1" outlineLevel="1">
      <c r="D2040" s="79"/>
      <c r="E2040" s="80"/>
      <c r="F2040" s="80"/>
      <c r="G2040" s="81"/>
      <c r="H2040" s="80"/>
      <c r="I2040" s="80"/>
      <c r="J2040" s="82" t="b">
        <v>0</v>
      </c>
    </row>
    <row r="2041" ht="12.75" hidden="1" customHeight="1" outlineLevel="1">
      <c r="B2041" s="90" t="s">
        <v>1479</v>
      </c>
      <c r="C2041" s="89" t="s">
        <v>75</v>
      </c>
      <c r="D2041" s="91">
        <v>1.0</v>
      </c>
      <c r="E2041" s="80"/>
      <c r="F2041" s="135" t="s">
        <v>619</v>
      </c>
      <c r="G2041" s="159"/>
      <c r="H2041" s="135"/>
      <c r="I2041" s="135"/>
      <c r="J2041" s="82" t="b">
        <v>0</v>
      </c>
    </row>
    <row r="2042" ht="12.75" hidden="1" customHeight="1" outlineLevel="1">
      <c r="D2042" s="79"/>
      <c r="E2042" s="80"/>
      <c r="F2042" s="80"/>
      <c r="G2042" s="81"/>
      <c r="H2042" s="80"/>
      <c r="I2042" s="80"/>
      <c r="J2042" s="82" t="b">
        <v>0</v>
      </c>
    </row>
    <row r="2043" ht="12.75" hidden="1" customHeight="1" outlineLevel="1">
      <c r="B2043" s="90" t="s">
        <v>1480</v>
      </c>
      <c r="C2043" s="89" t="s">
        <v>75</v>
      </c>
      <c r="D2043" s="91">
        <v>1.0</v>
      </c>
      <c r="E2043" s="80"/>
      <c r="F2043" s="135" t="s">
        <v>619</v>
      </c>
      <c r="G2043" s="159"/>
      <c r="H2043" s="135"/>
      <c r="I2043" s="135"/>
      <c r="J2043" s="82" t="b">
        <v>0</v>
      </c>
    </row>
    <row r="2044" ht="12.75" hidden="1" customHeight="1" outlineLevel="1">
      <c r="D2044" s="79"/>
      <c r="E2044" s="80"/>
      <c r="F2044" s="80"/>
      <c r="G2044" s="81"/>
      <c r="H2044" s="80"/>
      <c r="I2044" s="80"/>
      <c r="J2044" s="82" t="b">
        <v>0</v>
      </c>
    </row>
    <row r="2045" ht="12.75" hidden="1" customHeight="1" outlineLevel="1">
      <c r="B2045" s="90" t="s">
        <v>1481</v>
      </c>
      <c r="C2045" s="89" t="s">
        <v>75</v>
      </c>
      <c r="D2045" s="91">
        <v>3.0</v>
      </c>
      <c r="E2045" s="80"/>
      <c r="F2045" s="135" t="s">
        <v>619</v>
      </c>
      <c r="G2045" s="159"/>
      <c r="H2045" s="135"/>
      <c r="I2045" s="135"/>
      <c r="J2045" s="82" t="b">
        <v>0</v>
      </c>
    </row>
    <row r="2046" ht="12.75" hidden="1" customHeight="1" outlineLevel="1">
      <c r="D2046" s="79"/>
      <c r="E2046" s="80"/>
      <c r="F2046" s="80"/>
      <c r="G2046" s="81"/>
      <c r="H2046" s="80"/>
      <c r="I2046" s="80"/>
      <c r="J2046" s="82" t="b">
        <v>0</v>
      </c>
    </row>
    <row r="2047" ht="12.75" hidden="1" customHeight="1" outlineLevel="1">
      <c r="B2047" s="90" t="s">
        <v>1482</v>
      </c>
      <c r="C2047" s="89" t="s">
        <v>75</v>
      </c>
      <c r="D2047" s="91">
        <v>1.0</v>
      </c>
      <c r="E2047" s="80"/>
      <c r="F2047" s="135" t="s">
        <v>619</v>
      </c>
      <c r="G2047" s="159"/>
      <c r="H2047" s="135"/>
      <c r="I2047" s="135"/>
      <c r="J2047" s="82" t="b">
        <v>0</v>
      </c>
    </row>
    <row r="2048" ht="12.75" hidden="1" customHeight="1" outlineLevel="1">
      <c r="D2048" s="79"/>
      <c r="E2048" s="80"/>
      <c r="F2048" s="80"/>
      <c r="G2048" s="81"/>
      <c r="H2048" s="80"/>
      <c r="I2048" s="80"/>
      <c r="J2048" s="82" t="b">
        <v>0</v>
      </c>
    </row>
    <row r="2049" ht="12.75" hidden="1" customHeight="1" outlineLevel="1">
      <c r="A2049" s="89" t="s">
        <v>1483</v>
      </c>
      <c r="B2049" s="90" t="s">
        <v>1484</v>
      </c>
      <c r="C2049" s="89" t="s">
        <v>1485</v>
      </c>
      <c r="D2049" s="91">
        <v>0.0</v>
      </c>
      <c r="E2049" s="80"/>
      <c r="F2049" s="92">
        <v>0.0</v>
      </c>
      <c r="G2049" s="93"/>
      <c r="H2049" s="92"/>
      <c r="I2049" s="92"/>
      <c r="J2049" s="82" t="b">
        <v>0</v>
      </c>
    </row>
    <row r="2050" ht="12.75" hidden="1" customHeight="1" outlineLevel="1">
      <c r="D2050" s="79"/>
      <c r="E2050" s="80"/>
      <c r="F2050" s="80"/>
      <c r="G2050" s="81"/>
      <c r="H2050" s="80"/>
      <c r="I2050" s="80"/>
      <c r="J2050" s="82" t="b">
        <v>0</v>
      </c>
    </row>
    <row r="2051" ht="12.75" hidden="1" customHeight="1" outlineLevel="1">
      <c r="A2051" s="89" t="s">
        <v>1486</v>
      </c>
      <c r="B2051" s="90" t="s">
        <v>1487</v>
      </c>
      <c r="C2051" s="89" t="s">
        <v>1435</v>
      </c>
      <c r="D2051" s="91">
        <v>1.0</v>
      </c>
      <c r="E2051" s="92">
        <v>6366.06</v>
      </c>
      <c r="F2051" s="92">
        <v>6366.06</v>
      </c>
      <c r="G2051" s="93"/>
      <c r="H2051" s="92"/>
      <c r="I2051" s="92"/>
      <c r="J2051" s="82" t="b">
        <v>0</v>
      </c>
    </row>
    <row r="2052" ht="12.75" hidden="1" customHeight="1" outlineLevel="1">
      <c r="D2052" s="79"/>
      <c r="E2052" s="80"/>
      <c r="F2052" s="80"/>
      <c r="G2052" s="81"/>
      <c r="H2052" s="80"/>
      <c r="I2052" s="80"/>
      <c r="J2052" s="82" t="b">
        <v>0</v>
      </c>
    </row>
    <row r="2053" ht="12.75" hidden="1" customHeight="1" outlineLevel="1">
      <c r="B2053" s="90" t="s">
        <v>1488</v>
      </c>
      <c r="D2053" s="79"/>
      <c r="E2053" s="80"/>
      <c r="F2053" s="80"/>
      <c r="G2053" s="81"/>
      <c r="H2053" s="80"/>
      <c r="I2053" s="80"/>
      <c r="J2053" s="82" t="b">
        <v>0</v>
      </c>
    </row>
    <row r="2054" ht="12.75" hidden="1" customHeight="1" outlineLevel="1">
      <c r="D2054" s="79"/>
      <c r="E2054" s="80"/>
      <c r="F2054" s="80"/>
      <c r="G2054" s="81"/>
      <c r="H2054" s="80"/>
      <c r="I2054" s="80"/>
      <c r="J2054" s="82" t="b">
        <v>0</v>
      </c>
    </row>
    <row r="2055" ht="12.75" hidden="1" customHeight="1" outlineLevel="1">
      <c r="B2055" s="90" t="s">
        <v>1489</v>
      </c>
      <c r="D2055" s="79"/>
      <c r="E2055" s="80"/>
      <c r="F2055" s="80"/>
      <c r="G2055" s="81"/>
      <c r="H2055" s="80"/>
      <c r="I2055" s="80"/>
      <c r="J2055" s="82" t="b">
        <v>0</v>
      </c>
    </row>
    <row r="2056" ht="12.75" hidden="1" customHeight="1" outlineLevel="1">
      <c r="D2056" s="79"/>
      <c r="E2056" s="80"/>
      <c r="F2056" s="80"/>
      <c r="G2056" s="81"/>
      <c r="H2056" s="80"/>
      <c r="I2056" s="80"/>
      <c r="J2056" s="82" t="b">
        <v>0</v>
      </c>
    </row>
    <row r="2057" ht="12.75" hidden="1" customHeight="1" outlineLevel="1">
      <c r="B2057" s="90" t="s">
        <v>1490</v>
      </c>
      <c r="C2057" s="89" t="s">
        <v>33</v>
      </c>
      <c r="D2057" s="91">
        <v>1.0</v>
      </c>
      <c r="E2057" s="80"/>
      <c r="F2057" s="135" t="s">
        <v>619</v>
      </c>
      <c r="G2057" s="159"/>
      <c r="H2057" s="135"/>
      <c r="I2057" s="135"/>
      <c r="J2057" s="82" t="b">
        <v>0</v>
      </c>
    </row>
    <row r="2058" ht="12.75" hidden="1" customHeight="1" outlineLevel="1">
      <c r="D2058" s="79"/>
      <c r="E2058" s="80"/>
      <c r="F2058" s="80"/>
      <c r="G2058" s="81"/>
      <c r="H2058" s="80"/>
      <c r="I2058" s="80"/>
      <c r="J2058" s="82" t="b">
        <v>0</v>
      </c>
    </row>
    <row r="2059" ht="12.75" hidden="1" customHeight="1" outlineLevel="1">
      <c r="B2059" s="90" t="s">
        <v>1491</v>
      </c>
      <c r="C2059" s="89" t="s">
        <v>75</v>
      </c>
      <c r="D2059" s="91">
        <v>1.0</v>
      </c>
      <c r="E2059" s="80"/>
      <c r="F2059" s="135" t="s">
        <v>619</v>
      </c>
      <c r="G2059" s="159"/>
      <c r="H2059" s="135"/>
      <c r="I2059" s="135"/>
      <c r="J2059" s="82" t="b">
        <v>0</v>
      </c>
    </row>
    <row r="2060" ht="12.75" hidden="1" customHeight="1" outlineLevel="1">
      <c r="D2060" s="79"/>
      <c r="E2060" s="80"/>
      <c r="F2060" s="80"/>
      <c r="G2060" s="81"/>
      <c r="H2060" s="80"/>
      <c r="I2060" s="80"/>
      <c r="J2060" s="82" t="b">
        <v>0</v>
      </c>
    </row>
    <row r="2061" ht="12.75" hidden="1" customHeight="1" outlineLevel="1">
      <c r="B2061" s="90" t="s">
        <v>1492</v>
      </c>
      <c r="C2061" s="89" t="s">
        <v>161</v>
      </c>
      <c r="D2061" s="91">
        <v>654.0</v>
      </c>
      <c r="E2061" s="80"/>
      <c r="F2061" s="135" t="s">
        <v>619</v>
      </c>
      <c r="G2061" s="159"/>
      <c r="H2061" s="135"/>
      <c r="I2061" s="135"/>
      <c r="J2061" s="82" t="b">
        <v>0</v>
      </c>
    </row>
    <row r="2062" ht="12.75" hidden="1" customHeight="1" outlineLevel="1">
      <c r="D2062" s="79"/>
      <c r="E2062" s="80"/>
      <c r="F2062" s="80"/>
      <c r="G2062" s="81"/>
      <c r="H2062" s="80"/>
      <c r="I2062" s="80"/>
      <c r="J2062" s="82" t="b">
        <v>0</v>
      </c>
    </row>
    <row r="2063" ht="12.75" hidden="1" customHeight="1" outlineLevel="1">
      <c r="B2063" s="90" t="s">
        <v>1493</v>
      </c>
      <c r="C2063" s="89" t="s">
        <v>75</v>
      </c>
      <c r="D2063" s="91">
        <v>1.0</v>
      </c>
      <c r="E2063" s="80"/>
      <c r="F2063" s="135" t="s">
        <v>619</v>
      </c>
      <c r="G2063" s="159"/>
      <c r="H2063" s="135"/>
      <c r="I2063" s="135"/>
      <c r="J2063" s="82" t="b">
        <v>0</v>
      </c>
    </row>
    <row r="2064" ht="12.75" hidden="1" customHeight="1" outlineLevel="1">
      <c r="D2064" s="79"/>
      <c r="E2064" s="80"/>
      <c r="F2064" s="80"/>
      <c r="G2064" s="81"/>
      <c r="H2064" s="80"/>
      <c r="I2064" s="80"/>
      <c r="J2064" s="82" t="b">
        <v>0</v>
      </c>
    </row>
    <row r="2065" ht="12.75" hidden="1" customHeight="1" outlineLevel="1">
      <c r="B2065" s="90" t="s">
        <v>1494</v>
      </c>
      <c r="C2065" s="89" t="s">
        <v>75</v>
      </c>
      <c r="D2065" s="91">
        <v>1.0</v>
      </c>
      <c r="E2065" s="80"/>
      <c r="F2065" s="135" t="s">
        <v>619</v>
      </c>
      <c r="G2065" s="159"/>
      <c r="H2065" s="135"/>
      <c r="I2065" s="135"/>
      <c r="J2065" s="82" t="b">
        <v>0</v>
      </c>
    </row>
    <row r="2066" ht="12.75" hidden="1" customHeight="1" outlineLevel="1">
      <c r="D2066" s="79"/>
      <c r="E2066" s="80"/>
      <c r="F2066" s="80"/>
      <c r="G2066" s="81"/>
      <c r="H2066" s="80"/>
      <c r="I2066" s="80"/>
      <c r="J2066" s="82" t="b">
        <v>0</v>
      </c>
    </row>
    <row r="2067" ht="12.75" hidden="1" customHeight="1" outlineLevel="1">
      <c r="B2067" s="90" t="s">
        <v>1495</v>
      </c>
      <c r="C2067" s="89" t="s">
        <v>75</v>
      </c>
      <c r="D2067" s="91">
        <v>1.0</v>
      </c>
      <c r="E2067" s="80"/>
      <c r="F2067" s="135" t="s">
        <v>619</v>
      </c>
      <c r="G2067" s="159"/>
      <c r="H2067" s="135"/>
      <c r="I2067" s="135"/>
      <c r="J2067" s="82" t="b">
        <v>0</v>
      </c>
    </row>
    <row r="2068" ht="12.75" hidden="1" customHeight="1" outlineLevel="1">
      <c r="D2068" s="79"/>
      <c r="E2068" s="80"/>
      <c r="F2068" s="80"/>
      <c r="G2068" s="81"/>
      <c r="H2068" s="80"/>
      <c r="I2068" s="80"/>
      <c r="J2068" s="82" t="b">
        <v>0</v>
      </c>
    </row>
    <row r="2069" ht="12.75" hidden="1" customHeight="1" outlineLevel="1">
      <c r="B2069" s="90" t="s">
        <v>1496</v>
      </c>
      <c r="C2069" s="89" t="s">
        <v>75</v>
      </c>
      <c r="D2069" s="91">
        <v>1.0</v>
      </c>
      <c r="E2069" s="80"/>
      <c r="F2069" s="135" t="s">
        <v>619</v>
      </c>
      <c r="G2069" s="159"/>
      <c r="H2069" s="135"/>
      <c r="I2069" s="135"/>
      <c r="J2069" s="82" t="b">
        <v>0</v>
      </c>
    </row>
    <row r="2070" ht="12.75" hidden="1" customHeight="1" outlineLevel="1">
      <c r="D2070" s="79"/>
      <c r="E2070" s="80"/>
      <c r="F2070" s="80"/>
      <c r="G2070" s="81"/>
      <c r="H2070" s="80"/>
      <c r="I2070" s="80"/>
      <c r="J2070" s="82" t="b">
        <v>0</v>
      </c>
    </row>
    <row r="2071" ht="12.75" hidden="1" customHeight="1" outlineLevel="1">
      <c r="B2071" s="90" t="s">
        <v>1497</v>
      </c>
      <c r="C2071" s="89" t="s">
        <v>75</v>
      </c>
      <c r="D2071" s="91">
        <v>5.0</v>
      </c>
      <c r="E2071" s="80"/>
      <c r="F2071" s="135" t="s">
        <v>619</v>
      </c>
      <c r="G2071" s="159"/>
      <c r="H2071" s="135"/>
      <c r="I2071" s="135"/>
      <c r="J2071" s="82" t="b">
        <v>0</v>
      </c>
    </row>
    <row r="2072" ht="12.75" hidden="1" customHeight="1" outlineLevel="1">
      <c r="D2072" s="79"/>
      <c r="E2072" s="80"/>
      <c r="F2072" s="80"/>
      <c r="G2072" s="81"/>
      <c r="H2072" s="80"/>
      <c r="I2072" s="80"/>
      <c r="J2072" s="82" t="b">
        <v>0</v>
      </c>
    </row>
    <row r="2073" ht="12.75" hidden="1" customHeight="1" outlineLevel="1">
      <c r="B2073" s="90" t="s">
        <v>1498</v>
      </c>
      <c r="C2073" s="89" t="s">
        <v>75</v>
      </c>
      <c r="D2073" s="91">
        <v>19.0</v>
      </c>
      <c r="E2073" s="80"/>
      <c r="F2073" s="135" t="s">
        <v>619</v>
      </c>
      <c r="G2073" s="159"/>
      <c r="H2073" s="135"/>
      <c r="I2073" s="135"/>
      <c r="J2073" s="82" t="b">
        <v>0</v>
      </c>
    </row>
    <row r="2074" ht="12.75" hidden="1" customHeight="1" outlineLevel="1">
      <c r="D2074" s="79"/>
      <c r="E2074" s="80"/>
      <c r="F2074" s="80"/>
      <c r="G2074" s="81"/>
      <c r="H2074" s="80"/>
      <c r="I2074" s="80"/>
      <c r="J2074" s="82" t="b">
        <v>0</v>
      </c>
    </row>
    <row r="2075" ht="12.75" hidden="1" customHeight="1" outlineLevel="1">
      <c r="B2075" s="90" t="s">
        <v>1499</v>
      </c>
      <c r="C2075" s="89" t="s">
        <v>75</v>
      </c>
      <c r="D2075" s="91">
        <v>4.0</v>
      </c>
      <c r="E2075" s="80"/>
      <c r="F2075" s="135" t="s">
        <v>619</v>
      </c>
      <c r="G2075" s="159"/>
      <c r="H2075" s="135"/>
      <c r="I2075" s="135"/>
      <c r="J2075" s="82" t="b">
        <v>0</v>
      </c>
    </row>
    <row r="2076" ht="12.75" hidden="1" customHeight="1" outlineLevel="1">
      <c r="D2076" s="79"/>
      <c r="E2076" s="80"/>
      <c r="F2076" s="80"/>
      <c r="G2076" s="81"/>
      <c r="H2076" s="80"/>
      <c r="I2076" s="80"/>
      <c r="J2076" s="82" t="b">
        <v>0</v>
      </c>
    </row>
    <row r="2077" ht="12.75" hidden="1" customHeight="1" outlineLevel="1">
      <c r="B2077" s="90" t="s">
        <v>1500</v>
      </c>
      <c r="C2077" s="89" t="s">
        <v>75</v>
      </c>
      <c r="D2077" s="91">
        <v>9.0</v>
      </c>
      <c r="E2077" s="80"/>
      <c r="F2077" s="135" t="s">
        <v>619</v>
      </c>
      <c r="G2077" s="159"/>
      <c r="H2077" s="135"/>
      <c r="I2077" s="135"/>
      <c r="J2077" s="82" t="b">
        <v>0</v>
      </c>
    </row>
    <row r="2078" ht="12.75" hidden="1" customHeight="1" outlineLevel="1">
      <c r="D2078" s="79"/>
      <c r="E2078" s="80"/>
      <c r="F2078" s="80"/>
      <c r="G2078" s="81"/>
      <c r="H2078" s="80"/>
      <c r="I2078" s="80"/>
      <c r="J2078" s="82" t="b">
        <v>0</v>
      </c>
    </row>
    <row r="2079" ht="12.75" hidden="1" customHeight="1" outlineLevel="1">
      <c r="B2079" s="90" t="s">
        <v>1501</v>
      </c>
      <c r="C2079" s="89" t="s">
        <v>75</v>
      </c>
      <c r="D2079" s="91">
        <v>1.0</v>
      </c>
      <c r="E2079" s="80"/>
      <c r="F2079" s="135" t="s">
        <v>619</v>
      </c>
      <c r="G2079" s="159"/>
      <c r="H2079" s="135"/>
      <c r="I2079" s="135"/>
      <c r="J2079" s="82" t="b">
        <v>0</v>
      </c>
    </row>
    <row r="2080" ht="12.75" hidden="1" customHeight="1" outlineLevel="1">
      <c r="D2080" s="79"/>
      <c r="E2080" s="80"/>
      <c r="F2080" s="80"/>
      <c r="G2080" s="81"/>
      <c r="H2080" s="80"/>
      <c r="I2080" s="80"/>
      <c r="J2080" s="82" t="b">
        <v>0</v>
      </c>
    </row>
    <row r="2081" ht="12.75" hidden="1" customHeight="1" outlineLevel="1">
      <c r="B2081" s="90" t="s">
        <v>1502</v>
      </c>
      <c r="C2081" s="89" t="s">
        <v>75</v>
      </c>
      <c r="D2081" s="91">
        <v>2.0</v>
      </c>
      <c r="E2081" s="80"/>
      <c r="F2081" s="135" t="s">
        <v>619</v>
      </c>
      <c r="G2081" s="159"/>
      <c r="H2081" s="135"/>
      <c r="I2081" s="135"/>
      <c r="J2081" s="82" t="b">
        <v>0</v>
      </c>
    </row>
    <row r="2082" ht="12.75" hidden="1" customHeight="1" outlineLevel="1">
      <c r="D2082" s="79"/>
      <c r="E2082" s="80"/>
      <c r="F2082" s="80"/>
      <c r="G2082" s="81"/>
      <c r="H2082" s="80"/>
      <c r="I2082" s="80"/>
      <c r="J2082" s="82" t="b">
        <v>0</v>
      </c>
    </row>
    <row r="2083" ht="12.75" hidden="1" customHeight="1" outlineLevel="1">
      <c r="B2083" s="90" t="s">
        <v>1503</v>
      </c>
      <c r="C2083" s="89" t="s">
        <v>75</v>
      </c>
      <c r="D2083" s="91">
        <v>1.0</v>
      </c>
      <c r="E2083" s="80"/>
      <c r="F2083" s="135" t="s">
        <v>619</v>
      </c>
      <c r="G2083" s="159"/>
      <c r="H2083" s="135"/>
      <c r="I2083" s="135"/>
      <c r="J2083" s="82" t="b">
        <v>0</v>
      </c>
    </row>
    <row r="2084" ht="12.75" hidden="1" customHeight="1" outlineLevel="1">
      <c r="D2084" s="79"/>
      <c r="E2084" s="80"/>
      <c r="F2084" s="80"/>
      <c r="G2084" s="81"/>
      <c r="H2084" s="80"/>
      <c r="I2084" s="80"/>
      <c r="J2084" s="82" t="b">
        <v>0</v>
      </c>
    </row>
    <row r="2085" ht="12.75" hidden="1" customHeight="1" outlineLevel="1">
      <c r="B2085" s="90" t="s">
        <v>1504</v>
      </c>
      <c r="C2085" s="89" t="s">
        <v>161</v>
      </c>
      <c r="D2085" s="91">
        <v>628.0</v>
      </c>
      <c r="E2085" s="92">
        <v>1.81</v>
      </c>
      <c r="F2085" s="92">
        <v>1136.68</v>
      </c>
      <c r="G2085" s="93"/>
      <c r="H2085" s="92"/>
      <c r="I2085" s="92"/>
      <c r="J2085" s="82" t="b">
        <v>0</v>
      </c>
    </row>
    <row r="2086" ht="12.75" hidden="1" customHeight="1" outlineLevel="1">
      <c r="D2086" s="79"/>
      <c r="E2086" s="80"/>
      <c r="F2086" s="80"/>
      <c r="G2086" s="81"/>
      <c r="H2086" s="80"/>
      <c r="I2086" s="80"/>
      <c r="J2086" s="82" t="b">
        <v>0</v>
      </c>
    </row>
    <row r="2087" ht="12.75" hidden="1" customHeight="1" outlineLevel="1">
      <c r="B2087" s="90" t="s">
        <v>1505</v>
      </c>
      <c r="C2087" s="89" t="s">
        <v>161</v>
      </c>
      <c r="D2087" s="91">
        <v>25.0</v>
      </c>
      <c r="E2087" s="92">
        <v>2.34</v>
      </c>
      <c r="F2087" s="92">
        <v>58.5</v>
      </c>
      <c r="G2087" s="93"/>
      <c r="H2087" s="92"/>
      <c r="I2087" s="92"/>
      <c r="J2087" s="82" t="b">
        <v>0</v>
      </c>
    </row>
    <row r="2088" ht="12.75" hidden="1" customHeight="1" outlineLevel="1">
      <c r="D2088" s="79"/>
      <c r="E2088" s="80"/>
      <c r="F2088" s="80"/>
      <c r="G2088" s="81"/>
      <c r="H2088" s="80"/>
      <c r="I2088" s="80"/>
      <c r="J2088" s="82" t="b">
        <v>0</v>
      </c>
    </row>
    <row r="2089" ht="12.75" hidden="1" customHeight="1" outlineLevel="1">
      <c r="B2089" s="90" t="s">
        <v>1468</v>
      </c>
      <c r="C2089" s="89" t="s">
        <v>75</v>
      </c>
      <c r="D2089" s="91">
        <v>2.0</v>
      </c>
      <c r="E2089" s="92">
        <v>61.67</v>
      </c>
      <c r="F2089" s="92">
        <v>123.34</v>
      </c>
      <c r="G2089" s="93"/>
      <c r="H2089" s="92"/>
      <c r="I2089" s="92"/>
      <c r="J2089" s="82" t="b">
        <v>0</v>
      </c>
    </row>
    <row r="2090" ht="12.75" hidden="1" customHeight="1" outlineLevel="1">
      <c r="D2090" s="79"/>
      <c r="E2090" s="80"/>
      <c r="F2090" s="80"/>
      <c r="G2090" s="81"/>
      <c r="H2090" s="80"/>
      <c r="I2090" s="80"/>
      <c r="J2090" s="82" t="b">
        <v>0</v>
      </c>
    </row>
    <row r="2091" ht="12.75" hidden="1" customHeight="1" outlineLevel="1">
      <c r="B2091" s="90" t="s">
        <v>1506</v>
      </c>
      <c r="C2091" s="89" t="s">
        <v>75</v>
      </c>
      <c r="D2091" s="91">
        <v>1.0</v>
      </c>
      <c r="E2091" s="92">
        <v>77.83</v>
      </c>
      <c r="F2091" s="92">
        <v>77.83</v>
      </c>
      <c r="G2091" s="93"/>
      <c r="H2091" s="92"/>
      <c r="I2091" s="92"/>
      <c r="J2091" s="82" t="b">
        <v>0</v>
      </c>
    </row>
    <row r="2092" ht="12.75" hidden="1" customHeight="1" outlineLevel="1">
      <c r="D2092" s="79"/>
      <c r="E2092" s="80"/>
      <c r="F2092" s="80"/>
      <c r="G2092" s="81"/>
      <c r="H2092" s="80"/>
      <c r="I2092" s="80"/>
      <c r="J2092" s="82" t="b">
        <v>0</v>
      </c>
    </row>
    <row r="2093" ht="12.75" hidden="1" customHeight="1" outlineLevel="1">
      <c r="A2093" s="89" t="s">
        <v>1507</v>
      </c>
      <c r="B2093" s="90" t="s">
        <v>1508</v>
      </c>
      <c r="C2093" s="89" t="s">
        <v>1435</v>
      </c>
      <c r="D2093" s="91">
        <v>1.0</v>
      </c>
      <c r="E2093" s="92">
        <v>8837.23</v>
      </c>
      <c r="F2093" s="92">
        <v>8837.23</v>
      </c>
      <c r="G2093" s="93"/>
      <c r="H2093" s="92"/>
      <c r="I2093" s="92"/>
      <c r="J2093" s="82" t="b">
        <v>0</v>
      </c>
    </row>
    <row r="2094" ht="12.75" hidden="1" customHeight="1" outlineLevel="1">
      <c r="D2094" s="79"/>
      <c r="E2094" s="80"/>
      <c r="F2094" s="80"/>
      <c r="G2094" s="81"/>
      <c r="H2094" s="80"/>
      <c r="I2094" s="80"/>
      <c r="J2094" s="82" t="b">
        <v>0</v>
      </c>
    </row>
    <row r="2095" ht="12.75" hidden="1" customHeight="1" outlineLevel="1">
      <c r="B2095" s="90" t="s">
        <v>1509</v>
      </c>
      <c r="D2095" s="79"/>
      <c r="E2095" s="80"/>
      <c r="F2095" s="80"/>
      <c r="G2095" s="81"/>
      <c r="H2095" s="80"/>
      <c r="I2095" s="80"/>
      <c r="J2095" s="82" t="b">
        <v>0</v>
      </c>
    </row>
    <row r="2096" ht="12.75" hidden="1" customHeight="1" outlineLevel="1">
      <c r="D2096" s="79"/>
      <c r="E2096" s="80"/>
      <c r="F2096" s="80"/>
      <c r="G2096" s="81"/>
      <c r="H2096" s="80"/>
      <c r="I2096" s="80"/>
      <c r="J2096" s="82" t="b">
        <v>0</v>
      </c>
    </row>
    <row r="2097" ht="12.75" hidden="1" customHeight="1" outlineLevel="1">
      <c r="B2097" s="90" t="s">
        <v>1510</v>
      </c>
      <c r="D2097" s="79"/>
      <c r="E2097" s="80"/>
      <c r="F2097" s="80"/>
      <c r="G2097" s="81"/>
      <c r="H2097" s="80"/>
      <c r="I2097" s="80"/>
      <c r="J2097" s="82" t="b">
        <v>0</v>
      </c>
    </row>
    <row r="2098" ht="12.75" hidden="1" customHeight="1" outlineLevel="1">
      <c r="D2098" s="79"/>
      <c r="E2098" s="80"/>
      <c r="F2098" s="80"/>
      <c r="G2098" s="81"/>
      <c r="H2098" s="80"/>
      <c r="I2098" s="80"/>
      <c r="J2098" s="82" t="b">
        <v>0</v>
      </c>
    </row>
    <row r="2099" ht="12.75" hidden="1" customHeight="1" outlineLevel="1">
      <c r="B2099" s="90" t="s">
        <v>1511</v>
      </c>
      <c r="C2099" s="89" t="s">
        <v>75</v>
      </c>
      <c r="D2099" s="91">
        <v>1.0</v>
      </c>
      <c r="E2099" s="80"/>
      <c r="F2099" s="135" t="s">
        <v>619</v>
      </c>
      <c r="G2099" s="159"/>
      <c r="H2099" s="135"/>
      <c r="I2099" s="135"/>
      <c r="J2099" s="82" t="b">
        <v>0</v>
      </c>
    </row>
    <row r="2100" ht="12.75" hidden="1" customHeight="1" outlineLevel="1">
      <c r="D2100" s="79"/>
      <c r="E2100" s="80"/>
      <c r="F2100" s="80"/>
      <c r="G2100" s="81"/>
      <c r="H2100" s="80"/>
      <c r="I2100" s="80"/>
      <c r="J2100" s="82" t="b">
        <v>0</v>
      </c>
    </row>
    <row r="2101" ht="12.75" hidden="1" customHeight="1" outlineLevel="1">
      <c r="B2101" s="90" t="s">
        <v>1512</v>
      </c>
      <c r="C2101" s="89" t="s">
        <v>75</v>
      </c>
      <c r="D2101" s="91">
        <v>1.0</v>
      </c>
      <c r="E2101" s="80"/>
      <c r="F2101" s="135" t="s">
        <v>619</v>
      </c>
      <c r="G2101" s="159"/>
      <c r="H2101" s="135"/>
      <c r="I2101" s="135"/>
      <c r="J2101" s="82" t="b">
        <v>0</v>
      </c>
    </row>
    <row r="2102" ht="12.75" hidden="1" customHeight="1" outlineLevel="1">
      <c r="D2102" s="79"/>
      <c r="E2102" s="80"/>
      <c r="F2102" s="80"/>
      <c r="G2102" s="81"/>
      <c r="H2102" s="80"/>
      <c r="I2102" s="80"/>
      <c r="J2102" s="82" t="b">
        <v>0</v>
      </c>
    </row>
    <row r="2103" ht="12.75" hidden="1" customHeight="1" outlineLevel="1">
      <c r="B2103" s="90" t="s">
        <v>1513</v>
      </c>
      <c r="C2103" s="89" t="s">
        <v>75</v>
      </c>
      <c r="D2103" s="91">
        <v>1.0</v>
      </c>
      <c r="E2103" s="80"/>
      <c r="F2103" s="135" t="s">
        <v>619</v>
      </c>
      <c r="G2103" s="159"/>
      <c r="H2103" s="135"/>
      <c r="I2103" s="135"/>
      <c r="J2103" s="82" t="b">
        <v>0</v>
      </c>
    </row>
    <row r="2104" ht="12.75" hidden="1" customHeight="1" outlineLevel="1">
      <c r="D2104" s="79"/>
      <c r="E2104" s="80"/>
      <c r="F2104" s="80"/>
      <c r="G2104" s="81"/>
      <c r="H2104" s="80"/>
      <c r="I2104" s="80"/>
      <c r="J2104" s="82" t="b">
        <v>0</v>
      </c>
    </row>
    <row r="2105" ht="12.75" hidden="1" customHeight="1" outlineLevel="1">
      <c r="B2105" s="90" t="s">
        <v>1514</v>
      </c>
      <c r="C2105" s="89" t="s">
        <v>75</v>
      </c>
      <c r="D2105" s="91">
        <v>1.0</v>
      </c>
      <c r="E2105" s="80"/>
      <c r="F2105" s="135" t="s">
        <v>619</v>
      </c>
      <c r="G2105" s="159"/>
      <c r="H2105" s="135"/>
      <c r="I2105" s="135"/>
      <c r="J2105" s="82" t="b">
        <v>0</v>
      </c>
    </row>
    <row r="2106" ht="12.75" hidden="1" customHeight="1" outlineLevel="1">
      <c r="D2106" s="79"/>
      <c r="E2106" s="80"/>
      <c r="F2106" s="80"/>
      <c r="G2106" s="81"/>
      <c r="H2106" s="80"/>
      <c r="I2106" s="80"/>
      <c r="J2106" s="82" t="b">
        <v>0</v>
      </c>
    </row>
    <row r="2107" ht="12.75" hidden="1" customHeight="1" outlineLevel="1">
      <c r="B2107" s="90" t="s">
        <v>1515</v>
      </c>
      <c r="C2107" s="89" t="s">
        <v>161</v>
      </c>
      <c r="D2107" s="91">
        <v>398.0</v>
      </c>
      <c r="E2107" s="80"/>
      <c r="F2107" s="135" t="s">
        <v>619</v>
      </c>
      <c r="G2107" s="159"/>
      <c r="H2107" s="135"/>
      <c r="I2107" s="135"/>
      <c r="J2107" s="82" t="b">
        <v>0</v>
      </c>
    </row>
    <row r="2108" ht="12.75" hidden="1" customHeight="1" outlineLevel="1">
      <c r="D2108" s="79"/>
      <c r="E2108" s="80"/>
      <c r="F2108" s="80"/>
      <c r="G2108" s="81"/>
      <c r="H2108" s="80"/>
      <c r="I2108" s="80"/>
      <c r="J2108" s="82" t="b">
        <v>0</v>
      </c>
    </row>
    <row r="2109" ht="12.75" hidden="1" customHeight="1" outlineLevel="1">
      <c r="B2109" s="90" t="s">
        <v>1516</v>
      </c>
      <c r="C2109" s="89" t="s">
        <v>75</v>
      </c>
      <c r="D2109" s="91">
        <v>9.0</v>
      </c>
      <c r="E2109" s="80"/>
      <c r="F2109" s="135" t="s">
        <v>619</v>
      </c>
      <c r="G2109" s="159"/>
      <c r="H2109" s="135"/>
      <c r="I2109" s="135"/>
      <c r="J2109" s="82" t="b">
        <v>0</v>
      </c>
    </row>
    <row r="2110" ht="12.75" hidden="1" customHeight="1" outlineLevel="1">
      <c r="D2110" s="79"/>
      <c r="E2110" s="80"/>
      <c r="F2110" s="80"/>
      <c r="G2110" s="81"/>
      <c r="H2110" s="80"/>
      <c r="I2110" s="80"/>
      <c r="J2110" s="82" t="b">
        <v>0</v>
      </c>
    </row>
    <row r="2111" ht="12.75" hidden="1" customHeight="1" outlineLevel="1">
      <c r="B2111" s="90" t="s">
        <v>1517</v>
      </c>
      <c r="C2111" s="89" t="s">
        <v>75</v>
      </c>
      <c r="D2111" s="91">
        <v>4.0</v>
      </c>
      <c r="E2111" s="80"/>
      <c r="F2111" s="135" t="s">
        <v>619</v>
      </c>
      <c r="G2111" s="159"/>
      <c r="H2111" s="135"/>
      <c r="I2111" s="135"/>
      <c r="J2111" s="82" t="b">
        <v>0</v>
      </c>
    </row>
    <row r="2112" ht="12.75" hidden="1" customHeight="1" outlineLevel="1">
      <c r="D2112" s="79"/>
      <c r="E2112" s="80"/>
      <c r="F2112" s="80"/>
      <c r="G2112" s="81"/>
      <c r="H2112" s="80"/>
      <c r="I2112" s="80"/>
      <c r="J2112" s="82" t="b">
        <v>0</v>
      </c>
    </row>
    <row r="2113" ht="12.75" hidden="1" customHeight="1" outlineLevel="1">
      <c r="B2113" s="90" t="s">
        <v>1518</v>
      </c>
      <c r="C2113" s="89" t="s">
        <v>75</v>
      </c>
      <c r="D2113" s="91">
        <v>1.0</v>
      </c>
      <c r="E2113" s="80"/>
      <c r="F2113" s="135" t="s">
        <v>619</v>
      </c>
      <c r="G2113" s="159"/>
      <c r="H2113" s="135"/>
      <c r="I2113" s="135"/>
      <c r="J2113" s="82" t="b">
        <v>0</v>
      </c>
    </row>
    <row r="2114" ht="12.75" hidden="1" customHeight="1" outlineLevel="1">
      <c r="D2114" s="79"/>
      <c r="E2114" s="80"/>
      <c r="F2114" s="80"/>
      <c r="G2114" s="81"/>
      <c r="H2114" s="80"/>
      <c r="I2114" s="80"/>
      <c r="J2114" s="82" t="b">
        <v>0</v>
      </c>
    </row>
    <row r="2115" ht="12.75" hidden="1" customHeight="1" outlineLevel="1">
      <c r="B2115" s="90" t="s">
        <v>1519</v>
      </c>
      <c r="C2115" s="89" t="s">
        <v>161</v>
      </c>
      <c r="D2115" s="91">
        <v>369.0</v>
      </c>
      <c r="E2115" s="92">
        <v>2.2</v>
      </c>
      <c r="F2115" s="92">
        <v>811.8</v>
      </c>
      <c r="G2115" s="93"/>
      <c r="H2115" s="92"/>
      <c r="I2115" s="92"/>
      <c r="J2115" s="82" t="b">
        <v>0</v>
      </c>
    </row>
    <row r="2116" ht="12.75" hidden="1" customHeight="1" outlineLevel="1">
      <c r="D2116" s="79"/>
      <c r="E2116" s="80"/>
      <c r="F2116" s="80"/>
      <c r="G2116" s="81"/>
      <c r="H2116" s="80"/>
      <c r="I2116" s="80"/>
      <c r="J2116" s="82" t="b">
        <v>0</v>
      </c>
    </row>
    <row r="2117" ht="12.75" hidden="1" customHeight="1" outlineLevel="1">
      <c r="B2117" s="90" t="s">
        <v>1520</v>
      </c>
      <c r="C2117" s="89" t="s">
        <v>161</v>
      </c>
      <c r="D2117" s="91">
        <v>13.0</v>
      </c>
      <c r="E2117" s="92">
        <v>2.34</v>
      </c>
      <c r="F2117" s="92">
        <v>30.42</v>
      </c>
      <c r="G2117" s="93"/>
      <c r="H2117" s="92"/>
      <c r="I2117" s="92"/>
      <c r="J2117" s="82" t="b">
        <v>0</v>
      </c>
    </row>
    <row r="2118" ht="12.75" hidden="1" customHeight="1" outlineLevel="1">
      <c r="D2118" s="79"/>
      <c r="E2118" s="80"/>
      <c r="F2118" s="80"/>
      <c r="G2118" s="81"/>
      <c r="H2118" s="80"/>
      <c r="I2118" s="80"/>
      <c r="J2118" s="82" t="b">
        <v>0</v>
      </c>
    </row>
    <row r="2119" ht="12.75" hidden="1" customHeight="1" outlineLevel="1">
      <c r="A2119" s="89" t="s">
        <v>1521</v>
      </c>
      <c r="B2119" s="90" t="s">
        <v>1430</v>
      </c>
      <c r="D2119" s="79"/>
      <c r="E2119" s="80"/>
      <c r="F2119" s="80"/>
      <c r="G2119" s="81"/>
      <c r="H2119" s="80"/>
      <c r="I2119" s="80"/>
      <c r="J2119" s="82" t="b">
        <v>0</v>
      </c>
    </row>
    <row r="2120" ht="12.75" hidden="1" customHeight="1" outlineLevel="1">
      <c r="D2120" s="79"/>
      <c r="E2120" s="80"/>
      <c r="F2120" s="80"/>
      <c r="G2120" s="81"/>
      <c r="H2120" s="80"/>
      <c r="I2120" s="80"/>
      <c r="J2120" s="82" t="b">
        <v>0</v>
      </c>
    </row>
    <row r="2121" ht="12.75" hidden="1" customHeight="1" outlineLevel="1">
      <c r="B2121" s="90" t="s">
        <v>1135</v>
      </c>
      <c r="C2121" s="89" t="s">
        <v>33</v>
      </c>
      <c r="D2121" s="91">
        <v>1.0</v>
      </c>
      <c r="E2121" s="92">
        <v>451.94</v>
      </c>
      <c r="F2121" s="92">
        <v>451.94</v>
      </c>
      <c r="G2121" s="93"/>
      <c r="H2121" s="92"/>
      <c r="I2121" s="92"/>
      <c r="J2121" s="82" t="b">
        <v>0</v>
      </c>
    </row>
    <row r="2122" ht="12.75" hidden="1" customHeight="1" outlineLevel="1">
      <c r="D2122" s="79"/>
      <c r="E2122" s="80"/>
      <c r="F2122" s="80"/>
      <c r="G2122" s="81"/>
      <c r="H2122" s="80"/>
      <c r="I2122" s="80"/>
      <c r="J2122" s="82" t="b">
        <v>0</v>
      </c>
    </row>
    <row r="2123" ht="12.75" hidden="1" customHeight="1" outlineLevel="1">
      <c r="B2123" s="90" t="s">
        <v>1431</v>
      </c>
      <c r="C2123" s="89" t="s">
        <v>33</v>
      </c>
      <c r="D2123" s="91">
        <v>1.0</v>
      </c>
      <c r="E2123" s="92">
        <v>404.09</v>
      </c>
      <c r="F2123" s="92">
        <v>404.09</v>
      </c>
      <c r="G2123" s="93"/>
      <c r="H2123" s="92"/>
      <c r="I2123" s="92"/>
      <c r="J2123" s="82" t="b">
        <v>0</v>
      </c>
    </row>
    <row r="2124" ht="12.75" hidden="1" customHeight="1" outlineLevel="1">
      <c r="D2124" s="79"/>
      <c r="E2124" s="80"/>
      <c r="F2124" s="80"/>
      <c r="G2124" s="81"/>
      <c r="H2124" s="80"/>
      <c r="I2124" s="80"/>
      <c r="J2124" s="82" t="b">
        <v>0</v>
      </c>
    </row>
    <row r="2125" ht="12.75" hidden="1" customHeight="1" outlineLevel="1">
      <c r="D2125" s="79"/>
      <c r="E2125" s="80"/>
      <c r="F2125" s="80"/>
      <c r="G2125" s="81"/>
      <c r="H2125" s="80"/>
      <c r="I2125" s="80"/>
      <c r="J2125" s="82" t="b">
        <v>0</v>
      </c>
    </row>
    <row r="2126" ht="12.75" hidden="1" customHeight="1" outlineLevel="1">
      <c r="D2126" s="79"/>
      <c r="E2126" s="80"/>
      <c r="F2126" s="80"/>
      <c r="G2126" s="81"/>
      <c r="H2126" s="80"/>
      <c r="I2126" s="80"/>
      <c r="J2126" s="82" t="b">
        <v>0</v>
      </c>
    </row>
    <row r="2127" ht="12.75" customHeight="1" collapsed="1">
      <c r="A2127" s="134" t="s">
        <v>1522</v>
      </c>
      <c r="B2127" s="158" t="s">
        <v>1523</v>
      </c>
      <c r="C2127" s="87">
        <f>SUM(F2133:F2187)</f>
        <v>14218.6</v>
      </c>
      <c r="D2127" s="86"/>
      <c r="E2127" s="88"/>
      <c r="F2127" s="88"/>
      <c r="G2127" s="81"/>
      <c r="H2127" s="80"/>
      <c r="I2127" s="80"/>
      <c r="J2127" s="82" t="b">
        <v>0</v>
      </c>
    </row>
    <row r="2128" ht="24.75" hidden="1" customHeight="1" outlineLevel="1">
      <c r="D2128" s="79"/>
      <c r="E2128" s="80"/>
      <c r="F2128" s="80"/>
      <c r="G2128" s="81"/>
      <c r="H2128" s="80"/>
      <c r="I2128" s="80"/>
      <c r="J2128" s="82" t="b">
        <v>0</v>
      </c>
    </row>
    <row r="2129" ht="12.75" hidden="1" customHeight="1" outlineLevel="1">
      <c r="B2129" s="90" t="s">
        <v>1524</v>
      </c>
      <c r="D2129" s="79"/>
      <c r="E2129" s="80"/>
      <c r="F2129" s="80"/>
      <c r="G2129" s="81"/>
      <c r="H2129" s="80"/>
      <c r="I2129" s="80"/>
      <c r="J2129" s="82" t="b">
        <v>0</v>
      </c>
    </row>
    <row r="2130" ht="12.75" hidden="1" customHeight="1" outlineLevel="1">
      <c r="D2130" s="79"/>
      <c r="E2130" s="80"/>
      <c r="F2130" s="80"/>
      <c r="G2130" s="81"/>
      <c r="H2130" s="80"/>
      <c r="I2130" s="80"/>
      <c r="J2130" s="82" t="b">
        <v>0</v>
      </c>
    </row>
    <row r="2131" ht="12.75" hidden="1" customHeight="1" outlineLevel="1">
      <c r="A2131" s="89" t="s">
        <v>1525</v>
      </c>
      <c r="B2131" s="90" t="s">
        <v>1526</v>
      </c>
      <c r="D2131" s="79"/>
      <c r="E2131" s="80"/>
      <c r="F2131" s="80"/>
      <c r="G2131" s="81"/>
      <c r="H2131" s="80"/>
      <c r="I2131" s="80"/>
      <c r="J2131" s="82" t="b">
        <v>0</v>
      </c>
    </row>
    <row r="2132" ht="12.75" hidden="1" customHeight="1" outlineLevel="1">
      <c r="D2132" s="79"/>
      <c r="E2132" s="80"/>
      <c r="F2132" s="80"/>
      <c r="G2132" s="81"/>
      <c r="H2132" s="80"/>
      <c r="I2132" s="80"/>
      <c r="J2132" s="82" t="b">
        <v>0</v>
      </c>
    </row>
    <row r="2133" ht="12.75" hidden="1" customHeight="1" outlineLevel="1">
      <c r="B2133" s="90" t="s">
        <v>1527</v>
      </c>
      <c r="C2133" s="89" t="s">
        <v>161</v>
      </c>
      <c r="D2133" s="91">
        <v>369.0</v>
      </c>
      <c r="E2133" s="92">
        <v>3.09</v>
      </c>
      <c r="F2133" s="92">
        <v>1140.21</v>
      </c>
      <c r="G2133" s="93"/>
      <c r="H2133" s="92"/>
      <c r="I2133" s="92"/>
      <c r="J2133" s="82" t="b">
        <v>0</v>
      </c>
    </row>
    <row r="2134" ht="12.75" hidden="1" customHeight="1" outlineLevel="1">
      <c r="D2134" s="79"/>
      <c r="E2134" s="80"/>
      <c r="F2134" s="80"/>
      <c r="G2134" s="81"/>
      <c r="H2134" s="80"/>
      <c r="I2134" s="80"/>
      <c r="J2134" s="82" t="b">
        <v>0</v>
      </c>
    </row>
    <row r="2135" ht="12.75" hidden="1" customHeight="1" outlineLevel="1">
      <c r="B2135" s="90" t="s">
        <v>1528</v>
      </c>
      <c r="C2135" s="89" t="s">
        <v>161</v>
      </c>
      <c r="D2135" s="91">
        <v>44.0</v>
      </c>
      <c r="E2135" s="92">
        <v>4.93</v>
      </c>
      <c r="F2135" s="92">
        <v>216.92</v>
      </c>
      <c r="G2135" s="93"/>
      <c r="H2135" s="92"/>
      <c r="I2135" s="92"/>
      <c r="J2135" s="82" t="b">
        <v>0</v>
      </c>
    </row>
    <row r="2136" ht="12.75" hidden="1" customHeight="1" outlineLevel="1">
      <c r="D2136" s="79"/>
      <c r="E2136" s="80"/>
      <c r="F2136" s="80"/>
      <c r="G2136" s="81"/>
      <c r="H2136" s="80"/>
      <c r="I2136" s="80"/>
      <c r="J2136" s="82" t="b">
        <v>0</v>
      </c>
    </row>
    <row r="2137" ht="12.75" hidden="1" customHeight="1" outlineLevel="1">
      <c r="B2137" s="90" t="s">
        <v>1529</v>
      </c>
      <c r="C2137" s="89" t="s">
        <v>161</v>
      </c>
      <c r="D2137" s="91">
        <v>10.0</v>
      </c>
      <c r="E2137" s="92">
        <v>8.7</v>
      </c>
      <c r="F2137" s="92">
        <v>87.0</v>
      </c>
      <c r="G2137" s="93"/>
      <c r="H2137" s="92"/>
      <c r="I2137" s="92"/>
      <c r="J2137" s="82" t="b">
        <v>0</v>
      </c>
    </row>
    <row r="2138" ht="12.75" hidden="1" customHeight="1" outlineLevel="1">
      <c r="D2138" s="79"/>
      <c r="E2138" s="80"/>
      <c r="F2138" s="80"/>
      <c r="G2138" s="81"/>
      <c r="H2138" s="80"/>
      <c r="I2138" s="80"/>
      <c r="J2138" s="82" t="b">
        <v>0</v>
      </c>
    </row>
    <row r="2139" ht="12.75" hidden="1" customHeight="1" outlineLevel="1">
      <c r="A2139" s="89" t="s">
        <v>1530</v>
      </c>
      <c r="B2139" s="90" t="s">
        <v>1531</v>
      </c>
      <c r="D2139" s="79"/>
      <c r="E2139" s="80"/>
      <c r="F2139" s="80"/>
      <c r="G2139" s="81"/>
      <c r="H2139" s="80"/>
      <c r="I2139" s="80"/>
      <c r="J2139" s="82" t="b">
        <v>0</v>
      </c>
    </row>
    <row r="2140" ht="12.75" hidden="1" customHeight="1" outlineLevel="1">
      <c r="D2140" s="79"/>
      <c r="E2140" s="80"/>
      <c r="F2140" s="80"/>
      <c r="G2140" s="81"/>
      <c r="H2140" s="80"/>
      <c r="I2140" s="80"/>
      <c r="J2140" s="82" t="b">
        <v>0</v>
      </c>
    </row>
    <row r="2141" ht="12.75" hidden="1" customHeight="1" outlineLevel="1">
      <c r="B2141" s="90" t="s">
        <v>1532</v>
      </c>
      <c r="C2141" s="89" t="s">
        <v>75</v>
      </c>
      <c r="D2141" s="91">
        <v>1.0</v>
      </c>
      <c r="E2141" s="92">
        <v>193.97</v>
      </c>
      <c r="F2141" s="92">
        <v>193.97</v>
      </c>
      <c r="G2141" s="93"/>
      <c r="H2141" s="92"/>
      <c r="I2141" s="92"/>
      <c r="J2141" s="82" t="b">
        <v>0</v>
      </c>
    </row>
    <row r="2142" ht="12.75" hidden="1" customHeight="1" outlineLevel="1">
      <c r="D2142" s="79"/>
      <c r="E2142" s="80"/>
      <c r="F2142" s="80"/>
      <c r="G2142" s="81"/>
      <c r="H2142" s="80"/>
      <c r="I2142" s="80"/>
      <c r="J2142" s="82" t="b">
        <v>0</v>
      </c>
    </row>
    <row r="2143" ht="12.75" hidden="1" customHeight="1" outlineLevel="1">
      <c r="B2143" s="90" t="s">
        <v>1533</v>
      </c>
      <c r="C2143" s="89" t="s">
        <v>75</v>
      </c>
      <c r="D2143" s="91">
        <v>1.0</v>
      </c>
      <c r="E2143" s="92">
        <v>258.62</v>
      </c>
      <c r="F2143" s="92">
        <v>258.62</v>
      </c>
      <c r="G2143" s="93"/>
      <c r="H2143" s="92"/>
      <c r="I2143" s="92"/>
      <c r="J2143" s="82" t="b">
        <v>0</v>
      </c>
    </row>
    <row r="2144" ht="12.75" hidden="1" customHeight="1" outlineLevel="1">
      <c r="D2144" s="79"/>
      <c r="E2144" s="80"/>
      <c r="F2144" s="80"/>
      <c r="G2144" s="81"/>
      <c r="H2144" s="80"/>
      <c r="I2144" s="80"/>
      <c r="J2144" s="82" t="b">
        <v>0</v>
      </c>
    </row>
    <row r="2145" ht="12.75" hidden="1" customHeight="1" outlineLevel="1">
      <c r="A2145" s="89" t="s">
        <v>1534</v>
      </c>
      <c r="B2145" s="90" t="s">
        <v>1535</v>
      </c>
      <c r="D2145" s="79"/>
      <c r="E2145" s="80"/>
      <c r="F2145" s="80"/>
      <c r="G2145" s="81"/>
      <c r="H2145" s="80"/>
      <c r="I2145" s="80"/>
      <c r="J2145" s="82" t="b">
        <v>0</v>
      </c>
    </row>
    <row r="2146" ht="12.75" hidden="1" customHeight="1" outlineLevel="1">
      <c r="D2146" s="79"/>
      <c r="E2146" s="80"/>
      <c r="F2146" s="80"/>
      <c r="G2146" s="81"/>
      <c r="H2146" s="80"/>
      <c r="I2146" s="80"/>
      <c r="J2146" s="82" t="b">
        <v>0</v>
      </c>
    </row>
    <row r="2147" ht="12.75" hidden="1" customHeight="1" outlineLevel="1">
      <c r="B2147" s="90" t="s">
        <v>1536</v>
      </c>
      <c r="C2147" s="89" t="s">
        <v>33</v>
      </c>
      <c r="D2147" s="91">
        <v>1.0</v>
      </c>
      <c r="E2147" s="92">
        <v>6465.16</v>
      </c>
      <c r="F2147" s="92">
        <v>6465.16</v>
      </c>
      <c r="G2147" s="93"/>
      <c r="H2147" s="92"/>
      <c r="I2147" s="92"/>
      <c r="J2147" s="82" t="b">
        <v>0</v>
      </c>
    </row>
    <row r="2148" ht="12.75" hidden="1" customHeight="1" outlineLevel="1">
      <c r="D2148" s="79"/>
      <c r="E2148" s="80"/>
      <c r="F2148" s="80"/>
      <c r="G2148" s="81"/>
      <c r="H2148" s="80"/>
      <c r="I2148" s="80"/>
      <c r="J2148" s="82" t="b">
        <v>0</v>
      </c>
    </row>
    <row r="2149" ht="12.75" hidden="1" customHeight="1" outlineLevel="1">
      <c r="A2149" s="89" t="s">
        <v>1537</v>
      </c>
      <c r="B2149" s="90" t="s">
        <v>1538</v>
      </c>
      <c r="D2149" s="79"/>
      <c r="E2149" s="80"/>
      <c r="F2149" s="80"/>
      <c r="G2149" s="81"/>
      <c r="H2149" s="80"/>
      <c r="I2149" s="80"/>
      <c r="J2149" s="82" t="b">
        <v>0</v>
      </c>
    </row>
    <row r="2150" ht="12.75" hidden="1" customHeight="1" outlineLevel="1">
      <c r="D2150" s="79"/>
      <c r="E2150" s="80"/>
      <c r="F2150" s="80"/>
      <c r="G2150" s="81"/>
      <c r="H2150" s="80"/>
      <c r="I2150" s="80"/>
      <c r="J2150" s="82" t="b">
        <v>0</v>
      </c>
    </row>
    <row r="2151" ht="12.75" hidden="1" customHeight="1" outlineLevel="1">
      <c r="B2151" s="90" t="s">
        <v>1539</v>
      </c>
      <c r="C2151" s="89" t="s">
        <v>75</v>
      </c>
      <c r="D2151" s="91">
        <v>23.0</v>
      </c>
      <c r="E2151" s="92">
        <v>2.3</v>
      </c>
      <c r="F2151" s="92">
        <v>52.9</v>
      </c>
      <c r="G2151" s="93"/>
      <c r="H2151" s="92"/>
      <c r="I2151" s="92"/>
      <c r="J2151" s="82" t="b">
        <v>0</v>
      </c>
    </row>
    <row r="2152" ht="12.75" hidden="1" customHeight="1" outlineLevel="1">
      <c r="D2152" s="79"/>
      <c r="E2152" s="80"/>
      <c r="F2152" s="80"/>
      <c r="G2152" s="81"/>
      <c r="H2152" s="80"/>
      <c r="I2152" s="80"/>
      <c r="J2152" s="82" t="b">
        <v>0</v>
      </c>
    </row>
    <row r="2153" ht="12.75" hidden="1" customHeight="1" outlineLevel="1">
      <c r="B2153" s="90" t="s">
        <v>1540</v>
      </c>
      <c r="C2153" s="89" t="s">
        <v>75</v>
      </c>
      <c r="D2153" s="91">
        <v>3.0</v>
      </c>
      <c r="E2153" s="92">
        <v>61.67</v>
      </c>
      <c r="F2153" s="92">
        <v>185.01</v>
      </c>
      <c r="G2153" s="93"/>
      <c r="H2153" s="92"/>
      <c r="I2153" s="92"/>
      <c r="J2153" s="82" t="b">
        <v>0</v>
      </c>
    </row>
    <row r="2154" ht="12.75" hidden="1" customHeight="1" outlineLevel="1">
      <c r="D2154" s="79"/>
      <c r="E2154" s="80"/>
      <c r="F2154" s="80"/>
      <c r="G2154" s="81"/>
      <c r="H2154" s="80"/>
      <c r="I2154" s="80"/>
      <c r="J2154" s="82" t="b">
        <v>0</v>
      </c>
    </row>
    <row r="2155" ht="12.75" hidden="1" customHeight="1" outlineLevel="1">
      <c r="A2155" s="89" t="s">
        <v>1541</v>
      </c>
      <c r="B2155" s="90" t="s">
        <v>1542</v>
      </c>
      <c r="D2155" s="79"/>
      <c r="E2155" s="80"/>
      <c r="F2155" s="80"/>
      <c r="G2155" s="81"/>
      <c r="H2155" s="80"/>
      <c r="I2155" s="80"/>
      <c r="J2155" s="82" t="b">
        <v>0</v>
      </c>
    </row>
    <row r="2156" ht="12.75" hidden="1" customHeight="1" outlineLevel="1">
      <c r="D2156" s="79"/>
      <c r="E2156" s="80"/>
      <c r="F2156" s="80"/>
      <c r="G2156" s="81"/>
      <c r="H2156" s="80"/>
      <c r="I2156" s="80"/>
      <c r="J2156" s="82" t="b">
        <v>0</v>
      </c>
    </row>
    <row r="2157" ht="12.75" hidden="1" customHeight="1" outlineLevel="1">
      <c r="B2157" s="90" t="s">
        <v>1543</v>
      </c>
      <c r="C2157" s="89" t="s">
        <v>75</v>
      </c>
      <c r="D2157" s="91">
        <v>10.0</v>
      </c>
      <c r="E2157" s="92">
        <v>37.82</v>
      </c>
      <c r="F2157" s="92">
        <v>378.2</v>
      </c>
      <c r="G2157" s="93"/>
      <c r="H2157" s="92"/>
      <c r="I2157" s="92"/>
      <c r="J2157" s="82" t="b">
        <v>0</v>
      </c>
    </row>
    <row r="2158" ht="12.75" hidden="1" customHeight="1" outlineLevel="1">
      <c r="D2158" s="79"/>
      <c r="E2158" s="80"/>
      <c r="F2158" s="80"/>
      <c r="G2158" s="81"/>
      <c r="H2158" s="80"/>
      <c r="I2158" s="80"/>
      <c r="J2158" s="82" t="b">
        <v>0</v>
      </c>
    </row>
    <row r="2159" ht="12.75" hidden="1" customHeight="1" outlineLevel="1">
      <c r="B2159" s="90" t="s">
        <v>1544</v>
      </c>
      <c r="C2159" s="89" t="s">
        <v>75</v>
      </c>
      <c r="D2159" s="91">
        <v>12.0</v>
      </c>
      <c r="E2159" s="92">
        <v>34.59</v>
      </c>
      <c r="F2159" s="92">
        <v>415.08</v>
      </c>
      <c r="G2159" s="93"/>
      <c r="H2159" s="92"/>
      <c r="I2159" s="92"/>
      <c r="J2159" s="82" t="b">
        <v>0</v>
      </c>
    </row>
    <row r="2160" ht="12.75" hidden="1" customHeight="1" outlineLevel="1">
      <c r="D2160" s="79"/>
      <c r="E2160" s="80"/>
      <c r="F2160" s="80"/>
      <c r="G2160" s="81"/>
      <c r="H2160" s="80"/>
      <c r="I2160" s="80"/>
      <c r="J2160" s="82" t="b">
        <v>0</v>
      </c>
    </row>
    <row r="2161" ht="12.75" hidden="1" customHeight="1" outlineLevel="1">
      <c r="B2161" s="90" t="s">
        <v>1545</v>
      </c>
      <c r="C2161" s="89" t="s">
        <v>75</v>
      </c>
      <c r="D2161" s="91">
        <v>1.0</v>
      </c>
      <c r="E2161" s="92">
        <v>57.87</v>
      </c>
      <c r="F2161" s="92">
        <v>57.87</v>
      </c>
      <c r="G2161" s="93"/>
      <c r="H2161" s="92"/>
      <c r="I2161" s="92"/>
      <c r="J2161" s="82" t="b">
        <v>0</v>
      </c>
    </row>
    <row r="2162" ht="12.75" hidden="1" customHeight="1" outlineLevel="1">
      <c r="D2162" s="79"/>
      <c r="E2162" s="80"/>
      <c r="F2162" s="80"/>
      <c r="G2162" s="81"/>
      <c r="H2162" s="80"/>
      <c r="I2162" s="80"/>
      <c r="J2162" s="82" t="b">
        <v>0</v>
      </c>
    </row>
    <row r="2163" ht="12.75" hidden="1" customHeight="1" outlineLevel="1">
      <c r="A2163" s="89" t="s">
        <v>1546</v>
      </c>
      <c r="B2163" s="90" t="s">
        <v>1547</v>
      </c>
      <c r="D2163" s="79"/>
      <c r="E2163" s="80"/>
      <c r="F2163" s="80"/>
      <c r="G2163" s="81"/>
      <c r="H2163" s="80"/>
      <c r="I2163" s="80"/>
      <c r="J2163" s="82" t="b">
        <v>0</v>
      </c>
    </row>
    <row r="2164" ht="12.75" hidden="1" customHeight="1" outlineLevel="1">
      <c r="D2164" s="79"/>
      <c r="E2164" s="80"/>
      <c r="F2164" s="80"/>
      <c r="G2164" s="81"/>
      <c r="H2164" s="80"/>
      <c r="I2164" s="80"/>
      <c r="J2164" s="82" t="b">
        <v>0</v>
      </c>
    </row>
    <row r="2165" ht="12.75" hidden="1" customHeight="1" outlineLevel="1">
      <c r="B2165" s="90" t="s">
        <v>1548</v>
      </c>
      <c r="C2165" s="89" t="s">
        <v>75</v>
      </c>
      <c r="D2165" s="91">
        <v>1.0</v>
      </c>
      <c r="E2165" s="92">
        <v>775.21</v>
      </c>
      <c r="F2165" s="92">
        <v>775.21</v>
      </c>
      <c r="G2165" s="93"/>
      <c r="H2165" s="92"/>
      <c r="I2165" s="92"/>
      <c r="J2165" s="82" t="b">
        <v>0</v>
      </c>
    </row>
    <row r="2166" ht="12.75" hidden="1" customHeight="1" outlineLevel="1">
      <c r="D2166" s="79"/>
      <c r="E2166" s="80"/>
      <c r="F2166" s="80"/>
      <c r="G2166" s="81"/>
      <c r="H2166" s="80"/>
      <c r="I2166" s="80"/>
      <c r="J2166" s="82" t="b">
        <v>0</v>
      </c>
    </row>
    <row r="2167" ht="12.75" hidden="1" customHeight="1" outlineLevel="1">
      <c r="B2167" s="90" t="s">
        <v>1549</v>
      </c>
      <c r="C2167" s="89" t="s">
        <v>75</v>
      </c>
      <c r="D2167" s="91">
        <v>1.0</v>
      </c>
      <c r="E2167" s="92">
        <v>110.08</v>
      </c>
      <c r="F2167" s="92">
        <v>110.08</v>
      </c>
      <c r="G2167" s="93"/>
      <c r="H2167" s="92"/>
      <c r="I2167" s="92"/>
      <c r="J2167" s="82" t="b">
        <v>0</v>
      </c>
    </row>
    <row r="2168" ht="12.75" hidden="1" customHeight="1" outlineLevel="1">
      <c r="D2168" s="79"/>
      <c r="E2168" s="80"/>
      <c r="F2168" s="80"/>
      <c r="G2168" s="81"/>
      <c r="H2168" s="80"/>
      <c r="I2168" s="80"/>
      <c r="J2168" s="82" t="b">
        <v>0</v>
      </c>
    </row>
    <row r="2169" ht="12.75" hidden="1" customHeight="1" outlineLevel="1">
      <c r="A2169" s="89" t="s">
        <v>1550</v>
      </c>
      <c r="B2169" s="90" t="s">
        <v>1551</v>
      </c>
      <c r="D2169" s="79"/>
      <c r="E2169" s="80"/>
      <c r="F2169" s="80"/>
      <c r="G2169" s="81"/>
      <c r="H2169" s="80"/>
      <c r="I2169" s="80"/>
      <c r="J2169" s="82" t="b">
        <v>0</v>
      </c>
    </row>
    <row r="2170" ht="12.75" hidden="1" customHeight="1" outlineLevel="1">
      <c r="D2170" s="79"/>
      <c r="E2170" s="80"/>
      <c r="F2170" s="80"/>
      <c r="G2170" s="81"/>
      <c r="H2170" s="80"/>
      <c r="I2170" s="80"/>
      <c r="J2170" s="82" t="b">
        <v>0</v>
      </c>
    </row>
    <row r="2171" ht="12.75" hidden="1" customHeight="1" outlineLevel="1">
      <c r="B2171" s="90" t="s">
        <v>1552</v>
      </c>
      <c r="C2171" s="89" t="s">
        <v>161</v>
      </c>
      <c r="D2171" s="91">
        <v>532.0</v>
      </c>
      <c r="E2171" s="92">
        <v>2.39</v>
      </c>
      <c r="F2171" s="92">
        <v>1271.48</v>
      </c>
      <c r="G2171" s="93"/>
      <c r="H2171" s="92"/>
      <c r="I2171" s="92"/>
      <c r="J2171" s="82" t="b">
        <v>0</v>
      </c>
    </row>
    <row r="2172" ht="12.75" hidden="1" customHeight="1" outlineLevel="1">
      <c r="D2172" s="79"/>
      <c r="E2172" s="80"/>
      <c r="F2172" s="80"/>
      <c r="G2172" s="81"/>
      <c r="H2172" s="80"/>
      <c r="I2172" s="80"/>
      <c r="J2172" s="82" t="b">
        <v>0</v>
      </c>
    </row>
    <row r="2173" ht="12.75" hidden="1" customHeight="1" outlineLevel="1">
      <c r="B2173" s="90" t="s">
        <v>1553</v>
      </c>
      <c r="C2173" s="89" t="s">
        <v>161</v>
      </c>
      <c r="D2173" s="91">
        <v>557.0</v>
      </c>
      <c r="E2173" s="92">
        <v>2.33</v>
      </c>
      <c r="F2173" s="92">
        <v>1297.81</v>
      </c>
      <c r="G2173" s="93"/>
      <c r="H2173" s="92"/>
      <c r="I2173" s="92"/>
      <c r="J2173" s="82" t="b">
        <v>0</v>
      </c>
    </row>
    <row r="2174" ht="12.75" hidden="1" customHeight="1" outlineLevel="1">
      <c r="D2174" s="79"/>
      <c r="E2174" s="80"/>
      <c r="F2174" s="80"/>
      <c r="G2174" s="81"/>
      <c r="H2174" s="80"/>
      <c r="I2174" s="80"/>
      <c r="J2174" s="82" t="b">
        <v>0</v>
      </c>
    </row>
    <row r="2175" ht="12.75" hidden="1" customHeight="1" outlineLevel="1">
      <c r="B2175" s="90" t="s">
        <v>1554</v>
      </c>
      <c r="C2175" s="89" t="s">
        <v>161</v>
      </c>
      <c r="D2175" s="91">
        <v>25.0</v>
      </c>
      <c r="E2175" s="92">
        <v>5.09</v>
      </c>
      <c r="F2175" s="92">
        <v>127.25</v>
      </c>
      <c r="G2175" s="93"/>
      <c r="H2175" s="92"/>
      <c r="I2175" s="92"/>
      <c r="J2175" s="82" t="b">
        <v>0</v>
      </c>
    </row>
    <row r="2176" ht="12.75" hidden="1" customHeight="1" outlineLevel="1">
      <c r="D2176" s="79"/>
      <c r="E2176" s="80"/>
      <c r="F2176" s="80"/>
      <c r="G2176" s="81"/>
      <c r="H2176" s="80"/>
      <c r="I2176" s="80"/>
      <c r="J2176" s="82" t="b">
        <v>0</v>
      </c>
    </row>
    <row r="2177" ht="12.75" hidden="1" customHeight="1" outlineLevel="1">
      <c r="A2177" s="89" t="s">
        <v>1555</v>
      </c>
      <c r="B2177" s="90" t="s">
        <v>928</v>
      </c>
      <c r="D2177" s="79"/>
      <c r="E2177" s="80"/>
      <c r="F2177" s="80"/>
      <c r="G2177" s="81"/>
      <c r="H2177" s="80"/>
      <c r="I2177" s="80"/>
      <c r="J2177" s="82" t="b">
        <v>0</v>
      </c>
    </row>
    <row r="2178" ht="12.75" hidden="1" customHeight="1" outlineLevel="1">
      <c r="D2178" s="79"/>
      <c r="E2178" s="80"/>
      <c r="F2178" s="80"/>
      <c r="G2178" s="81"/>
      <c r="H2178" s="80"/>
      <c r="I2178" s="80"/>
      <c r="J2178" s="82" t="b">
        <v>0</v>
      </c>
    </row>
    <row r="2179" ht="12.75" hidden="1" customHeight="1" outlineLevel="1">
      <c r="B2179" s="90" t="s">
        <v>1556</v>
      </c>
      <c r="C2179" s="89" t="s">
        <v>161</v>
      </c>
      <c r="D2179" s="91">
        <v>13.0</v>
      </c>
      <c r="E2179" s="92">
        <v>2.04</v>
      </c>
      <c r="F2179" s="92">
        <v>26.52</v>
      </c>
      <c r="G2179" s="93"/>
      <c r="H2179" s="92"/>
      <c r="I2179" s="92"/>
      <c r="J2179" s="82" t="b">
        <v>0</v>
      </c>
    </row>
    <row r="2180" ht="12.75" hidden="1" customHeight="1" outlineLevel="1">
      <c r="D2180" s="79"/>
      <c r="E2180" s="80"/>
      <c r="F2180" s="80"/>
      <c r="G2180" s="81"/>
      <c r="H2180" s="80"/>
      <c r="I2180" s="80"/>
      <c r="J2180" s="82" t="b">
        <v>0</v>
      </c>
    </row>
    <row r="2181" ht="12.75" hidden="1" customHeight="1" outlineLevel="1">
      <c r="B2181" s="90" t="s">
        <v>1557</v>
      </c>
      <c r="C2181" s="89" t="s">
        <v>161</v>
      </c>
      <c r="D2181" s="91">
        <v>19.0</v>
      </c>
      <c r="E2181" s="92">
        <v>4.12</v>
      </c>
      <c r="F2181" s="92">
        <v>78.28</v>
      </c>
      <c r="G2181" s="93"/>
      <c r="H2181" s="92"/>
      <c r="I2181" s="92"/>
      <c r="J2181" s="82" t="b">
        <v>0</v>
      </c>
    </row>
    <row r="2182" ht="12.75" hidden="1" customHeight="1" outlineLevel="1">
      <c r="D2182" s="79"/>
      <c r="E2182" s="80"/>
      <c r="F2182" s="80"/>
      <c r="G2182" s="81"/>
      <c r="H2182" s="80"/>
      <c r="I2182" s="80"/>
      <c r="J2182" s="82" t="b">
        <v>0</v>
      </c>
    </row>
    <row r="2183" ht="12.75" hidden="1" customHeight="1" outlineLevel="1">
      <c r="A2183" s="89" t="s">
        <v>1558</v>
      </c>
      <c r="B2183" s="90" t="s">
        <v>1430</v>
      </c>
      <c r="D2183" s="79"/>
      <c r="E2183" s="80"/>
      <c r="F2183" s="80"/>
      <c r="G2183" s="81"/>
      <c r="H2183" s="80"/>
      <c r="I2183" s="80"/>
      <c r="J2183" s="82" t="b">
        <v>0</v>
      </c>
    </row>
    <row r="2184" ht="12.75" hidden="1" customHeight="1" outlineLevel="1">
      <c r="D2184" s="79"/>
      <c r="E2184" s="80"/>
      <c r="F2184" s="80"/>
      <c r="G2184" s="81"/>
      <c r="H2184" s="80"/>
      <c r="I2184" s="80"/>
      <c r="J2184" s="82" t="b">
        <v>0</v>
      </c>
    </row>
    <row r="2185" ht="12.75" hidden="1" customHeight="1" outlineLevel="1">
      <c r="B2185" s="90" t="s">
        <v>1135</v>
      </c>
      <c r="C2185" s="89" t="s">
        <v>33</v>
      </c>
      <c r="D2185" s="91">
        <v>1.0</v>
      </c>
      <c r="E2185" s="92">
        <v>581.25</v>
      </c>
      <c r="F2185" s="92">
        <v>581.25</v>
      </c>
      <c r="G2185" s="93"/>
      <c r="H2185" s="92"/>
      <c r="I2185" s="92"/>
      <c r="J2185" s="82" t="b">
        <v>0</v>
      </c>
    </row>
    <row r="2186" ht="12.75" hidden="1" customHeight="1" outlineLevel="1">
      <c r="D2186" s="79"/>
      <c r="E2186" s="80"/>
      <c r="F2186" s="80"/>
      <c r="G2186" s="81"/>
      <c r="H2186" s="80"/>
      <c r="I2186" s="80"/>
      <c r="J2186" s="82" t="b">
        <v>0</v>
      </c>
    </row>
    <row r="2187" ht="12.75" hidden="1" customHeight="1" outlineLevel="1">
      <c r="B2187" s="90" t="s">
        <v>1431</v>
      </c>
      <c r="C2187" s="89" t="s">
        <v>33</v>
      </c>
      <c r="D2187" s="91">
        <v>1.0</v>
      </c>
      <c r="E2187" s="92">
        <v>499.78</v>
      </c>
      <c r="F2187" s="92">
        <v>499.78</v>
      </c>
      <c r="G2187" s="93"/>
      <c r="H2187" s="92"/>
      <c r="I2187" s="92"/>
      <c r="J2187" s="82" t="b">
        <v>0</v>
      </c>
    </row>
    <row r="2188" ht="12.75" hidden="1" customHeight="1" outlineLevel="1">
      <c r="D2188" s="79"/>
      <c r="E2188" s="80"/>
      <c r="F2188" s="80"/>
      <c r="G2188" s="81"/>
      <c r="H2188" s="80"/>
      <c r="I2188" s="80"/>
      <c r="J2188" s="82" t="b">
        <v>0</v>
      </c>
    </row>
    <row r="2189" ht="12.75" customHeight="1">
      <c r="A2189" s="167"/>
      <c r="B2189" s="168"/>
      <c r="C2189" s="169"/>
      <c r="D2189" s="170"/>
      <c r="E2189" s="171"/>
      <c r="F2189" s="171"/>
      <c r="G2189" s="81"/>
      <c r="H2189" s="80"/>
      <c r="I2189" s="80"/>
      <c r="J2189" s="82" t="b">
        <v>0</v>
      </c>
    </row>
    <row r="2190" ht="12.75" customHeight="1">
      <c r="A2190" s="167"/>
      <c r="B2190" s="168"/>
      <c r="C2190" s="169"/>
      <c r="D2190" s="170"/>
      <c r="E2190" s="171"/>
      <c r="F2190" s="171"/>
      <c r="G2190" s="81"/>
      <c r="H2190" s="80"/>
      <c r="I2190" s="80"/>
      <c r="J2190" s="82" t="b">
        <v>0</v>
      </c>
    </row>
    <row r="2191" ht="12.75" customHeight="1">
      <c r="A2191" s="167"/>
      <c r="B2191" s="168"/>
      <c r="C2191" s="169"/>
      <c r="D2191" s="170"/>
      <c r="E2191" s="171"/>
      <c r="F2191" s="171"/>
      <c r="G2191" s="81"/>
      <c r="H2191" s="80"/>
      <c r="I2191" s="80"/>
      <c r="J2191" s="82" t="b">
        <v>0</v>
      </c>
    </row>
    <row r="2192" ht="12.75" customHeight="1" collapsed="1">
      <c r="A2192" s="172"/>
      <c r="B2192" s="173" t="s">
        <v>1559</v>
      </c>
      <c r="C2192" s="174"/>
      <c r="D2192" s="175"/>
      <c r="E2192" s="176"/>
      <c r="F2192" s="177"/>
      <c r="G2192" s="81"/>
      <c r="H2192" s="80"/>
      <c r="I2192" s="80"/>
      <c r="J2192" s="82" t="b">
        <v>0</v>
      </c>
    </row>
    <row r="2193" ht="12.75" hidden="1" customHeight="1" outlineLevel="1">
      <c r="D2193" s="79"/>
      <c r="E2193" s="80"/>
      <c r="F2193" s="80"/>
      <c r="G2193" s="81"/>
      <c r="H2193" s="80"/>
      <c r="I2193" s="80"/>
      <c r="J2193" s="82" t="b">
        <v>0</v>
      </c>
    </row>
    <row r="2194" ht="12.75" hidden="1" customHeight="1" outlineLevel="1">
      <c r="B2194" s="90" t="s">
        <v>1560</v>
      </c>
      <c r="D2194" s="79"/>
      <c r="E2194" s="80"/>
      <c r="F2194" s="80"/>
      <c r="G2194" s="81"/>
      <c r="H2194" s="80"/>
      <c r="I2194" s="80"/>
      <c r="J2194" s="82" t="b">
        <v>0</v>
      </c>
    </row>
    <row r="2195" ht="12.75" hidden="1" customHeight="1" outlineLevel="1">
      <c r="D2195" s="79"/>
      <c r="E2195" s="80"/>
      <c r="F2195" s="80"/>
      <c r="G2195" s="81"/>
      <c r="H2195" s="80"/>
      <c r="I2195" s="80"/>
      <c r="J2195" s="82" t="b">
        <v>0</v>
      </c>
    </row>
    <row r="2196" ht="12.75" hidden="1" customHeight="1" outlineLevel="1">
      <c r="B2196" s="90" t="s">
        <v>1561</v>
      </c>
      <c r="D2196" s="79"/>
      <c r="E2196" s="80"/>
      <c r="F2196" s="80"/>
      <c r="G2196" s="81"/>
      <c r="H2196" s="80"/>
      <c r="I2196" s="80"/>
      <c r="J2196" s="82" t="b">
        <v>0</v>
      </c>
    </row>
    <row r="2197" ht="12.75" hidden="1" customHeight="1" outlineLevel="1">
      <c r="D2197" s="79"/>
      <c r="E2197" s="80"/>
      <c r="F2197" s="80"/>
      <c r="G2197" s="81"/>
      <c r="H2197" s="80"/>
      <c r="I2197" s="80"/>
      <c r="J2197" s="82" t="b">
        <v>0</v>
      </c>
    </row>
    <row r="2198" ht="12.75" hidden="1" customHeight="1" outlineLevel="1">
      <c r="B2198" s="90" t="s">
        <v>1562</v>
      </c>
      <c r="D2198" s="79"/>
      <c r="E2198" s="80"/>
      <c r="F2198" s="80"/>
      <c r="G2198" s="81"/>
      <c r="H2198" s="80"/>
      <c r="I2198" s="80"/>
      <c r="J2198" s="82" t="b">
        <v>0</v>
      </c>
    </row>
    <row r="2199" ht="12.75" hidden="1" customHeight="1" outlineLevel="1">
      <c r="D2199" s="79"/>
      <c r="E2199" s="80"/>
      <c r="F2199" s="80"/>
      <c r="G2199" s="81"/>
      <c r="H2199" s="80"/>
      <c r="I2199" s="80"/>
      <c r="J2199" s="82" t="b">
        <v>0</v>
      </c>
    </row>
    <row r="2200" ht="12.75" hidden="1" customHeight="1" outlineLevel="1">
      <c r="B2200" s="90" t="s">
        <v>1563</v>
      </c>
      <c r="D2200" s="79"/>
      <c r="E2200" s="80"/>
      <c r="F2200" s="80"/>
      <c r="G2200" s="81"/>
      <c r="H2200" s="80"/>
      <c r="I2200" s="80"/>
      <c r="J2200" s="82" t="b">
        <v>0</v>
      </c>
    </row>
    <row r="2201" ht="12.75" hidden="1" customHeight="1" outlineLevel="1">
      <c r="D2201" s="79"/>
      <c r="E2201" s="80"/>
      <c r="F2201" s="80"/>
      <c r="G2201" s="81"/>
      <c r="H2201" s="80"/>
      <c r="I2201" s="80"/>
      <c r="J2201" s="82" t="b">
        <v>0</v>
      </c>
    </row>
    <row r="2202" ht="12.75" hidden="1" customHeight="1" outlineLevel="1">
      <c r="B2202" s="90" t="s">
        <v>1564</v>
      </c>
      <c r="D2202" s="79"/>
      <c r="E2202" s="80"/>
      <c r="F2202" s="80"/>
      <c r="G2202" s="81"/>
      <c r="H2202" s="80"/>
      <c r="I2202" s="80"/>
      <c r="J2202" s="82" t="b">
        <v>0</v>
      </c>
    </row>
    <row r="2203" ht="12.75" hidden="1" customHeight="1" outlineLevel="1">
      <c r="D2203" s="79"/>
      <c r="E2203" s="80"/>
      <c r="F2203" s="80"/>
      <c r="G2203" s="81"/>
      <c r="H2203" s="80"/>
      <c r="I2203" s="80"/>
      <c r="J2203" s="82" t="b">
        <v>0</v>
      </c>
    </row>
    <row r="2204" ht="12.75" hidden="1" customHeight="1" outlineLevel="1">
      <c r="A2204" s="178" t="s">
        <v>1565</v>
      </c>
      <c r="B2204" s="179" t="s">
        <v>1566</v>
      </c>
      <c r="C2204" s="180"/>
      <c r="D2204" s="170"/>
      <c r="E2204" s="171"/>
      <c r="F2204" s="171"/>
      <c r="G2204" s="81"/>
      <c r="H2204" s="80"/>
      <c r="I2204" s="80"/>
      <c r="J2204" s="82" t="b">
        <v>0</v>
      </c>
    </row>
    <row r="2205" ht="12.75" hidden="1" customHeight="1" outlineLevel="1">
      <c r="D2205" s="79"/>
      <c r="E2205" s="80"/>
      <c r="F2205" s="80"/>
      <c r="G2205" s="81"/>
      <c r="H2205" s="80"/>
      <c r="I2205" s="80"/>
      <c r="J2205" s="82" t="b">
        <v>0</v>
      </c>
    </row>
    <row r="2206" ht="12.75" customHeight="1">
      <c r="A2206" s="83" t="s">
        <v>29</v>
      </c>
      <c r="B2206" s="158" t="s">
        <v>1567</v>
      </c>
      <c r="C2206" s="87">
        <f>SUM(F2210:F2214)</f>
        <v>4600</v>
      </c>
      <c r="D2206" s="86"/>
      <c r="E2206" s="88"/>
      <c r="F2206" s="88"/>
      <c r="G2206" s="105"/>
      <c r="H2206" s="106"/>
      <c r="I2206" s="106"/>
      <c r="J2206" s="101" t="b">
        <v>0</v>
      </c>
    </row>
    <row r="2207" ht="12.75" customHeight="1" outlineLevel="1">
      <c r="A2207" s="138"/>
      <c r="B2207" s="138"/>
      <c r="C2207" s="138"/>
      <c r="D2207" s="139"/>
      <c r="E2207" s="106"/>
      <c r="F2207" s="106"/>
      <c r="G2207" s="105"/>
      <c r="H2207" s="106"/>
      <c r="I2207" s="106"/>
      <c r="J2207" s="101" t="b">
        <v>0</v>
      </c>
    </row>
    <row r="2208" ht="12.75" customHeight="1" outlineLevel="1">
      <c r="A2208" s="136" t="s">
        <v>31</v>
      </c>
      <c r="B2208" s="137" t="s">
        <v>1568</v>
      </c>
      <c r="C2208" s="138"/>
      <c r="D2208" s="139"/>
      <c r="E2208" s="106"/>
      <c r="F2208" s="106"/>
      <c r="G2208" s="105"/>
      <c r="H2208" s="106"/>
      <c r="I2208" s="106"/>
      <c r="J2208" s="101" t="b">
        <v>0</v>
      </c>
    </row>
    <row r="2209" ht="12.75" customHeight="1" outlineLevel="1">
      <c r="A2209" s="138"/>
      <c r="B2209" s="138"/>
      <c r="C2209" s="138"/>
      <c r="D2209" s="139"/>
      <c r="E2209" s="106"/>
      <c r="F2209" s="106"/>
      <c r="G2209" s="105"/>
      <c r="H2209" s="106"/>
      <c r="I2209" s="106"/>
      <c r="J2209" s="101" t="b">
        <v>0</v>
      </c>
    </row>
    <row r="2210" ht="12.75" customHeight="1" outlineLevel="1">
      <c r="A2210" s="136" t="s">
        <v>1569</v>
      </c>
      <c r="B2210" s="137" t="s">
        <v>1570</v>
      </c>
      <c r="C2210" s="136" t="s">
        <v>33</v>
      </c>
      <c r="D2210" s="140">
        <v>1.0</v>
      </c>
      <c r="E2210" s="106"/>
      <c r="F2210" s="181" t="s">
        <v>1571</v>
      </c>
      <c r="G2210" s="182"/>
      <c r="H2210" s="181"/>
      <c r="I2210" s="181"/>
      <c r="J2210" s="101" t="b">
        <v>0</v>
      </c>
    </row>
    <row r="2211" ht="12.75" customHeight="1" outlineLevel="1">
      <c r="A2211" s="138"/>
      <c r="B2211" s="138"/>
      <c r="C2211" s="138"/>
      <c r="D2211" s="139"/>
      <c r="E2211" s="106"/>
      <c r="F2211" s="106"/>
      <c r="G2211" s="105"/>
      <c r="H2211" s="106"/>
      <c r="I2211" s="106"/>
      <c r="J2211" s="101" t="b">
        <v>0</v>
      </c>
    </row>
    <row r="2212" ht="12.75" customHeight="1" outlineLevel="1">
      <c r="A2212" s="136" t="s">
        <v>1572</v>
      </c>
      <c r="B2212" s="137" t="s">
        <v>1573</v>
      </c>
      <c r="C2212" s="138"/>
      <c r="D2212" s="139"/>
      <c r="E2212" s="106"/>
      <c r="F2212" s="106"/>
      <c r="G2212" s="105"/>
      <c r="H2212" s="106"/>
      <c r="I2212" s="106"/>
      <c r="J2212" s="101" t="b">
        <v>0</v>
      </c>
    </row>
    <row r="2213" ht="12.75" customHeight="1" outlineLevel="1">
      <c r="A2213" s="138"/>
      <c r="B2213" s="138"/>
      <c r="C2213" s="138"/>
      <c r="D2213" s="139"/>
      <c r="E2213" s="106"/>
      <c r="F2213" s="106"/>
      <c r="G2213" s="105"/>
      <c r="H2213" s="106"/>
      <c r="I2213" s="106"/>
      <c r="J2213" s="101" t="b">
        <v>0</v>
      </c>
    </row>
    <row r="2214" ht="12.75" customHeight="1" outlineLevel="1">
      <c r="A2214" s="136" t="s">
        <v>1574</v>
      </c>
      <c r="B2214" s="137" t="s">
        <v>1575</v>
      </c>
      <c r="C2214" s="136" t="s">
        <v>40</v>
      </c>
      <c r="D2214" s="140">
        <v>2000.0</v>
      </c>
      <c r="E2214" s="100">
        <v>2.3</v>
      </c>
      <c r="F2214" s="100">
        <v>4600.0</v>
      </c>
      <c r="G2214" s="99"/>
      <c r="H2214" s="100"/>
      <c r="I2214" s="100"/>
      <c r="J2214" s="101" t="b">
        <v>0</v>
      </c>
    </row>
    <row r="2215" ht="12.75" customHeight="1" outlineLevel="1">
      <c r="A2215" s="138"/>
      <c r="B2215" s="138"/>
      <c r="C2215" s="138"/>
      <c r="D2215" s="139"/>
      <c r="E2215" s="106"/>
      <c r="F2215" s="106"/>
      <c r="G2215" s="105"/>
      <c r="H2215" s="106"/>
      <c r="I2215" s="106"/>
      <c r="J2215" s="101" t="b">
        <v>0</v>
      </c>
    </row>
    <row r="2216" ht="12.75" customHeight="1" outlineLevel="1">
      <c r="A2216" s="138"/>
      <c r="B2216" s="138"/>
      <c r="C2216" s="138"/>
      <c r="D2216" s="139"/>
      <c r="E2216" s="106"/>
      <c r="F2216" s="106"/>
      <c r="G2216" s="105"/>
      <c r="H2216" s="106"/>
      <c r="I2216" s="106"/>
      <c r="J2216" s="101" t="b">
        <v>0</v>
      </c>
    </row>
    <row r="2217" ht="12.75" customHeight="1" collapsed="1">
      <c r="A2217" s="83" t="s">
        <v>1576</v>
      </c>
      <c r="B2217" s="158" t="s">
        <v>771</v>
      </c>
      <c r="C2217" s="148">
        <f>SUM(F2221:F2229)</f>
        <v>22379.02</v>
      </c>
      <c r="D2217" s="86"/>
      <c r="E2217" s="88"/>
      <c r="F2217" s="88"/>
      <c r="G2217" s="105"/>
      <c r="H2217" s="106"/>
      <c r="I2217" s="106"/>
      <c r="J2217" s="101" t="b">
        <v>0</v>
      </c>
    </row>
    <row r="2218" ht="12.75" hidden="1" customHeight="1" outlineLevel="1">
      <c r="D2218" s="79"/>
      <c r="E2218" s="80"/>
      <c r="F2218" s="80"/>
      <c r="G2218" s="81"/>
      <c r="H2218" s="80"/>
      <c r="I2218" s="80"/>
      <c r="J2218" s="82" t="b">
        <v>0</v>
      </c>
    </row>
    <row r="2219" ht="12.75" hidden="1" customHeight="1" outlineLevel="1">
      <c r="A2219" s="89" t="s">
        <v>1577</v>
      </c>
      <c r="B2219" s="90" t="s">
        <v>1578</v>
      </c>
      <c r="D2219" s="79"/>
      <c r="E2219" s="80"/>
      <c r="F2219" s="80"/>
      <c r="G2219" s="81"/>
      <c r="H2219" s="80"/>
      <c r="I2219" s="80"/>
      <c r="J2219" s="82" t="b">
        <v>0</v>
      </c>
    </row>
    <row r="2220" ht="12.75" hidden="1" customHeight="1" outlineLevel="1">
      <c r="D2220" s="79"/>
      <c r="E2220" s="80"/>
      <c r="F2220" s="80"/>
      <c r="G2220" s="81"/>
      <c r="H2220" s="80"/>
      <c r="I2220" s="80"/>
      <c r="J2220" s="82" t="b">
        <v>0</v>
      </c>
    </row>
    <row r="2221" ht="12.75" hidden="1" customHeight="1" outlineLevel="1">
      <c r="A2221" s="136" t="s">
        <v>1579</v>
      </c>
      <c r="B2221" s="137" t="s">
        <v>1580</v>
      </c>
      <c r="C2221" s="136" t="s">
        <v>933</v>
      </c>
      <c r="D2221" s="140">
        <v>68.0</v>
      </c>
      <c r="E2221" s="100">
        <v>15.83</v>
      </c>
      <c r="F2221" s="100">
        <v>1076.44</v>
      </c>
      <c r="G2221" s="99"/>
      <c r="H2221" s="100"/>
      <c r="I2221" s="100"/>
      <c r="J2221" s="101" t="b">
        <v>0</v>
      </c>
    </row>
    <row r="2222" ht="12.75" hidden="1" customHeight="1" outlineLevel="1">
      <c r="A2222" s="138"/>
      <c r="B2222" s="138"/>
      <c r="C2222" s="138"/>
      <c r="D2222" s="139"/>
      <c r="E2222" s="106"/>
      <c r="F2222" s="106"/>
      <c r="G2222" s="105"/>
      <c r="H2222" s="106"/>
      <c r="I2222" s="106"/>
      <c r="J2222" s="101" t="b">
        <v>0</v>
      </c>
    </row>
    <row r="2223" ht="12.75" hidden="1" customHeight="1" outlineLevel="1">
      <c r="A2223" s="136" t="s">
        <v>1581</v>
      </c>
      <c r="B2223" s="137" t="s">
        <v>1582</v>
      </c>
      <c r="C2223" s="138"/>
      <c r="D2223" s="139"/>
      <c r="E2223" s="106"/>
      <c r="F2223" s="106"/>
      <c r="G2223" s="105"/>
      <c r="H2223" s="106"/>
      <c r="I2223" s="106"/>
      <c r="J2223" s="101" t="b">
        <v>0</v>
      </c>
    </row>
    <row r="2224" ht="12.75" hidden="1" customHeight="1" outlineLevel="1">
      <c r="A2224" s="138"/>
      <c r="B2224" s="138"/>
      <c r="C2224" s="138"/>
      <c r="D2224" s="139"/>
      <c r="E2224" s="106"/>
      <c r="F2224" s="106"/>
      <c r="G2224" s="105"/>
      <c r="H2224" s="106"/>
      <c r="I2224" s="106"/>
      <c r="J2224" s="101" t="b">
        <v>0</v>
      </c>
    </row>
    <row r="2225" ht="12.75" hidden="1" customHeight="1" outlineLevel="1">
      <c r="A2225" s="136" t="s">
        <v>1583</v>
      </c>
      <c r="B2225" s="137" t="s">
        <v>1584</v>
      </c>
      <c r="C2225" s="136" t="s">
        <v>933</v>
      </c>
      <c r="D2225" s="140">
        <v>386.0</v>
      </c>
      <c r="E2225" s="100">
        <v>8.04</v>
      </c>
      <c r="F2225" s="100">
        <v>3103.44</v>
      </c>
      <c r="G2225" s="99"/>
      <c r="H2225" s="100"/>
      <c r="I2225" s="100"/>
      <c r="J2225" s="101" t="b">
        <v>0</v>
      </c>
    </row>
    <row r="2226" ht="12.75" hidden="1" customHeight="1" outlineLevel="1">
      <c r="A2226" s="138"/>
      <c r="B2226" s="138"/>
      <c r="C2226" s="138"/>
      <c r="D2226" s="139"/>
      <c r="E2226" s="106"/>
      <c r="F2226" s="106"/>
      <c r="G2226" s="105"/>
      <c r="H2226" s="106"/>
      <c r="I2226" s="106"/>
      <c r="J2226" s="101" t="b">
        <v>0</v>
      </c>
    </row>
    <row r="2227" ht="12.75" hidden="1" customHeight="1" outlineLevel="1">
      <c r="A2227" s="136" t="s">
        <v>1585</v>
      </c>
      <c r="B2227" s="137" t="s">
        <v>1586</v>
      </c>
      <c r="C2227" s="138"/>
      <c r="D2227" s="139"/>
      <c r="E2227" s="106"/>
      <c r="F2227" s="106"/>
      <c r="G2227" s="105"/>
      <c r="H2227" s="106"/>
      <c r="I2227" s="106"/>
      <c r="J2227" s="101" t="b">
        <v>0</v>
      </c>
    </row>
    <row r="2228" ht="12.75" hidden="1" customHeight="1" outlineLevel="1">
      <c r="A2228" s="138"/>
      <c r="B2228" s="138"/>
      <c r="C2228" s="138"/>
      <c r="D2228" s="139"/>
      <c r="E2228" s="106"/>
      <c r="F2228" s="106"/>
      <c r="G2228" s="105"/>
      <c r="H2228" s="106"/>
      <c r="I2228" s="106"/>
      <c r="J2228" s="101" t="b">
        <v>0</v>
      </c>
    </row>
    <row r="2229" ht="12.75" hidden="1" customHeight="1" outlineLevel="1">
      <c r="A2229" s="136" t="s">
        <v>1587</v>
      </c>
      <c r="B2229" s="137" t="s">
        <v>1588</v>
      </c>
      <c r="C2229" s="136" t="s">
        <v>933</v>
      </c>
      <c r="D2229" s="140">
        <v>318.0</v>
      </c>
      <c r="E2229" s="100">
        <v>57.23</v>
      </c>
      <c r="F2229" s="100">
        <v>18199.14</v>
      </c>
      <c r="G2229" s="99"/>
      <c r="H2229" s="100"/>
      <c r="I2229" s="100"/>
      <c r="J2229" s="101" t="b">
        <v>0</v>
      </c>
    </row>
    <row r="2230" ht="12.75" hidden="1" customHeight="1" outlineLevel="1">
      <c r="A2230" s="138"/>
      <c r="B2230" s="138"/>
      <c r="C2230" s="138"/>
      <c r="D2230" s="139"/>
      <c r="E2230" s="106"/>
      <c r="F2230" s="106"/>
      <c r="G2230" s="105"/>
      <c r="H2230" s="106"/>
      <c r="I2230" s="106"/>
      <c r="J2230" s="101" t="b">
        <v>0</v>
      </c>
    </row>
    <row r="2231" ht="12.75" customHeight="1" collapsed="1">
      <c r="A2231" s="134">
        <v>1.3</v>
      </c>
      <c r="B2231" s="158" t="s">
        <v>1589</v>
      </c>
      <c r="C2231" s="87">
        <f>SUM(F2237:F2259)</f>
        <v>38104.7</v>
      </c>
      <c r="D2231" s="86"/>
      <c r="E2231" s="88"/>
      <c r="F2231" s="88"/>
      <c r="G2231" s="81"/>
      <c r="H2231" s="80"/>
      <c r="I2231" s="80"/>
      <c r="J2231" s="82" t="b">
        <v>0</v>
      </c>
    </row>
    <row r="2232" ht="12.75" hidden="1" customHeight="1" outlineLevel="1">
      <c r="D2232" s="79"/>
      <c r="E2232" s="80"/>
      <c r="F2232" s="80"/>
      <c r="G2232" s="81"/>
      <c r="H2232" s="80"/>
      <c r="I2232" s="80"/>
      <c r="J2232" s="82" t="b">
        <v>0</v>
      </c>
    </row>
    <row r="2233" ht="12.75" hidden="1" customHeight="1" outlineLevel="1">
      <c r="B2233" s="90" t="s">
        <v>1590</v>
      </c>
      <c r="D2233" s="79"/>
      <c r="E2233" s="80"/>
      <c r="F2233" s="80"/>
      <c r="G2233" s="81"/>
      <c r="H2233" s="80"/>
      <c r="I2233" s="80"/>
      <c r="J2233" s="82" t="b">
        <v>0</v>
      </c>
    </row>
    <row r="2234" ht="12.75" hidden="1" customHeight="1" outlineLevel="1">
      <c r="D2234" s="79"/>
      <c r="E2234" s="80"/>
      <c r="F2234" s="80"/>
      <c r="G2234" s="81"/>
      <c r="H2234" s="80"/>
      <c r="I2234" s="80"/>
      <c r="J2234" s="82" t="b">
        <v>0</v>
      </c>
    </row>
    <row r="2235" ht="12.75" hidden="1" customHeight="1" outlineLevel="1">
      <c r="A2235" s="89" t="s">
        <v>1591</v>
      </c>
      <c r="B2235" s="90" t="s">
        <v>1592</v>
      </c>
      <c r="D2235" s="79"/>
      <c r="E2235" s="80"/>
      <c r="F2235" s="80"/>
      <c r="G2235" s="81"/>
      <c r="H2235" s="80"/>
      <c r="I2235" s="80"/>
      <c r="J2235" s="82" t="b">
        <v>0</v>
      </c>
    </row>
    <row r="2236" ht="12.75" hidden="1" customHeight="1" outlineLevel="1">
      <c r="D2236" s="79"/>
      <c r="E2236" s="80"/>
      <c r="F2236" s="80"/>
      <c r="G2236" s="81"/>
      <c r="H2236" s="80"/>
      <c r="I2236" s="80"/>
      <c r="J2236" s="82" t="b">
        <v>0</v>
      </c>
    </row>
    <row r="2237" ht="12.75" hidden="1" customHeight="1" outlineLevel="1">
      <c r="A2237" s="89" t="s">
        <v>1593</v>
      </c>
      <c r="B2237" s="90" t="s">
        <v>1594</v>
      </c>
      <c r="C2237" s="89" t="s">
        <v>40</v>
      </c>
      <c r="D2237" s="91">
        <v>180.0</v>
      </c>
      <c r="E2237" s="92">
        <v>62.28</v>
      </c>
      <c r="F2237" s="92">
        <v>11210.4</v>
      </c>
      <c r="G2237" s="93"/>
      <c r="H2237" s="92"/>
      <c r="I2237" s="92"/>
      <c r="J2237" s="82" t="b">
        <v>0</v>
      </c>
    </row>
    <row r="2238" ht="12.75" hidden="1" customHeight="1" outlineLevel="1">
      <c r="D2238" s="79"/>
      <c r="E2238" s="80"/>
      <c r="F2238" s="80"/>
      <c r="G2238" s="81"/>
      <c r="H2238" s="80"/>
      <c r="I2238" s="80"/>
      <c r="J2238" s="82" t="b">
        <v>0</v>
      </c>
    </row>
    <row r="2239" ht="12.75" hidden="1" customHeight="1" outlineLevel="1">
      <c r="A2239" s="89" t="s">
        <v>1595</v>
      </c>
      <c r="B2239" s="90" t="s">
        <v>1596</v>
      </c>
      <c r="C2239" s="89" t="s">
        <v>933</v>
      </c>
      <c r="D2239" s="91">
        <v>10.0</v>
      </c>
      <c r="E2239" s="92">
        <v>108.91</v>
      </c>
      <c r="F2239" s="92">
        <v>1089.1</v>
      </c>
      <c r="G2239" s="93"/>
      <c r="H2239" s="92"/>
      <c r="I2239" s="92"/>
      <c r="J2239" s="82" t="b">
        <v>0</v>
      </c>
    </row>
    <row r="2240" ht="12.75" hidden="1" customHeight="1" outlineLevel="1">
      <c r="D2240" s="79"/>
      <c r="E2240" s="80"/>
      <c r="F2240" s="80"/>
      <c r="G2240" s="81"/>
      <c r="H2240" s="80"/>
      <c r="I2240" s="80"/>
      <c r="J2240" s="82" t="b">
        <v>0</v>
      </c>
    </row>
    <row r="2241" ht="12.75" hidden="1" customHeight="1" outlineLevel="1">
      <c r="A2241" s="89" t="s">
        <v>1597</v>
      </c>
      <c r="B2241" s="90" t="s">
        <v>1598</v>
      </c>
      <c r="D2241" s="79"/>
      <c r="E2241" s="80"/>
      <c r="F2241" s="80"/>
      <c r="G2241" s="81"/>
      <c r="H2241" s="80"/>
      <c r="I2241" s="80"/>
      <c r="J2241" s="82" t="b">
        <v>0</v>
      </c>
    </row>
    <row r="2242" ht="12.75" hidden="1" customHeight="1" outlineLevel="1">
      <c r="D2242" s="79"/>
      <c r="E2242" s="80"/>
      <c r="F2242" s="80"/>
      <c r="G2242" s="81"/>
      <c r="H2242" s="80"/>
      <c r="I2242" s="80"/>
      <c r="J2242" s="82" t="b">
        <v>0</v>
      </c>
    </row>
    <row r="2243" ht="12.75" hidden="1" customHeight="1" outlineLevel="1">
      <c r="A2243" s="89" t="s">
        <v>1599</v>
      </c>
      <c r="B2243" s="90" t="s">
        <v>1600</v>
      </c>
      <c r="C2243" s="89" t="s">
        <v>40</v>
      </c>
      <c r="D2243" s="91">
        <v>20.0</v>
      </c>
      <c r="E2243" s="92">
        <v>30.49</v>
      </c>
      <c r="F2243" s="92">
        <v>609.8</v>
      </c>
      <c r="G2243" s="93"/>
      <c r="H2243" s="92"/>
      <c r="I2243" s="92"/>
      <c r="J2243" s="82" t="b">
        <v>0</v>
      </c>
    </row>
    <row r="2244" ht="12.75" hidden="1" customHeight="1" outlineLevel="1">
      <c r="D2244" s="79"/>
      <c r="E2244" s="80"/>
      <c r="F2244" s="80"/>
      <c r="G2244" s="81"/>
      <c r="H2244" s="80"/>
      <c r="I2244" s="80"/>
      <c r="J2244" s="82" t="b">
        <v>0</v>
      </c>
    </row>
    <row r="2245" ht="12.75" hidden="1" customHeight="1" outlineLevel="1">
      <c r="A2245" s="89" t="s">
        <v>1601</v>
      </c>
      <c r="B2245" s="90" t="s">
        <v>1602</v>
      </c>
      <c r="D2245" s="79"/>
      <c r="E2245" s="80"/>
      <c r="F2245" s="80"/>
      <c r="G2245" s="81"/>
      <c r="H2245" s="80"/>
      <c r="I2245" s="80"/>
      <c r="J2245" s="82" t="b">
        <v>0</v>
      </c>
    </row>
    <row r="2246" ht="12.75" hidden="1" customHeight="1" outlineLevel="1">
      <c r="D2246" s="79"/>
      <c r="E2246" s="80"/>
      <c r="F2246" s="80"/>
      <c r="G2246" s="81"/>
      <c r="H2246" s="80"/>
      <c r="I2246" s="80"/>
      <c r="J2246" s="82" t="b">
        <v>0</v>
      </c>
    </row>
    <row r="2247" ht="12.75" hidden="1" customHeight="1" outlineLevel="1">
      <c r="A2247" s="89" t="s">
        <v>1603</v>
      </c>
      <c r="B2247" s="90" t="s">
        <v>1604</v>
      </c>
      <c r="C2247" s="89" t="s">
        <v>40</v>
      </c>
      <c r="D2247" s="91">
        <v>6.0</v>
      </c>
      <c r="E2247" s="92">
        <v>225.0</v>
      </c>
      <c r="F2247" s="92">
        <v>1350.0</v>
      </c>
      <c r="G2247" s="93"/>
      <c r="H2247" s="92"/>
      <c r="I2247" s="92"/>
      <c r="J2247" s="82" t="b">
        <v>0</v>
      </c>
    </row>
    <row r="2248" ht="12.75" hidden="1" customHeight="1" outlineLevel="1">
      <c r="D2248" s="79"/>
      <c r="E2248" s="80"/>
      <c r="F2248" s="80"/>
      <c r="G2248" s="81"/>
      <c r="H2248" s="80"/>
      <c r="I2248" s="80"/>
      <c r="J2248" s="82" t="b">
        <v>0</v>
      </c>
    </row>
    <row r="2249" ht="12.75" hidden="1" customHeight="1" outlineLevel="1">
      <c r="A2249" s="89" t="s">
        <v>1605</v>
      </c>
      <c r="B2249" s="90" t="s">
        <v>1606</v>
      </c>
      <c r="D2249" s="79"/>
      <c r="E2249" s="80"/>
      <c r="F2249" s="80"/>
      <c r="G2249" s="81"/>
      <c r="H2249" s="80"/>
      <c r="I2249" s="80"/>
      <c r="J2249" s="82" t="b">
        <v>0</v>
      </c>
    </row>
    <row r="2250" ht="12.75" hidden="1" customHeight="1" outlineLevel="1">
      <c r="D2250" s="79"/>
      <c r="E2250" s="80"/>
      <c r="F2250" s="80"/>
      <c r="G2250" s="81"/>
      <c r="H2250" s="80"/>
      <c r="I2250" s="80"/>
      <c r="J2250" s="82" t="b">
        <v>0</v>
      </c>
    </row>
    <row r="2251" ht="12.75" hidden="1" customHeight="1" outlineLevel="1">
      <c r="A2251" s="89" t="s">
        <v>1607</v>
      </c>
      <c r="B2251" s="90" t="s">
        <v>1608</v>
      </c>
      <c r="C2251" s="89" t="s">
        <v>40</v>
      </c>
      <c r="D2251" s="91">
        <v>45.0</v>
      </c>
      <c r="E2251" s="92">
        <v>185.0</v>
      </c>
      <c r="F2251" s="92">
        <v>8325.0</v>
      </c>
      <c r="G2251" s="93"/>
      <c r="H2251" s="92"/>
      <c r="I2251" s="92"/>
      <c r="J2251" s="82" t="b">
        <v>0</v>
      </c>
    </row>
    <row r="2252" ht="12.75" hidden="1" customHeight="1" outlineLevel="1">
      <c r="D2252" s="79"/>
      <c r="E2252" s="80"/>
      <c r="F2252" s="80"/>
      <c r="G2252" s="81"/>
      <c r="H2252" s="80"/>
      <c r="I2252" s="80"/>
      <c r="J2252" s="82" t="b">
        <v>0</v>
      </c>
    </row>
    <row r="2253" ht="12.75" hidden="1" customHeight="1" outlineLevel="1">
      <c r="A2253" s="89" t="s">
        <v>1609</v>
      </c>
      <c r="B2253" s="90" t="s">
        <v>1610</v>
      </c>
      <c r="D2253" s="79"/>
      <c r="E2253" s="80"/>
      <c r="F2253" s="80"/>
      <c r="G2253" s="81"/>
      <c r="H2253" s="80"/>
      <c r="I2253" s="80"/>
      <c r="J2253" s="82" t="b">
        <v>0</v>
      </c>
    </row>
    <row r="2254" ht="12.75" hidden="1" customHeight="1" outlineLevel="1">
      <c r="D2254" s="79"/>
      <c r="E2254" s="80"/>
      <c r="F2254" s="80"/>
      <c r="G2254" s="81"/>
      <c r="H2254" s="80"/>
      <c r="I2254" s="80"/>
      <c r="J2254" s="82" t="b">
        <v>0</v>
      </c>
    </row>
    <row r="2255" ht="12.75" hidden="1" customHeight="1" outlineLevel="1">
      <c r="A2255" s="89" t="s">
        <v>1611</v>
      </c>
      <c r="B2255" s="90" t="s">
        <v>1612</v>
      </c>
      <c r="C2255" s="89" t="s">
        <v>40</v>
      </c>
      <c r="D2255" s="91">
        <v>140.0</v>
      </c>
      <c r="E2255" s="92">
        <v>70.86</v>
      </c>
      <c r="F2255" s="92">
        <v>9920.4</v>
      </c>
      <c r="G2255" s="93"/>
      <c r="H2255" s="92"/>
      <c r="I2255" s="92"/>
      <c r="J2255" s="82" t="b">
        <v>0</v>
      </c>
    </row>
    <row r="2256" ht="12.75" hidden="1" customHeight="1" outlineLevel="1">
      <c r="D2256" s="79"/>
      <c r="E2256" s="80"/>
      <c r="F2256" s="80"/>
      <c r="G2256" s="81"/>
      <c r="H2256" s="80"/>
      <c r="I2256" s="80"/>
      <c r="J2256" s="82" t="b">
        <v>0</v>
      </c>
    </row>
    <row r="2257" ht="12.75" hidden="1" customHeight="1" outlineLevel="1">
      <c r="A2257" s="89" t="s">
        <v>1613</v>
      </c>
      <c r="B2257" s="90" t="s">
        <v>1614</v>
      </c>
      <c r="D2257" s="79"/>
      <c r="E2257" s="80"/>
      <c r="F2257" s="80"/>
      <c r="G2257" s="81"/>
      <c r="H2257" s="80"/>
      <c r="I2257" s="80"/>
      <c r="J2257" s="82" t="b">
        <v>0</v>
      </c>
    </row>
    <row r="2258" ht="12.75" hidden="1" customHeight="1" outlineLevel="1">
      <c r="D2258" s="79"/>
      <c r="E2258" s="80"/>
      <c r="F2258" s="80"/>
      <c r="G2258" s="81"/>
      <c r="H2258" s="80"/>
      <c r="I2258" s="80"/>
      <c r="J2258" s="82" t="b">
        <v>0</v>
      </c>
    </row>
    <row r="2259" ht="12.75" hidden="1" customHeight="1" outlineLevel="1">
      <c r="A2259" s="89" t="s">
        <v>1615</v>
      </c>
      <c r="B2259" s="90" t="s">
        <v>1616</v>
      </c>
      <c r="C2259" s="89" t="s">
        <v>161</v>
      </c>
      <c r="D2259" s="91">
        <v>32.0</v>
      </c>
      <c r="E2259" s="92">
        <v>175.0</v>
      </c>
      <c r="F2259" s="92">
        <v>5600.0</v>
      </c>
      <c r="G2259" s="93"/>
      <c r="H2259" s="92"/>
      <c r="I2259" s="92"/>
      <c r="J2259" s="82" t="b">
        <v>0</v>
      </c>
    </row>
    <row r="2260" ht="12.75" hidden="1" customHeight="1" outlineLevel="1">
      <c r="D2260" s="79"/>
      <c r="E2260" s="80"/>
      <c r="F2260" s="80"/>
      <c r="G2260" s="81"/>
      <c r="H2260" s="80"/>
      <c r="I2260" s="80"/>
      <c r="J2260" s="82" t="b">
        <v>0</v>
      </c>
    </row>
    <row r="2261" ht="12.75" customHeight="1" collapsed="1">
      <c r="A2261" s="134">
        <v>1.4</v>
      </c>
      <c r="B2261" s="158" t="s">
        <v>1617</v>
      </c>
      <c r="C2261" s="87">
        <f>SUM(F2267:F2281)</f>
        <v>0</v>
      </c>
      <c r="D2261" s="86"/>
      <c r="E2261" s="88"/>
      <c r="F2261" s="88"/>
      <c r="G2261" s="81"/>
      <c r="H2261" s="80"/>
      <c r="I2261" s="80"/>
      <c r="J2261" s="82" t="b">
        <v>0</v>
      </c>
    </row>
    <row r="2262" ht="12.75" hidden="1" customHeight="1" outlineLevel="1">
      <c r="D2262" s="79"/>
      <c r="E2262" s="80"/>
      <c r="F2262" s="80"/>
      <c r="G2262" s="81"/>
      <c r="H2262" s="80"/>
      <c r="I2262" s="80"/>
      <c r="J2262" s="82" t="b">
        <v>0</v>
      </c>
    </row>
    <row r="2263" ht="12.75" hidden="1" customHeight="1" outlineLevel="1">
      <c r="B2263" s="90" t="s">
        <v>1618</v>
      </c>
      <c r="D2263" s="79"/>
      <c r="E2263" s="80"/>
      <c r="F2263" s="80"/>
      <c r="G2263" s="81"/>
      <c r="H2263" s="80"/>
      <c r="I2263" s="80"/>
      <c r="J2263" s="82" t="b">
        <v>0</v>
      </c>
    </row>
    <row r="2264" ht="12.75" hidden="1" customHeight="1" outlineLevel="1">
      <c r="D2264" s="79"/>
      <c r="E2264" s="80"/>
      <c r="F2264" s="80"/>
      <c r="G2264" s="81"/>
      <c r="H2264" s="80"/>
      <c r="I2264" s="80"/>
      <c r="J2264" s="82" t="b">
        <v>0</v>
      </c>
    </row>
    <row r="2265" ht="12.75" hidden="1" customHeight="1" outlineLevel="1">
      <c r="A2265" s="89" t="s">
        <v>781</v>
      </c>
      <c r="B2265" s="90" t="s">
        <v>1619</v>
      </c>
      <c r="D2265" s="79"/>
      <c r="E2265" s="80"/>
      <c r="F2265" s="80"/>
      <c r="G2265" s="81"/>
      <c r="H2265" s="80"/>
      <c r="I2265" s="80"/>
      <c r="J2265" s="82" t="b">
        <v>0</v>
      </c>
    </row>
    <row r="2266" ht="12.75" hidden="1" customHeight="1" outlineLevel="1">
      <c r="D2266" s="79"/>
      <c r="E2266" s="80"/>
      <c r="F2266" s="80"/>
      <c r="G2266" s="81"/>
      <c r="H2266" s="80"/>
      <c r="I2266" s="80"/>
      <c r="J2266" s="82" t="b">
        <v>0</v>
      </c>
    </row>
    <row r="2267" ht="12.75" hidden="1" customHeight="1" outlineLevel="1">
      <c r="A2267" s="89" t="s">
        <v>1620</v>
      </c>
      <c r="B2267" s="90" t="s">
        <v>1621</v>
      </c>
      <c r="C2267" s="89" t="s">
        <v>75</v>
      </c>
      <c r="D2267" s="91">
        <v>8.0</v>
      </c>
      <c r="E2267" s="80"/>
      <c r="F2267" s="135" t="s">
        <v>1428</v>
      </c>
      <c r="G2267" s="159"/>
      <c r="H2267" s="135"/>
      <c r="I2267" s="135"/>
      <c r="J2267" s="82" t="b">
        <v>0</v>
      </c>
    </row>
    <row r="2268" ht="12.75" hidden="1" customHeight="1" outlineLevel="1">
      <c r="D2268" s="79"/>
      <c r="E2268" s="80"/>
      <c r="F2268" s="80"/>
      <c r="G2268" s="81"/>
      <c r="H2268" s="80"/>
      <c r="I2268" s="80"/>
      <c r="J2268" s="82" t="b">
        <v>0</v>
      </c>
    </row>
    <row r="2269" ht="12.75" hidden="1" customHeight="1" outlineLevel="1">
      <c r="A2269" s="89" t="s">
        <v>1622</v>
      </c>
      <c r="B2269" s="90" t="s">
        <v>1623</v>
      </c>
      <c r="C2269" s="89" t="s">
        <v>75</v>
      </c>
      <c r="D2269" s="91">
        <v>10.0</v>
      </c>
      <c r="E2269" s="80"/>
      <c r="F2269" s="135" t="s">
        <v>1428</v>
      </c>
      <c r="G2269" s="159"/>
      <c r="H2269" s="135"/>
      <c r="I2269" s="135"/>
      <c r="J2269" s="82" t="b">
        <v>0</v>
      </c>
    </row>
    <row r="2270" ht="12.75" hidden="1" customHeight="1" outlineLevel="1">
      <c r="D2270" s="79"/>
      <c r="E2270" s="80"/>
      <c r="F2270" s="80"/>
      <c r="G2270" s="81"/>
      <c r="H2270" s="80"/>
      <c r="I2270" s="80"/>
      <c r="J2270" s="82" t="b">
        <v>0</v>
      </c>
    </row>
    <row r="2271" ht="12.75" hidden="1" customHeight="1" outlineLevel="1">
      <c r="A2271" s="89" t="s">
        <v>1624</v>
      </c>
      <c r="B2271" s="90" t="s">
        <v>1625</v>
      </c>
      <c r="D2271" s="79"/>
      <c r="E2271" s="80"/>
      <c r="F2271" s="80"/>
      <c r="G2271" s="81"/>
      <c r="H2271" s="80"/>
      <c r="I2271" s="80"/>
      <c r="J2271" s="82" t="b">
        <v>0</v>
      </c>
    </row>
    <row r="2272" ht="12.75" hidden="1" customHeight="1" outlineLevel="1">
      <c r="D2272" s="79"/>
      <c r="E2272" s="80"/>
      <c r="F2272" s="80"/>
      <c r="G2272" s="81"/>
      <c r="H2272" s="80"/>
      <c r="I2272" s="80"/>
      <c r="J2272" s="82" t="b">
        <v>0</v>
      </c>
    </row>
    <row r="2273" ht="12.75" hidden="1" customHeight="1" outlineLevel="1">
      <c r="A2273" s="89" t="s">
        <v>1626</v>
      </c>
      <c r="B2273" s="90" t="s">
        <v>1627</v>
      </c>
      <c r="C2273" s="89" t="s">
        <v>75</v>
      </c>
      <c r="D2273" s="91">
        <v>4.0</v>
      </c>
      <c r="E2273" s="80"/>
      <c r="F2273" s="135" t="s">
        <v>1428</v>
      </c>
      <c r="G2273" s="159"/>
      <c r="H2273" s="135"/>
      <c r="I2273" s="135"/>
      <c r="J2273" s="82" t="b">
        <v>0</v>
      </c>
    </row>
    <row r="2274" ht="12.75" hidden="1" customHeight="1" outlineLevel="1">
      <c r="D2274" s="79"/>
      <c r="E2274" s="80"/>
      <c r="F2274" s="80"/>
      <c r="G2274" s="81"/>
      <c r="H2274" s="80"/>
      <c r="I2274" s="80"/>
      <c r="J2274" s="82" t="b">
        <v>0</v>
      </c>
    </row>
    <row r="2275" ht="12.75" hidden="1" customHeight="1" outlineLevel="1">
      <c r="A2275" s="89" t="s">
        <v>1628</v>
      </c>
      <c r="B2275" s="90" t="s">
        <v>1629</v>
      </c>
      <c r="D2275" s="79"/>
      <c r="E2275" s="80"/>
      <c r="F2275" s="80"/>
      <c r="G2275" s="81"/>
      <c r="H2275" s="80"/>
      <c r="I2275" s="80"/>
      <c r="J2275" s="82" t="b">
        <v>0</v>
      </c>
    </row>
    <row r="2276" ht="12.75" hidden="1" customHeight="1" outlineLevel="1">
      <c r="D2276" s="79"/>
      <c r="E2276" s="80"/>
      <c r="F2276" s="80"/>
      <c r="G2276" s="81"/>
      <c r="H2276" s="80"/>
      <c r="I2276" s="80"/>
      <c r="J2276" s="82" t="b">
        <v>0</v>
      </c>
    </row>
    <row r="2277" ht="12.75" hidden="1" customHeight="1" outlineLevel="1">
      <c r="A2277" s="89" t="s">
        <v>1630</v>
      </c>
      <c r="B2277" s="90" t="s">
        <v>1631</v>
      </c>
      <c r="D2277" s="79"/>
      <c r="E2277" s="80"/>
      <c r="F2277" s="80"/>
      <c r="G2277" s="81"/>
      <c r="H2277" s="80"/>
      <c r="I2277" s="80"/>
      <c r="J2277" s="82" t="b">
        <v>0</v>
      </c>
    </row>
    <row r="2278" ht="12.75" hidden="1" customHeight="1" outlineLevel="1">
      <c r="D2278" s="79"/>
      <c r="E2278" s="80"/>
      <c r="F2278" s="80"/>
      <c r="G2278" s="81"/>
      <c r="H2278" s="80"/>
      <c r="I2278" s="80"/>
      <c r="J2278" s="82" t="b">
        <v>0</v>
      </c>
    </row>
    <row r="2279" ht="12.75" hidden="1" customHeight="1" outlineLevel="1">
      <c r="A2279" s="89" t="s">
        <v>1632</v>
      </c>
      <c r="B2279" s="90" t="s">
        <v>1633</v>
      </c>
      <c r="C2279" s="89" t="s">
        <v>75</v>
      </c>
      <c r="D2279" s="91">
        <v>4.0</v>
      </c>
      <c r="E2279" s="80"/>
      <c r="F2279" s="135" t="s">
        <v>1428</v>
      </c>
      <c r="G2279" s="159"/>
      <c r="H2279" s="135"/>
      <c r="I2279" s="135"/>
      <c r="J2279" s="82" t="b">
        <v>0</v>
      </c>
    </row>
    <row r="2280" ht="12.75" hidden="1" customHeight="1" outlineLevel="1">
      <c r="D2280" s="79"/>
      <c r="E2280" s="80"/>
      <c r="F2280" s="80"/>
      <c r="G2280" s="81"/>
      <c r="H2280" s="80"/>
      <c r="I2280" s="80"/>
      <c r="J2280" s="82" t="b">
        <v>0</v>
      </c>
    </row>
    <row r="2281" ht="12.75" hidden="1" customHeight="1" outlineLevel="1">
      <c r="A2281" s="89" t="s">
        <v>1634</v>
      </c>
      <c r="B2281" s="90" t="s">
        <v>1635</v>
      </c>
      <c r="C2281" s="89" t="s">
        <v>75</v>
      </c>
      <c r="D2281" s="91">
        <v>2.0</v>
      </c>
      <c r="E2281" s="80"/>
      <c r="F2281" s="135" t="s">
        <v>1428</v>
      </c>
      <c r="G2281" s="159"/>
      <c r="H2281" s="135"/>
      <c r="I2281" s="135"/>
      <c r="J2281" s="82" t="b">
        <v>0</v>
      </c>
    </row>
    <row r="2282" ht="12.75" hidden="1" customHeight="1" outlineLevel="1">
      <c r="D2282" s="79"/>
      <c r="E2282" s="80"/>
      <c r="F2282" s="80"/>
      <c r="G2282" s="81"/>
      <c r="H2282" s="80"/>
      <c r="I2282" s="80"/>
      <c r="J2282" s="82" t="b">
        <v>0</v>
      </c>
    </row>
    <row r="2283" ht="12.75" customHeight="1" collapsed="1">
      <c r="A2283" s="134">
        <v>1.5</v>
      </c>
      <c r="B2283" s="158" t="s">
        <v>592</v>
      </c>
      <c r="C2283" s="87">
        <f>SUM(F2287:F2293)</f>
        <v>10548</v>
      </c>
      <c r="D2283" s="86"/>
      <c r="E2283" s="88"/>
      <c r="F2283" s="88"/>
      <c r="G2283" s="81"/>
      <c r="H2283" s="80"/>
      <c r="I2283" s="80"/>
      <c r="J2283" s="82" t="b">
        <v>0</v>
      </c>
    </row>
    <row r="2284" ht="12.75" hidden="1" customHeight="1" outlineLevel="1">
      <c r="D2284" s="79"/>
      <c r="E2284" s="80"/>
      <c r="F2284" s="80"/>
      <c r="G2284" s="81"/>
      <c r="H2284" s="80"/>
      <c r="I2284" s="80"/>
      <c r="J2284" s="82" t="b">
        <v>0</v>
      </c>
    </row>
    <row r="2285" ht="12.75" hidden="1" customHeight="1" outlineLevel="1">
      <c r="A2285" s="89" t="s">
        <v>1636</v>
      </c>
      <c r="B2285" s="90" t="s">
        <v>1637</v>
      </c>
      <c r="D2285" s="79"/>
      <c r="E2285" s="80"/>
      <c r="F2285" s="80"/>
      <c r="G2285" s="81"/>
      <c r="H2285" s="80"/>
      <c r="I2285" s="80"/>
      <c r="J2285" s="82" t="b">
        <v>0</v>
      </c>
    </row>
    <row r="2286" ht="12.75" hidden="1" customHeight="1" outlineLevel="1">
      <c r="D2286" s="79"/>
      <c r="E2286" s="80"/>
      <c r="F2286" s="80"/>
      <c r="G2286" s="81"/>
      <c r="H2286" s="80"/>
      <c r="I2286" s="80"/>
      <c r="J2286" s="82" t="b">
        <v>0</v>
      </c>
    </row>
    <row r="2287" ht="12.75" hidden="1" customHeight="1" outlineLevel="1">
      <c r="A2287" s="89" t="s">
        <v>1638</v>
      </c>
      <c r="B2287" s="90" t="s">
        <v>1639</v>
      </c>
      <c r="C2287" s="89" t="s">
        <v>75</v>
      </c>
      <c r="D2287" s="91">
        <v>1.0</v>
      </c>
      <c r="E2287" s="92">
        <v>1500.0</v>
      </c>
      <c r="F2287" s="92">
        <v>1500.0</v>
      </c>
      <c r="G2287" s="93"/>
      <c r="H2287" s="92"/>
      <c r="I2287" s="92"/>
      <c r="J2287" s="82" t="b">
        <v>0</v>
      </c>
    </row>
    <row r="2288" ht="12.75" hidden="1" customHeight="1" outlineLevel="1">
      <c r="D2288" s="79"/>
      <c r="E2288" s="80"/>
      <c r="F2288" s="80"/>
      <c r="G2288" s="81"/>
      <c r="H2288" s="80"/>
      <c r="I2288" s="80"/>
      <c r="J2288" s="82" t="b">
        <v>0</v>
      </c>
    </row>
    <row r="2289" ht="12.75" hidden="1" customHeight="1" outlineLevel="1">
      <c r="A2289" s="89" t="s">
        <v>1640</v>
      </c>
      <c r="B2289" s="90" t="s">
        <v>1641</v>
      </c>
      <c r="C2289" s="89" t="s">
        <v>75</v>
      </c>
      <c r="D2289" s="91">
        <v>1.0</v>
      </c>
      <c r="E2289" s="92">
        <v>1098.0</v>
      </c>
      <c r="F2289" s="92">
        <v>1098.0</v>
      </c>
      <c r="G2289" s="93"/>
      <c r="H2289" s="92"/>
      <c r="I2289" s="92"/>
      <c r="J2289" s="82" t="b">
        <v>0</v>
      </c>
    </row>
    <row r="2290" ht="12.75" hidden="1" customHeight="1" outlineLevel="1">
      <c r="D2290" s="79"/>
      <c r="E2290" s="80"/>
      <c r="F2290" s="80"/>
      <c r="G2290" s="81"/>
      <c r="H2290" s="80"/>
      <c r="I2290" s="80"/>
      <c r="J2290" s="82" t="b">
        <v>0</v>
      </c>
    </row>
    <row r="2291" ht="12.75" hidden="1" customHeight="1" outlineLevel="1">
      <c r="A2291" s="89" t="s">
        <v>1642</v>
      </c>
      <c r="B2291" s="90" t="s">
        <v>1643</v>
      </c>
      <c r="C2291" s="89" t="s">
        <v>75</v>
      </c>
      <c r="D2291" s="91">
        <v>1.0</v>
      </c>
      <c r="E2291" s="92">
        <v>750.0</v>
      </c>
      <c r="F2291" s="92">
        <v>750.0</v>
      </c>
      <c r="G2291" s="93"/>
      <c r="H2291" s="92"/>
      <c r="I2291" s="92"/>
      <c r="J2291" s="82" t="b">
        <v>0</v>
      </c>
    </row>
    <row r="2292" ht="12.75" hidden="1" customHeight="1" outlineLevel="1">
      <c r="D2292" s="79"/>
      <c r="E2292" s="80"/>
      <c r="F2292" s="80"/>
      <c r="G2292" s="81"/>
      <c r="H2292" s="80"/>
      <c r="I2292" s="80"/>
      <c r="J2292" s="82" t="b">
        <v>0</v>
      </c>
    </row>
    <row r="2293" ht="12.75" hidden="1" customHeight="1" outlineLevel="1">
      <c r="A2293" s="89" t="s">
        <v>1644</v>
      </c>
      <c r="B2293" s="90" t="s">
        <v>1645</v>
      </c>
      <c r="C2293" s="89" t="s">
        <v>75</v>
      </c>
      <c r="D2293" s="91">
        <v>1.0</v>
      </c>
      <c r="E2293" s="92">
        <v>7200.0</v>
      </c>
      <c r="F2293" s="92">
        <v>7200.0</v>
      </c>
      <c r="G2293" s="93"/>
      <c r="H2293" s="92"/>
      <c r="I2293" s="92"/>
      <c r="J2293" s="82" t="b">
        <v>0</v>
      </c>
    </row>
    <row r="2294" ht="12.75" hidden="1" customHeight="1" outlineLevel="1">
      <c r="D2294" s="79"/>
      <c r="E2294" s="80"/>
      <c r="F2294" s="80"/>
      <c r="G2294" s="81"/>
      <c r="H2294" s="80"/>
      <c r="I2294" s="80"/>
      <c r="J2294" s="82" t="b">
        <v>0</v>
      </c>
    </row>
    <row r="2295" ht="12.75" customHeight="1" collapsed="1">
      <c r="A2295" s="134" t="s">
        <v>1646</v>
      </c>
      <c r="B2295" s="158" t="s">
        <v>1647</v>
      </c>
      <c r="C2295" s="87">
        <f>SUM(F2301:F2419)</f>
        <v>73360.69</v>
      </c>
      <c r="D2295" s="86"/>
      <c r="E2295" s="88"/>
      <c r="F2295" s="88"/>
      <c r="G2295" s="81"/>
      <c r="H2295" s="80"/>
      <c r="I2295" s="80"/>
      <c r="J2295" s="82" t="b">
        <v>0</v>
      </c>
    </row>
    <row r="2296" ht="12.75" hidden="1" customHeight="1" outlineLevel="1">
      <c r="D2296" s="79"/>
      <c r="E2296" s="80"/>
      <c r="F2296" s="80"/>
      <c r="G2296" s="81"/>
      <c r="H2296" s="80"/>
      <c r="I2296" s="80"/>
      <c r="J2296" s="82" t="b">
        <v>0</v>
      </c>
    </row>
    <row r="2297" ht="12.75" hidden="1" customHeight="1" outlineLevel="1">
      <c r="A2297" s="89" t="s">
        <v>1648</v>
      </c>
      <c r="B2297" s="90" t="s">
        <v>1649</v>
      </c>
      <c r="D2297" s="79"/>
      <c r="E2297" s="80"/>
      <c r="F2297" s="80"/>
      <c r="G2297" s="81"/>
      <c r="H2297" s="80"/>
      <c r="I2297" s="80"/>
      <c r="J2297" s="82" t="b">
        <v>0</v>
      </c>
    </row>
    <row r="2298" ht="12.75" hidden="1" customHeight="1" outlineLevel="1">
      <c r="D2298" s="79"/>
      <c r="E2298" s="80"/>
      <c r="F2298" s="80"/>
      <c r="G2298" s="81"/>
      <c r="H2298" s="80"/>
      <c r="I2298" s="80"/>
      <c r="J2298" s="82" t="b">
        <v>0</v>
      </c>
    </row>
    <row r="2299" ht="12.75" hidden="1" customHeight="1" outlineLevel="1">
      <c r="A2299" s="89" t="s">
        <v>1650</v>
      </c>
      <c r="B2299" s="90" t="s">
        <v>1651</v>
      </c>
      <c r="D2299" s="79"/>
      <c r="E2299" s="80"/>
      <c r="F2299" s="80"/>
      <c r="G2299" s="81"/>
      <c r="H2299" s="80"/>
      <c r="I2299" s="80"/>
      <c r="J2299" s="82" t="b">
        <v>0</v>
      </c>
    </row>
    <row r="2300" ht="12.75" hidden="1" customHeight="1" outlineLevel="1">
      <c r="D2300" s="79"/>
      <c r="E2300" s="80"/>
      <c r="F2300" s="80"/>
      <c r="G2300" s="81"/>
      <c r="H2300" s="80"/>
      <c r="I2300" s="80"/>
      <c r="J2300" s="82" t="b">
        <v>0</v>
      </c>
    </row>
    <row r="2301" ht="12.75" hidden="1" customHeight="1" outlineLevel="1">
      <c r="A2301" s="89" t="s">
        <v>1652</v>
      </c>
      <c r="B2301" s="90" t="s">
        <v>1653</v>
      </c>
      <c r="C2301" s="89" t="s">
        <v>40</v>
      </c>
      <c r="D2301" s="91">
        <v>2000.0</v>
      </c>
      <c r="E2301" s="92">
        <v>2.5</v>
      </c>
      <c r="F2301" s="92">
        <v>5000.0</v>
      </c>
      <c r="G2301" s="93"/>
      <c r="H2301" s="92"/>
      <c r="I2301" s="92"/>
      <c r="J2301" s="82" t="b">
        <v>0</v>
      </c>
    </row>
    <row r="2302" ht="12.75" hidden="1" customHeight="1" outlineLevel="1">
      <c r="D2302" s="79"/>
      <c r="E2302" s="80"/>
      <c r="F2302" s="80"/>
      <c r="G2302" s="81"/>
      <c r="H2302" s="80"/>
      <c r="I2302" s="80"/>
      <c r="J2302" s="82" t="b">
        <v>0</v>
      </c>
    </row>
    <row r="2303" ht="12.75" hidden="1" customHeight="1" outlineLevel="1">
      <c r="A2303" s="89" t="s">
        <v>1654</v>
      </c>
      <c r="B2303" s="90" t="s">
        <v>1655</v>
      </c>
      <c r="D2303" s="79"/>
      <c r="E2303" s="80"/>
      <c r="F2303" s="80"/>
      <c r="G2303" s="81"/>
      <c r="H2303" s="80"/>
      <c r="I2303" s="80"/>
      <c r="J2303" s="82" t="b">
        <v>0</v>
      </c>
    </row>
    <row r="2304" ht="12.75" hidden="1" customHeight="1" outlineLevel="1">
      <c r="D2304" s="79"/>
      <c r="E2304" s="80"/>
      <c r="F2304" s="80"/>
      <c r="G2304" s="81"/>
      <c r="H2304" s="80"/>
      <c r="I2304" s="80"/>
      <c r="J2304" s="82" t="b">
        <v>0</v>
      </c>
    </row>
    <row r="2305" ht="12.75" hidden="1" customHeight="1" outlineLevel="1">
      <c r="A2305" s="89" t="s">
        <v>1656</v>
      </c>
      <c r="B2305" s="90" t="s">
        <v>1657</v>
      </c>
      <c r="C2305" s="89" t="s">
        <v>933</v>
      </c>
      <c r="D2305" s="91">
        <v>70.0</v>
      </c>
      <c r="E2305" s="92">
        <v>10.76</v>
      </c>
      <c r="F2305" s="92">
        <v>753.2</v>
      </c>
      <c r="G2305" s="93"/>
      <c r="H2305" s="92"/>
      <c r="I2305" s="92"/>
      <c r="J2305" s="82" t="b">
        <v>0</v>
      </c>
    </row>
    <row r="2306" ht="12.75" hidden="1" customHeight="1" outlineLevel="1">
      <c r="D2306" s="79"/>
      <c r="E2306" s="80"/>
      <c r="F2306" s="80"/>
      <c r="G2306" s="81"/>
      <c r="H2306" s="80"/>
      <c r="I2306" s="80"/>
      <c r="J2306" s="82" t="b">
        <v>0</v>
      </c>
    </row>
    <row r="2307" ht="12.75" hidden="1" customHeight="1" outlineLevel="1">
      <c r="A2307" s="89" t="s">
        <v>1658</v>
      </c>
      <c r="B2307" s="90" t="s">
        <v>1659</v>
      </c>
      <c r="C2307" s="89" t="s">
        <v>933</v>
      </c>
      <c r="D2307" s="91">
        <v>177.0</v>
      </c>
      <c r="E2307" s="92">
        <v>10.76</v>
      </c>
      <c r="F2307" s="92">
        <v>1904.52</v>
      </c>
      <c r="G2307" s="93"/>
      <c r="H2307" s="92"/>
      <c r="I2307" s="92"/>
      <c r="J2307" s="82" t="b">
        <v>0</v>
      </c>
    </row>
    <row r="2308" ht="12.75" hidden="1" customHeight="1" outlineLevel="1">
      <c r="D2308" s="79"/>
      <c r="E2308" s="80"/>
      <c r="F2308" s="80"/>
      <c r="G2308" s="81"/>
      <c r="H2308" s="80"/>
      <c r="I2308" s="80"/>
      <c r="J2308" s="82" t="b">
        <v>0</v>
      </c>
    </row>
    <row r="2309" ht="12.75" hidden="1" customHeight="1" outlineLevel="1">
      <c r="A2309" s="89" t="s">
        <v>1660</v>
      </c>
      <c r="B2309" s="90" t="s">
        <v>1661</v>
      </c>
      <c r="C2309" s="89" t="s">
        <v>933</v>
      </c>
      <c r="D2309" s="91">
        <v>134.0</v>
      </c>
      <c r="E2309" s="92">
        <v>10.76</v>
      </c>
      <c r="F2309" s="92">
        <v>1441.84</v>
      </c>
      <c r="G2309" s="93"/>
      <c r="H2309" s="92"/>
      <c r="I2309" s="92"/>
      <c r="J2309" s="82" t="b">
        <v>0</v>
      </c>
    </row>
    <row r="2310" ht="12.75" hidden="1" customHeight="1" outlineLevel="1">
      <c r="D2310" s="79"/>
      <c r="E2310" s="80"/>
      <c r="F2310" s="80"/>
      <c r="G2310" s="81"/>
      <c r="H2310" s="80"/>
      <c r="I2310" s="80"/>
      <c r="J2310" s="82" t="b">
        <v>0</v>
      </c>
    </row>
    <row r="2311" ht="12.75" hidden="1" customHeight="1" outlineLevel="1">
      <c r="A2311" s="89" t="s">
        <v>1662</v>
      </c>
      <c r="B2311" s="90" t="s">
        <v>1663</v>
      </c>
      <c r="D2311" s="79"/>
      <c r="E2311" s="80"/>
      <c r="F2311" s="80"/>
      <c r="G2311" s="81"/>
      <c r="H2311" s="80"/>
      <c r="I2311" s="80"/>
      <c r="J2311" s="82" t="b">
        <v>0</v>
      </c>
    </row>
    <row r="2312" ht="12.75" hidden="1" customHeight="1" outlineLevel="1">
      <c r="D2312" s="79"/>
      <c r="E2312" s="80"/>
      <c r="F2312" s="80"/>
      <c r="G2312" s="81"/>
      <c r="H2312" s="80"/>
      <c r="I2312" s="80"/>
      <c r="J2312" s="82" t="b">
        <v>0</v>
      </c>
    </row>
    <row r="2313" ht="12.75" hidden="1" customHeight="1" outlineLevel="1">
      <c r="A2313" s="89" t="s">
        <v>1664</v>
      </c>
      <c r="B2313" s="90" t="s">
        <v>1665</v>
      </c>
      <c r="D2313" s="79"/>
      <c r="E2313" s="80"/>
      <c r="F2313" s="80"/>
      <c r="G2313" s="81"/>
      <c r="H2313" s="80"/>
      <c r="I2313" s="80"/>
      <c r="J2313" s="82" t="b">
        <v>0</v>
      </c>
    </row>
    <row r="2314" ht="12.75" hidden="1" customHeight="1" outlineLevel="1">
      <c r="D2314" s="79"/>
      <c r="E2314" s="80"/>
      <c r="F2314" s="80"/>
      <c r="G2314" s="81"/>
      <c r="H2314" s="80"/>
      <c r="I2314" s="80"/>
      <c r="J2314" s="82" t="b">
        <v>0</v>
      </c>
    </row>
    <row r="2315" ht="12.75" hidden="1" customHeight="1" outlineLevel="1">
      <c r="A2315" s="89" t="s">
        <v>1666</v>
      </c>
      <c r="B2315" s="90" t="s">
        <v>1667</v>
      </c>
      <c r="C2315" s="89" t="s">
        <v>933</v>
      </c>
      <c r="D2315" s="91">
        <v>72.5</v>
      </c>
      <c r="E2315" s="92">
        <v>57.17</v>
      </c>
      <c r="F2315" s="92">
        <v>4144.83</v>
      </c>
      <c r="G2315" s="93"/>
      <c r="H2315" s="92"/>
      <c r="I2315" s="92"/>
      <c r="J2315" s="82" t="b">
        <v>0</v>
      </c>
    </row>
    <row r="2316" ht="12.75" hidden="1" customHeight="1" outlineLevel="1">
      <c r="D2316" s="79"/>
      <c r="E2316" s="80"/>
      <c r="F2316" s="80"/>
      <c r="G2316" s="81"/>
      <c r="H2316" s="80"/>
      <c r="I2316" s="80"/>
      <c r="J2316" s="82" t="b">
        <v>0</v>
      </c>
    </row>
    <row r="2317" ht="12.75" hidden="1" customHeight="1" outlineLevel="1">
      <c r="A2317" s="89" t="s">
        <v>1668</v>
      </c>
      <c r="B2317" s="90" t="s">
        <v>1669</v>
      </c>
      <c r="C2317" s="89" t="s">
        <v>933</v>
      </c>
      <c r="D2317" s="91">
        <v>177.0</v>
      </c>
      <c r="E2317" s="92">
        <v>57.17</v>
      </c>
      <c r="F2317" s="92">
        <v>10119.09</v>
      </c>
      <c r="G2317" s="93"/>
      <c r="H2317" s="92"/>
      <c r="I2317" s="92"/>
      <c r="J2317" s="82" t="b">
        <v>0</v>
      </c>
    </row>
    <row r="2318" ht="12.75" hidden="1" customHeight="1" outlineLevel="1">
      <c r="D2318" s="79"/>
      <c r="E2318" s="80"/>
      <c r="F2318" s="80"/>
      <c r="G2318" s="81"/>
      <c r="H2318" s="80"/>
      <c r="I2318" s="80"/>
      <c r="J2318" s="82" t="b">
        <v>0</v>
      </c>
    </row>
    <row r="2319" ht="12.75" hidden="1" customHeight="1" outlineLevel="1">
      <c r="A2319" s="89" t="s">
        <v>1670</v>
      </c>
      <c r="B2319" s="90" t="s">
        <v>1671</v>
      </c>
      <c r="C2319" s="89" t="s">
        <v>933</v>
      </c>
      <c r="D2319" s="91">
        <v>134.0</v>
      </c>
      <c r="E2319" s="92">
        <v>57.17</v>
      </c>
      <c r="F2319" s="92">
        <v>7660.78</v>
      </c>
      <c r="G2319" s="93"/>
      <c r="H2319" s="92"/>
      <c r="I2319" s="92"/>
      <c r="J2319" s="82" t="b">
        <v>0</v>
      </c>
    </row>
    <row r="2320" ht="12.75" hidden="1" customHeight="1" outlineLevel="1">
      <c r="D2320" s="79"/>
      <c r="E2320" s="80"/>
      <c r="F2320" s="80"/>
      <c r="G2320" s="81"/>
      <c r="H2320" s="80"/>
      <c r="I2320" s="80"/>
      <c r="J2320" s="82" t="b">
        <v>0</v>
      </c>
    </row>
    <row r="2321" ht="12.75" hidden="1" customHeight="1" outlineLevel="1">
      <c r="A2321" s="89" t="s">
        <v>1672</v>
      </c>
      <c r="B2321" s="90" t="s">
        <v>1673</v>
      </c>
      <c r="C2321" s="89" t="s">
        <v>933</v>
      </c>
      <c r="D2321" s="91">
        <v>70.0</v>
      </c>
      <c r="E2321" s="92">
        <v>57.17</v>
      </c>
      <c r="F2321" s="92">
        <v>4001.9</v>
      </c>
      <c r="G2321" s="93"/>
      <c r="H2321" s="92"/>
      <c r="I2321" s="92"/>
      <c r="J2321" s="82" t="b">
        <v>0</v>
      </c>
    </row>
    <row r="2322" ht="12.75" hidden="1" customHeight="1" outlineLevel="1">
      <c r="D2322" s="79"/>
      <c r="E2322" s="80"/>
      <c r="F2322" s="80"/>
      <c r="G2322" s="81"/>
      <c r="H2322" s="80"/>
      <c r="I2322" s="80"/>
      <c r="J2322" s="82" t="b">
        <v>0</v>
      </c>
    </row>
    <row r="2323" ht="12.75" hidden="1" customHeight="1" outlineLevel="1">
      <c r="D2323" s="79"/>
      <c r="E2323" s="80"/>
      <c r="F2323" s="80"/>
      <c r="G2323" s="81"/>
      <c r="H2323" s="80"/>
      <c r="I2323" s="80"/>
      <c r="J2323" s="82" t="b">
        <v>0</v>
      </c>
    </row>
    <row r="2324" ht="12.75" hidden="1" customHeight="1" outlineLevel="1">
      <c r="D2324" s="79"/>
      <c r="E2324" s="80"/>
      <c r="F2324" s="80"/>
      <c r="G2324" s="81"/>
      <c r="H2324" s="80"/>
      <c r="I2324" s="80"/>
      <c r="J2324" s="82" t="b">
        <v>0</v>
      </c>
    </row>
    <row r="2325" ht="12.75" hidden="1" customHeight="1" outlineLevel="1">
      <c r="A2325" s="89" t="s">
        <v>1674</v>
      </c>
      <c r="B2325" s="90" t="s">
        <v>1675</v>
      </c>
      <c r="D2325" s="79"/>
      <c r="E2325" s="80"/>
      <c r="F2325" s="80"/>
      <c r="G2325" s="81"/>
      <c r="H2325" s="80"/>
      <c r="I2325" s="80"/>
      <c r="J2325" s="82" t="b">
        <v>0</v>
      </c>
    </row>
    <row r="2326" ht="12.75" hidden="1" customHeight="1" outlineLevel="1">
      <c r="D2326" s="79"/>
      <c r="E2326" s="80"/>
      <c r="F2326" s="80"/>
      <c r="G2326" s="81"/>
      <c r="H2326" s="80"/>
      <c r="I2326" s="80"/>
      <c r="J2326" s="82" t="b">
        <v>0</v>
      </c>
    </row>
    <row r="2327" ht="12.75" hidden="1" customHeight="1" outlineLevel="1">
      <c r="A2327" s="89" t="s">
        <v>1676</v>
      </c>
      <c r="B2327" s="90" t="s">
        <v>1677</v>
      </c>
      <c r="D2327" s="79"/>
      <c r="E2327" s="80"/>
      <c r="F2327" s="80"/>
      <c r="G2327" s="81"/>
      <c r="H2327" s="80"/>
      <c r="I2327" s="80"/>
      <c r="J2327" s="82" t="b">
        <v>0</v>
      </c>
    </row>
    <row r="2328" ht="12.75" hidden="1" customHeight="1" outlineLevel="1">
      <c r="D2328" s="79"/>
      <c r="E2328" s="80"/>
      <c r="F2328" s="80"/>
      <c r="G2328" s="81"/>
      <c r="H2328" s="80"/>
      <c r="I2328" s="80"/>
      <c r="J2328" s="82" t="b">
        <v>0</v>
      </c>
    </row>
    <row r="2329" ht="12.75" hidden="1" customHeight="1" outlineLevel="1">
      <c r="A2329" s="89" t="s">
        <v>1678</v>
      </c>
      <c r="B2329" s="90" t="s">
        <v>1679</v>
      </c>
      <c r="D2329" s="79"/>
      <c r="E2329" s="80"/>
      <c r="F2329" s="80"/>
      <c r="G2329" s="81"/>
      <c r="H2329" s="80"/>
      <c r="I2329" s="80"/>
      <c r="J2329" s="82" t="b">
        <v>0</v>
      </c>
    </row>
    <row r="2330" ht="12.75" hidden="1" customHeight="1" outlineLevel="1">
      <c r="D2330" s="79"/>
      <c r="E2330" s="80"/>
      <c r="F2330" s="80"/>
      <c r="G2330" s="81"/>
      <c r="H2330" s="80"/>
      <c r="I2330" s="80"/>
      <c r="J2330" s="82" t="b">
        <v>0</v>
      </c>
    </row>
    <row r="2331" ht="12.75" hidden="1" customHeight="1" outlineLevel="1">
      <c r="A2331" s="89" t="s">
        <v>1680</v>
      </c>
      <c r="B2331" s="90" t="s">
        <v>1681</v>
      </c>
      <c r="C2331" s="89" t="s">
        <v>75</v>
      </c>
      <c r="D2331" s="91">
        <v>3.0</v>
      </c>
      <c r="E2331" s="92">
        <v>70.12</v>
      </c>
      <c r="F2331" s="92">
        <v>210.36</v>
      </c>
      <c r="G2331" s="93"/>
      <c r="H2331" s="92"/>
      <c r="I2331" s="92"/>
      <c r="J2331" s="82" t="b">
        <v>0</v>
      </c>
    </row>
    <row r="2332" ht="12.75" hidden="1" customHeight="1" outlineLevel="1">
      <c r="D2332" s="79"/>
      <c r="E2332" s="80"/>
      <c r="F2332" s="80"/>
      <c r="G2332" s="81"/>
      <c r="H2332" s="80"/>
      <c r="I2332" s="80"/>
      <c r="J2332" s="82" t="b">
        <v>0</v>
      </c>
    </row>
    <row r="2333" ht="12.75" hidden="1" customHeight="1" outlineLevel="1">
      <c r="A2333" s="89" t="s">
        <v>1682</v>
      </c>
      <c r="B2333" s="90" t="s">
        <v>1683</v>
      </c>
      <c r="C2333" s="89" t="s">
        <v>75</v>
      </c>
      <c r="D2333" s="91">
        <v>3.0</v>
      </c>
      <c r="E2333" s="92">
        <v>70.12</v>
      </c>
      <c r="F2333" s="92">
        <v>210.36</v>
      </c>
      <c r="G2333" s="93"/>
      <c r="H2333" s="92"/>
      <c r="I2333" s="92"/>
      <c r="J2333" s="82" t="b">
        <v>0</v>
      </c>
    </row>
    <row r="2334" ht="12.75" hidden="1" customHeight="1" outlineLevel="1">
      <c r="D2334" s="79"/>
      <c r="E2334" s="80"/>
      <c r="F2334" s="80"/>
      <c r="G2334" s="81"/>
      <c r="H2334" s="80"/>
      <c r="I2334" s="80"/>
      <c r="J2334" s="82" t="b">
        <v>0</v>
      </c>
    </row>
    <row r="2335" ht="12.75" hidden="1" customHeight="1" outlineLevel="1">
      <c r="A2335" s="89" t="s">
        <v>1684</v>
      </c>
      <c r="B2335" s="90" t="s">
        <v>1685</v>
      </c>
      <c r="C2335" s="89" t="s">
        <v>75</v>
      </c>
      <c r="D2335" s="91">
        <v>5.0</v>
      </c>
      <c r="E2335" s="92">
        <v>197.23</v>
      </c>
      <c r="F2335" s="92">
        <v>986.15</v>
      </c>
      <c r="G2335" s="93"/>
      <c r="H2335" s="92"/>
      <c r="I2335" s="92"/>
      <c r="J2335" s="82" t="b">
        <v>0</v>
      </c>
    </row>
    <row r="2336" ht="12.75" hidden="1" customHeight="1" outlineLevel="1">
      <c r="D2336" s="79"/>
      <c r="E2336" s="80"/>
      <c r="F2336" s="80"/>
      <c r="G2336" s="81"/>
      <c r="H2336" s="80"/>
      <c r="I2336" s="80"/>
      <c r="J2336" s="82" t="b">
        <v>0</v>
      </c>
    </row>
    <row r="2337" ht="12.75" hidden="1" customHeight="1" outlineLevel="1">
      <c r="A2337" s="89" t="s">
        <v>1686</v>
      </c>
      <c r="B2337" s="90" t="s">
        <v>1687</v>
      </c>
      <c r="C2337" s="89" t="s">
        <v>75</v>
      </c>
      <c r="D2337" s="91">
        <v>6.0</v>
      </c>
      <c r="E2337" s="92">
        <v>161.92</v>
      </c>
      <c r="F2337" s="92">
        <v>971.52</v>
      </c>
      <c r="G2337" s="93"/>
      <c r="H2337" s="92"/>
      <c r="I2337" s="92"/>
      <c r="J2337" s="82" t="b">
        <v>0</v>
      </c>
    </row>
    <row r="2338" ht="12.75" hidden="1" customHeight="1" outlineLevel="1">
      <c r="D2338" s="79"/>
      <c r="E2338" s="80"/>
      <c r="F2338" s="80"/>
      <c r="G2338" s="81"/>
      <c r="H2338" s="80"/>
      <c r="I2338" s="80"/>
      <c r="J2338" s="82" t="b">
        <v>0</v>
      </c>
    </row>
    <row r="2339" ht="12.75" hidden="1" customHeight="1" outlineLevel="1">
      <c r="A2339" s="89" t="s">
        <v>1688</v>
      </c>
      <c r="B2339" s="90" t="s">
        <v>1689</v>
      </c>
      <c r="C2339" s="89" t="s">
        <v>75</v>
      </c>
      <c r="D2339" s="91">
        <v>6.0</v>
      </c>
      <c r="E2339" s="92">
        <v>125.24</v>
      </c>
      <c r="F2339" s="92">
        <v>751.44</v>
      </c>
      <c r="G2339" s="93"/>
      <c r="H2339" s="92"/>
      <c r="I2339" s="92"/>
      <c r="J2339" s="82" t="b">
        <v>0</v>
      </c>
    </row>
    <row r="2340" ht="12.75" hidden="1" customHeight="1" outlineLevel="1">
      <c r="D2340" s="79"/>
      <c r="E2340" s="80"/>
      <c r="F2340" s="80"/>
      <c r="G2340" s="81"/>
      <c r="H2340" s="80"/>
      <c r="I2340" s="80"/>
      <c r="J2340" s="82" t="b">
        <v>0</v>
      </c>
    </row>
    <row r="2341" ht="12.75" hidden="1" customHeight="1" outlineLevel="1">
      <c r="A2341" s="89" t="s">
        <v>1690</v>
      </c>
      <c r="B2341" s="90" t="s">
        <v>1691</v>
      </c>
      <c r="C2341" s="89" t="s">
        <v>75</v>
      </c>
      <c r="D2341" s="91">
        <v>2.0</v>
      </c>
      <c r="E2341" s="92">
        <v>73.57</v>
      </c>
      <c r="F2341" s="92">
        <v>147.14</v>
      </c>
      <c r="G2341" s="93"/>
      <c r="H2341" s="92"/>
      <c r="I2341" s="92"/>
      <c r="J2341" s="82" t="b">
        <v>0</v>
      </c>
    </row>
    <row r="2342" ht="12.75" hidden="1" customHeight="1" outlineLevel="1">
      <c r="D2342" s="79"/>
      <c r="E2342" s="80"/>
      <c r="F2342" s="80"/>
      <c r="G2342" s="81"/>
      <c r="H2342" s="80"/>
      <c r="I2342" s="80"/>
      <c r="J2342" s="82" t="b">
        <v>0</v>
      </c>
    </row>
    <row r="2343" ht="12.75" hidden="1" customHeight="1" outlineLevel="1">
      <c r="A2343" s="89" t="s">
        <v>1692</v>
      </c>
      <c r="B2343" s="90" t="s">
        <v>1693</v>
      </c>
      <c r="C2343" s="89" t="s">
        <v>75</v>
      </c>
      <c r="D2343" s="91">
        <v>4.0</v>
      </c>
      <c r="E2343" s="92">
        <v>295.6</v>
      </c>
      <c r="F2343" s="92">
        <v>1182.4</v>
      </c>
      <c r="G2343" s="93"/>
      <c r="H2343" s="92"/>
      <c r="I2343" s="92"/>
      <c r="J2343" s="82" t="b">
        <v>0</v>
      </c>
    </row>
    <row r="2344" ht="12.75" hidden="1" customHeight="1" outlineLevel="1">
      <c r="D2344" s="79"/>
      <c r="E2344" s="80"/>
      <c r="F2344" s="80"/>
      <c r="G2344" s="81"/>
      <c r="H2344" s="80"/>
      <c r="I2344" s="80"/>
      <c r="J2344" s="82" t="b">
        <v>0</v>
      </c>
    </row>
    <row r="2345" ht="12.75" hidden="1" customHeight="1" outlineLevel="1">
      <c r="A2345" s="89" t="s">
        <v>1694</v>
      </c>
      <c r="B2345" s="90" t="s">
        <v>1695</v>
      </c>
      <c r="C2345" s="89" t="s">
        <v>75</v>
      </c>
      <c r="D2345" s="91">
        <v>5.0</v>
      </c>
      <c r="E2345" s="92">
        <v>243.93</v>
      </c>
      <c r="F2345" s="92">
        <v>1219.65</v>
      </c>
      <c r="G2345" s="93"/>
      <c r="H2345" s="92"/>
      <c r="I2345" s="92"/>
      <c r="J2345" s="82" t="b">
        <v>0</v>
      </c>
    </row>
    <row r="2346" ht="12.75" hidden="1" customHeight="1" outlineLevel="1">
      <c r="D2346" s="79"/>
      <c r="E2346" s="80"/>
      <c r="F2346" s="80"/>
      <c r="G2346" s="81"/>
      <c r="H2346" s="80"/>
      <c r="I2346" s="80"/>
      <c r="J2346" s="82" t="b">
        <v>0</v>
      </c>
    </row>
    <row r="2347" ht="12.75" hidden="1" customHeight="1" outlineLevel="1">
      <c r="A2347" s="89" t="s">
        <v>1696</v>
      </c>
      <c r="B2347" s="90" t="s">
        <v>1697</v>
      </c>
      <c r="C2347" s="89" t="s">
        <v>75</v>
      </c>
      <c r="D2347" s="91">
        <v>6.0</v>
      </c>
      <c r="E2347" s="92">
        <v>350.72</v>
      </c>
      <c r="F2347" s="92">
        <v>2104.32</v>
      </c>
      <c r="G2347" s="93"/>
      <c r="H2347" s="92"/>
      <c r="I2347" s="92"/>
      <c r="J2347" s="82" t="b">
        <v>0</v>
      </c>
    </row>
    <row r="2348" ht="12.75" hidden="1" customHeight="1" outlineLevel="1">
      <c r="D2348" s="79"/>
      <c r="E2348" s="80"/>
      <c r="F2348" s="80"/>
      <c r="G2348" s="81"/>
      <c r="H2348" s="80"/>
      <c r="I2348" s="80"/>
      <c r="J2348" s="82" t="b">
        <v>0</v>
      </c>
    </row>
    <row r="2349" ht="12.75" hidden="1" customHeight="1" outlineLevel="1">
      <c r="A2349" s="89" t="s">
        <v>1698</v>
      </c>
      <c r="B2349" s="90" t="s">
        <v>1699</v>
      </c>
      <c r="C2349" s="89" t="s">
        <v>75</v>
      </c>
      <c r="D2349" s="91">
        <v>12.0</v>
      </c>
      <c r="E2349" s="92">
        <v>88.9</v>
      </c>
      <c r="F2349" s="92">
        <v>1066.8</v>
      </c>
      <c r="G2349" s="93"/>
      <c r="H2349" s="92"/>
      <c r="I2349" s="92"/>
      <c r="J2349" s="82" t="b">
        <v>0</v>
      </c>
    </row>
    <row r="2350" ht="12.75" hidden="1" customHeight="1" outlineLevel="1">
      <c r="D2350" s="79"/>
      <c r="E2350" s="80"/>
      <c r="F2350" s="80"/>
      <c r="G2350" s="81"/>
      <c r="H2350" s="80"/>
      <c r="I2350" s="80"/>
      <c r="J2350" s="82" t="b">
        <v>0</v>
      </c>
    </row>
    <row r="2351" ht="12.75" hidden="1" customHeight="1" outlineLevel="1">
      <c r="A2351" s="89" t="s">
        <v>1700</v>
      </c>
      <c r="B2351" s="90" t="s">
        <v>1701</v>
      </c>
      <c r="D2351" s="79"/>
      <c r="E2351" s="80"/>
      <c r="F2351" s="80"/>
      <c r="G2351" s="81"/>
      <c r="H2351" s="80"/>
      <c r="I2351" s="80"/>
      <c r="J2351" s="82" t="b">
        <v>0</v>
      </c>
    </row>
    <row r="2352" ht="12.75" hidden="1" customHeight="1" outlineLevel="1">
      <c r="D2352" s="79"/>
      <c r="E2352" s="80"/>
      <c r="F2352" s="80"/>
      <c r="G2352" s="81"/>
      <c r="H2352" s="80"/>
      <c r="I2352" s="80"/>
      <c r="J2352" s="82" t="b">
        <v>0</v>
      </c>
    </row>
    <row r="2353" ht="12.75" hidden="1" customHeight="1" outlineLevel="1">
      <c r="A2353" s="89" t="s">
        <v>1702</v>
      </c>
      <c r="B2353" s="90" t="s">
        <v>1703</v>
      </c>
      <c r="D2353" s="79"/>
      <c r="E2353" s="80"/>
      <c r="F2353" s="80"/>
      <c r="G2353" s="81"/>
      <c r="H2353" s="80"/>
      <c r="I2353" s="80"/>
      <c r="J2353" s="82" t="b">
        <v>0</v>
      </c>
    </row>
    <row r="2354" ht="12.75" hidden="1" customHeight="1" outlineLevel="1">
      <c r="D2354" s="79"/>
      <c r="E2354" s="80"/>
      <c r="F2354" s="80"/>
      <c r="G2354" s="81"/>
      <c r="H2354" s="80"/>
      <c r="I2354" s="80"/>
      <c r="J2354" s="82" t="b">
        <v>0</v>
      </c>
    </row>
    <row r="2355" ht="12.75" hidden="1" customHeight="1" outlineLevel="1">
      <c r="A2355" s="89" t="s">
        <v>1704</v>
      </c>
      <c r="B2355" s="90" t="s">
        <v>1705</v>
      </c>
      <c r="C2355" s="89" t="s">
        <v>75</v>
      </c>
      <c r="D2355" s="91">
        <v>9.0</v>
      </c>
      <c r="E2355" s="92">
        <v>21.95</v>
      </c>
      <c r="F2355" s="92">
        <v>197.55</v>
      </c>
      <c r="G2355" s="93"/>
      <c r="H2355" s="92"/>
      <c r="I2355" s="92"/>
      <c r="J2355" s="82" t="b">
        <v>0</v>
      </c>
    </row>
    <row r="2356" ht="12.75" hidden="1" customHeight="1" outlineLevel="1">
      <c r="D2356" s="79"/>
      <c r="E2356" s="80"/>
      <c r="F2356" s="80"/>
      <c r="G2356" s="81"/>
      <c r="H2356" s="80"/>
      <c r="I2356" s="80"/>
      <c r="J2356" s="82" t="b">
        <v>0</v>
      </c>
    </row>
    <row r="2357" ht="12.75" hidden="1" customHeight="1" outlineLevel="1">
      <c r="A2357" s="89" t="s">
        <v>1706</v>
      </c>
      <c r="B2357" s="90" t="s">
        <v>1707</v>
      </c>
      <c r="C2357" s="89" t="s">
        <v>75</v>
      </c>
      <c r="D2357" s="91">
        <v>8.0</v>
      </c>
      <c r="E2357" s="92">
        <v>44.69</v>
      </c>
      <c r="F2357" s="92">
        <v>357.52</v>
      </c>
      <c r="G2357" s="93"/>
      <c r="H2357" s="92"/>
      <c r="I2357" s="92"/>
      <c r="J2357" s="82" t="b">
        <v>0</v>
      </c>
    </row>
    <row r="2358" ht="12.75" hidden="1" customHeight="1" outlineLevel="1">
      <c r="D2358" s="79"/>
      <c r="E2358" s="80"/>
      <c r="F2358" s="80"/>
      <c r="G2358" s="81"/>
      <c r="H2358" s="80"/>
      <c r="I2358" s="80"/>
      <c r="J2358" s="82" t="b">
        <v>0</v>
      </c>
    </row>
    <row r="2359" ht="12.75" hidden="1" customHeight="1" outlineLevel="1">
      <c r="A2359" s="89" t="s">
        <v>1708</v>
      </c>
      <c r="B2359" s="90" t="s">
        <v>1709</v>
      </c>
      <c r="C2359" s="89" t="s">
        <v>75</v>
      </c>
      <c r="D2359" s="91">
        <v>42.0</v>
      </c>
      <c r="E2359" s="92">
        <v>8.58</v>
      </c>
      <c r="F2359" s="92">
        <v>360.36</v>
      </c>
      <c r="G2359" s="93"/>
      <c r="H2359" s="92"/>
      <c r="I2359" s="92"/>
      <c r="J2359" s="82" t="b">
        <v>0</v>
      </c>
    </row>
    <row r="2360" ht="12.75" hidden="1" customHeight="1" outlineLevel="1">
      <c r="D2360" s="79"/>
      <c r="E2360" s="80"/>
      <c r="F2360" s="80"/>
      <c r="G2360" s="81"/>
      <c r="H2360" s="80"/>
      <c r="I2360" s="80"/>
      <c r="J2360" s="82" t="b">
        <v>0</v>
      </c>
    </row>
    <row r="2361" ht="12.75" hidden="1" customHeight="1" outlineLevel="1">
      <c r="A2361" s="89" t="s">
        <v>1710</v>
      </c>
      <c r="B2361" s="90" t="s">
        <v>1711</v>
      </c>
      <c r="C2361" s="89" t="s">
        <v>75</v>
      </c>
      <c r="D2361" s="91">
        <v>76.0</v>
      </c>
      <c r="E2361" s="92">
        <v>25.05</v>
      </c>
      <c r="F2361" s="92">
        <v>1903.8</v>
      </c>
      <c r="G2361" s="93"/>
      <c r="H2361" s="92"/>
      <c r="I2361" s="92"/>
      <c r="J2361" s="82" t="b">
        <v>0</v>
      </c>
    </row>
    <row r="2362" ht="12.75" hidden="1" customHeight="1" outlineLevel="1">
      <c r="D2362" s="79"/>
      <c r="E2362" s="80"/>
      <c r="F2362" s="80"/>
      <c r="G2362" s="81"/>
      <c r="H2362" s="80"/>
      <c r="I2362" s="80"/>
      <c r="J2362" s="82" t="b">
        <v>0</v>
      </c>
    </row>
    <row r="2363" ht="12.75" hidden="1" customHeight="1" outlineLevel="1">
      <c r="A2363" s="89" t="s">
        <v>1712</v>
      </c>
      <c r="B2363" s="90" t="s">
        <v>1713</v>
      </c>
      <c r="C2363" s="89" t="s">
        <v>75</v>
      </c>
      <c r="D2363" s="91">
        <v>62.0</v>
      </c>
      <c r="E2363" s="92">
        <v>32.63</v>
      </c>
      <c r="F2363" s="92">
        <v>2023.06</v>
      </c>
      <c r="G2363" s="93"/>
      <c r="H2363" s="92"/>
      <c r="I2363" s="92"/>
      <c r="J2363" s="82" t="b">
        <v>0</v>
      </c>
    </row>
    <row r="2364" ht="12.75" hidden="1" customHeight="1" outlineLevel="1">
      <c r="D2364" s="79"/>
      <c r="E2364" s="80"/>
      <c r="F2364" s="80"/>
      <c r="G2364" s="81"/>
      <c r="H2364" s="80"/>
      <c r="I2364" s="80"/>
      <c r="J2364" s="82" t="b">
        <v>0</v>
      </c>
    </row>
    <row r="2365" ht="12.75" hidden="1" customHeight="1" outlineLevel="1">
      <c r="A2365" s="89" t="s">
        <v>1714</v>
      </c>
      <c r="B2365" s="90" t="s">
        <v>1715</v>
      </c>
      <c r="C2365" s="89" t="s">
        <v>75</v>
      </c>
      <c r="D2365" s="91">
        <v>20.0</v>
      </c>
      <c r="E2365" s="92">
        <v>14.65</v>
      </c>
      <c r="F2365" s="92">
        <v>293.0</v>
      </c>
      <c r="G2365" s="93"/>
      <c r="H2365" s="92"/>
      <c r="I2365" s="92"/>
      <c r="J2365" s="82" t="b">
        <v>0</v>
      </c>
    </row>
    <row r="2366" ht="12.75" hidden="1" customHeight="1" outlineLevel="1">
      <c r="D2366" s="79"/>
      <c r="E2366" s="80"/>
      <c r="F2366" s="80"/>
      <c r="G2366" s="81"/>
      <c r="H2366" s="80"/>
      <c r="I2366" s="80"/>
      <c r="J2366" s="82" t="b">
        <v>0</v>
      </c>
    </row>
    <row r="2367" ht="12.75" hidden="1" customHeight="1" outlineLevel="1">
      <c r="A2367" s="89" t="s">
        <v>1716</v>
      </c>
      <c r="B2367" s="90" t="s">
        <v>1717</v>
      </c>
      <c r="C2367" s="89" t="s">
        <v>75</v>
      </c>
      <c r="D2367" s="91">
        <v>118.0</v>
      </c>
      <c r="E2367" s="92">
        <v>7.55</v>
      </c>
      <c r="F2367" s="92">
        <v>890.9</v>
      </c>
      <c r="G2367" s="93"/>
      <c r="H2367" s="92"/>
      <c r="I2367" s="92"/>
      <c r="J2367" s="82" t="b">
        <v>0</v>
      </c>
    </row>
    <row r="2368" ht="12.75" hidden="1" customHeight="1" outlineLevel="1">
      <c r="D2368" s="79"/>
      <c r="E2368" s="80"/>
      <c r="F2368" s="80"/>
      <c r="G2368" s="81"/>
      <c r="H2368" s="80"/>
      <c r="I2368" s="80"/>
      <c r="J2368" s="82" t="b">
        <v>0</v>
      </c>
    </row>
    <row r="2369" ht="12.75" hidden="1" customHeight="1" outlineLevel="1">
      <c r="A2369" s="89" t="s">
        <v>1718</v>
      </c>
      <c r="B2369" s="90" t="s">
        <v>1719</v>
      </c>
      <c r="C2369" s="89" t="s">
        <v>75</v>
      </c>
      <c r="D2369" s="91">
        <v>14.0</v>
      </c>
      <c r="E2369" s="92">
        <v>14.38</v>
      </c>
      <c r="F2369" s="92">
        <v>201.32</v>
      </c>
      <c r="G2369" s="93"/>
      <c r="H2369" s="92"/>
      <c r="I2369" s="92"/>
      <c r="J2369" s="82" t="b">
        <v>0</v>
      </c>
    </row>
    <row r="2370" ht="12.75" hidden="1" customHeight="1" outlineLevel="1">
      <c r="D2370" s="79"/>
      <c r="E2370" s="80"/>
      <c r="F2370" s="80"/>
      <c r="G2370" s="81"/>
      <c r="H2370" s="80"/>
      <c r="I2370" s="80"/>
      <c r="J2370" s="82" t="b">
        <v>0</v>
      </c>
    </row>
    <row r="2371" ht="12.75" hidden="1" customHeight="1" outlineLevel="1">
      <c r="A2371" s="89" t="s">
        <v>1720</v>
      </c>
      <c r="B2371" s="90" t="s">
        <v>1721</v>
      </c>
      <c r="C2371" s="89" t="s">
        <v>75</v>
      </c>
      <c r="D2371" s="91">
        <v>17.0</v>
      </c>
      <c r="E2371" s="92">
        <v>10.15</v>
      </c>
      <c r="F2371" s="92">
        <v>172.55</v>
      </c>
      <c r="G2371" s="93"/>
      <c r="H2371" s="92"/>
      <c r="I2371" s="92"/>
      <c r="J2371" s="82" t="b">
        <v>0</v>
      </c>
    </row>
    <row r="2372" ht="12.75" hidden="1" customHeight="1" outlineLevel="1">
      <c r="D2372" s="79"/>
      <c r="E2372" s="80"/>
      <c r="F2372" s="80"/>
      <c r="G2372" s="81"/>
      <c r="H2372" s="80"/>
      <c r="I2372" s="80"/>
      <c r="J2372" s="82" t="b">
        <v>0</v>
      </c>
    </row>
    <row r="2373" ht="12.75" hidden="1" customHeight="1" outlineLevel="1">
      <c r="A2373" s="89" t="s">
        <v>1722</v>
      </c>
      <c r="B2373" s="90" t="s">
        <v>1723</v>
      </c>
      <c r="C2373" s="89" t="s">
        <v>75</v>
      </c>
      <c r="D2373" s="91">
        <v>40.0</v>
      </c>
      <c r="E2373" s="92">
        <v>8.66</v>
      </c>
      <c r="F2373" s="92">
        <v>346.4</v>
      </c>
      <c r="G2373" s="93"/>
      <c r="H2373" s="92"/>
      <c r="I2373" s="92"/>
      <c r="J2373" s="82" t="b">
        <v>0</v>
      </c>
    </row>
    <row r="2374" ht="12.75" hidden="1" customHeight="1" outlineLevel="1">
      <c r="D2374" s="79"/>
      <c r="E2374" s="80"/>
      <c r="F2374" s="80"/>
      <c r="G2374" s="81"/>
      <c r="H2374" s="80"/>
      <c r="I2374" s="80"/>
      <c r="J2374" s="82" t="b">
        <v>0</v>
      </c>
    </row>
    <row r="2375" ht="12.75" hidden="1" customHeight="1" outlineLevel="1">
      <c r="A2375" s="89" t="s">
        <v>1724</v>
      </c>
      <c r="B2375" s="90" t="s">
        <v>1725</v>
      </c>
      <c r="D2375" s="79"/>
      <c r="E2375" s="80"/>
      <c r="F2375" s="80"/>
      <c r="G2375" s="81"/>
      <c r="H2375" s="80"/>
      <c r="I2375" s="80"/>
      <c r="J2375" s="82" t="b">
        <v>0</v>
      </c>
    </row>
    <row r="2376" ht="12.75" hidden="1" customHeight="1" outlineLevel="1">
      <c r="D2376" s="79"/>
      <c r="E2376" s="80"/>
      <c r="F2376" s="80"/>
      <c r="G2376" s="81"/>
      <c r="H2376" s="80"/>
      <c r="I2376" s="80"/>
      <c r="J2376" s="82" t="b">
        <v>0</v>
      </c>
    </row>
    <row r="2377" ht="12.75" hidden="1" customHeight="1" outlineLevel="1">
      <c r="A2377" s="89" t="s">
        <v>1726</v>
      </c>
      <c r="B2377" s="90" t="s">
        <v>1727</v>
      </c>
      <c r="D2377" s="79"/>
      <c r="E2377" s="80"/>
      <c r="F2377" s="80"/>
      <c r="G2377" s="81"/>
      <c r="H2377" s="80"/>
      <c r="I2377" s="80"/>
      <c r="J2377" s="82" t="b">
        <v>0</v>
      </c>
    </row>
    <row r="2378" ht="12.75" hidden="1" customHeight="1" outlineLevel="1">
      <c r="D2378" s="79"/>
      <c r="E2378" s="80"/>
      <c r="F2378" s="80"/>
      <c r="G2378" s="81"/>
      <c r="H2378" s="80"/>
      <c r="I2378" s="80"/>
      <c r="J2378" s="82" t="b">
        <v>0</v>
      </c>
    </row>
    <row r="2379" ht="12.75" hidden="1" customHeight="1" outlineLevel="1">
      <c r="A2379" s="89" t="s">
        <v>1728</v>
      </c>
      <c r="B2379" s="90" t="s">
        <v>1729</v>
      </c>
      <c r="C2379" s="89" t="s">
        <v>75</v>
      </c>
      <c r="D2379" s="91">
        <v>5.0</v>
      </c>
      <c r="E2379" s="92">
        <v>116.69</v>
      </c>
      <c r="F2379" s="92">
        <v>583.45</v>
      </c>
      <c r="G2379" s="93"/>
      <c r="H2379" s="92"/>
      <c r="I2379" s="92"/>
      <c r="J2379" s="82" t="b">
        <v>0</v>
      </c>
    </row>
    <row r="2380" ht="12.75" hidden="1" customHeight="1" outlineLevel="1">
      <c r="D2380" s="79"/>
      <c r="E2380" s="80"/>
      <c r="F2380" s="80"/>
      <c r="G2380" s="81"/>
      <c r="H2380" s="80"/>
      <c r="I2380" s="80"/>
      <c r="J2380" s="82" t="b">
        <v>0</v>
      </c>
    </row>
    <row r="2381" ht="12.75" hidden="1" customHeight="1" outlineLevel="1">
      <c r="A2381" s="89" t="s">
        <v>1730</v>
      </c>
      <c r="B2381" s="90" t="s">
        <v>1731</v>
      </c>
      <c r="C2381" s="89" t="s">
        <v>75</v>
      </c>
      <c r="D2381" s="91">
        <v>3.0</v>
      </c>
      <c r="E2381" s="92">
        <v>111.46</v>
      </c>
      <c r="F2381" s="92">
        <v>334.38</v>
      </c>
      <c r="G2381" s="93"/>
      <c r="H2381" s="92"/>
      <c r="I2381" s="92"/>
      <c r="J2381" s="82" t="b">
        <v>0</v>
      </c>
    </row>
    <row r="2382" ht="12.75" hidden="1" customHeight="1" outlineLevel="1">
      <c r="D2382" s="79"/>
      <c r="E2382" s="80"/>
      <c r="F2382" s="80"/>
      <c r="G2382" s="81"/>
      <c r="H2382" s="80"/>
      <c r="I2382" s="80"/>
      <c r="J2382" s="82" t="b">
        <v>0</v>
      </c>
    </row>
    <row r="2383" ht="12.75" hidden="1" customHeight="1" outlineLevel="1">
      <c r="A2383" s="89" t="s">
        <v>1732</v>
      </c>
      <c r="B2383" s="90" t="s">
        <v>1733</v>
      </c>
      <c r="D2383" s="79"/>
      <c r="E2383" s="80"/>
      <c r="F2383" s="80"/>
      <c r="G2383" s="81"/>
      <c r="H2383" s="80"/>
      <c r="I2383" s="80"/>
      <c r="J2383" s="82" t="b">
        <v>0</v>
      </c>
    </row>
    <row r="2384" ht="12.75" hidden="1" customHeight="1" outlineLevel="1">
      <c r="D2384" s="79"/>
      <c r="E2384" s="80"/>
      <c r="F2384" s="80"/>
      <c r="G2384" s="81"/>
      <c r="H2384" s="80"/>
      <c r="I2384" s="80"/>
      <c r="J2384" s="82" t="b">
        <v>0</v>
      </c>
    </row>
    <row r="2385" ht="12.75" hidden="1" customHeight="1" outlineLevel="1">
      <c r="A2385" s="89" t="s">
        <v>1734</v>
      </c>
      <c r="B2385" s="90" t="s">
        <v>1735</v>
      </c>
      <c r="D2385" s="79"/>
      <c r="E2385" s="80"/>
      <c r="F2385" s="80"/>
      <c r="G2385" s="81"/>
      <c r="H2385" s="80"/>
      <c r="I2385" s="80"/>
      <c r="J2385" s="82" t="b">
        <v>0</v>
      </c>
    </row>
    <row r="2386" ht="12.75" hidden="1" customHeight="1" outlineLevel="1">
      <c r="D2386" s="79"/>
      <c r="E2386" s="80"/>
      <c r="F2386" s="80"/>
      <c r="G2386" s="81"/>
      <c r="H2386" s="80"/>
      <c r="I2386" s="80"/>
      <c r="J2386" s="82" t="b">
        <v>0</v>
      </c>
    </row>
    <row r="2387" ht="12.75" hidden="1" customHeight="1" outlineLevel="1">
      <c r="A2387" s="89" t="s">
        <v>1736</v>
      </c>
      <c r="B2387" s="90" t="s">
        <v>1737</v>
      </c>
      <c r="C2387" s="89" t="s">
        <v>75</v>
      </c>
      <c r="D2387" s="91">
        <v>170.0</v>
      </c>
      <c r="E2387" s="92">
        <v>3.28</v>
      </c>
      <c r="F2387" s="92">
        <v>557.6</v>
      </c>
      <c r="G2387" s="93"/>
      <c r="H2387" s="92"/>
      <c r="I2387" s="92"/>
      <c r="J2387" s="82" t="b">
        <v>0</v>
      </c>
    </row>
    <row r="2388" ht="12.75" hidden="1" customHeight="1" outlineLevel="1">
      <c r="D2388" s="79"/>
      <c r="E2388" s="80"/>
      <c r="F2388" s="80"/>
      <c r="G2388" s="81"/>
      <c r="H2388" s="80"/>
      <c r="I2388" s="80"/>
      <c r="J2388" s="82" t="b">
        <v>0</v>
      </c>
    </row>
    <row r="2389" ht="12.75" hidden="1" customHeight="1" outlineLevel="1">
      <c r="A2389" s="89" t="s">
        <v>1738</v>
      </c>
      <c r="B2389" s="90" t="s">
        <v>1739</v>
      </c>
      <c r="C2389" s="89" t="s">
        <v>75</v>
      </c>
      <c r="D2389" s="91">
        <v>250.0</v>
      </c>
      <c r="E2389" s="92">
        <v>3.69</v>
      </c>
      <c r="F2389" s="92">
        <v>922.5</v>
      </c>
      <c r="G2389" s="93"/>
      <c r="H2389" s="92"/>
      <c r="I2389" s="92"/>
      <c r="J2389" s="82" t="b">
        <v>0</v>
      </c>
    </row>
    <row r="2390" ht="12.75" hidden="1" customHeight="1" outlineLevel="1">
      <c r="D2390" s="79"/>
      <c r="E2390" s="80"/>
      <c r="F2390" s="80"/>
      <c r="G2390" s="81"/>
      <c r="H2390" s="80"/>
      <c r="I2390" s="80"/>
      <c r="J2390" s="82" t="b">
        <v>0</v>
      </c>
    </row>
    <row r="2391" ht="12.75" hidden="1" customHeight="1" outlineLevel="1">
      <c r="A2391" s="89" t="s">
        <v>1740</v>
      </c>
      <c r="B2391" s="90" t="s">
        <v>1741</v>
      </c>
      <c r="C2391" s="89" t="s">
        <v>75</v>
      </c>
      <c r="D2391" s="91">
        <v>250.0</v>
      </c>
      <c r="E2391" s="92">
        <v>6.37</v>
      </c>
      <c r="F2391" s="92">
        <v>1592.5</v>
      </c>
      <c r="G2391" s="93"/>
      <c r="H2391" s="92"/>
      <c r="I2391" s="92"/>
      <c r="J2391" s="82" t="b">
        <v>0</v>
      </c>
    </row>
    <row r="2392" ht="12.75" hidden="1" customHeight="1" outlineLevel="1">
      <c r="D2392" s="79"/>
      <c r="E2392" s="80"/>
      <c r="F2392" s="80"/>
      <c r="G2392" s="81"/>
      <c r="H2392" s="80"/>
      <c r="I2392" s="80"/>
      <c r="J2392" s="82" t="b">
        <v>0</v>
      </c>
    </row>
    <row r="2393" ht="12.75" hidden="1" customHeight="1" outlineLevel="1">
      <c r="A2393" s="89" t="s">
        <v>1742</v>
      </c>
      <c r="B2393" s="90" t="s">
        <v>1743</v>
      </c>
      <c r="C2393" s="89" t="s">
        <v>75</v>
      </c>
      <c r="D2393" s="91">
        <v>250.0</v>
      </c>
      <c r="E2393" s="92">
        <v>6.37</v>
      </c>
      <c r="F2393" s="92">
        <v>1592.5</v>
      </c>
      <c r="G2393" s="93"/>
      <c r="H2393" s="92"/>
      <c r="I2393" s="92"/>
      <c r="J2393" s="82" t="b">
        <v>0</v>
      </c>
    </row>
    <row r="2394" ht="12.75" hidden="1" customHeight="1" outlineLevel="1">
      <c r="D2394" s="79"/>
      <c r="E2394" s="80"/>
      <c r="F2394" s="80"/>
      <c r="G2394" s="81"/>
      <c r="H2394" s="80"/>
      <c r="I2394" s="80"/>
      <c r="J2394" s="82" t="b">
        <v>0</v>
      </c>
    </row>
    <row r="2395" ht="12.75" hidden="1" customHeight="1" outlineLevel="1">
      <c r="A2395" s="89" t="s">
        <v>1744</v>
      </c>
      <c r="B2395" s="90" t="s">
        <v>1745</v>
      </c>
      <c r="C2395" s="89" t="s">
        <v>75</v>
      </c>
      <c r="D2395" s="91">
        <v>250.0</v>
      </c>
      <c r="E2395" s="92">
        <v>5.13</v>
      </c>
      <c r="F2395" s="92">
        <v>1282.5</v>
      </c>
      <c r="G2395" s="93"/>
      <c r="H2395" s="92"/>
      <c r="I2395" s="92"/>
      <c r="J2395" s="82" t="b">
        <v>0</v>
      </c>
    </row>
    <row r="2396" ht="12.75" hidden="1" customHeight="1" outlineLevel="1">
      <c r="D2396" s="79"/>
      <c r="E2396" s="80"/>
      <c r="F2396" s="80"/>
      <c r="G2396" s="81"/>
      <c r="H2396" s="80"/>
      <c r="I2396" s="80"/>
      <c r="J2396" s="82" t="b">
        <v>0</v>
      </c>
    </row>
    <row r="2397" ht="12.75" hidden="1" customHeight="1" outlineLevel="1">
      <c r="A2397" s="89" t="s">
        <v>1746</v>
      </c>
      <c r="B2397" s="90" t="s">
        <v>1747</v>
      </c>
      <c r="C2397" s="89" t="s">
        <v>75</v>
      </c>
      <c r="D2397" s="91">
        <v>300.0</v>
      </c>
      <c r="E2397" s="92">
        <v>5.55</v>
      </c>
      <c r="F2397" s="92">
        <v>1665.0</v>
      </c>
      <c r="G2397" s="93"/>
      <c r="H2397" s="92"/>
      <c r="I2397" s="92"/>
      <c r="J2397" s="82" t="b">
        <v>0</v>
      </c>
    </row>
    <row r="2398" ht="12.75" hidden="1" customHeight="1" outlineLevel="1">
      <c r="D2398" s="79"/>
      <c r="E2398" s="80"/>
      <c r="F2398" s="80"/>
      <c r="G2398" s="81"/>
      <c r="H2398" s="80"/>
      <c r="I2398" s="80"/>
      <c r="J2398" s="82" t="b">
        <v>0</v>
      </c>
    </row>
    <row r="2399" ht="12.75" hidden="1" customHeight="1" outlineLevel="1">
      <c r="A2399" s="89" t="s">
        <v>1748</v>
      </c>
      <c r="B2399" s="90" t="s">
        <v>1749</v>
      </c>
      <c r="C2399" s="89" t="s">
        <v>75</v>
      </c>
      <c r="D2399" s="91">
        <v>150.0</v>
      </c>
      <c r="E2399" s="92">
        <v>3.07</v>
      </c>
      <c r="F2399" s="92">
        <v>460.5</v>
      </c>
      <c r="G2399" s="93"/>
      <c r="H2399" s="92"/>
      <c r="I2399" s="92"/>
      <c r="J2399" s="82" t="b">
        <v>0</v>
      </c>
    </row>
    <row r="2400" ht="12.75" hidden="1" customHeight="1" outlineLevel="1">
      <c r="D2400" s="79"/>
      <c r="E2400" s="80"/>
      <c r="F2400" s="80"/>
      <c r="G2400" s="81"/>
      <c r="H2400" s="80"/>
      <c r="I2400" s="80"/>
      <c r="J2400" s="82" t="b">
        <v>0</v>
      </c>
    </row>
    <row r="2401" ht="12.75" hidden="1" customHeight="1" outlineLevel="1">
      <c r="A2401" s="89" t="s">
        <v>1750</v>
      </c>
      <c r="B2401" s="90" t="s">
        <v>1751</v>
      </c>
      <c r="D2401" s="79"/>
      <c r="E2401" s="80"/>
      <c r="F2401" s="80"/>
      <c r="G2401" s="81"/>
      <c r="H2401" s="80"/>
      <c r="I2401" s="80"/>
      <c r="J2401" s="82" t="b">
        <v>0</v>
      </c>
    </row>
    <row r="2402" ht="12.75" hidden="1" customHeight="1" outlineLevel="1">
      <c r="D2402" s="79"/>
      <c r="E2402" s="80"/>
      <c r="F2402" s="80"/>
      <c r="G2402" s="81"/>
      <c r="H2402" s="80"/>
      <c r="I2402" s="80"/>
      <c r="J2402" s="82" t="b">
        <v>0</v>
      </c>
    </row>
    <row r="2403" ht="12.75" hidden="1" customHeight="1" outlineLevel="1">
      <c r="A2403" s="89" t="s">
        <v>1752</v>
      </c>
      <c r="B2403" s="90" t="s">
        <v>1753</v>
      </c>
      <c r="C2403" s="89" t="s">
        <v>40</v>
      </c>
      <c r="D2403" s="91">
        <v>725.0</v>
      </c>
      <c r="E2403" s="92">
        <v>4.52</v>
      </c>
      <c r="F2403" s="92">
        <v>3277.0</v>
      </c>
      <c r="G2403" s="93"/>
      <c r="H2403" s="92"/>
      <c r="I2403" s="92"/>
      <c r="J2403" s="82" t="b">
        <v>0</v>
      </c>
    </row>
    <row r="2404" ht="12.75" hidden="1" customHeight="1" outlineLevel="1">
      <c r="D2404" s="79"/>
      <c r="E2404" s="80"/>
      <c r="F2404" s="80"/>
      <c r="G2404" s="81"/>
      <c r="H2404" s="80"/>
      <c r="I2404" s="80"/>
      <c r="J2404" s="82" t="b">
        <v>0</v>
      </c>
    </row>
    <row r="2405" ht="12.75" hidden="1" customHeight="1" outlineLevel="1">
      <c r="B2405" s="90" t="s">
        <v>1754</v>
      </c>
      <c r="D2405" s="79"/>
      <c r="E2405" s="80"/>
      <c r="F2405" s="80"/>
      <c r="G2405" s="81"/>
      <c r="H2405" s="80"/>
      <c r="I2405" s="80"/>
      <c r="J2405" s="82" t="b">
        <v>0</v>
      </c>
    </row>
    <row r="2406" ht="12.75" hidden="1" customHeight="1" outlineLevel="1">
      <c r="D2406" s="79"/>
      <c r="E2406" s="80"/>
      <c r="F2406" s="80"/>
      <c r="G2406" s="81"/>
      <c r="H2406" s="80"/>
      <c r="I2406" s="80"/>
      <c r="J2406" s="82" t="b">
        <v>0</v>
      </c>
    </row>
    <row r="2407" ht="12.75" hidden="1" customHeight="1" outlineLevel="1">
      <c r="A2407" s="89" t="s">
        <v>1755</v>
      </c>
      <c r="B2407" s="90" t="s">
        <v>1756</v>
      </c>
      <c r="D2407" s="79"/>
      <c r="E2407" s="80"/>
      <c r="F2407" s="80"/>
      <c r="G2407" s="81"/>
      <c r="H2407" s="80"/>
      <c r="I2407" s="80"/>
      <c r="J2407" s="82" t="b">
        <v>0</v>
      </c>
    </row>
    <row r="2408" ht="12.75" hidden="1" customHeight="1" outlineLevel="1">
      <c r="D2408" s="79"/>
      <c r="E2408" s="80"/>
      <c r="F2408" s="80"/>
      <c r="G2408" s="81"/>
      <c r="H2408" s="80"/>
      <c r="I2408" s="80"/>
      <c r="J2408" s="82" t="b">
        <v>0</v>
      </c>
    </row>
    <row r="2409" ht="12.75" hidden="1" customHeight="1" outlineLevel="1">
      <c r="A2409" s="89" t="s">
        <v>1757</v>
      </c>
      <c r="B2409" s="90" t="s">
        <v>1758</v>
      </c>
      <c r="C2409" s="89" t="s">
        <v>40</v>
      </c>
      <c r="D2409" s="91">
        <v>886.0</v>
      </c>
      <c r="E2409" s="92">
        <v>4.07</v>
      </c>
      <c r="F2409" s="92">
        <v>3606.02</v>
      </c>
      <c r="G2409" s="93"/>
      <c r="H2409" s="92"/>
      <c r="I2409" s="92"/>
      <c r="J2409" s="82" t="b">
        <v>0</v>
      </c>
    </row>
    <row r="2410" ht="12.75" hidden="1" customHeight="1" outlineLevel="1">
      <c r="D2410" s="79"/>
      <c r="E2410" s="80"/>
      <c r="F2410" s="80"/>
      <c r="G2410" s="81"/>
      <c r="H2410" s="80"/>
      <c r="I2410" s="80"/>
      <c r="J2410" s="82" t="b">
        <v>0</v>
      </c>
    </row>
    <row r="2411" ht="12.75" hidden="1" customHeight="1" outlineLevel="1">
      <c r="B2411" s="90" t="s">
        <v>1759</v>
      </c>
      <c r="D2411" s="79"/>
      <c r="E2411" s="80"/>
      <c r="F2411" s="80"/>
      <c r="G2411" s="81"/>
      <c r="H2411" s="80"/>
      <c r="I2411" s="80"/>
      <c r="J2411" s="82" t="b">
        <v>0</v>
      </c>
    </row>
    <row r="2412" ht="12.75" hidden="1" customHeight="1" outlineLevel="1">
      <c r="D2412" s="79"/>
      <c r="E2412" s="80"/>
      <c r="F2412" s="80"/>
      <c r="G2412" s="81"/>
      <c r="H2412" s="80"/>
      <c r="I2412" s="80"/>
      <c r="J2412" s="82" t="b">
        <v>0</v>
      </c>
    </row>
    <row r="2413" ht="12.75" hidden="1" customHeight="1" outlineLevel="1">
      <c r="A2413" s="89" t="s">
        <v>1760</v>
      </c>
      <c r="B2413" s="90" t="s">
        <v>1761</v>
      </c>
      <c r="D2413" s="79"/>
      <c r="E2413" s="80"/>
      <c r="F2413" s="80"/>
      <c r="G2413" s="81"/>
      <c r="H2413" s="80"/>
      <c r="I2413" s="80"/>
      <c r="J2413" s="82" t="b">
        <v>0</v>
      </c>
    </row>
    <row r="2414" ht="12.75" hidden="1" customHeight="1" outlineLevel="1">
      <c r="D2414" s="79"/>
      <c r="E2414" s="80"/>
      <c r="F2414" s="80"/>
      <c r="G2414" s="81"/>
      <c r="H2414" s="80"/>
      <c r="I2414" s="80"/>
      <c r="J2414" s="82" t="b">
        <v>0</v>
      </c>
    </row>
    <row r="2415" ht="12.75" hidden="1" customHeight="1" outlineLevel="1">
      <c r="A2415" s="89" t="s">
        <v>1762</v>
      </c>
      <c r="B2415" s="90" t="s">
        <v>1763</v>
      </c>
      <c r="C2415" s="89" t="s">
        <v>75</v>
      </c>
      <c r="D2415" s="91">
        <v>52.0</v>
      </c>
      <c r="E2415" s="92">
        <v>26.99</v>
      </c>
      <c r="F2415" s="92">
        <v>1403.48</v>
      </c>
      <c r="G2415" s="93"/>
      <c r="H2415" s="92"/>
      <c r="I2415" s="92"/>
      <c r="J2415" s="82" t="b">
        <v>0</v>
      </c>
    </row>
    <row r="2416" ht="12.75" hidden="1" customHeight="1" outlineLevel="1">
      <c r="D2416" s="79"/>
      <c r="E2416" s="80"/>
      <c r="F2416" s="80"/>
      <c r="G2416" s="81"/>
      <c r="H2416" s="80"/>
      <c r="I2416" s="80"/>
      <c r="J2416" s="82" t="b">
        <v>0</v>
      </c>
    </row>
    <row r="2417" ht="12.75" hidden="1" customHeight="1" outlineLevel="1">
      <c r="A2417" s="89" t="s">
        <v>1764</v>
      </c>
      <c r="B2417" s="90" t="s">
        <v>1765</v>
      </c>
      <c r="D2417" s="79"/>
      <c r="E2417" s="80"/>
      <c r="F2417" s="80"/>
      <c r="G2417" s="81"/>
      <c r="H2417" s="80"/>
      <c r="I2417" s="80"/>
      <c r="J2417" s="82" t="b">
        <v>0</v>
      </c>
    </row>
    <row r="2418" ht="12.75" hidden="1" customHeight="1" outlineLevel="1">
      <c r="D2418" s="79"/>
      <c r="E2418" s="80"/>
      <c r="F2418" s="80"/>
      <c r="G2418" s="81"/>
      <c r="H2418" s="80"/>
      <c r="I2418" s="80"/>
      <c r="J2418" s="82" t="b">
        <v>0</v>
      </c>
    </row>
    <row r="2419" ht="12.75" hidden="1" customHeight="1" outlineLevel="1">
      <c r="A2419" s="89" t="s">
        <v>1766</v>
      </c>
      <c r="B2419" s="90" t="s">
        <v>1767</v>
      </c>
      <c r="C2419" s="89" t="s">
        <v>40</v>
      </c>
      <c r="D2419" s="91">
        <v>335.0</v>
      </c>
      <c r="E2419" s="92">
        <v>16.3</v>
      </c>
      <c r="F2419" s="92">
        <v>5460.5</v>
      </c>
      <c r="G2419" s="93"/>
      <c r="H2419" s="92"/>
      <c r="I2419" s="92"/>
      <c r="J2419" s="82" t="b">
        <v>0</v>
      </c>
    </row>
    <row r="2420" ht="12.75" hidden="1" customHeight="1" outlineLevel="1">
      <c r="D2420" s="79"/>
      <c r="E2420" s="80"/>
      <c r="F2420" s="80"/>
      <c r="G2420" s="81"/>
      <c r="H2420" s="80"/>
      <c r="I2420" s="80"/>
      <c r="J2420" s="82" t="b">
        <v>0</v>
      </c>
    </row>
    <row r="2421" ht="12.75" customHeight="1" collapsed="1">
      <c r="A2421" s="134" t="s">
        <v>1768</v>
      </c>
      <c r="B2421" s="158" t="s">
        <v>1769</v>
      </c>
      <c r="C2421" s="87">
        <f>SUM(F2429:F2495)</f>
        <v>33665.94</v>
      </c>
      <c r="D2421" s="86"/>
      <c r="E2421" s="88"/>
      <c r="F2421" s="88"/>
      <c r="G2421" s="81"/>
      <c r="H2421" s="80"/>
      <c r="I2421" s="80"/>
      <c r="J2421" s="82" t="b">
        <v>0</v>
      </c>
    </row>
    <row r="2422" ht="12.75" hidden="1" customHeight="1" outlineLevel="1">
      <c r="D2422" s="79"/>
      <c r="E2422" s="80"/>
      <c r="F2422" s="80"/>
      <c r="G2422" s="81"/>
      <c r="H2422" s="80"/>
      <c r="I2422" s="80"/>
      <c r="J2422" s="82" t="b">
        <v>0</v>
      </c>
    </row>
    <row r="2423" ht="12.75" hidden="1" customHeight="1" outlineLevel="1">
      <c r="A2423" s="89" t="s">
        <v>1770</v>
      </c>
      <c r="B2423" s="90" t="s">
        <v>1771</v>
      </c>
      <c r="D2423" s="79"/>
      <c r="E2423" s="80"/>
      <c r="F2423" s="80"/>
      <c r="G2423" s="81"/>
      <c r="H2423" s="80"/>
      <c r="I2423" s="80"/>
      <c r="J2423" s="82" t="b">
        <v>0</v>
      </c>
    </row>
    <row r="2424" ht="12.75" hidden="1" customHeight="1" outlineLevel="1">
      <c r="D2424" s="79"/>
      <c r="E2424" s="80"/>
      <c r="F2424" s="80"/>
      <c r="G2424" s="81"/>
      <c r="H2424" s="80"/>
      <c r="I2424" s="80"/>
      <c r="J2424" s="82" t="b">
        <v>0</v>
      </c>
    </row>
    <row r="2425" ht="12.75" hidden="1" customHeight="1" outlineLevel="1">
      <c r="B2425" s="90" t="s">
        <v>1772</v>
      </c>
      <c r="D2425" s="79"/>
      <c r="E2425" s="80"/>
      <c r="F2425" s="80"/>
      <c r="G2425" s="81"/>
      <c r="H2425" s="80"/>
      <c r="I2425" s="80"/>
      <c r="J2425" s="82" t="b">
        <v>0</v>
      </c>
    </row>
    <row r="2426" ht="12.75" hidden="1" customHeight="1" outlineLevel="1">
      <c r="D2426" s="79"/>
      <c r="E2426" s="80"/>
      <c r="F2426" s="80"/>
      <c r="G2426" s="81"/>
      <c r="H2426" s="80"/>
      <c r="I2426" s="80"/>
      <c r="J2426" s="82" t="b">
        <v>0</v>
      </c>
    </row>
    <row r="2427" ht="12.75" hidden="1" customHeight="1" outlineLevel="1">
      <c r="A2427" s="89" t="s">
        <v>1773</v>
      </c>
      <c r="B2427" s="90" t="s">
        <v>1774</v>
      </c>
      <c r="D2427" s="79"/>
      <c r="E2427" s="80"/>
      <c r="F2427" s="80"/>
      <c r="G2427" s="81"/>
      <c r="H2427" s="80"/>
      <c r="I2427" s="80"/>
      <c r="J2427" s="82" t="b">
        <v>0</v>
      </c>
    </row>
    <row r="2428" ht="12.75" hidden="1" customHeight="1" outlineLevel="1">
      <c r="D2428" s="79"/>
      <c r="E2428" s="80"/>
      <c r="F2428" s="80"/>
      <c r="G2428" s="81"/>
      <c r="H2428" s="80"/>
      <c r="I2428" s="80"/>
      <c r="J2428" s="82" t="b">
        <v>0</v>
      </c>
    </row>
    <row r="2429" ht="12.75" hidden="1" customHeight="1" outlineLevel="1">
      <c r="A2429" s="89" t="s">
        <v>1775</v>
      </c>
      <c r="B2429" s="90" t="s">
        <v>1776</v>
      </c>
      <c r="C2429" s="89" t="s">
        <v>933</v>
      </c>
      <c r="D2429" s="91">
        <v>232.0</v>
      </c>
      <c r="E2429" s="92">
        <v>3.66</v>
      </c>
      <c r="F2429" s="92">
        <v>849.12</v>
      </c>
      <c r="G2429" s="93"/>
      <c r="H2429" s="92"/>
      <c r="I2429" s="92"/>
      <c r="J2429" s="82" t="b">
        <v>0</v>
      </c>
    </row>
    <row r="2430" ht="12.75" hidden="1" customHeight="1" outlineLevel="1">
      <c r="D2430" s="79"/>
      <c r="E2430" s="80"/>
      <c r="F2430" s="80"/>
      <c r="G2430" s="81"/>
      <c r="H2430" s="80"/>
      <c r="I2430" s="80"/>
      <c r="J2430" s="82" t="b">
        <v>0</v>
      </c>
    </row>
    <row r="2431" ht="12.75" hidden="1" customHeight="1" outlineLevel="1">
      <c r="A2431" s="89" t="s">
        <v>1777</v>
      </c>
      <c r="B2431" s="90" t="s">
        <v>1778</v>
      </c>
      <c r="C2431" s="89" t="s">
        <v>933</v>
      </c>
      <c r="D2431" s="91">
        <v>92.8</v>
      </c>
      <c r="E2431" s="92">
        <v>36.98</v>
      </c>
      <c r="F2431" s="92">
        <v>3431.74</v>
      </c>
      <c r="G2431" s="93"/>
      <c r="H2431" s="92"/>
      <c r="I2431" s="92"/>
      <c r="J2431" s="82" t="b">
        <v>0</v>
      </c>
    </row>
    <row r="2432" ht="12.75" hidden="1" customHeight="1" outlineLevel="1">
      <c r="D2432" s="79"/>
      <c r="E2432" s="80"/>
      <c r="F2432" s="80"/>
      <c r="G2432" s="81"/>
      <c r="H2432" s="80"/>
      <c r="I2432" s="80"/>
      <c r="J2432" s="82" t="b">
        <v>0</v>
      </c>
    </row>
    <row r="2433" ht="12.75" hidden="1" customHeight="1" outlineLevel="1">
      <c r="A2433" s="89" t="s">
        <v>1779</v>
      </c>
      <c r="B2433" s="90" t="s">
        <v>1780</v>
      </c>
      <c r="C2433" s="89" t="s">
        <v>933</v>
      </c>
      <c r="D2433" s="91">
        <v>111.36</v>
      </c>
      <c r="E2433" s="92">
        <v>17.23</v>
      </c>
      <c r="F2433" s="92">
        <v>1918.73</v>
      </c>
      <c r="G2433" s="93"/>
      <c r="H2433" s="92"/>
      <c r="I2433" s="92"/>
      <c r="J2433" s="82" t="b">
        <v>0</v>
      </c>
    </row>
    <row r="2434" ht="12.75" hidden="1" customHeight="1" outlineLevel="1">
      <c r="D2434" s="79"/>
      <c r="E2434" s="80"/>
      <c r="F2434" s="80"/>
      <c r="G2434" s="81"/>
      <c r="H2434" s="80"/>
      <c r="I2434" s="80"/>
      <c r="J2434" s="82" t="b">
        <v>0</v>
      </c>
    </row>
    <row r="2435" ht="12.75" hidden="1" customHeight="1" outlineLevel="1">
      <c r="A2435" s="89" t="s">
        <v>1781</v>
      </c>
      <c r="B2435" s="90" t="s">
        <v>1782</v>
      </c>
      <c r="D2435" s="79"/>
      <c r="E2435" s="80"/>
      <c r="F2435" s="80"/>
      <c r="G2435" s="81"/>
      <c r="H2435" s="80"/>
      <c r="I2435" s="80"/>
      <c r="J2435" s="82" t="b">
        <v>0</v>
      </c>
    </row>
    <row r="2436" ht="12.75" hidden="1" customHeight="1" outlineLevel="1">
      <c r="D2436" s="79"/>
      <c r="E2436" s="80"/>
      <c r="F2436" s="80"/>
      <c r="G2436" s="81"/>
      <c r="H2436" s="80"/>
      <c r="I2436" s="80"/>
      <c r="J2436" s="82" t="b">
        <v>0</v>
      </c>
    </row>
    <row r="2437" ht="12.75" hidden="1" customHeight="1" outlineLevel="1">
      <c r="A2437" s="89" t="s">
        <v>1783</v>
      </c>
      <c r="B2437" s="90" t="s">
        <v>1784</v>
      </c>
      <c r="D2437" s="79"/>
      <c r="E2437" s="80"/>
      <c r="F2437" s="80"/>
      <c r="G2437" s="81"/>
      <c r="H2437" s="80"/>
      <c r="I2437" s="80"/>
      <c r="J2437" s="82" t="b">
        <v>0</v>
      </c>
    </row>
    <row r="2438" ht="12.75" hidden="1" customHeight="1" outlineLevel="1">
      <c r="D2438" s="79"/>
      <c r="E2438" s="80"/>
      <c r="F2438" s="80"/>
      <c r="G2438" s="81"/>
      <c r="H2438" s="80"/>
      <c r="I2438" s="80"/>
      <c r="J2438" s="82" t="b">
        <v>0</v>
      </c>
    </row>
    <row r="2439" ht="12.75" hidden="1" customHeight="1" outlineLevel="1">
      <c r="A2439" s="89" t="s">
        <v>1785</v>
      </c>
      <c r="B2439" s="90" t="s">
        <v>1786</v>
      </c>
      <c r="C2439" s="89" t="s">
        <v>877</v>
      </c>
      <c r="D2439" s="91">
        <v>380.0</v>
      </c>
      <c r="E2439" s="92">
        <v>2.4</v>
      </c>
      <c r="F2439" s="92">
        <v>912.0</v>
      </c>
      <c r="G2439" s="93"/>
      <c r="H2439" s="92"/>
      <c r="I2439" s="92"/>
      <c r="J2439" s="82" t="b">
        <v>0</v>
      </c>
    </row>
    <row r="2440" ht="12.75" hidden="1" customHeight="1" outlineLevel="1">
      <c r="D2440" s="79"/>
      <c r="E2440" s="80"/>
      <c r="F2440" s="80"/>
      <c r="G2440" s="81"/>
      <c r="H2440" s="80"/>
      <c r="I2440" s="80"/>
      <c r="J2440" s="82" t="b">
        <v>0</v>
      </c>
    </row>
    <row r="2441" ht="12.75" hidden="1" customHeight="1" outlineLevel="1">
      <c r="A2441" s="89" t="s">
        <v>1787</v>
      </c>
      <c r="B2441" s="90" t="s">
        <v>1788</v>
      </c>
      <c r="C2441" s="89" t="s">
        <v>877</v>
      </c>
      <c r="D2441" s="91">
        <v>65.0</v>
      </c>
      <c r="E2441" s="92">
        <v>3.2</v>
      </c>
      <c r="F2441" s="92">
        <v>208.0</v>
      </c>
      <c r="G2441" s="93"/>
      <c r="H2441" s="92"/>
      <c r="I2441" s="92"/>
      <c r="J2441" s="82" t="b">
        <v>0</v>
      </c>
    </row>
    <row r="2442" ht="12.75" hidden="1" customHeight="1" outlineLevel="1">
      <c r="D2442" s="79"/>
      <c r="E2442" s="80"/>
      <c r="F2442" s="80"/>
      <c r="G2442" s="81"/>
      <c r="H2442" s="80"/>
      <c r="I2442" s="80"/>
      <c r="J2442" s="82" t="b">
        <v>0</v>
      </c>
    </row>
    <row r="2443" ht="12.75" hidden="1" customHeight="1" outlineLevel="1">
      <c r="A2443" s="89" t="s">
        <v>1789</v>
      </c>
      <c r="B2443" s="90" t="s">
        <v>1790</v>
      </c>
      <c r="C2443" s="89" t="s">
        <v>877</v>
      </c>
      <c r="D2443" s="91">
        <v>80.0</v>
      </c>
      <c r="E2443" s="92">
        <v>4.34</v>
      </c>
      <c r="F2443" s="92">
        <v>347.2</v>
      </c>
      <c r="G2443" s="93"/>
      <c r="H2443" s="92"/>
      <c r="I2443" s="92"/>
      <c r="J2443" s="82" t="b">
        <v>0</v>
      </c>
    </row>
    <row r="2444" ht="12.75" hidden="1" customHeight="1" outlineLevel="1">
      <c r="D2444" s="79"/>
      <c r="E2444" s="80"/>
      <c r="F2444" s="80"/>
      <c r="G2444" s="81"/>
      <c r="H2444" s="80"/>
      <c r="I2444" s="80"/>
      <c r="J2444" s="82" t="b">
        <v>0</v>
      </c>
    </row>
    <row r="2445" ht="12.75" hidden="1" customHeight="1" outlineLevel="1">
      <c r="A2445" s="89" t="s">
        <v>1791</v>
      </c>
      <c r="B2445" s="90" t="s">
        <v>1792</v>
      </c>
      <c r="D2445" s="79"/>
      <c r="E2445" s="80"/>
      <c r="F2445" s="80"/>
      <c r="G2445" s="81"/>
      <c r="H2445" s="80"/>
      <c r="I2445" s="80"/>
      <c r="J2445" s="82" t="b">
        <v>0</v>
      </c>
    </row>
    <row r="2446" ht="12.75" hidden="1" customHeight="1" outlineLevel="1">
      <c r="D2446" s="79"/>
      <c r="E2446" s="80"/>
      <c r="F2446" s="80"/>
      <c r="G2446" s="81"/>
      <c r="H2446" s="80"/>
      <c r="I2446" s="80"/>
      <c r="J2446" s="82" t="b">
        <v>0</v>
      </c>
    </row>
    <row r="2447" ht="12.75" hidden="1" customHeight="1" outlineLevel="1">
      <c r="A2447" s="89" t="s">
        <v>1793</v>
      </c>
      <c r="B2447" s="90" t="s">
        <v>1794</v>
      </c>
      <c r="C2447" s="89" t="s">
        <v>877</v>
      </c>
      <c r="D2447" s="91">
        <v>20.0</v>
      </c>
      <c r="E2447" s="92">
        <v>62.5</v>
      </c>
      <c r="F2447" s="92">
        <v>1250.0</v>
      </c>
      <c r="G2447" s="93"/>
      <c r="H2447" s="92"/>
      <c r="I2447" s="92"/>
      <c r="J2447" s="82" t="b">
        <v>0</v>
      </c>
    </row>
    <row r="2448" ht="12.75" hidden="1" customHeight="1" outlineLevel="1">
      <c r="D2448" s="79"/>
      <c r="E2448" s="80"/>
      <c r="F2448" s="80"/>
      <c r="G2448" s="81"/>
      <c r="H2448" s="80"/>
      <c r="I2448" s="80"/>
      <c r="J2448" s="82" t="b">
        <v>0</v>
      </c>
    </row>
    <row r="2449" ht="12.75" hidden="1" customHeight="1" outlineLevel="1">
      <c r="A2449" s="89" t="s">
        <v>1795</v>
      </c>
      <c r="B2449" s="90" t="s">
        <v>1796</v>
      </c>
      <c r="D2449" s="79"/>
      <c r="E2449" s="80"/>
      <c r="F2449" s="80"/>
      <c r="G2449" s="81"/>
      <c r="H2449" s="80"/>
      <c r="I2449" s="80"/>
      <c r="J2449" s="82" t="b">
        <v>0</v>
      </c>
    </row>
    <row r="2450" ht="12.75" hidden="1" customHeight="1" outlineLevel="1">
      <c r="D2450" s="79"/>
      <c r="E2450" s="80"/>
      <c r="F2450" s="80"/>
      <c r="G2450" s="81"/>
      <c r="H2450" s="80"/>
      <c r="I2450" s="80"/>
      <c r="J2450" s="82" t="b">
        <v>0</v>
      </c>
    </row>
    <row r="2451" ht="12.75" hidden="1" customHeight="1" outlineLevel="1">
      <c r="A2451" s="89" t="s">
        <v>1797</v>
      </c>
      <c r="B2451" s="90" t="s">
        <v>1798</v>
      </c>
      <c r="C2451" s="89" t="s">
        <v>40</v>
      </c>
      <c r="D2451" s="91">
        <v>335.0</v>
      </c>
      <c r="E2451" s="92">
        <v>25.0</v>
      </c>
      <c r="F2451" s="92">
        <v>8375.0</v>
      </c>
      <c r="G2451" s="93"/>
      <c r="H2451" s="92"/>
      <c r="I2451" s="92"/>
      <c r="J2451" s="82" t="b">
        <v>0</v>
      </c>
    </row>
    <row r="2452" ht="12.75" hidden="1" customHeight="1" outlineLevel="1">
      <c r="D2452" s="79"/>
      <c r="E2452" s="80"/>
      <c r="F2452" s="80"/>
      <c r="G2452" s="81"/>
      <c r="H2452" s="80"/>
      <c r="I2452" s="80"/>
      <c r="J2452" s="82" t="b">
        <v>0</v>
      </c>
    </row>
    <row r="2453" ht="12.75" hidden="1" customHeight="1" outlineLevel="1">
      <c r="A2453" s="89" t="s">
        <v>1799</v>
      </c>
      <c r="B2453" s="90" t="s">
        <v>1800</v>
      </c>
      <c r="D2453" s="79"/>
      <c r="E2453" s="80"/>
      <c r="F2453" s="80"/>
      <c r="G2453" s="81"/>
      <c r="H2453" s="80"/>
      <c r="I2453" s="80"/>
      <c r="J2453" s="82" t="b">
        <v>0</v>
      </c>
    </row>
    <row r="2454" ht="12.75" hidden="1" customHeight="1" outlineLevel="1">
      <c r="D2454" s="79"/>
      <c r="E2454" s="80"/>
      <c r="F2454" s="80"/>
      <c r="G2454" s="81"/>
      <c r="H2454" s="80"/>
      <c r="I2454" s="80"/>
      <c r="J2454" s="82" t="b">
        <v>0</v>
      </c>
    </row>
    <row r="2455" ht="12.75" hidden="1" customHeight="1" outlineLevel="1">
      <c r="A2455" s="89" t="s">
        <v>1801</v>
      </c>
      <c r="B2455" s="90" t="s">
        <v>1802</v>
      </c>
      <c r="C2455" s="89" t="s">
        <v>75</v>
      </c>
      <c r="D2455" s="91">
        <v>56.0</v>
      </c>
      <c r="E2455" s="92">
        <v>10.0</v>
      </c>
      <c r="F2455" s="92">
        <v>560.0</v>
      </c>
      <c r="G2455" s="93"/>
      <c r="H2455" s="92"/>
      <c r="I2455" s="92"/>
      <c r="J2455" s="82" t="b">
        <v>0</v>
      </c>
    </row>
    <row r="2456" ht="12.75" hidden="1" customHeight="1" outlineLevel="1">
      <c r="D2456" s="79"/>
      <c r="E2456" s="80"/>
      <c r="F2456" s="80"/>
      <c r="G2456" s="81"/>
      <c r="H2456" s="80"/>
      <c r="I2456" s="80"/>
      <c r="J2456" s="82" t="b">
        <v>0</v>
      </c>
    </row>
    <row r="2457" ht="12.75" hidden="1" customHeight="1" outlineLevel="1">
      <c r="A2457" s="89" t="s">
        <v>1799</v>
      </c>
      <c r="B2457" s="90" t="s">
        <v>1803</v>
      </c>
      <c r="C2457" s="89" t="s">
        <v>75</v>
      </c>
      <c r="D2457" s="91">
        <v>2.0</v>
      </c>
      <c r="E2457" s="92">
        <v>116.01</v>
      </c>
      <c r="F2457" s="92">
        <v>232.02</v>
      </c>
      <c r="G2457" s="93"/>
      <c r="H2457" s="92"/>
      <c r="I2457" s="92"/>
      <c r="J2457" s="82" t="b">
        <v>0</v>
      </c>
    </row>
    <row r="2458" ht="12.75" hidden="1" customHeight="1" outlineLevel="1">
      <c r="D2458" s="79"/>
      <c r="E2458" s="80"/>
      <c r="F2458" s="80"/>
      <c r="G2458" s="81"/>
      <c r="H2458" s="80"/>
      <c r="I2458" s="80"/>
      <c r="J2458" s="82" t="b">
        <v>0</v>
      </c>
    </row>
    <row r="2459" ht="12.75" hidden="1" customHeight="1" outlineLevel="1">
      <c r="A2459" s="89" t="s">
        <v>1804</v>
      </c>
      <c r="B2459" s="90" t="s">
        <v>1805</v>
      </c>
      <c r="D2459" s="79"/>
      <c r="E2459" s="80"/>
      <c r="F2459" s="80"/>
      <c r="G2459" s="81"/>
      <c r="H2459" s="80"/>
      <c r="I2459" s="80"/>
      <c r="J2459" s="82" t="b">
        <v>0</v>
      </c>
    </row>
    <row r="2460" ht="12.75" hidden="1" customHeight="1" outlineLevel="1">
      <c r="D2460" s="79"/>
      <c r="E2460" s="80"/>
      <c r="F2460" s="80"/>
      <c r="G2460" s="81"/>
      <c r="H2460" s="80"/>
      <c r="I2460" s="80"/>
      <c r="J2460" s="82" t="b">
        <v>0</v>
      </c>
    </row>
    <row r="2461" ht="12.75" hidden="1" customHeight="1" outlineLevel="1">
      <c r="A2461" s="89" t="s">
        <v>1806</v>
      </c>
      <c r="B2461" s="90" t="s">
        <v>1807</v>
      </c>
      <c r="D2461" s="79"/>
      <c r="E2461" s="80"/>
      <c r="F2461" s="80"/>
      <c r="G2461" s="81"/>
      <c r="H2461" s="80"/>
      <c r="I2461" s="80"/>
      <c r="J2461" s="82" t="b">
        <v>0</v>
      </c>
    </row>
    <row r="2462" ht="12.75" hidden="1" customHeight="1" outlineLevel="1">
      <c r="D2462" s="79"/>
      <c r="E2462" s="80"/>
      <c r="F2462" s="80"/>
      <c r="G2462" s="81"/>
      <c r="H2462" s="80"/>
      <c r="I2462" s="80"/>
      <c r="J2462" s="82" t="b">
        <v>0</v>
      </c>
    </row>
    <row r="2463" ht="12.75" hidden="1" customHeight="1" outlineLevel="1">
      <c r="A2463" s="89" t="s">
        <v>1808</v>
      </c>
      <c r="B2463" s="90" t="s">
        <v>1809</v>
      </c>
      <c r="C2463" s="89" t="s">
        <v>75</v>
      </c>
      <c r="D2463" s="91">
        <v>8.0</v>
      </c>
      <c r="E2463" s="92">
        <v>184.18</v>
      </c>
      <c r="F2463" s="92">
        <v>1473.44</v>
      </c>
      <c r="G2463" s="93"/>
      <c r="H2463" s="92"/>
      <c r="I2463" s="92"/>
      <c r="J2463" s="82" t="b">
        <v>0</v>
      </c>
    </row>
    <row r="2464" ht="12.75" hidden="1" customHeight="1" outlineLevel="1">
      <c r="D2464" s="79"/>
      <c r="E2464" s="80"/>
      <c r="F2464" s="80"/>
      <c r="G2464" s="81"/>
      <c r="H2464" s="80"/>
      <c r="I2464" s="80"/>
      <c r="J2464" s="82" t="b">
        <v>0</v>
      </c>
    </row>
    <row r="2465" ht="12.75" hidden="1" customHeight="1" outlineLevel="1">
      <c r="A2465" s="89" t="s">
        <v>1810</v>
      </c>
      <c r="B2465" s="90" t="s">
        <v>1811</v>
      </c>
      <c r="C2465" s="89" t="s">
        <v>75</v>
      </c>
      <c r="D2465" s="91">
        <v>8.0</v>
      </c>
      <c r="E2465" s="92">
        <v>134.81</v>
      </c>
      <c r="F2465" s="92">
        <v>1078.48</v>
      </c>
      <c r="G2465" s="93"/>
      <c r="H2465" s="92"/>
      <c r="I2465" s="92"/>
      <c r="J2465" s="82" t="b">
        <v>0</v>
      </c>
    </row>
    <row r="2466" ht="12.75" hidden="1" customHeight="1" outlineLevel="1">
      <c r="D2466" s="79"/>
      <c r="E2466" s="80"/>
      <c r="F2466" s="80"/>
      <c r="G2466" s="81"/>
      <c r="H2466" s="80"/>
      <c r="I2466" s="80"/>
      <c r="J2466" s="82" t="b">
        <v>0</v>
      </c>
    </row>
    <row r="2467" ht="12.75" hidden="1" customHeight="1" outlineLevel="1">
      <c r="A2467" s="89" t="s">
        <v>1812</v>
      </c>
      <c r="B2467" s="90" t="s">
        <v>1813</v>
      </c>
      <c r="D2467" s="79"/>
      <c r="E2467" s="80"/>
      <c r="F2467" s="80"/>
      <c r="G2467" s="81"/>
      <c r="H2467" s="80"/>
      <c r="I2467" s="80"/>
      <c r="J2467" s="82" t="b">
        <v>0</v>
      </c>
    </row>
    <row r="2468" ht="12.75" hidden="1" customHeight="1" outlineLevel="1">
      <c r="D2468" s="79"/>
      <c r="E2468" s="80"/>
      <c r="F2468" s="80"/>
      <c r="G2468" s="81"/>
      <c r="H2468" s="80"/>
      <c r="I2468" s="80"/>
      <c r="J2468" s="82" t="b">
        <v>0</v>
      </c>
    </row>
    <row r="2469" ht="12.75" hidden="1" customHeight="1" outlineLevel="1">
      <c r="A2469" s="89" t="s">
        <v>1814</v>
      </c>
      <c r="B2469" s="90" t="s">
        <v>1815</v>
      </c>
      <c r="C2469" s="89" t="s">
        <v>75</v>
      </c>
      <c r="D2469" s="91">
        <v>1.0</v>
      </c>
      <c r="E2469" s="92">
        <v>466.99</v>
      </c>
      <c r="F2469" s="92">
        <v>466.99</v>
      </c>
      <c r="G2469" s="93"/>
      <c r="H2469" s="92"/>
      <c r="I2469" s="92"/>
      <c r="J2469" s="82" t="b">
        <v>0</v>
      </c>
    </row>
    <row r="2470" ht="12.75" hidden="1" customHeight="1" outlineLevel="1">
      <c r="D2470" s="79"/>
      <c r="E2470" s="80"/>
      <c r="F2470" s="80"/>
      <c r="G2470" s="81"/>
      <c r="H2470" s="80"/>
      <c r="I2470" s="80"/>
      <c r="J2470" s="82" t="b">
        <v>0</v>
      </c>
    </row>
    <row r="2471" ht="12.75" hidden="1" customHeight="1" outlineLevel="1">
      <c r="A2471" s="89" t="s">
        <v>1816</v>
      </c>
      <c r="B2471" s="90" t="s">
        <v>1817</v>
      </c>
      <c r="D2471" s="79"/>
      <c r="E2471" s="80"/>
      <c r="F2471" s="80"/>
      <c r="G2471" s="81"/>
      <c r="H2471" s="80"/>
      <c r="I2471" s="80"/>
      <c r="J2471" s="82" t="b">
        <v>0</v>
      </c>
    </row>
    <row r="2472" ht="12.75" hidden="1" customHeight="1" outlineLevel="1">
      <c r="D2472" s="79"/>
      <c r="E2472" s="80"/>
      <c r="F2472" s="80"/>
      <c r="G2472" s="81"/>
      <c r="H2472" s="80"/>
      <c r="I2472" s="80"/>
      <c r="J2472" s="82" t="b">
        <v>0</v>
      </c>
    </row>
    <row r="2473" ht="12.75" hidden="1" customHeight="1" outlineLevel="1">
      <c r="A2473" s="89" t="s">
        <v>1818</v>
      </c>
      <c r="B2473" s="90" t="s">
        <v>1819</v>
      </c>
      <c r="C2473" s="89" t="s">
        <v>161</v>
      </c>
      <c r="D2473" s="91">
        <v>100.0</v>
      </c>
      <c r="E2473" s="92">
        <v>55.0</v>
      </c>
      <c r="F2473" s="92">
        <v>5500.0</v>
      </c>
      <c r="G2473" s="93"/>
      <c r="H2473" s="92"/>
      <c r="I2473" s="92"/>
      <c r="J2473" s="82" t="b">
        <v>0</v>
      </c>
    </row>
    <row r="2474" ht="12.75" hidden="1" customHeight="1" outlineLevel="1">
      <c r="D2474" s="79"/>
      <c r="E2474" s="80"/>
      <c r="F2474" s="80"/>
      <c r="G2474" s="81"/>
      <c r="H2474" s="80"/>
      <c r="I2474" s="80"/>
      <c r="J2474" s="82" t="b">
        <v>0</v>
      </c>
    </row>
    <row r="2475" ht="12.75" hidden="1" customHeight="1" outlineLevel="1">
      <c r="A2475" s="89" t="s">
        <v>1820</v>
      </c>
      <c r="B2475" s="90" t="s">
        <v>1821</v>
      </c>
      <c r="D2475" s="79"/>
      <c r="E2475" s="80"/>
      <c r="F2475" s="80"/>
      <c r="G2475" s="81"/>
      <c r="H2475" s="80"/>
      <c r="I2475" s="80"/>
      <c r="J2475" s="82" t="b">
        <v>0</v>
      </c>
    </row>
    <row r="2476" ht="12.75" hidden="1" customHeight="1" outlineLevel="1">
      <c r="D2476" s="79"/>
      <c r="E2476" s="80"/>
      <c r="F2476" s="80"/>
      <c r="G2476" s="81"/>
      <c r="H2476" s="80"/>
      <c r="I2476" s="80"/>
      <c r="J2476" s="82" t="b">
        <v>0</v>
      </c>
    </row>
    <row r="2477" ht="12.75" hidden="1" customHeight="1" outlineLevel="1">
      <c r="A2477" s="89" t="s">
        <v>1822</v>
      </c>
      <c r="B2477" s="90" t="s">
        <v>1823</v>
      </c>
      <c r="C2477" s="89" t="s">
        <v>75</v>
      </c>
      <c r="D2477" s="91">
        <v>1.0</v>
      </c>
      <c r="E2477" s="92">
        <v>30.7</v>
      </c>
      <c r="F2477" s="92">
        <v>30.7</v>
      </c>
      <c r="G2477" s="93"/>
      <c r="H2477" s="92"/>
      <c r="I2477" s="92"/>
      <c r="J2477" s="82" t="b">
        <v>0</v>
      </c>
    </row>
    <row r="2478" ht="12.75" hidden="1" customHeight="1" outlineLevel="1">
      <c r="D2478" s="79"/>
      <c r="E2478" s="80"/>
      <c r="F2478" s="80"/>
      <c r="G2478" s="81"/>
      <c r="H2478" s="80"/>
      <c r="I2478" s="80"/>
      <c r="J2478" s="82" t="b">
        <v>0</v>
      </c>
    </row>
    <row r="2479" ht="12.75" hidden="1" customHeight="1" outlineLevel="1">
      <c r="A2479" s="89" t="s">
        <v>1824</v>
      </c>
      <c r="B2479" s="90" t="s">
        <v>1825</v>
      </c>
      <c r="D2479" s="79"/>
      <c r="E2479" s="80"/>
      <c r="F2479" s="80"/>
      <c r="G2479" s="81"/>
      <c r="H2479" s="80"/>
      <c r="I2479" s="80"/>
      <c r="J2479" s="82" t="b">
        <v>0</v>
      </c>
    </row>
    <row r="2480" ht="12.75" hidden="1" customHeight="1" outlineLevel="1">
      <c r="D2480" s="79"/>
      <c r="E2480" s="80"/>
      <c r="F2480" s="80"/>
      <c r="G2480" s="81"/>
      <c r="H2480" s="80"/>
      <c r="I2480" s="80"/>
      <c r="J2480" s="82" t="b">
        <v>0</v>
      </c>
    </row>
    <row r="2481" ht="12.75" hidden="1" customHeight="1" outlineLevel="1">
      <c r="A2481" s="89" t="s">
        <v>1826</v>
      </c>
      <c r="B2481" s="90" t="s">
        <v>1827</v>
      </c>
      <c r="C2481" s="89" t="s">
        <v>75</v>
      </c>
      <c r="D2481" s="91">
        <v>8.0</v>
      </c>
      <c r="E2481" s="92">
        <v>53.6</v>
      </c>
      <c r="F2481" s="92">
        <v>428.8</v>
      </c>
      <c r="G2481" s="93"/>
      <c r="H2481" s="92"/>
      <c r="I2481" s="92"/>
      <c r="J2481" s="82" t="b">
        <v>0</v>
      </c>
    </row>
    <row r="2482" ht="12.75" hidden="1" customHeight="1" outlineLevel="1">
      <c r="D2482" s="79"/>
      <c r="E2482" s="80"/>
      <c r="F2482" s="80"/>
      <c r="G2482" s="81"/>
      <c r="H2482" s="80"/>
      <c r="I2482" s="80"/>
      <c r="J2482" s="82" t="b">
        <v>0</v>
      </c>
    </row>
    <row r="2483" ht="12.75" hidden="1" customHeight="1" outlineLevel="1">
      <c r="A2483" s="89" t="s">
        <v>1828</v>
      </c>
      <c r="B2483" s="90" t="s">
        <v>1829</v>
      </c>
      <c r="C2483" s="89" t="s">
        <v>75</v>
      </c>
      <c r="D2483" s="91">
        <v>2.0</v>
      </c>
      <c r="E2483" s="92">
        <v>67.03</v>
      </c>
      <c r="F2483" s="92">
        <v>134.06</v>
      </c>
      <c r="G2483" s="93"/>
      <c r="H2483" s="92"/>
      <c r="I2483" s="92"/>
      <c r="J2483" s="82" t="b">
        <v>0</v>
      </c>
    </row>
    <row r="2484" ht="12.75" hidden="1" customHeight="1" outlineLevel="1">
      <c r="D2484" s="79"/>
      <c r="E2484" s="80"/>
      <c r="F2484" s="80"/>
      <c r="G2484" s="81"/>
      <c r="H2484" s="80"/>
      <c r="I2484" s="80"/>
      <c r="J2484" s="82" t="b">
        <v>0</v>
      </c>
    </row>
    <row r="2485" ht="12.75" hidden="1" customHeight="1" outlineLevel="1">
      <c r="A2485" s="89" t="s">
        <v>1830</v>
      </c>
      <c r="B2485" s="90" t="s">
        <v>1831</v>
      </c>
      <c r="D2485" s="79"/>
      <c r="E2485" s="80"/>
      <c r="F2485" s="80"/>
      <c r="G2485" s="81"/>
      <c r="H2485" s="80"/>
      <c r="I2485" s="80"/>
      <c r="J2485" s="82" t="b">
        <v>0</v>
      </c>
    </row>
    <row r="2486" ht="12.75" hidden="1" customHeight="1" outlineLevel="1">
      <c r="D2486" s="79"/>
      <c r="E2486" s="80"/>
      <c r="F2486" s="80"/>
      <c r="G2486" s="81"/>
      <c r="H2486" s="80"/>
      <c r="I2486" s="80"/>
      <c r="J2486" s="82" t="b">
        <v>0</v>
      </c>
    </row>
    <row r="2487" ht="12.75" hidden="1" customHeight="1" outlineLevel="1">
      <c r="A2487" s="89" t="s">
        <v>1832</v>
      </c>
      <c r="B2487" s="90" t="s">
        <v>1833</v>
      </c>
      <c r="C2487" s="89" t="s">
        <v>75</v>
      </c>
      <c r="D2487" s="91">
        <v>1.0</v>
      </c>
      <c r="E2487" s="92">
        <v>15.66</v>
      </c>
      <c r="F2487" s="92">
        <v>15.66</v>
      </c>
      <c r="G2487" s="93"/>
      <c r="H2487" s="92"/>
      <c r="I2487" s="92"/>
      <c r="J2487" s="82" t="b">
        <v>0</v>
      </c>
    </row>
    <row r="2488" ht="12.75" hidden="1" customHeight="1" outlineLevel="1">
      <c r="D2488" s="79"/>
      <c r="E2488" s="80"/>
      <c r="F2488" s="80"/>
      <c r="G2488" s="81"/>
      <c r="H2488" s="80"/>
      <c r="I2488" s="80"/>
      <c r="J2488" s="82" t="b">
        <v>0</v>
      </c>
    </row>
    <row r="2489" ht="12.75" hidden="1" customHeight="1" outlineLevel="1">
      <c r="A2489" s="89" t="s">
        <v>1834</v>
      </c>
      <c r="B2489" s="90" t="s">
        <v>1835</v>
      </c>
      <c r="D2489" s="79"/>
      <c r="E2489" s="80"/>
      <c r="F2489" s="80"/>
      <c r="G2489" s="81"/>
      <c r="H2489" s="80"/>
      <c r="I2489" s="80"/>
      <c r="J2489" s="82" t="b">
        <v>0</v>
      </c>
    </row>
    <row r="2490" ht="12.75" hidden="1" customHeight="1" outlineLevel="1">
      <c r="D2490" s="79"/>
      <c r="E2490" s="80"/>
      <c r="F2490" s="80"/>
      <c r="G2490" s="81"/>
      <c r="H2490" s="80"/>
      <c r="I2490" s="80"/>
      <c r="J2490" s="82" t="b">
        <v>0</v>
      </c>
    </row>
    <row r="2491" ht="12.75" hidden="1" customHeight="1" outlineLevel="1">
      <c r="A2491" s="89" t="s">
        <v>1836</v>
      </c>
      <c r="B2491" s="90" t="s">
        <v>1837</v>
      </c>
      <c r="C2491" s="89" t="s">
        <v>75</v>
      </c>
      <c r="D2491" s="91">
        <v>1.0</v>
      </c>
      <c r="E2491" s="92">
        <v>4954.0</v>
      </c>
      <c r="F2491" s="92">
        <v>4954.0</v>
      </c>
      <c r="G2491" s="93"/>
      <c r="H2491" s="92"/>
      <c r="I2491" s="92"/>
      <c r="J2491" s="82" t="b">
        <v>0</v>
      </c>
    </row>
    <row r="2492" ht="12.75" hidden="1" customHeight="1" outlineLevel="1">
      <c r="D2492" s="79"/>
      <c r="E2492" s="80"/>
      <c r="F2492" s="80"/>
      <c r="G2492" s="81"/>
      <c r="H2492" s="80"/>
      <c r="I2492" s="80"/>
      <c r="J2492" s="82" t="b">
        <v>0</v>
      </c>
    </row>
    <row r="2493" ht="12.75" hidden="1" customHeight="1" outlineLevel="1">
      <c r="A2493" s="89" t="s">
        <v>1838</v>
      </c>
      <c r="B2493" s="90" t="s">
        <v>1839</v>
      </c>
      <c r="D2493" s="79"/>
      <c r="E2493" s="80"/>
      <c r="F2493" s="80"/>
      <c r="G2493" s="81"/>
      <c r="H2493" s="80"/>
      <c r="I2493" s="80"/>
      <c r="J2493" s="82" t="b">
        <v>0</v>
      </c>
    </row>
    <row r="2494" ht="12.75" hidden="1" customHeight="1" outlineLevel="1">
      <c r="D2494" s="79"/>
      <c r="E2494" s="80"/>
      <c r="F2494" s="80"/>
      <c r="G2494" s="81"/>
      <c r="H2494" s="80"/>
      <c r="I2494" s="80"/>
      <c r="J2494" s="82" t="b">
        <v>0</v>
      </c>
    </row>
    <row r="2495" ht="15.75" hidden="1" customHeight="1" outlineLevel="1">
      <c r="A2495" s="89" t="s">
        <v>1840</v>
      </c>
      <c r="B2495" s="90" t="s">
        <v>1841</v>
      </c>
      <c r="C2495" s="89" t="s">
        <v>75</v>
      </c>
      <c r="D2495" s="91">
        <v>1.0</v>
      </c>
      <c r="E2495" s="92">
        <v>1500.0</v>
      </c>
      <c r="F2495" s="92">
        <v>1500.0</v>
      </c>
      <c r="G2495" s="93"/>
      <c r="H2495" s="92"/>
      <c r="I2495" s="92"/>
      <c r="J2495" s="82" t="b">
        <v>0</v>
      </c>
    </row>
    <row r="2496" ht="12.75" hidden="1" customHeight="1" outlineLevel="1">
      <c r="D2496" s="79"/>
      <c r="E2496" s="80"/>
      <c r="F2496" s="80"/>
      <c r="G2496" s="81"/>
      <c r="H2496" s="80"/>
      <c r="I2496" s="80"/>
      <c r="J2496" s="82" t="b">
        <v>0</v>
      </c>
    </row>
    <row r="2497" ht="12.75" customHeight="1" collapsed="1">
      <c r="A2497" s="134" t="s">
        <v>1842</v>
      </c>
      <c r="B2497" s="158" t="s">
        <v>1843</v>
      </c>
      <c r="C2497" s="87">
        <f>F2499</f>
        <v>9600</v>
      </c>
      <c r="D2497" s="86"/>
      <c r="E2497" s="88"/>
      <c r="F2497" s="88"/>
      <c r="G2497" s="81"/>
      <c r="H2497" s="80"/>
      <c r="I2497" s="80"/>
      <c r="J2497" s="82" t="b">
        <v>0</v>
      </c>
    </row>
    <row r="2498" ht="12.75" hidden="1" customHeight="1" outlineLevel="1">
      <c r="D2498" s="79"/>
      <c r="E2498" s="80"/>
      <c r="F2498" s="80"/>
      <c r="G2498" s="81"/>
      <c r="H2498" s="80"/>
      <c r="I2498" s="80"/>
      <c r="J2498" s="82" t="b">
        <v>0</v>
      </c>
    </row>
    <row r="2499" ht="12.75" hidden="1" customHeight="1" outlineLevel="1">
      <c r="A2499" s="89" t="s">
        <v>1844</v>
      </c>
      <c r="B2499" s="90" t="s">
        <v>1845</v>
      </c>
      <c r="C2499" s="89" t="s">
        <v>1846</v>
      </c>
      <c r="D2499" s="91">
        <v>12.0</v>
      </c>
      <c r="E2499" s="92">
        <v>800.0</v>
      </c>
      <c r="F2499" s="92">
        <v>9600.0</v>
      </c>
      <c r="G2499" s="93"/>
      <c r="H2499" s="92"/>
      <c r="I2499" s="92"/>
      <c r="J2499" s="82" t="b">
        <v>0</v>
      </c>
    </row>
    <row r="2500" ht="12.75" hidden="1" customHeight="1" outlineLevel="1">
      <c r="D2500" s="79"/>
      <c r="E2500" s="80"/>
      <c r="F2500" s="80"/>
      <c r="G2500" s="81"/>
      <c r="H2500" s="80"/>
      <c r="I2500" s="80"/>
      <c r="J2500" s="82" t="b">
        <v>0</v>
      </c>
    </row>
    <row r="2501" ht="12.75" customHeight="1">
      <c r="D2501" s="79"/>
      <c r="E2501" s="80"/>
      <c r="F2501" s="80"/>
      <c r="G2501" s="81"/>
      <c r="H2501" s="80"/>
      <c r="I2501" s="80"/>
      <c r="J2501" s="82" t="b">
        <v>0</v>
      </c>
    </row>
    <row r="2502" ht="12.75" customHeight="1">
      <c r="D2502" s="79"/>
      <c r="E2502" s="80"/>
      <c r="F2502" s="80"/>
      <c r="G2502" s="81"/>
      <c r="H2502" s="80"/>
      <c r="I2502" s="80"/>
      <c r="J2502" s="82" t="b">
        <v>0</v>
      </c>
    </row>
    <row r="2503" ht="12.75" customHeight="1">
      <c r="D2503" s="79"/>
      <c r="E2503" s="80"/>
      <c r="F2503" s="80"/>
      <c r="G2503" s="81"/>
      <c r="H2503" s="80"/>
      <c r="I2503" s="80"/>
      <c r="J2503" s="82" t="b">
        <v>0</v>
      </c>
    </row>
    <row r="2504" ht="12.75" customHeight="1">
      <c r="B2504" s="59" t="s">
        <v>1847</v>
      </c>
      <c r="D2504" s="79"/>
      <c r="E2504" s="80"/>
      <c r="F2504" s="92">
        <v>2405735.04</v>
      </c>
      <c r="G2504" s="93"/>
      <c r="H2504" s="92"/>
      <c r="I2504" s="92"/>
      <c r="J2504" s="82" t="b">
        <v>0</v>
      </c>
    </row>
  </sheetData>
  <hyperlinks>
    <hyperlink r:id="rId1" ref="I544"/>
    <hyperlink r:id="rId2" ref="I546"/>
    <hyperlink r:id="rId3" ref="G548"/>
    <hyperlink r:id="rId4" ref="I548"/>
    <hyperlink r:id="rId5" ref="I550"/>
    <hyperlink r:id="rId6" ref="I552"/>
    <hyperlink r:id="rId7" ref="I556"/>
    <hyperlink r:id="rId8" ref="I564"/>
    <hyperlink r:id="rId9" ref="I622"/>
    <hyperlink r:id="rId10" ref="I642"/>
  </hyperlinks>
  <printOptions/>
  <pageMargins bottom="0.41" footer="0.0" header="0.0" left="0.41" right="0.3" top="0.62"/>
  <pageSetup paperSize="9" orientation="portrait"/>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pageSetUpPr/>
  </sheetPr>
  <sheetViews>
    <sheetView workbookViewId="0"/>
  </sheetViews>
  <sheetFormatPr customHeight="1" defaultColWidth="12.63" defaultRowHeight="15.0" outlineLevelRow="3"/>
  <cols>
    <col customWidth="1" min="1" max="2" width="8.88"/>
    <col customWidth="1" min="3" max="3" width="67.75"/>
    <col customWidth="1" min="4" max="4" width="13.5"/>
    <col customWidth="1" min="5" max="5" width="9.75"/>
    <col customWidth="1" min="6" max="6" width="19.75"/>
    <col customWidth="1" min="7" max="7" width="19.63"/>
    <col customWidth="1" min="8" max="8" width="32.0"/>
    <col customWidth="1" min="9" max="26" width="11.0"/>
  </cols>
  <sheetData>
    <row r="1" ht="12.75" customHeight="1">
      <c r="A1" s="68" t="s">
        <v>1848</v>
      </c>
      <c r="B1" s="183" t="s">
        <v>1849</v>
      </c>
      <c r="C1" s="184" t="s">
        <v>1850</v>
      </c>
      <c r="D1" s="68" t="s">
        <v>1851</v>
      </c>
      <c r="E1" s="69" t="s">
        <v>1852</v>
      </c>
      <c r="F1" s="185" t="s">
        <v>1853</v>
      </c>
      <c r="G1" s="185" t="s">
        <v>1854</v>
      </c>
      <c r="H1" s="186" t="s">
        <v>1855</v>
      </c>
    </row>
    <row r="2" ht="12.75" customHeight="1">
      <c r="A2" s="75"/>
      <c r="B2" s="75"/>
      <c r="C2" s="187"/>
      <c r="D2" s="75"/>
      <c r="E2" s="75"/>
      <c r="F2" s="188"/>
      <c r="G2" s="188"/>
      <c r="H2" s="76"/>
    </row>
    <row r="3" ht="12.75" customHeight="1">
      <c r="B3" s="189"/>
      <c r="C3" s="190"/>
      <c r="E3" s="79"/>
      <c r="F3" s="191"/>
      <c r="G3" s="191"/>
      <c r="H3" s="80"/>
    </row>
    <row r="4" ht="17.25" customHeight="1">
      <c r="A4" s="192"/>
      <c r="B4" s="83">
        <v>1.0</v>
      </c>
      <c r="C4" s="184" t="s">
        <v>1856</v>
      </c>
      <c r="D4" s="193" t="str">
        <f>G8</f>
        <v/>
      </c>
      <c r="E4" s="194"/>
      <c r="F4" s="195"/>
      <c r="G4" s="196">
        <f>SUM(G10:G46)</f>
        <v>108116</v>
      </c>
      <c r="H4" s="197">
        <f>G4-('Orcamento RU'!C4+'Orcamento RU'!C2206)</f>
        <v>-70094.4</v>
      </c>
    </row>
    <row r="5" ht="12.75" customHeight="1" outlineLevel="1">
      <c r="B5" s="189"/>
      <c r="C5" s="190"/>
      <c r="E5" s="79"/>
      <c r="F5" s="191"/>
      <c r="G5" s="191"/>
      <c r="H5" s="80"/>
    </row>
    <row r="6" ht="12.75" customHeight="1" outlineLevel="1">
      <c r="B6" s="189"/>
      <c r="C6" s="184" t="s">
        <v>1857</v>
      </c>
      <c r="E6" s="79"/>
      <c r="F6" s="191"/>
      <c r="G6" s="191"/>
      <c r="H6" s="80"/>
    </row>
    <row r="7" ht="12.75" customHeight="1" outlineLevel="2">
      <c r="B7" s="189"/>
      <c r="C7" s="190"/>
      <c r="E7" s="79"/>
      <c r="F7" s="191"/>
      <c r="G7" s="191"/>
      <c r="H7" s="80"/>
    </row>
    <row r="8" ht="12.75" customHeight="1" outlineLevel="2">
      <c r="A8" s="130" t="s">
        <v>1858</v>
      </c>
      <c r="B8" s="198">
        <v>1.1</v>
      </c>
      <c r="C8" s="199" t="s">
        <v>1859</v>
      </c>
      <c r="D8" s="130"/>
      <c r="F8" s="191"/>
      <c r="G8" s="200"/>
      <c r="H8" s="92"/>
    </row>
    <row r="9" ht="12.75" customHeight="1" outlineLevel="2">
      <c r="B9" s="189"/>
      <c r="C9" s="201"/>
      <c r="E9" s="79"/>
      <c r="F9" s="191"/>
      <c r="G9" s="191"/>
      <c r="H9" s="80"/>
    </row>
    <row r="10" ht="12.75" customHeight="1" outlineLevel="2">
      <c r="A10" s="130" t="s">
        <v>1860</v>
      </c>
      <c r="B10" s="198" t="s">
        <v>31</v>
      </c>
      <c r="C10" s="202" t="s">
        <v>1861</v>
      </c>
      <c r="D10" s="203" t="s">
        <v>161</v>
      </c>
      <c r="E10" s="204">
        <v>260.0</v>
      </c>
      <c r="F10" s="205">
        <v>100.0</v>
      </c>
      <c r="G10" s="206">
        <f>F10*E10</f>
        <v>26000</v>
      </c>
      <c r="H10" s="207" t="s">
        <v>1862</v>
      </c>
    </row>
    <row r="11" ht="12.75" customHeight="1" outlineLevel="2">
      <c r="A11" s="208"/>
      <c r="B11" s="209"/>
      <c r="C11" s="210"/>
      <c r="D11" s="208"/>
      <c r="E11" s="211"/>
      <c r="F11" s="212"/>
      <c r="G11" s="212"/>
      <c r="H11" s="213"/>
    </row>
    <row r="12" ht="12.75" customHeight="1" outlineLevel="2">
      <c r="A12" s="130" t="s">
        <v>1863</v>
      </c>
      <c r="B12" s="198" t="s">
        <v>1572</v>
      </c>
      <c r="C12" s="202" t="s">
        <v>1864</v>
      </c>
      <c r="D12" s="203" t="s">
        <v>33</v>
      </c>
      <c r="E12" s="214">
        <v>1.0</v>
      </c>
      <c r="F12" s="205">
        <v>800.0</v>
      </c>
      <c r="G12" s="206">
        <f>F12*E12</f>
        <v>800</v>
      </c>
      <c r="H12" s="215"/>
    </row>
    <row r="13" ht="12.75" customHeight="1" outlineLevel="2">
      <c r="A13" s="208"/>
      <c r="B13" s="216"/>
      <c r="C13" s="210"/>
      <c r="D13" s="208"/>
      <c r="E13" s="211"/>
      <c r="F13" s="212"/>
      <c r="G13" s="212"/>
      <c r="H13" s="213"/>
    </row>
    <row r="14" ht="12.75" customHeight="1" outlineLevel="2">
      <c r="A14" s="130" t="s">
        <v>1865</v>
      </c>
      <c r="B14" s="198" t="s">
        <v>1866</v>
      </c>
      <c r="C14" s="202" t="s">
        <v>1867</v>
      </c>
      <c r="D14" s="203" t="s">
        <v>33</v>
      </c>
      <c r="E14" s="214">
        <v>1.0</v>
      </c>
      <c r="F14" s="205">
        <v>120.0</v>
      </c>
      <c r="G14" s="206">
        <f>F14*E14</f>
        <v>120</v>
      </c>
      <c r="H14" s="215"/>
    </row>
    <row r="15" ht="12.75" customHeight="1" outlineLevel="2">
      <c r="A15" s="208"/>
      <c r="B15" s="217"/>
      <c r="C15" s="218"/>
      <c r="D15" s="208"/>
      <c r="E15" s="211"/>
      <c r="F15" s="212"/>
      <c r="G15" s="212"/>
      <c r="H15" s="213"/>
    </row>
    <row r="16" ht="12.75" customHeight="1" outlineLevel="2">
      <c r="A16" s="130" t="s">
        <v>1868</v>
      </c>
      <c r="B16" s="198" t="s">
        <v>1869</v>
      </c>
      <c r="C16" s="202" t="s">
        <v>1870</v>
      </c>
      <c r="D16" s="203" t="s">
        <v>1871</v>
      </c>
      <c r="E16" s="214">
        <v>18.0</v>
      </c>
      <c r="F16" s="205">
        <v>200.0</v>
      </c>
      <c r="G16" s="206">
        <f>F16*E16</f>
        <v>3600</v>
      </c>
      <c r="H16" s="219" t="s">
        <v>1872</v>
      </c>
    </row>
    <row r="17" ht="12.75" customHeight="1" outlineLevel="2">
      <c r="A17" s="208"/>
      <c r="B17" s="217"/>
      <c r="C17" s="218"/>
      <c r="D17" s="208"/>
      <c r="E17" s="211"/>
      <c r="F17" s="212"/>
      <c r="G17" s="212"/>
      <c r="H17" s="213"/>
    </row>
    <row r="18" ht="12.75" customHeight="1" outlineLevel="2">
      <c r="A18" s="130" t="s">
        <v>1873</v>
      </c>
      <c r="B18" s="198" t="s">
        <v>1874</v>
      </c>
      <c r="C18" s="202" t="s">
        <v>1875</v>
      </c>
      <c r="D18" s="203" t="s">
        <v>33</v>
      </c>
      <c r="E18" s="214">
        <v>1.0</v>
      </c>
      <c r="F18" s="205">
        <v>0.0</v>
      </c>
      <c r="G18" s="206">
        <f>F18*E18</f>
        <v>0</v>
      </c>
      <c r="H18" s="219" t="s">
        <v>1876</v>
      </c>
    </row>
    <row r="19" ht="12.75" customHeight="1" outlineLevel="2">
      <c r="A19" s="208"/>
      <c r="B19" s="217"/>
      <c r="C19" s="218"/>
      <c r="D19" s="208"/>
      <c r="E19" s="211"/>
      <c r="F19" s="220"/>
      <c r="G19" s="220"/>
      <c r="H19" s="221"/>
    </row>
    <row r="20" ht="12.75" customHeight="1" outlineLevel="2">
      <c r="A20" s="130" t="s">
        <v>1877</v>
      </c>
      <c r="B20" s="198" t="s">
        <v>1878</v>
      </c>
      <c r="C20" s="202" t="s">
        <v>1879</v>
      </c>
      <c r="D20" s="203" t="s">
        <v>33</v>
      </c>
      <c r="E20" s="214">
        <v>1.0</v>
      </c>
      <c r="F20" s="205">
        <v>5200.0</v>
      </c>
      <c r="G20" s="206">
        <f>F20*E20</f>
        <v>5200</v>
      </c>
      <c r="H20" s="219"/>
    </row>
    <row r="21" ht="12.75" customHeight="1" outlineLevel="2">
      <c r="A21" s="222"/>
      <c r="B21" s="217"/>
      <c r="C21" s="218"/>
      <c r="D21" s="208"/>
      <c r="E21" s="211"/>
      <c r="F21" s="212"/>
      <c r="G21" s="212"/>
      <c r="H21" s="213"/>
    </row>
    <row r="22" ht="12.75" customHeight="1" outlineLevel="2">
      <c r="A22" s="130" t="s">
        <v>1880</v>
      </c>
      <c r="B22" s="198" t="s">
        <v>1881</v>
      </c>
      <c r="C22" s="202" t="s">
        <v>1882</v>
      </c>
      <c r="D22" s="203" t="s">
        <v>1871</v>
      </c>
      <c r="E22" s="214">
        <v>18.0</v>
      </c>
      <c r="F22" s="205">
        <v>147.0</v>
      </c>
      <c r="G22" s="206">
        <f>F22*E22</f>
        <v>2646</v>
      </c>
      <c r="H22" s="219"/>
    </row>
    <row r="23" ht="12.75" customHeight="1" outlineLevel="2">
      <c r="A23" s="222"/>
      <c r="B23" s="209"/>
      <c r="C23" s="218"/>
      <c r="D23" s="222"/>
      <c r="E23" s="223"/>
      <c r="F23" s="224"/>
      <c r="G23" s="224"/>
      <c r="H23" s="225"/>
    </row>
    <row r="24" ht="12.75" customHeight="1" outlineLevel="2">
      <c r="A24" s="130" t="s">
        <v>1883</v>
      </c>
      <c r="B24" s="198" t="s">
        <v>1884</v>
      </c>
      <c r="C24" s="202" t="s">
        <v>1885</v>
      </c>
      <c r="D24" s="203" t="s">
        <v>33</v>
      </c>
      <c r="E24" s="214">
        <v>1.0</v>
      </c>
      <c r="F24" s="205">
        <v>1530.0</v>
      </c>
      <c r="G24" s="206">
        <f>F24*E24</f>
        <v>1530</v>
      </c>
      <c r="H24" s="219"/>
    </row>
    <row r="25" ht="12.75" customHeight="1" outlineLevel="2">
      <c r="A25" s="222"/>
      <c r="B25" s="217"/>
      <c r="C25" s="218"/>
      <c r="D25" s="222"/>
      <c r="E25" s="223"/>
      <c r="F25" s="224"/>
      <c r="G25" s="224"/>
      <c r="H25" s="225"/>
    </row>
    <row r="26" ht="12.75" customHeight="1" outlineLevel="2">
      <c r="A26" s="130" t="s">
        <v>1886</v>
      </c>
      <c r="B26" s="198" t="s">
        <v>1887</v>
      </c>
      <c r="C26" s="202" t="s">
        <v>1888</v>
      </c>
      <c r="D26" s="203" t="s">
        <v>1871</v>
      </c>
      <c r="E26" s="214">
        <v>18.0</v>
      </c>
      <c r="F26" s="205">
        <v>500.0</v>
      </c>
      <c r="G26" s="206">
        <f>F26*E26</f>
        <v>9000</v>
      </c>
      <c r="H26" s="219" t="s">
        <v>1889</v>
      </c>
    </row>
    <row r="27" ht="12.75" customHeight="1" outlineLevel="2">
      <c r="A27" s="222"/>
      <c r="B27" s="217"/>
      <c r="C27" s="218"/>
      <c r="D27" s="208"/>
      <c r="E27" s="211"/>
      <c r="F27" s="212"/>
      <c r="G27" s="212"/>
      <c r="H27" s="213"/>
    </row>
    <row r="28" ht="12.75" customHeight="1" outlineLevel="2">
      <c r="A28" s="130" t="s">
        <v>1890</v>
      </c>
      <c r="B28" s="198" t="s">
        <v>1891</v>
      </c>
      <c r="C28" s="202" t="s">
        <v>1892</v>
      </c>
      <c r="D28" s="203" t="s">
        <v>1871</v>
      </c>
      <c r="E28" s="214">
        <v>18.0</v>
      </c>
      <c r="F28" s="205">
        <v>390.0</v>
      </c>
      <c r="G28" s="206">
        <f>F28*E28</f>
        <v>7020</v>
      </c>
      <c r="H28" s="219" t="s">
        <v>1893</v>
      </c>
    </row>
    <row r="29" ht="12.75" customHeight="1" outlineLevel="2">
      <c r="A29" s="222"/>
      <c r="B29" s="209"/>
      <c r="C29" s="218"/>
      <c r="D29" s="208"/>
      <c r="E29" s="211"/>
      <c r="F29" s="212"/>
      <c r="G29" s="212"/>
      <c r="H29" s="213"/>
    </row>
    <row r="30" ht="12.75" customHeight="1" outlineLevel="2">
      <c r="A30" s="130" t="s">
        <v>1894</v>
      </c>
      <c r="B30" s="198" t="s">
        <v>1895</v>
      </c>
      <c r="C30" s="202" t="s">
        <v>1896</v>
      </c>
      <c r="D30" s="203" t="s">
        <v>1871</v>
      </c>
      <c r="E30" s="214">
        <v>18.0</v>
      </c>
      <c r="F30" s="205">
        <v>300.0</v>
      </c>
      <c r="G30" s="206">
        <f>F30*E30</f>
        <v>5400</v>
      </c>
      <c r="H30" s="219" t="s">
        <v>1872</v>
      </c>
    </row>
    <row r="31" ht="12.75" customHeight="1" outlineLevel="2">
      <c r="A31" s="208"/>
      <c r="B31" s="217"/>
      <c r="C31" s="218"/>
      <c r="D31" s="208"/>
      <c r="E31" s="211"/>
      <c r="F31" s="212"/>
      <c r="G31" s="212"/>
      <c r="H31" s="213"/>
    </row>
    <row r="32" ht="12.75" customHeight="1" outlineLevel="2">
      <c r="A32" s="130" t="s">
        <v>1897</v>
      </c>
      <c r="B32" s="198" t="s">
        <v>1898</v>
      </c>
      <c r="C32" s="202" t="s">
        <v>1899</v>
      </c>
      <c r="D32" s="203" t="s">
        <v>33</v>
      </c>
      <c r="E32" s="214">
        <v>1.0</v>
      </c>
      <c r="F32" s="205">
        <v>0.0</v>
      </c>
      <c r="G32" s="206">
        <f>F32*E32</f>
        <v>0</v>
      </c>
      <c r="H32" s="219" t="s">
        <v>1900</v>
      </c>
    </row>
    <row r="33" ht="12.75" customHeight="1" outlineLevel="2">
      <c r="A33" s="208"/>
      <c r="B33" s="209"/>
      <c r="C33" s="218"/>
      <c r="D33" s="208"/>
      <c r="E33" s="211"/>
      <c r="F33" s="212"/>
      <c r="G33" s="212"/>
      <c r="H33" s="226"/>
    </row>
    <row r="34" ht="12.75" customHeight="1" outlineLevel="2">
      <c r="A34" s="130" t="s">
        <v>1901</v>
      </c>
      <c r="B34" s="198" t="s">
        <v>1902</v>
      </c>
      <c r="C34" s="202" t="s">
        <v>1903</v>
      </c>
      <c r="D34" s="203" t="s">
        <v>1871</v>
      </c>
      <c r="E34" s="214">
        <v>18.0</v>
      </c>
      <c r="F34" s="205">
        <v>150.0</v>
      </c>
      <c r="G34" s="206">
        <f>F34*E34</f>
        <v>2700</v>
      </c>
      <c r="H34" s="219"/>
    </row>
    <row r="35" ht="12.75" customHeight="1" outlineLevel="2">
      <c r="A35" s="208"/>
      <c r="B35" s="217"/>
      <c r="C35" s="218"/>
      <c r="D35" s="208"/>
      <c r="E35" s="211"/>
      <c r="F35" s="212"/>
      <c r="G35" s="212"/>
      <c r="H35" s="226"/>
    </row>
    <row r="36" ht="12.75" customHeight="1" outlineLevel="2">
      <c r="A36" s="130" t="s">
        <v>1904</v>
      </c>
      <c r="B36" s="198" t="s">
        <v>1905</v>
      </c>
      <c r="C36" s="202" t="s">
        <v>1906</v>
      </c>
      <c r="D36" s="203" t="s">
        <v>1871</v>
      </c>
      <c r="E36" s="214">
        <v>18.0</v>
      </c>
      <c r="F36" s="205">
        <v>450.0</v>
      </c>
      <c r="G36" s="206">
        <f>F36*E36</f>
        <v>8100</v>
      </c>
      <c r="H36" s="219"/>
    </row>
    <row r="37" ht="12.75" customHeight="1" outlineLevel="2">
      <c r="A37" s="208"/>
      <c r="B37" s="217"/>
      <c r="C37" s="218"/>
      <c r="D37" s="208"/>
      <c r="E37" s="211"/>
      <c r="F37" s="212"/>
      <c r="G37" s="212"/>
      <c r="H37" s="226"/>
    </row>
    <row r="38" ht="12.75" customHeight="1" outlineLevel="2">
      <c r="A38" s="130" t="s">
        <v>1907</v>
      </c>
      <c r="B38" s="198" t="s">
        <v>1908</v>
      </c>
      <c r="C38" s="202" t="s">
        <v>1909</v>
      </c>
      <c r="D38" s="203" t="s">
        <v>33</v>
      </c>
      <c r="E38" s="214">
        <v>1.0</v>
      </c>
      <c r="F38" s="205">
        <v>1500.0</v>
      </c>
      <c r="G38" s="206">
        <f>F38*E38</f>
        <v>1500</v>
      </c>
      <c r="H38" s="219"/>
    </row>
    <row r="39" ht="12.75" customHeight="1" outlineLevel="2">
      <c r="A39" s="208"/>
      <c r="B39" s="217"/>
      <c r="C39" s="218"/>
      <c r="D39" s="208"/>
      <c r="E39" s="211"/>
      <c r="F39" s="212"/>
      <c r="G39" s="212"/>
      <c r="H39" s="226"/>
    </row>
    <row r="40" ht="12.75" customHeight="1" outlineLevel="1">
      <c r="A40" s="222"/>
      <c r="B40" s="217"/>
      <c r="C40" s="184" t="s">
        <v>1910</v>
      </c>
      <c r="D40" s="208"/>
      <c r="E40" s="211"/>
      <c r="F40" s="212"/>
      <c r="G40" s="212"/>
      <c r="H40" s="226"/>
    </row>
    <row r="41" ht="12.75" customHeight="1" outlineLevel="2">
      <c r="A41" s="222"/>
      <c r="B41" s="217"/>
      <c r="D41" s="208"/>
      <c r="E41" s="211"/>
      <c r="F41" s="212"/>
      <c r="G41" s="212"/>
      <c r="H41" s="226"/>
    </row>
    <row r="42" ht="12.75" customHeight="1" outlineLevel="2">
      <c r="A42" s="208"/>
      <c r="B42" s="198" t="s">
        <v>1911</v>
      </c>
      <c r="C42" s="202" t="s">
        <v>1912</v>
      </c>
      <c r="D42" s="203" t="s">
        <v>33</v>
      </c>
      <c r="E42" s="214">
        <v>1.0</v>
      </c>
      <c r="F42" s="205">
        <v>0.0</v>
      </c>
      <c r="G42" s="206">
        <f>F42*E42</f>
        <v>0</v>
      </c>
      <c r="H42" s="219" t="s">
        <v>1913</v>
      </c>
    </row>
    <row r="43" ht="12.75" customHeight="1" outlineLevel="2">
      <c r="A43" s="222"/>
      <c r="B43" s="217"/>
      <c r="C43" s="218"/>
      <c r="D43" s="222"/>
      <c r="E43" s="223"/>
      <c r="F43" s="224"/>
      <c r="G43" s="224"/>
      <c r="H43" s="227"/>
    </row>
    <row r="44" ht="12.75" customHeight="1" outlineLevel="2">
      <c r="A44" s="222"/>
      <c r="B44" s="198" t="s">
        <v>1914</v>
      </c>
      <c r="C44" s="202" t="s">
        <v>1915</v>
      </c>
      <c r="D44" s="203" t="s">
        <v>33</v>
      </c>
      <c r="E44" s="214">
        <v>1.0</v>
      </c>
      <c r="F44" s="205">
        <v>8000.0</v>
      </c>
      <c r="G44" s="206">
        <f>F44*E44</f>
        <v>8000</v>
      </c>
      <c r="H44" s="219"/>
    </row>
    <row r="45" ht="12.75" customHeight="1" outlineLevel="2">
      <c r="A45" s="208"/>
      <c r="B45" s="217"/>
      <c r="C45" s="218"/>
      <c r="D45" s="208"/>
      <c r="E45" s="211"/>
      <c r="F45" s="212"/>
      <c r="G45" s="212"/>
      <c r="H45" s="226"/>
    </row>
    <row r="46" ht="12.75" customHeight="1" outlineLevel="2">
      <c r="A46" s="222"/>
      <c r="B46" s="198" t="s">
        <v>1916</v>
      </c>
      <c r="C46" s="202" t="s">
        <v>1917</v>
      </c>
      <c r="D46" s="203" t="s">
        <v>33</v>
      </c>
      <c r="E46" s="214">
        <v>1.0</v>
      </c>
      <c r="F46" s="205">
        <f>SUM(G48:G52)</f>
        <v>26500</v>
      </c>
      <c r="G46" s="206">
        <f>F46*E46</f>
        <v>26500</v>
      </c>
      <c r="H46" s="219"/>
    </row>
    <row r="47" ht="12.75" customHeight="1" outlineLevel="3">
      <c r="A47" s="208"/>
      <c r="B47" s="216"/>
      <c r="C47" s="210"/>
      <c r="D47" s="208"/>
      <c r="E47" s="211"/>
      <c r="F47" s="212"/>
      <c r="G47" s="212"/>
      <c r="H47" s="226"/>
    </row>
    <row r="48" ht="12.75" customHeight="1" outlineLevel="3">
      <c r="A48" s="208"/>
      <c r="B48" s="228" t="s">
        <v>1918</v>
      </c>
      <c r="C48" s="229" t="s">
        <v>1919</v>
      </c>
      <c r="D48" s="230" t="s">
        <v>33</v>
      </c>
      <c r="E48" s="231">
        <v>1.0</v>
      </c>
      <c r="F48" s="232">
        <v>1700.0</v>
      </c>
      <c r="G48" s="212">
        <f t="shared" ref="G48:G52" si="1">F48*E48</f>
        <v>1700</v>
      </c>
      <c r="H48" s="226"/>
    </row>
    <row r="49" ht="12.75" customHeight="1" outlineLevel="3">
      <c r="A49" s="208"/>
      <c r="B49" s="228" t="s">
        <v>1920</v>
      </c>
      <c r="C49" s="229" t="s">
        <v>1921</v>
      </c>
      <c r="D49" s="233" t="s">
        <v>1871</v>
      </c>
      <c r="E49" s="231">
        <v>14.0</v>
      </c>
      <c r="F49" s="232">
        <v>1500.0</v>
      </c>
      <c r="G49" s="212">
        <f t="shared" si="1"/>
        <v>21000</v>
      </c>
      <c r="H49" s="226"/>
    </row>
    <row r="50" ht="12.75" customHeight="1" outlineLevel="3">
      <c r="A50" s="208"/>
      <c r="B50" s="228" t="s">
        <v>1922</v>
      </c>
      <c r="C50" s="229" t="s">
        <v>1923</v>
      </c>
      <c r="D50" s="230" t="s">
        <v>33</v>
      </c>
      <c r="E50" s="231">
        <v>1.0</v>
      </c>
      <c r="F50" s="232">
        <v>1700.0</v>
      </c>
      <c r="G50" s="212">
        <f t="shared" si="1"/>
        <v>1700</v>
      </c>
      <c r="H50" s="226"/>
    </row>
    <row r="51" ht="12.75" customHeight="1" outlineLevel="3">
      <c r="A51" s="208"/>
      <c r="B51" s="228" t="s">
        <v>1924</v>
      </c>
      <c r="C51" s="229" t="s">
        <v>1925</v>
      </c>
      <c r="D51" s="233" t="s">
        <v>1926</v>
      </c>
      <c r="E51" s="231">
        <v>1.0</v>
      </c>
      <c r="F51" s="232">
        <v>1050.0</v>
      </c>
      <c r="G51" s="212">
        <f t="shared" si="1"/>
        <v>1050</v>
      </c>
      <c r="H51" s="226"/>
    </row>
    <row r="52" ht="12.75" customHeight="1" outlineLevel="3">
      <c r="A52" s="208"/>
      <c r="B52" s="228" t="s">
        <v>1927</v>
      </c>
      <c r="C52" s="229" t="s">
        <v>1928</v>
      </c>
      <c r="D52" s="233" t="s">
        <v>1926</v>
      </c>
      <c r="E52" s="231">
        <v>1.0</v>
      </c>
      <c r="F52" s="232">
        <v>1050.0</v>
      </c>
      <c r="G52" s="212">
        <f t="shared" si="1"/>
        <v>1050</v>
      </c>
      <c r="H52" s="226"/>
    </row>
    <row r="53" ht="12.75" customHeight="1" outlineLevel="2">
      <c r="A53" s="208"/>
      <c r="B53" s="216"/>
      <c r="C53" s="210"/>
      <c r="D53" s="208"/>
      <c r="E53" s="211"/>
      <c r="F53" s="212"/>
      <c r="G53" s="212"/>
      <c r="H53" s="226"/>
    </row>
    <row r="54" ht="12.75" customHeight="1" outlineLevel="1">
      <c r="A54" s="208"/>
      <c r="B54" s="216"/>
      <c r="C54" s="210"/>
      <c r="D54" s="208"/>
      <c r="E54" s="211"/>
      <c r="F54" s="212"/>
      <c r="G54" s="212"/>
      <c r="H54" s="226"/>
    </row>
    <row r="55" ht="12.75" customHeight="1">
      <c r="A55" s="192"/>
      <c r="B55" s="84">
        <v>2.0</v>
      </c>
      <c r="C55" s="184" t="s">
        <v>1929</v>
      </c>
      <c r="D55" s="193"/>
      <c r="E55" s="194"/>
      <c r="F55" s="195"/>
      <c r="G55" s="196">
        <f>SUM(G59:G71)</f>
        <v>34482.88</v>
      </c>
      <c r="H55" s="197">
        <f>G55-('Orcamento RU'!C749+'Orcamento RU'!C2217)</f>
        <v>-39311.59</v>
      </c>
    </row>
    <row r="56" ht="12.75" customHeight="1" outlineLevel="1">
      <c r="A56" s="208"/>
      <c r="B56" s="216"/>
      <c r="C56" s="210"/>
      <c r="D56" s="208"/>
      <c r="E56" s="211"/>
      <c r="F56" s="212"/>
      <c r="G56" s="212"/>
      <c r="H56" s="226"/>
    </row>
    <row r="57" ht="12.75" customHeight="1" outlineLevel="1">
      <c r="A57" s="208"/>
      <c r="B57" s="216"/>
      <c r="C57" s="184" t="s">
        <v>1929</v>
      </c>
      <c r="D57" s="208"/>
      <c r="E57" s="211"/>
      <c r="F57" s="212"/>
      <c r="G57" s="212"/>
      <c r="H57" s="226"/>
    </row>
    <row r="58" ht="12.75" customHeight="1" outlineLevel="2">
      <c r="A58" s="208"/>
      <c r="B58" s="216"/>
      <c r="C58" s="210"/>
      <c r="D58" s="208"/>
      <c r="E58" s="211"/>
      <c r="F58" s="212"/>
      <c r="G58" s="212"/>
      <c r="H58" s="226"/>
    </row>
    <row r="59" ht="12.75" customHeight="1" outlineLevel="2">
      <c r="A59" s="95" t="s">
        <v>1930</v>
      </c>
      <c r="B59" s="198">
        <v>2.1</v>
      </c>
      <c r="C59" s="202" t="s">
        <v>1931</v>
      </c>
      <c r="D59" s="203" t="s">
        <v>75</v>
      </c>
      <c r="E59" s="214">
        <v>1.0</v>
      </c>
      <c r="F59" s="205">
        <v>4000.0</v>
      </c>
      <c r="G59" s="206">
        <f>F59*E59</f>
        <v>4000</v>
      </c>
      <c r="H59" s="219"/>
    </row>
    <row r="60" ht="12.75" customHeight="1" outlineLevel="2">
      <c r="A60" s="102"/>
      <c r="B60" s="234"/>
      <c r="C60" s="102"/>
      <c r="D60" s="102"/>
      <c r="E60" s="103"/>
      <c r="F60" s="212"/>
      <c r="G60" s="212"/>
      <c r="H60" s="226"/>
    </row>
    <row r="61" ht="12.75" customHeight="1" outlineLevel="2">
      <c r="A61" s="95" t="s">
        <v>1932</v>
      </c>
      <c r="B61" s="198">
        <v>2.2</v>
      </c>
      <c r="C61" s="202" t="s">
        <v>1933</v>
      </c>
      <c r="D61" s="203" t="s">
        <v>776</v>
      </c>
      <c r="E61" s="214">
        <v>2234.27</v>
      </c>
      <c r="F61" s="205">
        <v>4.0</v>
      </c>
      <c r="G61" s="206">
        <f>F61*E61</f>
        <v>8937.08</v>
      </c>
      <c r="H61" s="219"/>
    </row>
    <row r="62" ht="12.75" customHeight="1" outlineLevel="2">
      <c r="A62" s="102"/>
      <c r="B62" s="234"/>
      <c r="C62" s="102"/>
      <c r="D62" s="102"/>
      <c r="E62" s="103"/>
      <c r="F62" s="212"/>
      <c r="G62" s="212"/>
      <c r="H62" s="226"/>
    </row>
    <row r="63" ht="12.75" customHeight="1" outlineLevel="2">
      <c r="A63" s="95" t="s">
        <v>1934</v>
      </c>
      <c r="B63" s="198">
        <v>2.3</v>
      </c>
      <c r="C63" s="202" t="s">
        <v>1935</v>
      </c>
      <c r="D63" s="203" t="s">
        <v>776</v>
      </c>
      <c r="E63" s="214">
        <v>482.44</v>
      </c>
      <c r="F63" s="205">
        <v>5.0</v>
      </c>
      <c r="G63" s="206">
        <f>F63*E63</f>
        <v>2412.2</v>
      </c>
      <c r="H63" s="219"/>
    </row>
    <row r="64" ht="12.75" customHeight="1" outlineLevel="2">
      <c r="A64" s="102"/>
      <c r="B64" s="234"/>
      <c r="C64" s="102"/>
      <c r="D64" s="102"/>
      <c r="E64" s="103"/>
      <c r="F64" s="212"/>
      <c r="G64" s="212"/>
      <c r="H64" s="226"/>
    </row>
    <row r="65" ht="12.75" customHeight="1" outlineLevel="2">
      <c r="A65" s="95" t="s">
        <v>1936</v>
      </c>
      <c r="B65" s="198">
        <v>2.4</v>
      </c>
      <c r="C65" s="202" t="s">
        <v>1937</v>
      </c>
      <c r="D65" s="203" t="s">
        <v>776</v>
      </c>
      <c r="E65" s="214">
        <v>2102.2</v>
      </c>
      <c r="F65" s="205">
        <v>8.0</v>
      </c>
      <c r="G65" s="206">
        <f>F65*E65</f>
        <v>16817.6</v>
      </c>
      <c r="H65" s="219"/>
    </row>
    <row r="66" ht="12.75" customHeight="1" outlineLevel="2">
      <c r="A66" s="208"/>
      <c r="B66" s="216"/>
      <c r="C66" s="210"/>
      <c r="D66" s="208"/>
      <c r="E66" s="211"/>
      <c r="F66" s="212"/>
      <c r="G66" s="212"/>
      <c r="H66" s="226"/>
    </row>
    <row r="67" ht="12.75" customHeight="1" outlineLevel="2">
      <c r="A67" s="95" t="s">
        <v>1938</v>
      </c>
      <c r="B67" s="198">
        <v>2.5</v>
      </c>
      <c r="C67" s="202" t="s">
        <v>1939</v>
      </c>
      <c r="D67" s="203" t="s">
        <v>933</v>
      </c>
      <c r="E67" s="214">
        <v>68.0</v>
      </c>
      <c r="F67" s="205">
        <v>3.0</v>
      </c>
      <c r="G67" s="206">
        <f>F67*E67</f>
        <v>204</v>
      </c>
      <c r="H67" s="219"/>
    </row>
    <row r="68" ht="12.75" customHeight="1" outlineLevel="2">
      <c r="A68" s="102"/>
      <c r="B68" s="189"/>
      <c r="C68" s="102"/>
      <c r="D68" s="102"/>
      <c r="E68" s="103"/>
      <c r="F68" s="212"/>
      <c r="G68" s="212"/>
      <c r="H68" s="226"/>
    </row>
    <row r="69" ht="12.75" customHeight="1" outlineLevel="2">
      <c r="A69" s="95" t="s">
        <v>1940</v>
      </c>
      <c r="B69" s="198">
        <v>2.6</v>
      </c>
      <c r="C69" s="202" t="s">
        <v>1941</v>
      </c>
      <c r="D69" s="203" t="s">
        <v>933</v>
      </c>
      <c r="E69" s="214">
        <v>386.0</v>
      </c>
      <c r="F69" s="205">
        <v>3.0</v>
      </c>
      <c r="G69" s="206">
        <f>F69*E69</f>
        <v>1158</v>
      </c>
      <c r="H69" s="219"/>
    </row>
    <row r="70" ht="12.75" customHeight="1" outlineLevel="2">
      <c r="A70" s="102"/>
      <c r="B70" s="189"/>
      <c r="C70" s="102"/>
      <c r="D70" s="102"/>
      <c r="E70" s="103"/>
      <c r="F70" s="212"/>
      <c r="G70" s="212"/>
      <c r="H70" s="226"/>
    </row>
    <row r="71" ht="12.75" customHeight="1" outlineLevel="2">
      <c r="A71" s="95" t="s">
        <v>1942</v>
      </c>
      <c r="B71" s="198">
        <v>2.7</v>
      </c>
      <c r="C71" s="202" t="s">
        <v>1943</v>
      </c>
      <c r="D71" s="203" t="s">
        <v>933</v>
      </c>
      <c r="E71" s="214">
        <v>318.0</v>
      </c>
      <c r="F71" s="205">
        <v>3.0</v>
      </c>
      <c r="G71" s="206">
        <f>F71*E71</f>
        <v>954</v>
      </c>
      <c r="H71" s="219"/>
    </row>
    <row r="72" ht="12.75" customHeight="1" outlineLevel="1">
      <c r="A72" s="208"/>
      <c r="B72" s="216"/>
      <c r="C72" s="210"/>
      <c r="D72" s="208"/>
      <c r="E72" s="211"/>
      <c r="F72" s="212"/>
      <c r="G72" s="212"/>
      <c r="H72" s="226"/>
    </row>
    <row r="73" ht="12.75" customHeight="1">
      <c r="A73" s="192"/>
      <c r="B73" s="84">
        <v>3.0</v>
      </c>
      <c r="C73" s="184" t="s">
        <v>1944</v>
      </c>
      <c r="D73" s="193"/>
      <c r="E73" s="194"/>
      <c r="F73" s="195"/>
      <c r="G73" s="196">
        <f>SUM(G79:G269)</f>
        <v>567388.824</v>
      </c>
      <c r="H73" s="197">
        <f>G73-'Orcamento RU'!C761</f>
        <v>8996.574</v>
      </c>
    </row>
    <row r="74" ht="12.75" customHeight="1" outlineLevel="1">
      <c r="A74" s="208"/>
      <c r="B74" s="216" t="s">
        <v>1945</v>
      </c>
      <c r="C74" s="235"/>
      <c r="D74" s="208"/>
      <c r="E74" s="236"/>
      <c r="F74" s="212"/>
      <c r="G74" s="212"/>
      <c r="H74" s="226"/>
    </row>
    <row r="75" ht="12.75" customHeight="1" outlineLevel="1">
      <c r="A75" s="208"/>
      <c r="B75" s="216"/>
      <c r="C75" s="237" t="s">
        <v>1946</v>
      </c>
      <c r="D75" s="208"/>
      <c r="E75" s="236"/>
      <c r="F75" s="212"/>
      <c r="G75" s="212"/>
      <c r="H75" s="226"/>
    </row>
    <row r="76" ht="12.75" customHeight="1" outlineLevel="2">
      <c r="A76" s="208"/>
      <c r="B76" s="216"/>
      <c r="C76" s="235"/>
      <c r="D76" s="208"/>
      <c r="E76" s="236"/>
      <c r="F76" s="212"/>
      <c r="G76" s="212"/>
      <c r="H76" s="226"/>
    </row>
    <row r="77" ht="12.75" customHeight="1" outlineLevel="2">
      <c r="A77" s="151" t="s">
        <v>1947</v>
      </c>
      <c r="B77" s="198">
        <v>3.1</v>
      </c>
      <c r="C77" s="202" t="s">
        <v>1948</v>
      </c>
      <c r="D77" s="238"/>
      <c r="E77" s="170"/>
      <c r="F77" s="239"/>
      <c r="G77" s="239"/>
      <c r="H77" s="240"/>
    </row>
    <row r="78" ht="12.75" customHeight="1" outlineLevel="3">
      <c r="A78" s="21"/>
      <c r="B78" s="189"/>
      <c r="C78" s="21"/>
      <c r="D78" s="21"/>
      <c r="E78" s="115"/>
      <c r="F78" s="241"/>
      <c r="G78" s="241"/>
      <c r="H78" s="227"/>
    </row>
    <row r="79" ht="12.75" customHeight="1" outlineLevel="3">
      <c r="A79" s="151" t="s">
        <v>1949</v>
      </c>
      <c r="B79" s="198" t="s">
        <v>940</v>
      </c>
      <c r="C79" s="202" t="s">
        <v>1950</v>
      </c>
      <c r="D79" s="203" t="s">
        <v>40</v>
      </c>
      <c r="E79" s="214">
        <v>329.7</v>
      </c>
      <c r="F79" s="205">
        <v>12.0</v>
      </c>
      <c r="G79" s="205">
        <f>F79*E79</f>
        <v>3956.4</v>
      </c>
      <c r="H79" s="242"/>
    </row>
    <row r="80" ht="12.75" customHeight="1" outlineLevel="2">
      <c r="A80" s="151"/>
      <c r="B80" s="189"/>
      <c r="C80" s="152"/>
      <c r="D80" s="21"/>
      <c r="E80" s="115"/>
      <c r="F80" s="241"/>
      <c r="G80" s="241"/>
      <c r="H80" s="227"/>
    </row>
    <row r="81" ht="12.75" customHeight="1" outlineLevel="2">
      <c r="A81" s="151" t="s">
        <v>1951</v>
      </c>
      <c r="B81" s="198">
        <v>3.2</v>
      </c>
      <c r="C81" s="243" t="s">
        <v>1952</v>
      </c>
      <c r="D81" s="21"/>
      <c r="E81" s="115"/>
      <c r="F81" s="241"/>
      <c r="G81" s="241"/>
      <c r="H81" s="227"/>
    </row>
    <row r="82" ht="12.75" customHeight="1" outlineLevel="3">
      <c r="A82" s="21"/>
      <c r="B82" s="189"/>
      <c r="C82" s="21"/>
      <c r="D82" s="21"/>
      <c r="E82" s="115"/>
      <c r="F82" s="241"/>
      <c r="G82" s="241"/>
      <c r="H82" s="227"/>
    </row>
    <row r="83" ht="12.75" customHeight="1" outlineLevel="3">
      <c r="A83" s="151" t="s">
        <v>1953</v>
      </c>
      <c r="B83" s="198" t="s">
        <v>961</v>
      </c>
      <c r="C83" s="202" t="s">
        <v>1954</v>
      </c>
      <c r="D83" s="203" t="s">
        <v>776</v>
      </c>
      <c r="E83" s="214">
        <v>29.25</v>
      </c>
      <c r="F83" s="205">
        <v>140.0</v>
      </c>
      <c r="G83" s="205">
        <f t="shared" ref="G83:G86" si="2">F83*E83</f>
        <v>4095</v>
      </c>
      <c r="H83" s="242"/>
    </row>
    <row r="84" ht="12.75" customHeight="1" outlineLevel="3">
      <c r="A84" s="151" t="s">
        <v>1955</v>
      </c>
      <c r="B84" s="198" t="s">
        <v>1956</v>
      </c>
      <c r="C84" s="202" t="s">
        <v>1957</v>
      </c>
      <c r="D84" s="203" t="s">
        <v>776</v>
      </c>
      <c r="E84" s="214">
        <v>8.94</v>
      </c>
      <c r="F84" s="205">
        <v>140.0</v>
      </c>
      <c r="G84" s="205">
        <f t="shared" si="2"/>
        <v>1251.6</v>
      </c>
      <c r="H84" s="242"/>
    </row>
    <row r="85" ht="12.75" customHeight="1" outlineLevel="3">
      <c r="A85" s="151" t="s">
        <v>1958</v>
      </c>
      <c r="B85" s="198" t="s">
        <v>1959</v>
      </c>
      <c r="C85" s="202" t="s">
        <v>1960</v>
      </c>
      <c r="D85" s="203" t="s">
        <v>776</v>
      </c>
      <c r="E85" s="214">
        <v>106.22</v>
      </c>
      <c r="F85" s="205">
        <v>140.0</v>
      </c>
      <c r="G85" s="205">
        <f t="shared" si="2"/>
        <v>14870.8</v>
      </c>
      <c r="H85" s="242"/>
    </row>
    <row r="86" ht="12.75" customHeight="1" outlineLevel="3">
      <c r="A86" s="151" t="s">
        <v>1961</v>
      </c>
      <c r="B86" s="198" t="s">
        <v>1962</v>
      </c>
      <c r="C86" s="202" t="s">
        <v>1963</v>
      </c>
      <c r="D86" s="203" t="s">
        <v>776</v>
      </c>
      <c r="E86" s="214">
        <v>3.02</v>
      </c>
      <c r="F86" s="205">
        <v>140.0</v>
      </c>
      <c r="G86" s="205">
        <f t="shared" si="2"/>
        <v>422.8</v>
      </c>
      <c r="H86" s="242"/>
    </row>
    <row r="87" ht="12.75" customHeight="1" outlineLevel="2">
      <c r="A87" s="21"/>
      <c r="B87" s="189"/>
      <c r="C87" s="21"/>
      <c r="D87" s="21"/>
      <c r="E87" s="115"/>
      <c r="F87" s="241"/>
      <c r="G87" s="241"/>
      <c r="H87" s="227"/>
    </row>
    <row r="88" ht="12.75" customHeight="1" outlineLevel="2">
      <c r="A88" s="151" t="s">
        <v>1964</v>
      </c>
      <c r="B88" s="198">
        <v>3.3</v>
      </c>
      <c r="C88" s="243" t="s">
        <v>1965</v>
      </c>
      <c r="D88" s="21"/>
      <c r="E88" s="115"/>
      <c r="F88" s="241"/>
      <c r="G88" s="241"/>
      <c r="H88" s="227"/>
    </row>
    <row r="89" ht="12.75" customHeight="1" outlineLevel="3">
      <c r="A89" s="21"/>
      <c r="B89" s="189"/>
      <c r="C89" s="21"/>
      <c r="D89" s="21"/>
      <c r="E89" s="115"/>
      <c r="F89" s="241"/>
      <c r="G89" s="241"/>
      <c r="H89" s="227"/>
    </row>
    <row r="90" ht="12.75" customHeight="1" outlineLevel="3">
      <c r="A90" s="151" t="s">
        <v>1966</v>
      </c>
      <c r="B90" s="198" t="s">
        <v>968</v>
      </c>
      <c r="C90" s="202" t="s">
        <v>1967</v>
      </c>
      <c r="D90" s="203" t="s">
        <v>776</v>
      </c>
      <c r="E90" s="214">
        <v>2.51</v>
      </c>
      <c r="F90" s="205">
        <v>140.0</v>
      </c>
      <c r="G90" s="205">
        <f t="shared" ref="G90:G92" si="3">F90*E90</f>
        <v>351.4</v>
      </c>
      <c r="H90" s="242"/>
    </row>
    <row r="91" ht="12.75" customHeight="1" outlineLevel="3">
      <c r="A91" s="151" t="s">
        <v>1968</v>
      </c>
      <c r="B91" s="198" t="s">
        <v>1969</v>
      </c>
      <c r="C91" s="202" t="s">
        <v>1970</v>
      </c>
      <c r="D91" s="203" t="s">
        <v>776</v>
      </c>
      <c r="E91" s="214">
        <v>88.26</v>
      </c>
      <c r="F91" s="205">
        <v>140.0</v>
      </c>
      <c r="G91" s="205">
        <f t="shared" si="3"/>
        <v>12356.4</v>
      </c>
      <c r="H91" s="242"/>
    </row>
    <row r="92" ht="12.75" customHeight="1" outlineLevel="3">
      <c r="A92" s="151" t="s">
        <v>1971</v>
      </c>
      <c r="B92" s="198" t="s">
        <v>1972</v>
      </c>
      <c r="C92" s="202" t="s">
        <v>1973</v>
      </c>
      <c r="D92" s="203" t="s">
        <v>776</v>
      </c>
      <c r="E92" s="214">
        <v>1.32</v>
      </c>
      <c r="F92" s="205">
        <v>140.0</v>
      </c>
      <c r="G92" s="205">
        <f t="shared" si="3"/>
        <v>184.8</v>
      </c>
      <c r="H92" s="242"/>
    </row>
    <row r="93" ht="12.75" customHeight="1" outlineLevel="2">
      <c r="A93" s="21"/>
      <c r="B93" s="189"/>
      <c r="C93" s="21"/>
      <c r="D93" s="21"/>
      <c r="E93" s="115"/>
      <c r="F93" s="241"/>
      <c r="G93" s="241"/>
      <c r="H93" s="227"/>
    </row>
    <row r="94" ht="12.75" customHeight="1" outlineLevel="2">
      <c r="A94" s="151" t="s">
        <v>1974</v>
      </c>
      <c r="B94" s="198">
        <v>3.4</v>
      </c>
      <c r="C94" s="243" t="s">
        <v>1975</v>
      </c>
      <c r="D94" s="21"/>
      <c r="E94" s="115"/>
      <c r="F94" s="241"/>
      <c r="G94" s="241"/>
      <c r="H94" s="227"/>
    </row>
    <row r="95" ht="12.75" customHeight="1" outlineLevel="3">
      <c r="A95" s="21"/>
      <c r="B95" s="189"/>
      <c r="C95" s="21"/>
      <c r="D95" s="21"/>
      <c r="E95" s="115"/>
      <c r="F95" s="241"/>
      <c r="G95" s="241"/>
      <c r="H95" s="227"/>
    </row>
    <row r="96" ht="12.75" customHeight="1" outlineLevel="3">
      <c r="A96" s="151" t="s">
        <v>1976</v>
      </c>
      <c r="B96" s="198" t="s">
        <v>1977</v>
      </c>
      <c r="C96" s="202" t="s">
        <v>1978</v>
      </c>
      <c r="D96" s="203" t="s">
        <v>776</v>
      </c>
      <c r="E96" s="214">
        <v>7.28</v>
      </c>
      <c r="F96" s="205">
        <v>160.0</v>
      </c>
      <c r="G96" s="206">
        <f t="shared" ref="G96:G97" si="4">F96*E96</f>
        <v>1164.8</v>
      </c>
      <c r="H96" s="227"/>
    </row>
    <row r="97" ht="12.75" customHeight="1" outlineLevel="3">
      <c r="A97" s="151" t="s">
        <v>1979</v>
      </c>
      <c r="B97" s="198" t="s">
        <v>1980</v>
      </c>
      <c r="C97" s="202" t="s">
        <v>1981</v>
      </c>
      <c r="D97" s="203" t="s">
        <v>776</v>
      </c>
      <c r="E97" s="214">
        <v>27.46</v>
      </c>
      <c r="F97" s="205">
        <v>160.0</v>
      </c>
      <c r="G97" s="206">
        <f t="shared" si="4"/>
        <v>4393.6</v>
      </c>
      <c r="H97" s="227"/>
    </row>
    <row r="98" ht="12.75" customHeight="1" outlineLevel="2">
      <c r="A98" s="21"/>
      <c r="B98" s="189"/>
      <c r="C98" s="21"/>
      <c r="D98" s="21"/>
      <c r="E98" s="115"/>
      <c r="F98" s="241"/>
      <c r="G98" s="241"/>
      <c r="H98" s="227"/>
    </row>
    <row r="99" ht="12.75" customHeight="1" outlineLevel="2">
      <c r="A99" s="151" t="s">
        <v>1974</v>
      </c>
      <c r="B99" s="198">
        <v>3.5</v>
      </c>
      <c r="C99" s="243" t="s">
        <v>1982</v>
      </c>
      <c r="D99" s="21"/>
      <c r="E99" s="115"/>
      <c r="F99" s="241"/>
      <c r="G99" s="241"/>
      <c r="H99" s="227"/>
    </row>
    <row r="100" ht="12.75" customHeight="1" outlineLevel="3">
      <c r="A100" s="21"/>
      <c r="B100" s="189"/>
      <c r="C100" s="21"/>
      <c r="D100" s="21"/>
      <c r="E100" s="115"/>
      <c r="F100" s="241"/>
      <c r="G100" s="241"/>
      <c r="H100" s="227"/>
    </row>
    <row r="101" ht="12.75" customHeight="1" outlineLevel="3">
      <c r="A101" s="151" t="s">
        <v>1983</v>
      </c>
      <c r="B101" s="198" t="s">
        <v>1984</v>
      </c>
      <c r="C101" s="202" t="s">
        <v>1985</v>
      </c>
      <c r="D101" s="203" t="s">
        <v>776</v>
      </c>
      <c r="E101" s="214">
        <v>52.37</v>
      </c>
      <c r="F101" s="205">
        <v>160.0</v>
      </c>
      <c r="G101" s="206">
        <f t="shared" ref="G101:G104" si="5">F101*E101</f>
        <v>8379.2</v>
      </c>
      <c r="H101" s="227"/>
    </row>
    <row r="102" ht="12.75" customHeight="1" outlineLevel="3">
      <c r="A102" s="151" t="s">
        <v>1986</v>
      </c>
      <c r="B102" s="198" t="s">
        <v>1987</v>
      </c>
      <c r="C102" s="202" t="s">
        <v>1988</v>
      </c>
      <c r="D102" s="203" t="s">
        <v>776</v>
      </c>
      <c r="E102" s="214">
        <v>60.12</v>
      </c>
      <c r="F102" s="205">
        <v>160.0</v>
      </c>
      <c r="G102" s="206">
        <f t="shared" si="5"/>
        <v>9619.2</v>
      </c>
      <c r="H102" s="227"/>
    </row>
    <row r="103" ht="12.75" customHeight="1" outlineLevel="3">
      <c r="A103" s="151" t="s">
        <v>1989</v>
      </c>
      <c r="B103" s="198" t="s">
        <v>1990</v>
      </c>
      <c r="C103" s="202" t="s">
        <v>1991</v>
      </c>
      <c r="D103" s="203" t="s">
        <v>776</v>
      </c>
      <c r="E103" s="214">
        <v>50.41</v>
      </c>
      <c r="F103" s="205">
        <v>160.0</v>
      </c>
      <c r="G103" s="206">
        <f t="shared" si="5"/>
        <v>8065.6</v>
      </c>
      <c r="H103" s="227"/>
    </row>
    <row r="104" ht="12.75" customHeight="1" outlineLevel="3">
      <c r="A104" s="151" t="s">
        <v>1992</v>
      </c>
      <c r="B104" s="198" t="s">
        <v>1993</v>
      </c>
      <c r="C104" s="202" t="s">
        <v>1994</v>
      </c>
      <c r="D104" s="203" t="s">
        <v>776</v>
      </c>
      <c r="E104" s="214">
        <v>1.91</v>
      </c>
      <c r="F104" s="205">
        <v>160.0</v>
      </c>
      <c r="G104" s="206">
        <f t="shared" si="5"/>
        <v>305.6</v>
      </c>
      <c r="H104" s="227"/>
    </row>
    <row r="105" ht="12.75" customHeight="1" outlineLevel="2">
      <c r="A105" s="21"/>
      <c r="B105" s="189"/>
      <c r="C105" s="21"/>
      <c r="D105" s="21"/>
      <c r="E105" s="115"/>
      <c r="F105" s="241"/>
      <c r="G105" s="241"/>
      <c r="H105" s="227"/>
    </row>
    <row r="106" ht="12.75" customHeight="1" outlineLevel="2">
      <c r="A106" s="151" t="s">
        <v>1995</v>
      </c>
      <c r="B106" s="244">
        <v>3.6</v>
      </c>
      <c r="C106" s="245" t="s">
        <v>1996</v>
      </c>
      <c r="D106" s="21"/>
      <c r="E106" s="115"/>
      <c r="F106" s="241"/>
      <c r="G106" s="241"/>
      <c r="H106" s="227"/>
    </row>
    <row r="107" ht="12.75" customHeight="1" outlineLevel="3">
      <c r="A107" s="151"/>
      <c r="B107" s="230"/>
      <c r="C107" s="246"/>
      <c r="D107" s="230"/>
      <c r="E107" s="170"/>
      <c r="F107" s="239"/>
      <c r="G107" s="239"/>
      <c r="H107" s="227"/>
    </row>
    <row r="108" ht="12.75" customHeight="1" outlineLevel="3">
      <c r="A108" s="151" t="s">
        <v>1997</v>
      </c>
      <c r="B108" s="198" t="s">
        <v>1998</v>
      </c>
      <c r="C108" s="202" t="s">
        <v>1981</v>
      </c>
      <c r="D108" s="203" t="s">
        <v>776</v>
      </c>
      <c r="E108" s="214">
        <v>30.26</v>
      </c>
      <c r="F108" s="205">
        <v>160.0</v>
      </c>
      <c r="G108" s="206">
        <f t="shared" ref="G108:G111" si="6">F108*E108</f>
        <v>4841.6</v>
      </c>
      <c r="H108" s="227"/>
    </row>
    <row r="109" ht="12.75" customHeight="1" outlineLevel="3">
      <c r="A109" s="151" t="s">
        <v>1999</v>
      </c>
      <c r="B109" s="198" t="s">
        <v>2000</v>
      </c>
      <c r="C109" s="202" t="s">
        <v>2001</v>
      </c>
      <c r="D109" s="203" t="s">
        <v>776</v>
      </c>
      <c r="E109" s="214">
        <v>21.41</v>
      </c>
      <c r="F109" s="205">
        <v>160.0</v>
      </c>
      <c r="G109" s="206">
        <f t="shared" si="6"/>
        <v>3425.6</v>
      </c>
      <c r="H109" s="227"/>
    </row>
    <row r="110" ht="12.75" customHeight="1" outlineLevel="3">
      <c r="A110" s="151" t="s">
        <v>2002</v>
      </c>
      <c r="B110" s="198" t="s">
        <v>2003</v>
      </c>
      <c r="C110" s="202" t="s">
        <v>2004</v>
      </c>
      <c r="D110" s="203" t="s">
        <v>776</v>
      </c>
      <c r="E110" s="214">
        <v>3.06</v>
      </c>
      <c r="F110" s="205">
        <v>160.0</v>
      </c>
      <c r="G110" s="206">
        <f t="shared" si="6"/>
        <v>489.6</v>
      </c>
      <c r="H110" s="227"/>
    </row>
    <row r="111" ht="12.75" customHeight="1" outlineLevel="3">
      <c r="A111" s="151" t="s">
        <v>2005</v>
      </c>
      <c r="B111" s="198" t="s">
        <v>2006</v>
      </c>
      <c r="C111" s="202" t="s">
        <v>2007</v>
      </c>
      <c r="D111" s="203" t="s">
        <v>776</v>
      </c>
      <c r="E111" s="214">
        <v>1.18</v>
      </c>
      <c r="F111" s="205">
        <v>160.0</v>
      </c>
      <c r="G111" s="206">
        <f t="shared" si="6"/>
        <v>188.8</v>
      </c>
      <c r="H111" s="227"/>
    </row>
    <row r="112" ht="12.75" customHeight="1" outlineLevel="2">
      <c r="A112" s="21"/>
      <c r="B112" s="189"/>
      <c r="C112" s="21"/>
      <c r="D112" s="21"/>
      <c r="E112" s="115"/>
      <c r="F112" s="241"/>
      <c r="G112" s="241"/>
      <c r="H112" s="227"/>
    </row>
    <row r="113" ht="12.75" customHeight="1" outlineLevel="1">
      <c r="A113" s="151"/>
      <c r="B113" s="230"/>
      <c r="C113" s="237" t="s">
        <v>2008</v>
      </c>
      <c r="D113" s="21"/>
      <c r="E113" s="115"/>
      <c r="F113" s="241"/>
      <c r="G113" s="241"/>
      <c r="H113" s="227"/>
    </row>
    <row r="114" ht="12.75" customHeight="1" outlineLevel="2">
      <c r="A114" s="151"/>
      <c r="B114" s="230"/>
      <c r="C114" s="246"/>
      <c r="D114" s="21"/>
      <c r="E114" s="115"/>
      <c r="F114" s="241"/>
      <c r="G114" s="241"/>
      <c r="H114" s="227"/>
    </row>
    <row r="115" ht="12.75" customHeight="1" outlineLevel="2">
      <c r="A115" s="151" t="s">
        <v>2009</v>
      </c>
      <c r="B115" s="244">
        <v>3.7</v>
      </c>
      <c r="C115" s="245" t="s">
        <v>2010</v>
      </c>
      <c r="D115" s="21"/>
      <c r="E115" s="115"/>
      <c r="F115" s="241"/>
      <c r="G115" s="241"/>
      <c r="H115" s="227"/>
    </row>
    <row r="116" ht="12.75" customHeight="1" outlineLevel="3">
      <c r="A116" s="21"/>
      <c r="B116" s="189"/>
      <c r="C116" s="21"/>
      <c r="D116" s="21"/>
      <c r="E116" s="115"/>
      <c r="F116" s="241"/>
      <c r="G116" s="241"/>
      <c r="H116" s="227"/>
    </row>
    <row r="117" ht="12.75" customHeight="1" outlineLevel="3">
      <c r="A117" s="151" t="s">
        <v>71</v>
      </c>
      <c r="B117" s="244" t="s">
        <v>2011</v>
      </c>
      <c r="C117" s="245" t="s">
        <v>2012</v>
      </c>
      <c r="D117" s="21"/>
      <c r="E117" s="115"/>
      <c r="F117" s="241"/>
      <c r="G117" s="241"/>
      <c r="H117" s="227"/>
    </row>
    <row r="118" ht="12.75" customHeight="1" outlineLevel="3">
      <c r="A118" s="21"/>
      <c r="B118" s="198" t="s">
        <v>2013</v>
      </c>
      <c r="C118" s="202" t="s">
        <v>826</v>
      </c>
      <c r="D118" s="203" t="s">
        <v>827</v>
      </c>
      <c r="E118" s="214">
        <v>421.74</v>
      </c>
      <c r="F118" s="205">
        <v>1.9</v>
      </c>
      <c r="G118" s="206">
        <f>F118*E118</f>
        <v>801.306</v>
      </c>
      <c r="H118" s="227"/>
    </row>
    <row r="119" ht="12.75" customHeight="1" outlineLevel="3">
      <c r="A119" s="151"/>
      <c r="B119" s="189"/>
      <c r="C119" s="152"/>
      <c r="D119" s="21"/>
      <c r="E119" s="115"/>
      <c r="F119" s="241"/>
      <c r="G119" s="241"/>
      <c r="H119" s="227"/>
    </row>
    <row r="120" ht="12.75" customHeight="1" outlineLevel="3">
      <c r="A120" s="151" t="s">
        <v>82</v>
      </c>
      <c r="B120" s="244" t="s">
        <v>2014</v>
      </c>
      <c r="C120" s="245" t="s">
        <v>2015</v>
      </c>
      <c r="D120" s="21"/>
      <c r="E120" s="115"/>
      <c r="F120" s="241"/>
      <c r="G120" s="241"/>
      <c r="H120" s="227"/>
    </row>
    <row r="121" ht="12.75" customHeight="1" outlineLevel="3">
      <c r="A121" s="21"/>
      <c r="B121" s="198" t="s">
        <v>2016</v>
      </c>
      <c r="C121" s="202" t="s">
        <v>829</v>
      </c>
      <c r="D121" s="203" t="s">
        <v>827</v>
      </c>
      <c r="E121" s="214">
        <v>1572.83</v>
      </c>
      <c r="F121" s="205">
        <v>1.9</v>
      </c>
      <c r="G121" s="206">
        <f t="shared" ref="G121:G122" si="7">F121*E121</f>
        <v>2988.377</v>
      </c>
      <c r="H121" s="227"/>
    </row>
    <row r="122" ht="12.75" customHeight="1" outlineLevel="3">
      <c r="A122" s="21"/>
      <c r="B122" s="198" t="s">
        <v>2017</v>
      </c>
      <c r="C122" s="202" t="s">
        <v>826</v>
      </c>
      <c r="D122" s="203" t="s">
        <v>827</v>
      </c>
      <c r="E122" s="214">
        <v>3799.07</v>
      </c>
      <c r="F122" s="205">
        <v>1.9</v>
      </c>
      <c r="G122" s="206">
        <f t="shared" si="7"/>
        <v>7218.233</v>
      </c>
      <c r="H122" s="227"/>
    </row>
    <row r="123" ht="12.75" customHeight="1" outlineLevel="3">
      <c r="A123" s="151"/>
      <c r="B123" s="189"/>
      <c r="C123" s="152"/>
      <c r="D123" s="21"/>
      <c r="E123" s="115"/>
      <c r="F123" s="241"/>
      <c r="G123" s="241"/>
      <c r="H123" s="227"/>
    </row>
    <row r="124" ht="12.75" customHeight="1" outlineLevel="3">
      <c r="A124" s="151" t="s">
        <v>830</v>
      </c>
      <c r="B124" s="244" t="s">
        <v>2018</v>
      </c>
      <c r="C124" s="245" t="s">
        <v>2019</v>
      </c>
      <c r="D124" s="21"/>
      <c r="E124" s="115"/>
      <c r="F124" s="241"/>
      <c r="G124" s="241"/>
      <c r="H124" s="227"/>
    </row>
    <row r="125" ht="12.75" customHeight="1" outlineLevel="3">
      <c r="A125" s="21"/>
      <c r="B125" s="198" t="s">
        <v>2020</v>
      </c>
      <c r="C125" s="202" t="s">
        <v>826</v>
      </c>
      <c r="D125" s="203" t="s">
        <v>827</v>
      </c>
      <c r="E125" s="214">
        <v>289.81</v>
      </c>
      <c r="F125" s="205">
        <v>1.9</v>
      </c>
      <c r="G125" s="206">
        <f t="shared" ref="G125:G126" si="8">F125*E125</f>
        <v>550.639</v>
      </c>
      <c r="H125" s="227"/>
    </row>
    <row r="126" ht="12.75" customHeight="1" outlineLevel="3">
      <c r="A126" s="21"/>
      <c r="B126" s="198" t="s">
        <v>2021</v>
      </c>
      <c r="C126" s="202" t="s">
        <v>832</v>
      </c>
      <c r="D126" s="203" t="s">
        <v>827</v>
      </c>
      <c r="E126" s="214">
        <v>412.85</v>
      </c>
      <c r="F126" s="205">
        <v>1.9</v>
      </c>
      <c r="G126" s="206">
        <f t="shared" si="8"/>
        <v>784.415</v>
      </c>
      <c r="H126" s="227"/>
    </row>
    <row r="127" ht="12.75" customHeight="1" outlineLevel="3">
      <c r="A127" s="21"/>
      <c r="B127" s="189"/>
      <c r="C127" s="21"/>
      <c r="D127" s="21"/>
      <c r="E127" s="115"/>
      <c r="F127" s="241"/>
      <c r="G127" s="241"/>
      <c r="H127" s="227"/>
    </row>
    <row r="128" ht="12.75" customHeight="1" outlineLevel="3">
      <c r="A128" s="151" t="s">
        <v>833</v>
      </c>
      <c r="B128" s="244" t="s">
        <v>2022</v>
      </c>
      <c r="C128" s="245" t="s">
        <v>2023</v>
      </c>
      <c r="D128" s="21"/>
      <c r="E128" s="115"/>
      <c r="F128" s="241"/>
      <c r="G128" s="241"/>
      <c r="H128" s="227"/>
    </row>
    <row r="129" ht="12.75" customHeight="1" outlineLevel="3">
      <c r="A129" s="21"/>
      <c r="B129" s="198" t="s">
        <v>2024</v>
      </c>
      <c r="C129" s="202" t="s">
        <v>829</v>
      </c>
      <c r="D129" s="203" t="s">
        <v>827</v>
      </c>
      <c r="E129" s="214">
        <v>651.95</v>
      </c>
      <c r="F129" s="205">
        <v>1.9</v>
      </c>
      <c r="G129" s="206">
        <f t="shared" ref="G129:G132" si="9">F129*E129</f>
        <v>1238.705</v>
      </c>
      <c r="H129" s="227"/>
    </row>
    <row r="130" ht="12.75" customHeight="1" outlineLevel="3">
      <c r="A130" s="21"/>
      <c r="B130" s="198" t="s">
        <v>2025</v>
      </c>
      <c r="C130" s="202" t="s">
        <v>826</v>
      </c>
      <c r="D130" s="203" t="s">
        <v>827</v>
      </c>
      <c r="E130" s="214">
        <v>132.8</v>
      </c>
      <c r="F130" s="205">
        <v>1.9</v>
      </c>
      <c r="G130" s="206">
        <f t="shared" si="9"/>
        <v>252.32</v>
      </c>
      <c r="H130" s="227"/>
    </row>
    <row r="131" ht="12.75" customHeight="1" outlineLevel="3">
      <c r="A131" s="21"/>
      <c r="B131" s="198" t="s">
        <v>2026</v>
      </c>
      <c r="C131" s="202" t="s">
        <v>832</v>
      </c>
      <c r="D131" s="203" t="s">
        <v>827</v>
      </c>
      <c r="E131" s="214">
        <v>477.82</v>
      </c>
      <c r="F131" s="205">
        <v>1.9</v>
      </c>
      <c r="G131" s="206">
        <f t="shared" si="9"/>
        <v>907.858</v>
      </c>
      <c r="H131" s="227"/>
    </row>
    <row r="132" ht="12.75" customHeight="1" outlineLevel="3">
      <c r="A132" s="21"/>
      <c r="B132" s="198" t="s">
        <v>2027</v>
      </c>
      <c r="C132" s="202" t="s">
        <v>835</v>
      </c>
      <c r="D132" s="203" t="s">
        <v>827</v>
      </c>
      <c r="E132" s="214">
        <v>1878.6</v>
      </c>
      <c r="F132" s="205">
        <v>1.9</v>
      </c>
      <c r="G132" s="206">
        <f t="shared" si="9"/>
        <v>3569.34</v>
      </c>
      <c r="H132" s="227"/>
    </row>
    <row r="133" ht="12.75" customHeight="1" outlineLevel="3">
      <c r="A133" s="21"/>
      <c r="B133" s="189"/>
      <c r="C133" s="21"/>
      <c r="D133" s="21"/>
      <c r="E133" s="115"/>
      <c r="F133" s="241"/>
      <c r="G133" s="241"/>
      <c r="H133" s="227"/>
    </row>
    <row r="134" ht="12.75" customHeight="1" outlineLevel="3">
      <c r="A134" s="151" t="s">
        <v>836</v>
      </c>
      <c r="B134" s="244" t="s">
        <v>2028</v>
      </c>
      <c r="C134" s="245" t="s">
        <v>2029</v>
      </c>
      <c r="D134" s="21"/>
      <c r="E134" s="115"/>
      <c r="F134" s="241"/>
      <c r="G134" s="241"/>
      <c r="H134" s="227"/>
    </row>
    <row r="135" ht="12.75" customHeight="1" outlineLevel="3">
      <c r="A135" s="21"/>
      <c r="B135" s="198" t="s">
        <v>2030</v>
      </c>
      <c r="C135" s="202" t="s">
        <v>829</v>
      </c>
      <c r="D135" s="203" t="s">
        <v>827</v>
      </c>
      <c r="E135" s="214">
        <v>861.38</v>
      </c>
      <c r="F135" s="205">
        <v>1.9</v>
      </c>
      <c r="G135" s="206">
        <f t="shared" ref="G135:G137" si="10">F135*E135</f>
        <v>1636.622</v>
      </c>
      <c r="H135" s="227"/>
    </row>
    <row r="136" ht="12.75" customHeight="1" outlineLevel="3">
      <c r="A136" s="21"/>
      <c r="B136" s="198" t="s">
        <v>2031</v>
      </c>
      <c r="C136" s="202" t="s">
        <v>826</v>
      </c>
      <c r="D136" s="203" t="s">
        <v>827</v>
      </c>
      <c r="E136" s="214">
        <v>4610.89</v>
      </c>
      <c r="F136" s="205">
        <v>1.9</v>
      </c>
      <c r="G136" s="206">
        <f t="shared" si="10"/>
        <v>8760.691</v>
      </c>
      <c r="H136" s="227"/>
    </row>
    <row r="137" ht="12.75" customHeight="1" outlineLevel="3">
      <c r="A137" s="21"/>
      <c r="B137" s="198" t="s">
        <v>2032</v>
      </c>
      <c r="C137" s="202" t="s">
        <v>832</v>
      </c>
      <c r="D137" s="203" t="s">
        <v>827</v>
      </c>
      <c r="E137" s="214">
        <v>12447.9</v>
      </c>
      <c r="F137" s="205">
        <v>1.9</v>
      </c>
      <c r="G137" s="206">
        <f t="shared" si="10"/>
        <v>23651.01</v>
      </c>
      <c r="H137" s="227"/>
    </row>
    <row r="138" ht="12.75" customHeight="1" outlineLevel="3">
      <c r="A138" s="21"/>
      <c r="B138" s="189"/>
      <c r="C138" s="21"/>
      <c r="D138" s="21"/>
      <c r="E138" s="115"/>
      <c r="F138" s="241"/>
      <c r="G138" s="241"/>
      <c r="H138" s="227"/>
    </row>
    <row r="139" ht="12.75" customHeight="1" outlineLevel="3">
      <c r="A139" s="151" t="s">
        <v>838</v>
      </c>
      <c r="B139" s="244" t="s">
        <v>2033</v>
      </c>
      <c r="C139" s="245" t="s">
        <v>2034</v>
      </c>
      <c r="D139" s="21"/>
      <c r="E139" s="115"/>
      <c r="F139" s="241"/>
      <c r="G139" s="241"/>
      <c r="H139" s="227"/>
    </row>
    <row r="140" ht="12.75" customHeight="1" outlineLevel="3">
      <c r="A140" s="21"/>
      <c r="B140" s="198" t="s">
        <v>2035</v>
      </c>
      <c r="C140" s="202" t="s">
        <v>829</v>
      </c>
      <c r="D140" s="203" t="s">
        <v>827</v>
      </c>
      <c r="E140" s="214">
        <v>873.77</v>
      </c>
      <c r="F140" s="205">
        <v>1.9</v>
      </c>
      <c r="G140" s="206">
        <f t="shared" ref="G140:G142" si="11">F140*E140</f>
        <v>1660.163</v>
      </c>
      <c r="H140" s="227"/>
    </row>
    <row r="141" ht="12.75" customHeight="1" outlineLevel="3">
      <c r="A141" s="21"/>
      <c r="B141" s="198" t="s">
        <v>2036</v>
      </c>
      <c r="C141" s="202" t="s">
        <v>832</v>
      </c>
      <c r="D141" s="203" t="s">
        <v>827</v>
      </c>
      <c r="E141" s="214">
        <v>1173.14</v>
      </c>
      <c r="F141" s="205">
        <v>1.9</v>
      </c>
      <c r="G141" s="206">
        <f t="shared" si="11"/>
        <v>2228.966</v>
      </c>
      <c r="H141" s="227"/>
    </row>
    <row r="142" ht="12.75" customHeight="1" outlineLevel="3">
      <c r="A142" s="21"/>
      <c r="B142" s="198" t="s">
        <v>2037</v>
      </c>
      <c r="C142" s="202" t="s">
        <v>835</v>
      </c>
      <c r="D142" s="203" t="s">
        <v>827</v>
      </c>
      <c r="E142" s="214">
        <v>851.86</v>
      </c>
      <c r="F142" s="205">
        <v>1.9</v>
      </c>
      <c r="G142" s="206">
        <f t="shared" si="11"/>
        <v>1618.534</v>
      </c>
      <c r="H142" s="227"/>
    </row>
    <row r="143" ht="12.75" customHeight="1" outlineLevel="3">
      <c r="A143" s="21"/>
      <c r="B143" s="189"/>
      <c r="C143" s="21"/>
      <c r="D143" s="21"/>
      <c r="E143" s="115"/>
      <c r="F143" s="241"/>
      <c r="G143" s="241"/>
      <c r="H143" s="227"/>
    </row>
    <row r="144" ht="12.75" customHeight="1" outlineLevel="3">
      <c r="A144" s="151" t="s">
        <v>840</v>
      </c>
      <c r="B144" s="244" t="s">
        <v>2038</v>
      </c>
      <c r="C144" s="245" t="s">
        <v>2039</v>
      </c>
      <c r="D144" s="21"/>
      <c r="E144" s="115"/>
      <c r="F144" s="241"/>
      <c r="G144" s="241"/>
      <c r="H144" s="227"/>
    </row>
    <row r="145" ht="12.75" customHeight="1" outlineLevel="3">
      <c r="A145" s="21"/>
      <c r="B145" s="198" t="s">
        <v>2040</v>
      </c>
      <c r="C145" s="202" t="s">
        <v>829</v>
      </c>
      <c r="D145" s="203" t="s">
        <v>827</v>
      </c>
      <c r="E145" s="214">
        <v>2505.02</v>
      </c>
      <c r="F145" s="205">
        <v>1.9</v>
      </c>
      <c r="G145" s="206">
        <f t="shared" ref="G145:G148" si="12">F145*E145</f>
        <v>4759.538</v>
      </c>
      <c r="H145" s="227"/>
    </row>
    <row r="146" ht="12.75" customHeight="1" outlineLevel="3">
      <c r="A146" s="21"/>
      <c r="B146" s="198" t="s">
        <v>2041</v>
      </c>
      <c r="C146" s="202" t="s">
        <v>826</v>
      </c>
      <c r="D146" s="203" t="s">
        <v>827</v>
      </c>
      <c r="E146" s="214">
        <v>113.14</v>
      </c>
      <c r="F146" s="205">
        <v>1.9</v>
      </c>
      <c r="G146" s="206">
        <f t="shared" si="12"/>
        <v>214.966</v>
      </c>
      <c r="H146" s="227"/>
    </row>
    <row r="147" ht="12.75" customHeight="1" outlineLevel="3">
      <c r="A147" s="21"/>
      <c r="B147" s="198" t="s">
        <v>2042</v>
      </c>
      <c r="C147" s="202" t="s">
        <v>832</v>
      </c>
      <c r="D147" s="203" t="s">
        <v>827</v>
      </c>
      <c r="E147" s="214">
        <v>145.88</v>
      </c>
      <c r="F147" s="205">
        <v>1.9</v>
      </c>
      <c r="G147" s="206">
        <f t="shared" si="12"/>
        <v>277.172</v>
      </c>
      <c r="H147" s="227"/>
    </row>
    <row r="148" ht="12.75" customHeight="1" outlineLevel="3">
      <c r="A148" s="21"/>
      <c r="B148" s="198" t="s">
        <v>2043</v>
      </c>
      <c r="C148" s="202" t="s">
        <v>835</v>
      </c>
      <c r="D148" s="203" t="s">
        <v>827</v>
      </c>
      <c r="E148" s="214">
        <v>6059.68</v>
      </c>
      <c r="F148" s="205">
        <v>1.9</v>
      </c>
      <c r="G148" s="206">
        <f t="shared" si="12"/>
        <v>11513.392</v>
      </c>
      <c r="H148" s="227"/>
    </row>
    <row r="149" ht="12.75" customHeight="1" outlineLevel="3">
      <c r="A149" s="21"/>
      <c r="B149" s="189"/>
      <c r="C149" s="21"/>
      <c r="D149" s="21"/>
      <c r="E149" s="115"/>
      <c r="F149" s="241"/>
      <c r="G149" s="241"/>
      <c r="H149" s="227"/>
    </row>
    <row r="150" ht="12.75" customHeight="1" outlineLevel="3">
      <c r="A150" s="151" t="s">
        <v>842</v>
      </c>
      <c r="B150" s="244" t="s">
        <v>2044</v>
      </c>
      <c r="C150" s="245" t="s">
        <v>2045</v>
      </c>
      <c r="D150" s="21"/>
      <c r="E150" s="115"/>
      <c r="F150" s="241"/>
      <c r="G150" s="241"/>
      <c r="H150" s="227"/>
    </row>
    <row r="151" ht="12.75" customHeight="1" outlineLevel="3">
      <c r="A151" s="21"/>
      <c r="B151" s="198" t="s">
        <v>2046</v>
      </c>
      <c r="C151" s="202" t="s">
        <v>826</v>
      </c>
      <c r="D151" s="203" t="s">
        <v>827</v>
      </c>
      <c r="E151" s="214">
        <v>3007.17</v>
      </c>
      <c r="F151" s="205">
        <v>1.9</v>
      </c>
      <c r="G151" s="206">
        <f t="shared" ref="G151:G152" si="13">F151*E151</f>
        <v>5713.623</v>
      </c>
      <c r="H151" s="227"/>
    </row>
    <row r="152" ht="12.75" customHeight="1" outlineLevel="3">
      <c r="A152" s="21"/>
      <c r="B152" s="198" t="s">
        <v>2047</v>
      </c>
      <c r="C152" s="202" t="s">
        <v>832</v>
      </c>
      <c r="D152" s="203" t="s">
        <v>827</v>
      </c>
      <c r="E152" s="214">
        <v>14406.06</v>
      </c>
      <c r="F152" s="205">
        <v>1.9</v>
      </c>
      <c r="G152" s="206">
        <f t="shared" si="13"/>
        <v>27371.514</v>
      </c>
      <c r="H152" s="227"/>
    </row>
    <row r="153" ht="12.75" customHeight="1" outlineLevel="3">
      <c r="A153" s="21"/>
      <c r="B153" s="189"/>
      <c r="C153" s="21"/>
      <c r="D153" s="21"/>
      <c r="E153" s="115"/>
      <c r="F153" s="241"/>
      <c r="G153" s="241"/>
      <c r="H153" s="227"/>
    </row>
    <row r="154" ht="12.75" customHeight="1" outlineLevel="3">
      <c r="A154" s="151" t="s">
        <v>844</v>
      </c>
      <c r="B154" s="244" t="s">
        <v>2048</v>
      </c>
      <c r="C154" s="245" t="s">
        <v>2049</v>
      </c>
      <c r="D154" s="21"/>
      <c r="E154" s="115"/>
      <c r="F154" s="241"/>
      <c r="G154" s="241"/>
      <c r="H154" s="227"/>
    </row>
    <row r="155" ht="12.75" customHeight="1" outlineLevel="3">
      <c r="A155" s="21"/>
      <c r="B155" s="198" t="s">
        <v>2050</v>
      </c>
      <c r="C155" s="202" t="s">
        <v>826</v>
      </c>
      <c r="D155" s="203" t="s">
        <v>827</v>
      </c>
      <c r="E155" s="214">
        <v>601.06</v>
      </c>
      <c r="F155" s="205">
        <v>1.9</v>
      </c>
      <c r="G155" s="206">
        <f>F155*E155</f>
        <v>1142.014</v>
      </c>
      <c r="H155" s="227"/>
    </row>
    <row r="156" ht="12.75" customHeight="1" outlineLevel="3">
      <c r="A156" s="21"/>
      <c r="B156" s="189"/>
      <c r="C156" s="21"/>
      <c r="D156" s="21"/>
      <c r="E156" s="115"/>
      <c r="F156" s="241"/>
      <c r="G156" s="241"/>
      <c r="H156" s="227"/>
    </row>
    <row r="157" ht="12.75" customHeight="1" outlineLevel="3">
      <c r="A157" s="151" t="s">
        <v>846</v>
      </c>
      <c r="B157" s="244" t="s">
        <v>2051</v>
      </c>
      <c r="C157" s="245" t="s">
        <v>2052</v>
      </c>
      <c r="D157" s="21"/>
      <c r="E157" s="115"/>
      <c r="F157" s="241"/>
      <c r="G157" s="241"/>
      <c r="H157" s="227"/>
    </row>
    <row r="158" ht="12.75" customHeight="1" outlineLevel="3">
      <c r="A158" s="21"/>
      <c r="B158" s="198" t="s">
        <v>2053</v>
      </c>
      <c r="C158" s="202" t="s">
        <v>829</v>
      </c>
      <c r="D158" s="203" t="s">
        <v>827</v>
      </c>
      <c r="E158" s="214">
        <v>977.88</v>
      </c>
      <c r="F158" s="205">
        <v>1.9</v>
      </c>
      <c r="G158" s="206">
        <f t="shared" ref="G158:G160" si="14">F158*E158</f>
        <v>1857.972</v>
      </c>
      <c r="H158" s="227"/>
    </row>
    <row r="159" ht="12.75" customHeight="1" outlineLevel="3">
      <c r="A159" s="21"/>
      <c r="B159" s="198" t="s">
        <v>2054</v>
      </c>
      <c r="C159" s="202" t="s">
        <v>826</v>
      </c>
      <c r="D159" s="203" t="s">
        <v>827</v>
      </c>
      <c r="E159" s="214">
        <v>2445.29</v>
      </c>
      <c r="F159" s="205">
        <v>1.9</v>
      </c>
      <c r="G159" s="206">
        <f t="shared" si="14"/>
        <v>4646.051</v>
      </c>
      <c r="H159" s="227"/>
    </row>
    <row r="160" ht="12.75" customHeight="1" outlineLevel="3">
      <c r="A160" s="21"/>
      <c r="B160" s="198" t="s">
        <v>2055</v>
      </c>
      <c r="C160" s="202" t="s">
        <v>832</v>
      </c>
      <c r="D160" s="203" t="s">
        <v>827</v>
      </c>
      <c r="E160" s="214">
        <v>4767.93</v>
      </c>
      <c r="F160" s="205">
        <v>1.9</v>
      </c>
      <c r="G160" s="206">
        <f t="shared" si="14"/>
        <v>9059.067</v>
      </c>
      <c r="H160" s="227"/>
    </row>
    <row r="161" ht="12.75" customHeight="1" outlineLevel="3">
      <c r="A161" s="21"/>
      <c r="B161" s="189"/>
      <c r="C161" s="21"/>
      <c r="D161" s="21"/>
      <c r="E161" s="115"/>
      <c r="F161" s="241"/>
      <c r="G161" s="241"/>
      <c r="H161" s="227"/>
    </row>
    <row r="162" ht="12.75" customHeight="1" outlineLevel="3">
      <c r="A162" s="151" t="s">
        <v>848</v>
      </c>
      <c r="B162" s="244" t="s">
        <v>2056</v>
      </c>
      <c r="C162" s="245" t="s">
        <v>2057</v>
      </c>
      <c r="D162" s="21"/>
      <c r="E162" s="115"/>
      <c r="F162" s="241"/>
      <c r="G162" s="241"/>
      <c r="H162" s="227"/>
    </row>
    <row r="163" ht="12.75" customHeight="1" outlineLevel="3">
      <c r="A163" s="21"/>
      <c r="B163" s="198" t="s">
        <v>2058</v>
      </c>
      <c r="C163" s="202" t="s">
        <v>829</v>
      </c>
      <c r="D163" s="203" t="s">
        <v>827</v>
      </c>
      <c r="E163" s="214">
        <v>539.19</v>
      </c>
      <c r="F163" s="205">
        <v>1.9</v>
      </c>
      <c r="G163" s="206">
        <f t="shared" ref="G163:G164" si="15">F163*E163</f>
        <v>1024.461</v>
      </c>
      <c r="H163" s="227"/>
    </row>
    <row r="164" ht="12.75" customHeight="1" outlineLevel="3">
      <c r="A164" s="21"/>
      <c r="B164" s="198" t="s">
        <v>2059</v>
      </c>
      <c r="C164" s="202" t="s">
        <v>832</v>
      </c>
      <c r="D164" s="203" t="s">
        <v>827</v>
      </c>
      <c r="E164" s="214">
        <v>44.55</v>
      </c>
      <c r="F164" s="205">
        <v>1.9</v>
      </c>
      <c r="G164" s="206">
        <f t="shared" si="15"/>
        <v>84.645</v>
      </c>
      <c r="H164" s="227"/>
    </row>
    <row r="165" ht="12.75" customHeight="1" outlineLevel="2">
      <c r="A165" s="21"/>
      <c r="B165" s="189"/>
      <c r="C165" s="21"/>
      <c r="D165" s="21"/>
      <c r="E165" s="115"/>
      <c r="F165" s="241"/>
      <c r="G165" s="241"/>
      <c r="H165" s="227"/>
    </row>
    <row r="166" ht="12.75" customHeight="1" outlineLevel="1">
      <c r="A166" s="151"/>
      <c r="B166" s="230"/>
      <c r="C166" s="237" t="s">
        <v>2060</v>
      </c>
      <c r="D166" s="21"/>
      <c r="E166" s="115"/>
      <c r="F166" s="241"/>
      <c r="G166" s="241"/>
      <c r="H166" s="227"/>
    </row>
    <row r="167" ht="12.75" customHeight="1" outlineLevel="2">
      <c r="A167" s="151"/>
      <c r="B167" s="230"/>
      <c r="C167" s="246"/>
      <c r="D167" s="21"/>
      <c r="E167" s="115"/>
      <c r="F167" s="241"/>
      <c r="G167" s="241"/>
      <c r="H167" s="227"/>
    </row>
    <row r="168" ht="12.75" customHeight="1" outlineLevel="2">
      <c r="A168" s="151" t="s">
        <v>96</v>
      </c>
      <c r="B168" s="244">
        <v>3.8</v>
      </c>
      <c r="C168" s="245" t="s">
        <v>2061</v>
      </c>
      <c r="D168" s="21"/>
      <c r="E168" s="115"/>
      <c r="F168" s="241"/>
      <c r="G168" s="241"/>
      <c r="H168" s="227"/>
    </row>
    <row r="169" ht="12.75" customHeight="1" outlineLevel="3">
      <c r="A169" s="21"/>
      <c r="B169" s="189"/>
      <c r="C169" s="21"/>
      <c r="D169" s="21"/>
      <c r="E169" s="115"/>
      <c r="F169" s="241"/>
      <c r="G169" s="241"/>
      <c r="H169" s="227"/>
    </row>
    <row r="170" ht="12.75" customHeight="1" outlineLevel="3">
      <c r="A170" s="151" t="s">
        <v>98</v>
      </c>
      <c r="B170" s="198" t="s">
        <v>2062</v>
      </c>
      <c r="C170" s="202" t="s">
        <v>1954</v>
      </c>
      <c r="D170" s="203" t="s">
        <v>40</v>
      </c>
      <c r="E170" s="214">
        <v>166.13</v>
      </c>
      <c r="F170" s="205">
        <v>50.0</v>
      </c>
      <c r="G170" s="206">
        <f t="shared" ref="G170:G179" si="16">F170*E170</f>
        <v>8306.5</v>
      </c>
      <c r="H170" s="227"/>
    </row>
    <row r="171" ht="12.75" customHeight="1" outlineLevel="3">
      <c r="A171" s="151" t="s">
        <v>853</v>
      </c>
      <c r="B171" s="198" t="s">
        <v>2063</v>
      </c>
      <c r="C171" s="202" t="s">
        <v>2012</v>
      </c>
      <c r="D171" s="203" t="s">
        <v>40</v>
      </c>
      <c r="E171" s="214">
        <v>17.75</v>
      </c>
      <c r="F171" s="205">
        <v>50.0</v>
      </c>
      <c r="G171" s="206">
        <f t="shared" si="16"/>
        <v>887.5</v>
      </c>
      <c r="H171" s="227"/>
    </row>
    <row r="172" ht="12.75" customHeight="1" outlineLevel="3">
      <c r="A172" s="151" t="s">
        <v>854</v>
      </c>
      <c r="B172" s="198" t="s">
        <v>2064</v>
      </c>
      <c r="C172" s="202" t="s">
        <v>2065</v>
      </c>
      <c r="D172" s="203" t="s">
        <v>40</v>
      </c>
      <c r="E172" s="214">
        <v>188.65</v>
      </c>
      <c r="F172" s="205">
        <v>50.0</v>
      </c>
      <c r="G172" s="206">
        <f t="shared" si="16"/>
        <v>9432.5</v>
      </c>
      <c r="H172" s="227"/>
    </row>
    <row r="173" ht="12.75" customHeight="1" outlineLevel="3">
      <c r="A173" s="151" t="s">
        <v>856</v>
      </c>
      <c r="B173" s="198" t="s">
        <v>2066</v>
      </c>
      <c r="C173" s="202" t="s">
        <v>2067</v>
      </c>
      <c r="D173" s="203" t="s">
        <v>40</v>
      </c>
      <c r="E173" s="214">
        <v>913.44</v>
      </c>
      <c r="F173" s="205">
        <v>50.0</v>
      </c>
      <c r="G173" s="206">
        <f t="shared" si="16"/>
        <v>45672</v>
      </c>
      <c r="H173" s="227"/>
    </row>
    <row r="174" ht="12.75" customHeight="1" outlineLevel="3">
      <c r="A174" s="151" t="s">
        <v>858</v>
      </c>
      <c r="B174" s="198" t="s">
        <v>2068</v>
      </c>
      <c r="C174" s="202" t="s">
        <v>1978</v>
      </c>
      <c r="D174" s="203" t="s">
        <v>40</v>
      </c>
      <c r="E174" s="214">
        <v>127.0</v>
      </c>
      <c r="F174" s="205">
        <v>50.0</v>
      </c>
      <c r="G174" s="206">
        <f t="shared" si="16"/>
        <v>6350</v>
      </c>
      <c r="H174" s="227"/>
    </row>
    <row r="175" ht="12.75" customHeight="1" outlineLevel="3">
      <c r="A175" s="151" t="s">
        <v>859</v>
      </c>
      <c r="B175" s="198" t="s">
        <v>2069</v>
      </c>
      <c r="C175" s="202" t="s">
        <v>2070</v>
      </c>
      <c r="D175" s="203" t="s">
        <v>40</v>
      </c>
      <c r="E175" s="214">
        <v>280.94</v>
      </c>
      <c r="F175" s="205">
        <v>50.0</v>
      </c>
      <c r="G175" s="206">
        <f t="shared" si="16"/>
        <v>14047</v>
      </c>
      <c r="H175" s="227"/>
    </row>
    <row r="176" ht="12.75" customHeight="1" outlineLevel="3">
      <c r="A176" s="151" t="s">
        <v>861</v>
      </c>
      <c r="B176" s="198" t="s">
        <v>2071</v>
      </c>
      <c r="C176" s="202" t="s">
        <v>2001</v>
      </c>
      <c r="D176" s="203" t="s">
        <v>40</v>
      </c>
      <c r="E176" s="214">
        <v>17.46</v>
      </c>
      <c r="F176" s="205">
        <v>50.0</v>
      </c>
      <c r="G176" s="206">
        <f t="shared" si="16"/>
        <v>873</v>
      </c>
      <c r="H176" s="227"/>
    </row>
    <row r="177" ht="12.75" customHeight="1" outlineLevel="3">
      <c r="A177" s="151" t="s">
        <v>862</v>
      </c>
      <c r="B177" s="198" t="s">
        <v>2072</v>
      </c>
      <c r="C177" s="202" t="s">
        <v>2073</v>
      </c>
      <c r="D177" s="203" t="s">
        <v>40</v>
      </c>
      <c r="E177" s="214">
        <v>268.51</v>
      </c>
      <c r="F177" s="205">
        <v>50.0</v>
      </c>
      <c r="G177" s="206">
        <f t="shared" si="16"/>
        <v>13425.5</v>
      </c>
      <c r="H177" s="227"/>
    </row>
    <row r="178" ht="12.75" customHeight="1" outlineLevel="3">
      <c r="A178" s="151" t="s">
        <v>864</v>
      </c>
      <c r="B178" s="198" t="s">
        <v>2074</v>
      </c>
      <c r="C178" s="202" t="s">
        <v>2075</v>
      </c>
      <c r="D178" s="203" t="s">
        <v>40</v>
      </c>
      <c r="E178" s="214">
        <v>7.58</v>
      </c>
      <c r="F178" s="205">
        <v>50.0</v>
      </c>
      <c r="G178" s="206">
        <f t="shared" si="16"/>
        <v>379</v>
      </c>
      <c r="H178" s="227"/>
    </row>
    <row r="179" ht="12.75" customHeight="1" outlineLevel="3">
      <c r="A179" s="151" t="s">
        <v>866</v>
      </c>
      <c r="B179" s="198" t="s">
        <v>2076</v>
      </c>
      <c r="C179" s="202" t="s">
        <v>2077</v>
      </c>
      <c r="D179" s="203" t="s">
        <v>40</v>
      </c>
      <c r="E179" s="214">
        <v>29.03</v>
      </c>
      <c r="F179" s="205">
        <v>50.0</v>
      </c>
      <c r="G179" s="206">
        <f t="shared" si="16"/>
        <v>1451.5</v>
      </c>
      <c r="H179" s="227"/>
    </row>
    <row r="180" ht="12.75" customHeight="1" outlineLevel="2">
      <c r="A180" s="21"/>
      <c r="B180" s="189"/>
      <c r="C180" s="21"/>
      <c r="D180" s="21"/>
      <c r="E180" s="115"/>
      <c r="F180" s="241"/>
      <c r="G180" s="241"/>
      <c r="H180" s="227"/>
    </row>
    <row r="181" ht="12.75" customHeight="1" outlineLevel="2">
      <c r="A181" s="151" t="s">
        <v>138</v>
      </c>
      <c r="B181" s="244">
        <v>3.9</v>
      </c>
      <c r="C181" s="245" t="s">
        <v>2078</v>
      </c>
      <c r="D181" s="21"/>
      <c r="E181" s="115"/>
      <c r="F181" s="241"/>
      <c r="G181" s="241"/>
      <c r="H181" s="227"/>
    </row>
    <row r="182" ht="12.75" customHeight="1" outlineLevel="3">
      <c r="A182" s="21"/>
      <c r="B182" s="189"/>
      <c r="C182" s="21"/>
      <c r="D182" s="21"/>
      <c r="E182" s="115"/>
      <c r="F182" s="241"/>
      <c r="G182" s="241"/>
      <c r="H182" s="227"/>
    </row>
    <row r="183" ht="12.75" customHeight="1" outlineLevel="3">
      <c r="A183" s="151" t="s">
        <v>869</v>
      </c>
      <c r="B183" s="198" t="s">
        <v>2079</v>
      </c>
      <c r="C183" s="202" t="s">
        <v>2080</v>
      </c>
      <c r="D183" s="203" t="s">
        <v>40</v>
      </c>
      <c r="E183" s="214">
        <v>157.61</v>
      </c>
      <c r="F183" s="205">
        <v>50.0</v>
      </c>
      <c r="G183" s="206">
        <f t="shared" ref="G183:G185" si="17">F183*E183</f>
        <v>7880.5</v>
      </c>
      <c r="H183" s="227"/>
    </row>
    <row r="184" ht="12.75" customHeight="1" outlineLevel="3">
      <c r="A184" s="151" t="s">
        <v>871</v>
      </c>
      <c r="B184" s="198" t="s">
        <v>2081</v>
      </c>
      <c r="C184" s="202" t="s">
        <v>2070</v>
      </c>
      <c r="D184" s="203" t="s">
        <v>40</v>
      </c>
      <c r="E184" s="214">
        <v>81.58</v>
      </c>
      <c r="F184" s="205">
        <v>50.0</v>
      </c>
      <c r="G184" s="206">
        <f t="shared" si="17"/>
        <v>4079</v>
      </c>
      <c r="H184" s="227"/>
    </row>
    <row r="185" ht="12.75" customHeight="1" outlineLevel="3">
      <c r="A185" s="151" t="s">
        <v>872</v>
      </c>
      <c r="B185" s="198" t="s">
        <v>2082</v>
      </c>
      <c r="C185" s="202" t="s">
        <v>2001</v>
      </c>
      <c r="D185" s="203" t="s">
        <v>40</v>
      </c>
      <c r="E185" s="214">
        <v>515.45</v>
      </c>
      <c r="F185" s="205">
        <v>50.0</v>
      </c>
      <c r="G185" s="206">
        <f t="shared" si="17"/>
        <v>25772.5</v>
      </c>
      <c r="H185" s="227"/>
    </row>
    <row r="186" ht="12.75" customHeight="1" outlineLevel="2">
      <c r="A186" s="21"/>
      <c r="B186" s="189"/>
      <c r="C186" s="21"/>
      <c r="D186" s="21"/>
      <c r="E186" s="115"/>
      <c r="F186" s="241"/>
      <c r="G186" s="241"/>
      <c r="H186" s="227"/>
    </row>
    <row r="187" ht="12.75" customHeight="1" outlineLevel="1">
      <c r="A187" s="151" t="s">
        <v>873</v>
      </c>
      <c r="B187" s="189"/>
      <c r="C187" s="247" t="s">
        <v>2083</v>
      </c>
      <c r="D187" s="21"/>
      <c r="E187" s="115"/>
      <c r="F187" s="241"/>
      <c r="G187" s="241"/>
      <c r="H187" s="227"/>
    </row>
    <row r="188" ht="12.75" customHeight="1" outlineLevel="2">
      <c r="A188" s="21"/>
      <c r="B188" s="189"/>
      <c r="C188" s="21"/>
      <c r="D188" s="21"/>
      <c r="E188" s="115"/>
      <c r="F188" s="241"/>
      <c r="G188" s="241"/>
      <c r="H188" s="227"/>
    </row>
    <row r="189" ht="12.75" customHeight="1" outlineLevel="2">
      <c r="A189" s="151" t="s">
        <v>147</v>
      </c>
      <c r="B189" s="248">
        <v>3.1</v>
      </c>
      <c r="C189" s="245" t="s">
        <v>2084</v>
      </c>
      <c r="D189" s="21"/>
      <c r="E189" s="115"/>
      <c r="F189" s="241"/>
      <c r="G189" s="241"/>
      <c r="H189" s="227"/>
    </row>
    <row r="190" ht="12.75" customHeight="1" outlineLevel="2">
      <c r="A190" s="21"/>
      <c r="B190" s="189"/>
      <c r="C190" s="21"/>
      <c r="D190" s="21"/>
      <c r="E190" s="115"/>
      <c r="F190" s="241"/>
      <c r="G190" s="241"/>
      <c r="H190" s="227"/>
    </row>
    <row r="191" ht="12.75" customHeight="1" outlineLevel="2">
      <c r="A191" s="151" t="s">
        <v>149</v>
      </c>
      <c r="B191" s="198" t="s">
        <v>2085</v>
      </c>
      <c r="C191" s="202" t="s">
        <v>2086</v>
      </c>
      <c r="D191" s="203" t="s">
        <v>877</v>
      </c>
      <c r="E191" s="214">
        <v>1218.48</v>
      </c>
      <c r="F191" s="205">
        <v>14.0</v>
      </c>
      <c r="G191" s="206">
        <f t="shared" ref="G191:G193" si="18">E191*F191</f>
        <v>17058.72</v>
      </c>
      <c r="H191" s="227"/>
    </row>
    <row r="192" ht="12.75" customHeight="1" outlineLevel="2">
      <c r="A192" s="151" t="s">
        <v>878</v>
      </c>
      <c r="B192" s="198" t="s">
        <v>2087</v>
      </c>
      <c r="C192" s="202" t="s">
        <v>2088</v>
      </c>
      <c r="D192" s="203" t="s">
        <v>75</v>
      </c>
      <c r="E192" s="214">
        <v>58.0</v>
      </c>
      <c r="F192" s="205">
        <v>10.0</v>
      </c>
      <c r="G192" s="206">
        <f t="shared" si="18"/>
        <v>580</v>
      </c>
      <c r="H192" s="227"/>
    </row>
    <row r="193" ht="12.75" customHeight="1" outlineLevel="2">
      <c r="A193" s="151" t="s">
        <v>881</v>
      </c>
      <c r="B193" s="198" t="s">
        <v>2089</v>
      </c>
      <c r="C193" s="202" t="s">
        <v>2090</v>
      </c>
      <c r="D193" s="203" t="s">
        <v>75</v>
      </c>
      <c r="E193" s="214">
        <v>58.0</v>
      </c>
      <c r="F193" s="205">
        <v>10.0</v>
      </c>
      <c r="G193" s="206">
        <f t="shared" si="18"/>
        <v>580</v>
      </c>
      <c r="H193" s="227"/>
    </row>
    <row r="194" ht="12.75" customHeight="1" outlineLevel="2">
      <c r="A194" s="21"/>
      <c r="B194" s="189"/>
      <c r="C194" s="21"/>
      <c r="D194" s="21"/>
      <c r="E194" s="115"/>
      <c r="F194" s="241"/>
      <c r="G194" s="241"/>
      <c r="H194" s="227"/>
    </row>
    <row r="195" ht="12.75" customHeight="1" outlineLevel="1">
      <c r="A195" s="151" t="s">
        <v>883</v>
      </c>
      <c r="B195" s="189"/>
      <c r="C195" s="247" t="s">
        <v>2091</v>
      </c>
      <c r="D195" s="21"/>
      <c r="E195" s="115"/>
      <c r="F195" s="241"/>
      <c r="G195" s="241"/>
      <c r="H195" s="227"/>
    </row>
    <row r="196" ht="12.75" customHeight="1" outlineLevel="2">
      <c r="A196" s="21"/>
      <c r="B196" s="189"/>
      <c r="C196" s="21"/>
      <c r="D196" s="21"/>
      <c r="E196" s="115"/>
      <c r="F196" s="241"/>
      <c r="G196" s="241"/>
      <c r="H196" s="227"/>
    </row>
    <row r="197" ht="12.75" customHeight="1" outlineLevel="2">
      <c r="A197" s="151" t="s">
        <v>166</v>
      </c>
      <c r="B197" s="248">
        <v>3.11</v>
      </c>
      <c r="C197" s="245" t="s">
        <v>2092</v>
      </c>
      <c r="D197" s="21"/>
      <c r="E197" s="115"/>
      <c r="F197" s="241"/>
      <c r="G197" s="241"/>
      <c r="H197" s="227"/>
    </row>
    <row r="198" ht="12.75" customHeight="1" outlineLevel="2">
      <c r="A198" s="21"/>
      <c r="B198" s="189"/>
      <c r="C198" s="21"/>
      <c r="D198" s="21"/>
      <c r="E198" s="115"/>
      <c r="F198" s="241"/>
      <c r="G198" s="241"/>
      <c r="H198" s="227"/>
    </row>
    <row r="199" ht="12.75" customHeight="1" outlineLevel="2">
      <c r="A199" s="151" t="s">
        <v>170</v>
      </c>
      <c r="B199" s="198" t="s">
        <v>2093</v>
      </c>
      <c r="C199" s="202" t="s">
        <v>2094</v>
      </c>
      <c r="D199" s="203" t="s">
        <v>75</v>
      </c>
      <c r="E199" s="214">
        <v>638.0</v>
      </c>
      <c r="F199" s="205">
        <v>3.0</v>
      </c>
      <c r="G199" s="206">
        <f>E199*F199</f>
        <v>1914</v>
      </c>
      <c r="H199" s="227"/>
    </row>
    <row r="200" ht="12.75" customHeight="1" outlineLevel="2">
      <c r="A200" s="21"/>
      <c r="B200" s="189"/>
      <c r="C200" s="21"/>
      <c r="D200" s="21"/>
      <c r="E200" s="115"/>
      <c r="F200" s="241"/>
      <c r="G200" s="241"/>
      <c r="H200" s="227"/>
    </row>
    <row r="201" ht="12.75" customHeight="1" outlineLevel="1">
      <c r="A201" s="151" t="s">
        <v>887</v>
      </c>
      <c r="B201" s="189"/>
      <c r="C201" s="247" t="s">
        <v>2095</v>
      </c>
      <c r="D201" s="21"/>
      <c r="E201" s="115"/>
      <c r="F201" s="241"/>
      <c r="G201" s="241"/>
      <c r="H201" s="227"/>
    </row>
    <row r="202" ht="12.75" customHeight="1" outlineLevel="2">
      <c r="A202" s="21"/>
      <c r="B202" s="189"/>
      <c r="C202" s="21"/>
      <c r="D202" s="21"/>
      <c r="E202" s="115"/>
      <c r="F202" s="241"/>
      <c r="G202" s="241"/>
      <c r="H202" s="227"/>
    </row>
    <row r="203" ht="12.75" customHeight="1" outlineLevel="2">
      <c r="A203" s="151" t="s">
        <v>198</v>
      </c>
      <c r="B203" s="248">
        <v>3.12</v>
      </c>
      <c r="C203" s="245" t="s">
        <v>2096</v>
      </c>
      <c r="D203" s="21"/>
      <c r="E203" s="115"/>
      <c r="F203" s="241"/>
      <c r="G203" s="241"/>
      <c r="H203" s="227"/>
    </row>
    <row r="204" ht="12.75" customHeight="1" outlineLevel="2">
      <c r="A204" s="21"/>
      <c r="B204" s="189"/>
      <c r="C204" s="21"/>
      <c r="D204" s="21"/>
      <c r="E204" s="115"/>
      <c r="F204" s="241"/>
      <c r="G204" s="241"/>
      <c r="H204" s="227"/>
    </row>
    <row r="205" ht="12.75" customHeight="1" outlineLevel="2">
      <c r="A205" s="21"/>
      <c r="B205" s="198" t="s">
        <v>2097</v>
      </c>
      <c r="C205" s="202" t="s">
        <v>2098</v>
      </c>
      <c r="D205" s="203" t="s">
        <v>827</v>
      </c>
      <c r="E205" s="214">
        <v>4360.88</v>
      </c>
      <c r="F205" s="205">
        <v>10.0</v>
      </c>
      <c r="G205" s="206">
        <f t="shared" ref="G205:G206" si="19">E205*F205</f>
        <v>43608.8</v>
      </c>
      <c r="H205" s="227"/>
    </row>
    <row r="206" ht="12.75" customHeight="1" outlineLevel="2">
      <c r="A206" s="21"/>
      <c r="B206" s="198" t="s">
        <v>2099</v>
      </c>
      <c r="C206" s="202" t="s">
        <v>2100</v>
      </c>
      <c r="D206" s="203" t="s">
        <v>827</v>
      </c>
      <c r="E206" s="214">
        <v>112.9</v>
      </c>
      <c r="F206" s="205">
        <v>10.0</v>
      </c>
      <c r="G206" s="206">
        <f t="shared" si="19"/>
        <v>1129</v>
      </c>
      <c r="H206" s="227"/>
    </row>
    <row r="207" ht="12.75" customHeight="1" outlineLevel="2">
      <c r="A207" s="21"/>
      <c r="B207" s="189"/>
      <c r="C207" s="21"/>
      <c r="D207" s="21"/>
      <c r="E207" s="115"/>
      <c r="F207" s="241"/>
      <c r="G207" s="241"/>
      <c r="H207" s="227"/>
    </row>
    <row r="208" ht="12.75" customHeight="1" outlineLevel="2">
      <c r="A208" s="151" t="s">
        <v>230</v>
      </c>
      <c r="B208" s="198">
        <v>3.13</v>
      </c>
      <c r="C208" s="202" t="s">
        <v>2101</v>
      </c>
      <c r="D208" s="203" t="s">
        <v>827</v>
      </c>
      <c r="E208" s="214">
        <v>1501.78</v>
      </c>
      <c r="F208" s="205">
        <v>11.0</v>
      </c>
      <c r="G208" s="206">
        <v>17480.72</v>
      </c>
      <c r="H208" s="219"/>
    </row>
    <row r="209" ht="12.75" customHeight="1" outlineLevel="2">
      <c r="A209" s="21"/>
      <c r="B209" s="189"/>
      <c r="C209" s="21"/>
      <c r="D209" s="21"/>
      <c r="E209" s="115"/>
      <c r="F209" s="241"/>
      <c r="G209" s="241"/>
      <c r="H209" s="227"/>
    </row>
    <row r="210" ht="12.75" customHeight="1" outlineLevel="2">
      <c r="A210" s="151" t="s">
        <v>240</v>
      </c>
      <c r="B210" s="248">
        <v>3.14</v>
      </c>
      <c r="C210" s="245" t="s">
        <v>2102</v>
      </c>
      <c r="D210" s="21"/>
      <c r="E210" s="115"/>
      <c r="F210" s="241"/>
      <c r="G210" s="241"/>
      <c r="H210" s="227"/>
    </row>
    <row r="211" ht="12.75" customHeight="1" outlineLevel="2">
      <c r="A211" s="21"/>
      <c r="B211" s="189"/>
      <c r="C211" s="21"/>
      <c r="D211" s="21"/>
      <c r="E211" s="115"/>
      <c r="F211" s="241"/>
      <c r="G211" s="241"/>
      <c r="H211" s="227"/>
    </row>
    <row r="212" ht="12.75" customHeight="1" outlineLevel="2">
      <c r="A212" s="21"/>
      <c r="B212" s="198" t="s">
        <v>1017</v>
      </c>
      <c r="C212" s="202" t="s">
        <v>2103</v>
      </c>
      <c r="D212" s="203" t="s">
        <v>827</v>
      </c>
      <c r="E212" s="214">
        <v>3972.81</v>
      </c>
      <c r="F212" s="205">
        <v>12.0</v>
      </c>
      <c r="G212" s="206">
        <f>E212*F212</f>
        <v>47673.72</v>
      </c>
      <c r="H212" s="227"/>
    </row>
    <row r="213" ht="12.75" customHeight="1" outlineLevel="2">
      <c r="A213" s="21"/>
      <c r="B213" s="189"/>
      <c r="C213" s="21"/>
      <c r="D213" s="21"/>
      <c r="E213" s="115"/>
      <c r="F213" s="241"/>
      <c r="G213" s="241"/>
      <c r="H213" s="227"/>
    </row>
    <row r="214" ht="12.75" customHeight="1" outlineLevel="2">
      <c r="A214" s="151" t="s">
        <v>895</v>
      </c>
      <c r="B214" s="198">
        <v>3.15</v>
      </c>
      <c r="C214" s="202" t="s">
        <v>2104</v>
      </c>
      <c r="D214" s="203" t="s">
        <v>33</v>
      </c>
      <c r="E214" s="214">
        <v>1.0</v>
      </c>
      <c r="F214" s="205">
        <v>16163.75</v>
      </c>
      <c r="G214" s="206">
        <f>E214*F214</f>
        <v>16163.75</v>
      </c>
      <c r="H214" s="219"/>
    </row>
    <row r="215" ht="12.75" customHeight="1" outlineLevel="2">
      <c r="A215" s="21"/>
      <c r="B215" s="189"/>
      <c r="C215" s="21"/>
      <c r="D215" s="21"/>
      <c r="E215" s="115"/>
      <c r="F215" s="241"/>
      <c r="G215" s="241"/>
      <c r="H215" s="227"/>
    </row>
    <row r="216" ht="12.75" customHeight="1" outlineLevel="1">
      <c r="A216" s="151" t="s">
        <v>897</v>
      </c>
      <c r="B216" s="189"/>
      <c r="C216" s="247" t="s">
        <v>2105</v>
      </c>
      <c r="D216" s="21"/>
      <c r="E216" s="115"/>
      <c r="F216" s="241"/>
      <c r="G216" s="241"/>
      <c r="H216" s="227"/>
    </row>
    <row r="217" ht="12.75" customHeight="1" outlineLevel="2">
      <c r="A217" s="21"/>
      <c r="B217" s="189"/>
      <c r="C217" s="21"/>
      <c r="D217" s="21"/>
      <c r="E217" s="115"/>
      <c r="F217" s="241"/>
      <c r="G217" s="241"/>
      <c r="H217" s="227"/>
    </row>
    <row r="218" ht="12.75" customHeight="1" outlineLevel="2">
      <c r="A218" s="151" t="s">
        <v>246</v>
      </c>
      <c r="B218" s="248">
        <v>3.16</v>
      </c>
      <c r="C218" s="245" t="s">
        <v>2106</v>
      </c>
      <c r="D218" s="21"/>
      <c r="E218" s="115"/>
      <c r="F218" s="241"/>
      <c r="G218" s="241"/>
      <c r="H218" s="227"/>
    </row>
    <row r="219" ht="12.75" customHeight="1" outlineLevel="2">
      <c r="A219" s="21"/>
      <c r="B219" s="189"/>
      <c r="C219" s="21"/>
      <c r="D219" s="21"/>
      <c r="E219" s="115"/>
      <c r="F219" s="241"/>
      <c r="G219" s="241"/>
      <c r="H219" s="227"/>
    </row>
    <row r="220" ht="12.75" customHeight="1" outlineLevel="2">
      <c r="A220" s="21"/>
      <c r="B220" s="198" t="s">
        <v>2107</v>
      </c>
      <c r="C220" s="202" t="s">
        <v>900</v>
      </c>
      <c r="D220" s="203" t="s">
        <v>827</v>
      </c>
      <c r="E220" s="214">
        <v>4.79</v>
      </c>
      <c r="F220" s="205">
        <v>10.0</v>
      </c>
      <c r="G220" s="206">
        <f t="shared" ref="G220:G224" si="20">E220*F220</f>
        <v>47.9</v>
      </c>
      <c r="H220" s="227"/>
    </row>
    <row r="221" ht="12.75" customHeight="1" outlineLevel="2">
      <c r="A221" s="21"/>
      <c r="B221" s="198" t="s">
        <v>2108</v>
      </c>
      <c r="C221" s="202" t="s">
        <v>901</v>
      </c>
      <c r="D221" s="203" t="s">
        <v>827</v>
      </c>
      <c r="E221" s="214">
        <v>2265.99</v>
      </c>
      <c r="F221" s="205">
        <v>10.0</v>
      </c>
      <c r="G221" s="206">
        <f t="shared" si="20"/>
        <v>22659.9</v>
      </c>
      <c r="H221" s="227"/>
    </row>
    <row r="222" ht="12.75" customHeight="1" outlineLevel="2">
      <c r="A222" s="21"/>
      <c r="B222" s="198" t="s">
        <v>2109</v>
      </c>
      <c r="C222" s="202" t="s">
        <v>902</v>
      </c>
      <c r="D222" s="203" t="s">
        <v>827</v>
      </c>
      <c r="E222" s="214">
        <v>5.44</v>
      </c>
      <c r="F222" s="205">
        <v>10.0</v>
      </c>
      <c r="G222" s="206">
        <f t="shared" si="20"/>
        <v>54.4</v>
      </c>
      <c r="H222" s="227"/>
    </row>
    <row r="223" ht="12.75" customHeight="1" outlineLevel="2">
      <c r="A223" s="21"/>
      <c r="B223" s="198" t="s">
        <v>2110</v>
      </c>
      <c r="C223" s="202" t="s">
        <v>903</v>
      </c>
      <c r="D223" s="203" t="s">
        <v>827</v>
      </c>
      <c r="E223" s="214">
        <v>220.49</v>
      </c>
      <c r="F223" s="205">
        <v>10.0</v>
      </c>
      <c r="G223" s="206">
        <f t="shared" si="20"/>
        <v>2204.9</v>
      </c>
      <c r="H223" s="227"/>
    </row>
    <row r="224" ht="12.75" customHeight="1" outlineLevel="2">
      <c r="A224" s="21"/>
      <c r="B224" s="198" t="s">
        <v>2111</v>
      </c>
      <c r="C224" s="202" t="s">
        <v>2112</v>
      </c>
      <c r="D224" s="203" t="s">
        <v>827</v>
      </c>
      <c r="E224" s="214">
        <v>256.76</v>
      </c>
      <c r="F224" s="205">
        <v>10.0</v>
      </c>
      <c r="G224" s="206">
        <f t="shared" si="20"/>
        <v>2567.6</v>
      </c>
      <c r="H224" s="227"/>
    </row>
    <row r="225" ht="12.75" customHeight="1" outlineLevel="2">
      <c r="A225" s="21"/>
      <c r="B225" s="189"/>
      <c r="C225" s="21"/>
      <c r="D225" s="21"/>
      <c r="E225" s="115"/>
      <c r="F225" s="241"/>
      <c r="G225" s="241"/>
      <c r="H225" s="227"/>
    </row>
    <row r="226" ht="12.75" customHeight="1" outlineLevel="1">
      <c r="A226" s="151" t="s">
        <v>905</v>
      </c>
      <c r="B226" s="189"/>
      <c r="C226" s="247" t="s">
        <v>2113</v>
      </c>
      <c r="D226" s="21"/>
      <c r="E226" s="115"/>
      <c r="F226" s="241"/>
      <c r="G226" s="241"/>
      <c r="H226" s="227"/>
    </row>
    <row r="227" ht="12.75" customHeight="1" outlineLevel="2">
      <c r="A227" s="21"/>
      <c r="B227" s="189"/>
      <c r="C227" s="21"/>
      <c r="D227" s="21"/>
      <c r="E227" s="115"/>
      <c r="F227" s="241"/>
      <c r="G227" s="241"/>
      <c r="H227" s="227"/>
    </row>
    <row r="228" ht="12.75" customHeight="1" outlineLevel="2">
      <c r="A228" s="21"/>
      <c r="B228" s="189"/>
      <c r="C228" s="21"/>
      <c r="D228" s="21"/>
      <c r="E228" s="115"/>
      <c r="F228" s="241"/>
      <c r="G228" s="241"/>
      <c r="H228" s="227"/>
    </row>
    <row r="229" ht="12.75" customHeight="1" outlineLevel="2">
      <c r="A229" s="151" t="s">
        <v>384</v>
      </c>
      <c r="B229" s="248">
        <v>3.17</v>
      </c>
      <c r="C229" s="245" t="s">
        <v>2114</v>
      </c>
      <c r="D229" s="21"/>
      <c r="E229" s="115"/>
      <c r="F229" s="241"/>
      <c r="G229" s="241"/>
      <c r="H229" s="227"/>
    </row>
    <row r="230" ht="12.75" customHeight="1" outlineLevel="2">
      <c r="A230" s="21"/>
      <c r="B230" s="189"/>
      <c r="C230" s="21"/>
      <c r="D230" s="21"/>
      <c r="E230" s="115"/>
      <c r="F230" s="241"/>
      <c r="G230" s="241"/>
      <c r="H230" s="227"/>
    </row>
    <row r="231" ht="12.75" customHeight="1" outlineLevel="2">
      <c r="A231" s="21"/>
      <c r="B231" s="198" t="s">
        <v>2115</v>
      </c>
      <c r="C231" s="202" t="s">
        <v>909</v>
      </c>
      <c r="D231" s="203" t="s">
        <v>40</v>
      </c>
      <c r="E231" s="214">
        <v>246.48</v>
      </c>
      <c r="F231" s="205">
        <v>50.0</v>
      </c>
      <c r="G231" s="206">
        <v>10751.46</v>
      </c>
      <c r="H231" s="227"/>
    </row>
    <row r="232" ht="12.75" customHeight="1" outlineLevel="2">
      <c r="A232" s="21"/>
      <c r="B232" s="198" t="s">
        <v>2116</v>
      </c>
      <c r="C232" s="202" t="s">
        <v>910</v>
      </c>
      <c r="D232" s="203" t="s">
        <v>40</v>
      </c>
      <c r="E232" s="214">
        <v>11.46</v>
      </c>
      <c r="F232" s="205">
        <v>50.0</v>
      </c>
      <c r="G232" s="206">
        <v>499.89</v>
      </c>
      <c r="H232" s="227"/>
    </row>
    <row r="233" ht="12.75" customHeight="1" outlineLevel="2">
      <c r="A233" s="21"/>
      <c r="B233" s="189"/>
      <c r="C233" s="21"/>
      <c r="D233" s="21"/>
      <c r="E233" s="115"/>
      <c r="F233" s="241"/>
      <c r="G233" s="241"/>
      <c r="H233" s="227"/>
    </row>
    <row r="234" ht="12.75" customHeight="1" outlineLevel="2">
      <c r="A234" s="151" t="s">
        <v>384</v>
      </c>
      <c r="B234" s="248">
        <v>3.18</v>
      </c>
      <c r="C234" s="245" t="s">
        <v>2117</v>
      </c>
      <c r="D234" s="21"/>
      <c r="E234" s="115"/>
      <c r="F234" s="241"/>
      <c r="G234" s="241"/>
      <c r="H234" s="227"/>
    </row>
    <row r="235" ht="12.75" customHeight="1" outlineLevel="2">
      <c r="A235" s="21"/>
      <c r="B235" s="189"/>
      <c r="C235" s="21"/>
      <c r="D235" s="21"/>
      <c r="E235" s="115"/>
      <c r="F235" s="241"/>
      <c r="G235" s="241"/>
      <c r="H235" s="227"/>
    </row>
    <row r="236" ht="12.75" customHeight="1" outlineLevel="2">
      <c r="A236" s="21"/>
      <c r="B236" s="198" t="s">
        <v>2118</v>
      </c>
      <c r="C236" s="202" t="s">
        <v>912</v>
      </c>
      <c r="D236" s="203" t="s">
        <v>40</v>
      </c>
      <c r="E236" s="214">
        <v>63.73</v>
      </c>
      <c r="F236" s="205">
        <v>50.0</v>
      </c>
      <c r="G236" s="206">
        <v>2897.8</v>
      </c>
      <c r="H236" s="227"/>
    </row>
    <row r="237" ht="12.75" customHeight="1" outlineLevel="2">
      <c r="A237" s="21"/>
      <c r="B237" s="198" t="s">
        <v>2119</v>
      </c>
      <c r="C237" s="202" t="s">
        <v>913</v>
      </c>
      <c r="D237" s="203" t="s">
        <v>40</v>
      </c>
      <c r="E237" s="214">
        <v>24.52</v>
      </c>
      <c r="F237" s="205">
        <v>50.0</v>
      </c>
      <c r="G237" s="206">
        <v>1114.92</v>
      </c>
      <c r="H237" s="227"/>
    </row>
    <row r="238" ht="12.75" customHeight="1" outlineLevel="2">
      <c r="A238" s="21"/>
      <c r="B238" s="198" t="s">
        <v>2120</v>
      </c>
      <c r="C238" s="202" t="s">
        <v>914</v>
      </c>
      <c r="D238" s="203" t="s">
        <v>40</v>
      </c>
      <c r="E238" s="214">
        <v>15.37</v>
      </c>
      <c r="F238" s="205">
        <v>50.0</v>
      </c>
      <c r="G238" s="206">
        <v>698.87</v>
      </c>
      <c r="H238" s="227"/>
    </row>
    <row r="239" ht="12.75" customHeight="1" outlineLevel="2">
      <c r="A239" s="21"/>
      <c r="B239" s="198" t="s">
        <v>2121</v>
      </c>
      <c r="C239" s="202" t="s">
        <v>915</v>
      </c>
      <c r="D239" s="203" t="s">
        <v>40</v>
      </c>
      <c r="E239" s="214">
        <v>21.88</v>
      </c>
      <c r="F239" s="205">
        <v>50.0</v>
      </c>
      <c r="G239" s="206">
        <v>994.88</v>
      </c>
      <c r="H239" s="227"/>
    </row>
    <row r="240" ht="12.75" customHeight="1" outlineLevel="2">
      <c r="A240" s="21"/>
      <c r="B240" s="189"/>
      <c r="C240" s="21"/>
      <c r="D240" s="21"/>
      <c r="E240" s="115"/>
      <c r="F240" s="241"/>
      <c r="G240" s="241"/>
      <c r="H240" s="227"/>
    </row>
    <row r="241" ht="12.75" customHeight="1" outlineLevel="1">
      <c r="A241" s="151" t="s">
        <v>916</v>
      </c>
      <c r="B241" s="189"/>
      <c r="C241" s="247" t="s">
        <v>2122</v>
      </c>
      <c r="D241" s="21"/>
      <c r="E241" s="115"/>
      <c r="F241" s="241"/>
      <c r="G241" s="241"/>
      <c r="H241" s="227"/>
    </row>
    <row r="242" ht="12.75" customHeight="1" outlineLevel="2">
      <c r="A242" s="21"/>
      <c r="B242" s="189"/>
      <c r="C242" s="21"/>
      <c r="D242" s="21"/>
      <c r="E242" s="115"/>
      <c r="F242" s="241"/>
      <c r="G242" s="241"/>
      <c r="H242" s="227"/>
    </row>
    <row r="243" ht="12.75" customHeight="1" outlineLevel="2">
      <c r="A243" s="151" t="s">
        <v>537</v>
      </c>
      <c r="B243" s="189"/>
      <c r="C243" s="152" t="s">
        <v>2123</v>
      </c>
      <c r="D243" s="21"/>
      <c r="E243" s="115"/>
      <c r="F243" s="241"/>
      <c r="G243" s="241"/>
      <c r="H243" s="227"/>
    </row>
    <row r="244" ht="12.75" customHeight="1" outlineLevel="2">
      <c r="A244" s="21"/>
      <c r="B244" s="189"/>
      <c r="C244" s="21"/>
      <c r="D244" s="21"/>
      <c r="E244" s="115"/>
      <c r="F244" s="241"/>
      <c r="G244" s="241"/>
      <c r="H244" s="227"/>
    </row>
    <row r="245" ht="12.75" customHeight="1" outlineLevel="2">
      <c r="A245" s="151" t="s">
        <v>539</v>
      </c>
      <c r="B245" s="248">
        <v>3.19</v>
      </c>
      <c r="C245" s="245" t="s">
        <v>2124</v>
      </c>
      <c r="D245" s="21"/>
      <c r="E245" s="115"/>
      <c r="F245" s="241"/>
      <c r="G245" s="241"/>
      <c r="H245" s="227"/>
    </row>
    <row r="246" ht="12.75" customHeight="1" outlineLevel="2">
      <c r="A246" s="21"/>
      <c r="B246" s="189"/>
      <c r="C246" s="21"/>
      <c r="D246" s="21"/>
      <c r="E246" s="115"/>
      <c r="F246" s="241"/>
      <c r="G246" s="241"/>
      <c r="H246" s="227"/>
    </row>
    <row r="247" ht="12.75" customHeight="1" outlineLevel="2">
      <c r="A247" s="21"/>
      <c r="B247" s="198" t="s">
        <v>2125</v>
      </c>
      <c r="C247" s="202" t="s">
        <v>920</v>
      </c>
      <c r="D247" s="203" t="s">
        <v>877</v>
      </c>
      <c r="E247" s="214">
        <v>42.55</v>
      </c>
      <c r="F247" s="205">
        <v>310.0</v>
      </c>
      <c r="G247" s="206">
        <f t="shared" ref="G247:G250" si="21">E247*F247</f>
        <v>13190.5</v>
      </c>
      <c r="H247" s="227"/>
    </row>
    <row r="248" ht="12.75" customHeight="1" outlineLevel="2">
      <c r="A248" s="21"/>
      <c r="B248" s="198" t="s">
        <v>2126</v>
      </c>
      <c r="C248" s="202" t="s">
        <v>921</v>
      </c>
      <c r="D248" s="203" t="s">
        <v>877</v>
      </c>
      <c r="E248" s="214">
        <v>3.92</v>
      </c>
      <c r="F248" s="205">
        <v>400.0</v>
      </c>
      <c r="G248" s="206">
        <f t="shared" si="21"/>
        <v>1568</v>
      </c>
      <c r="H248" s="227"/>
    </row>
    <row r="249" ht="12.75" customHeight="1" outlineLevel="2">
      <c r="A249" s="21"/>
      <c r="B249" s="198" t="s">
        <v>2127</v>
      </c>
      <c r="C249" s="202" t="s">
        <v>922</v>
      </c>
      <c r="D249" s="203" t="s">
        <v>877</v>
      </c>
      <c r="E249" s="214">
        <v>3.88</v>
      </c>
      <c r="F249" s="205">
        <v>460.0</v>
      </c>
      <c r="G249" s="206">
        <f t="shared" si="21"/>
        <v>1784.8</v>
      </c>
      <c r="H249" s="227"/>
    </row>
    <row r="250" ht="12.75" customHeight="1" outlineLevel="2">
      <c r="A250" s="21"/>
      <c r="B250" s="198" t="s">
        <v>2128</v>
      </c>
      <c r="C250" s="202" t="s">
        <v>923</v>
      </c>
      <c r="D250" s="203" t="s">
        <v>877</v>
      </c>
      <c r="E250" s="214">
        <v>4.5</v>
      </c>
      <c r="F250" s="205">
        <v>380.0</v>
      </c>
      <c r="G250" s="206">
        <f t="shared" si="21"/>
        <v>1710</v>
      </c>
      <c r="H250" s="227"/>
    </row>
    <row r="251" ht="12.75" customHeight="1" outlineLevel="2">
      <c r="A251" s="21"/>
      <c r="B251" s="189"/>
      <c r="C251" s="21"/>
      <c r="D251" s="21"/>
      <c r="E251" s="115"/>
      <c r="F251" s="241"/>
      <c r="G251" s="241"/>
      <c r="H251" s="227"/>
    </row>
    <row r="252" ht="12.75" customHeight="1" outlineLevel="2">
      <c r="A252" s="151" t="s">
        <v>924</v>
      </c>
      <c r="B252" s="248">
        <v>3.2</v>
      </c>
      <c r="C252" s="245" t="s">
        <v>2129</v>
      </c>
      <c r="D252" s="21"/>
      <c r="E252" s="115"/>
      <c r="F252" s="241"/>
      <c r="G252" s="241"/>
      <c r="H252" s="227"/>
    </row>
    <row r="253" ht="12.75" customHeight="1" outlineLevel="2">
      <c r="A253" s="21"/>
      <c r="B253" s="189"/>
      <c r="C253" s="21"/>
      <c r="D253" s="21"/>
      <c r="E253" s="115"/>
      <c r="F253" s="241"/>
      <c r="G253" s="241"/>
      <c r="H253" s="227"/>
    </row>
    <row r="254" ht="12.75" customHeight="1" outlineLevel="2">
      <c r="A254" s="21"/>
      <c r="B254" s="198" t="s">
        <v>2130</v>
      </c>
      <c r="C254" s="202" t="s">
        <v>922</v>
      </c>
      <c r="D254" s="203" t="s">
        <v>877</v>
      </c>
      <c r="E254" s="214">
        <v>3.88</v>
      </c>
      <c r="F254" s="205">
        <v>500.0</v>
      </c>
      <c r="G254" s="206">
        <f t="shared" ref="G254:G255" si="22">E254*F254</f>
        <v>1940</v>
      </c>
      <c r="H254" s="227"/>
    </row>
    <row r="255" ht="12.75" customHeight="1" outlineLevel="2">
      <c r="A255" s="21"/>
      <c r="B255" s="198" t="s">
        <v>2131</v>
      </c>
      <c r="C255" s="202" t="s">
        <v>926</v>
      </c>
      <c r="D255" s="203" t="s">
        <v>877</v>
      </c>
      <c r="E255" s="214">
        <v>6.39</v>
      </c>
      <c r="F255" s="205">
        <v>340.0</v>
      </c>
      <c r="G255" s="206">
        <f t="shared" si="22"/>
        <v>2172.6</v>
      </c>
      <c r="H255" s="227"/>
    </row>
    <row r="256" ht="12.75" customHeight="1" outlineLevel="2">
      <c r="A256" s="21"/>
      <c r="B256" s="189"/>
      <c r="C256" s="21"/>
      <c r="D256" s="21"/>
      <c r="E256" s="115"/>
      <c r="F256" s="241"/>
      <c r="G256" s="241"/>
      <c r="H256" s="227"/>
    </row>
    <row r="257" ht="12.75" customHeight="1" outlineLevel="1">
      <c r="A257" s="151" t="s">
        <v>927</v>
      </c>
      <c r="B257" s="189"/>
      <c r="C257" s="247" t="s">
        <v>2132</v>
      </c>
      <c r="D257" s="21"/>
      <c r="E257" s="115"/>
      <c r="F257" s="241"/>
      <c r="G257" s="241"/>
      <c r="H257" s="227"/>
    </row>
    <row r="258" ht="12.75" customHeight="1" outlineLevel="2">
      <c r="A258" s="21"/>
      <c r="B258" s="189"/>
      <c r="C258" s="21"/>
      <c r="D258" s="21"/>
      <c r="E258" s="115"/>
      <c r="F258" s="241"/>
      <c r="G258" s="241"/>
      <c r="H258" s="227"/>
    </row>
    <row r="259" ht="12.75" customHeight="1" outlineLevel="2">
      <c r="A259" s="151" t="s">
        <v>610</v>
      </c>
      <c r="B259" s="189"/>
      <c r="C259" s="152" t="s">
        <v>2133</v>
      </c>
      <c r="D259" s="21"/>
      <c r="E259" s="115"/>
      <c r="F259" s="241"/>
      <c r="G259" s="241"/>
      <c r="H259" s="227"/>
    </row>
    <row r="260" ht="12.75" customHeight="1" outlineLevel="2">
      <c r="A260" s="21"/>
      <c r="B260" s="189"/>
      <c r="C260" s="21"/>
      <c r="D260" s="21"/>
      <c r="E260" s="115"/>
      <c r="F260" s="241"/>
      <c r="G260" s="241"/>
      <c r="H260" s="227"/>
    </row>
    <row r="261" ht="12.75" customHeight="1" outlineLevel="2">
      <c r="A261" s="151" t="s">
        <v>612</v>
      </c>
      <c r="B261" s="198">
        <v>3.21</v>
      </c>
      <c r="C261" s="202" t="s">
        <v>2134</v>
      </c>
      <c r="D261" s="203" t="s">
        <v>877</v>
      </c>
      <c r="E261" s="214">
        <v>45.8</v>
      </c>
      <c r="F261" s="205">
        <v>30.0</v>
      </c>
      <c r="G261" s="206">
        <f>E261*F261</f>
        <v>1374</v>
      </c>
      <c r="H261" s="219"/>
    </row>
    <row r="262" ht="12.75" customHeight="1" outlineLevel="2">
      <c r="A262" s="21"/>
      <c r="B262" s="189"/>
      <c r="C262" s="21"/>
      <c r="D262" s="21"/>
      <c r="E262" s="115"/>
      <c r="F262" s="241"/>
      <c r="G262" s="241"/>
      <c r="H262" s="227"/>
    </row>
    <row r="263" ht="12.75" customHeight="1" outlineLevel="2">
      <c r="A263" s="151" t="s">
        <v>620</v>
      </c>
      <c r="B263" s="198">
        <v>3.22</v>
      </c>
      <c r="C263" s="202" t="s">
        <v>2135</v>
      </c>
      <c r="D263" s="203" t="s">
        <v>877</v>
      </c>
      <c r="E263" s="214">
        <v>10.42</v>
      </c>
      <c r="F263" s="205">
        <v>40.0</v>
      </c>
      <c r="G263" s="206">
        <f>E263*F263</f>
        <v>416.8</v>
      </c>
      <c r="H263" s="219"/>
    </row>
    <row r="264" ht="12.75" customHeight="1" outlineLevel="2">
      <c r="A264" s="21"/>
      <c r="B264" s="189"/>
      <c r="C264" s="21"/>
      <c r="D264" s="21"/>
      <c r="E264" s="115"/>
      <c r="F264" s="241"/>
      <c r="G264" s="241"/>
      <c r="H264" s="227"/>
    </row>
    <row r="265" ht="12.75" customHeight="1" outlineLevel="2">
      <c r="A265" s="151" t="s">
        <v>626</v>
      </c>
      <c r="B265" s="198">
        <v>3.23</v>
      </c>
      <c r="C265" s="202" t="s">
        <v>2136</v>
      </c>
      <c r="D265" s="203" t="s">
        <v>933</v>
      </c>
      <c r="E265" s="214">
        <v>41.25</v>
      </c>
      <c r="F265" s="205">
        <v>160.0</v>
      </c>
      <c r="G265" s="206">
        <f>E265*F265</f>
        <v>6600</v>
      </c>
      <c r="H265" s="219"/>
    </row>
    <row r="266" ht="12.75" customHeight="1" outlineLevel="2">
      <c r="A266" s="21"/>
      <c r="B266" s="189"/>
      <c r="C266" s="21"/>
      <c r="D266" s="21"/>
      <c r="E266" s="115"/>
      <c r="F266" s="241"/>
      <c r="G266" s="241"/>
      <c r="H266" s="227"/>
    </row>
    <row r="267" ht="12.75" customHeight="1" outlineLevel="2">
      <c r="A267" s="151" t="s">
        <v>628</v>
      </c>
      <c r="B267" s="248">
        <v>3.24</v>
      </c>
      <c r="C267" s="249" t="s">
        <v>2137</v>
      </c>
      <c r="D267" s="238"/>
      <c r="E267" s="170"/>
      <c r="F267" s="239"/>
      <c r="G267" s="239"/>
      <c r="H267" s="240"/>
    </row>
    <row r="268" ht="12.75" customHeight="1" outlineLevel="2">
      <c r="A268" s="21"/>
      <c r="B268" s="189"/>
      <c r="C268" s="21"/>
      <c r="D268" s="21"/>
      <c r="E268" s="115"/>
      <c r="F268" s="241"/>
      <c r="G268" s="241"/>
      <c r="H268" s="227"/>
    </row>
    <row r="269" ht="12.75" customHeight="1" outlineLevel="2">
      <c r="A269" s="151" t="s">
        <v>935</v>
      </c>
      <c r="B269" s="198" t="s">
        <v>2138</v>
      </c>
      <c r="C269" s="202" t="s">
        <v>2139</v>
      </c>
      <c r="D269" s="203" t="s">
        <v>33</v>
      </c>
      <c r="E269" s="214">
        <v>1.0</v>
      </c>
      <c r="F269" s="205">
        <v>3500.0</v>
      </c>
      <c r="G269" s="206">
        <f>E269*F269</f>
        <v>3500</v>
      </c>
      <c r="H269" s="227"/>
    </row>
    <row r="270" ht="12.75" customHeight="1" outlineLevel="2">
      <c r="A270" s="208"/>
      <c r="B270" s="250"/>
      <c r="C270" s="152"/>
      <c r="D270" s="151"/>
      <c r="E270" s="153"/>
      <c r="F270" s="220"/>
      <c r="G270" s="220"/>
      <c r="H270" s="227"/>
    </row>
    <row r="271" ht="12.75" customHeight="1" outlineLevel="1">
      <c r="A271" s="208"/>
      <c r="B271" s="250"/>
      <c r="C271" s="152"/>
      <c r="D271" s="151"/>
      <c r="E271" s="153"/>
      <c r="F271" s="220"/>
      <c r="G271" s="220"/>
      <c r="H271" s="227"/>
    </row>
    <row r="272" ht="12.75" customHeight="1">
      <c r="A272" s="192"/>
      <c r="B272" s="83">
        <v>4.0</v>
      </c>
      <c r="C272" s="184" t="s">
        <v>2140</v>
      </c>
      <c r="D272" s="193"/>
      <c r="E272" s="194"/>
      <c r="F272" s="195"/>
      <c r="G272" s="196">
        <f>SUM(G278:G316)</f>
        <v>39067</v>
      </c>
      <c r="H272" s="197">
        <f>G272-'Orcamento RU'!C68</f>
        <v>15313.61</v>
      </c>
    </row>
    <row r="273" ht="12.75" customHeight="1" outlineLevel="1">
      <c r="A273" s="208"/>
      <c r="B273" s="250"/>
      <c r="C273" s="152"/>
      <c r="D273" s="151"/>
      <c r="E273" s="153"/>
      <c r="F273" s="220"/>
      <c r="G273" s="220"/>
      <c r="H273" s="227"/>
    </row>
    <row r="274" ht="12.75" customHeight="1" outlineLevel="1">
      <c r="A274" s="89" t="s">
        <v>96</v>
      </c>
      <c r="B274" s="189"/>
      <c r="C274" s="184" t="s">
        <v>2141</v>
      </c>
      <c r="E274" s="79"/>
      <c r="F274" s="191"/>
      <c r="G274" s="220"/>
      <c r="H274" s="227"/>
    </row>
    <row r="275" ht="12.75" customHeight="1" outlineLevel="2">
      <c r="B275" s="189"/>
      <c r="E275" s="79"/>
      <c r="F275" s="191"/>
      <c r="G275" s="220"/>
      <c r="H275" s="227"/>
    </row>
    <row r="276" ht="12.75" customHeight="1" outlineLevel="2">
      <c r="A276" s="89" t="s">
        <v>98</v>
      </c>
      <c r="B276" s="251">
        <v>4.1</v>
      </c>
      <c r="C276" s="245" t="s">
        <v>2142</v>
      </c>
      <c r="E276" s="79"/>
      <c r="F276" s="191"/>
      <c r="G276" s="220"/>
      <c r="H276" s="227"/>
    </row>
    <row r="277" ht="12.75" customHeight="1" outlineLevel="2">
      <c r="B277" s="189"/>
      <c r="E277" s="79"/>
      <c r="F277" s="191"/>
      <c r="G277" s="220"/>
      <c r="H277" s="227"/>
    </row>
    <row r="278" ht="12.75" customHeight="1" outlineLevel="2">
      <c r="A278" s="89" t="s">
        <v>100</v>
      </c>
      <c r="B278" s="198" t="s">
        <v>1037</v>
      </c>
      <c r="C278" s="202" t="s">
        <v>2143</v>
      </c>
      <c r="D278" s="203" t="s">
        <v>40</v>
      </c>
      <c r="E278" s="214">
        <v>37.14</v>
      </c>
      <c r="F278" s="205">
        <v>20.0</v>
      </c>
      <c r="G278" s="206">
        <f>E278*F278</f>
        <v>742.8</v>
      </c>
      <c r="H278" s="219"/>
    </row>
    <row r="279" ht="12.75" customHeight="1" outlineLevel="2">
      <c r="B279" s="189"/>
      <c r="E279" s="79"/>
      <c r="F279" s="191"/>
      <c r="G279" s="220"/>
      <c r="H279" s="227"/>
    </row>
    <row r="280" ht="12.75" customHeight="1" outlineLevel="2">
      <c r="A280" s="89" t="s">
        <v>102</v>
      </c>
      <c r="B280" s="198" t="s">
        <v>1041</v>
      </c>
      <c r="C280" s="202" t="s">
        <v>2144</v>
      </c>
      <c r="D280" s="203" t="s">
        <v>40</v>
      </c>
      <c r="E280" s="214">
        <v>37.14</v>
      </c>
      <c r="F280" s="205">
        <v>21.0</v>
      </c>
      <c r="G280" s="206">
        <f>E280*F280</f>
        <v>779.94</v>
      </c>
      <c r="H280" s="219"/>
    </row>
    <row r="281" ht="12.75" customHeight="1" outlineLevel="2">
      <c r="B281" s="189"/>
      <c r="E281" s="79"/>
      <c r="F281" s="191"/>
      <c r="G281" s="220"/>
      <c r="H281" s="227"/>
    </row>
    <row r="282" ht="12.75" customHeight="1" outlineLevel="2">
      <c r="A282" s="89" t="s">
        <v>104</v>
      </c>
      <c r="B282" s="198" t="s">
        <v>1051</v>
      </c>
      <c r="C282" s="202" t="s">
        <v>2145</v>
      </c>
      <c r="D282" s="203" t="s">
        <v>40</v>
      </c>
      <c r="E282" s="214">
        <v>37.14</v>
      </c>
      <c r="F282" s="205">
        <v>30.0</v>
      </c>
      <c r="G282" s="206">
        <f>E282*F282</f>
        <v>1114.2</v>
      </c>
      <c r="H282" s="219"/>
    </row>
    <row r="283" ht="12.75" customHeight="1" outlineLevel="2">
      <c r="B283" s="189"/>
      <c r="E283" s="79"/>
      <c r="F283" s="191"/>
      <c r="G283" s="220"/>
      <c r="H283" s="227"/>
    </row>
    <row r="284" ht="12.75" customHeight="1" outlineLevel="1">
      <c r="A284" s="89" t="s">
        <v>106</v>
      </c>
      <c r="B284" s="189"/>
      <c r="C284" s="184" t="s">
        <v>2146</v>
      </c>
      <c r="E284" s="79"/>
      <c r="F284" s="191"/>
      <c r="G284" s="220"/>
      <c r="H284" s="227"/>
    </row>
    <row r="285" ht="12.75" customHeight="1" outlineLevel="2">
      <c r="B285" s="189"/>
      <c r="E285" s="79"/>
      <c r="F285" s="191"/>
      <c r="G285" s="220"/>
      <c r="H285" s="227"/>
    </row>
    <row r="286" ht="12.75" customHeight="1" outlineLevel="2">
      <c r="A286" s="89" t="s">
        <v>108</v>
      </c>
      <c r="B286" s="251">
        <v>4.2</v>
      </c>
      <c r="C286" s="245" t="s">
        <v>2147</v>
      </c>
      <c r="E286" s="79"/>
      <c r="F286" s="191"/>
      <c r="G286" s="220"/>
      <c r="H286" s="227"/>
    </row>
    <row r="287" ht="12.75" customHeight="1" outlineLevel="2">
      <c r="B287" s="189"/>
      <c r="E287" s="79"/>
      <c r="F287" s="191"/>
      <c r="G287" s="220"/>
      <c r="H287" s="227"/>
    </row>
    <row r="288" ht="12.75" customHeight="1" outlineLevel="2">
      <c r="A288" s="89" t="s">
        <v>110</v>
      </c>
      <c r="B288" s="198" t="s">
        <v>2148</v>
      </c>
      <c r="C288" s="202" t="s">
        <v>2143</v>
      </c>
      <c r="D288" s="203" t="s">
        <v>40</v>
      </c>
      <c r="E288" s="214">
        <v>53.0</v>
      </c>
      <c r="F288" s="205">
        <v>20.0</v>
      </c>
      <c r="G288" s="206">
        <f>E288*F288</f>
        <v>1060</v>
      </c>
      <c r="H288" s="219"/>
    </row>
    <row r="289" ht="12.75" customHeight="1" outlineLevel="2">
      <c r="B289" s="189"/>
      <c r="E289" s="79"/>
      <c r="F289" s="191"/>
      <c r="G289" s="220"/>
      <c r="H289" s="227"/>
    </row>
    <row r="290" ht="12.75" customHeight="1" outlineLevel="2">
      <c r="A290" s="89" t="s">
        <v>111</v>
      </c>
      <c r="B290" s="198" t="s">
        <v>2149</v>
      </c>
      <c r="C290" s="202" t="s">
        <v>2150</v>
      </c>
      <c r="D290" s="203" t="s">
        <v>40</v>
      </c>
      <c r="E290" s="214">
        <v>53.0</v>
      </c>
      <c r="F290" s="205">
        <v>21.0</v>
      </c>
      <c r="G290" s="206">
        <f>E290*F290</f>
        <v>1113</v>
      </c>
      <c r="H290" s="219"/>
    </row>
    <row r="291" ht="12.75" customHeight="1" outlineLevel="2">
      <c r="B291" s="189"/>
      <c r="E291" s="79"/>
      <c r="F291" s="191"/>
      <c r="G291" s="220"/>
      <c r="H291" s="227"/>
    </row>
    <row r="292" ht="12.75" customHeight="1" outlineLevel="2">
      <c r="A292" s="89" t="s">
        <v>113</v>
      </c>
      <c r="B292" s="198" t="s">
        <v>2151</v>
      </c>
      <c r="C292" s="202" t="s">
        <v>2152</v>
      </c>
      <c r="D292" s="203" t="s">
        <v>40</v>
      </c>
      <c r="E292" s="214">
        <v>53.0</v>
      </c>
      <c r="F292" s="205">
        <v>30.0</v>
      </c>
      <c r="G292" s="206">
        <f>E292*F292</f>
        <v>1590</v>
      </c>
      <c r="H292" s="219"/>
    </row>
    <row r="293" ht="12.75" customHeight="1" outlineLevel="2">
      <c r="B293" s="189"/>
      <c r="E293" s="79"/>
      <c r="F293" s="191"/>
      <c r="G293" s="220"/>
      <c r="H293" s="227"/>
    </row>
    <row r="294" ht="12.75" customHeight="1" outlineLevel="1">
      <c r="A294" s="89" t="s">
        <v>115</v>
      </c>
      <c r="B294" s="189"/>
      <c r="C294" s="184" t="s">
        <v>2153</v>
      </c>
      <c r="E294" s="79"/>
      <c r="F294" s="191"/>
      <c r="G294" s="220"/>
      <c r="H294" s="227"/>
    </row>
    <row r="295" ht="12.75" customHeight="1" outlineLevel="2">
      <c r="B295" s="189"/>
      <c r="E295" s="79"/>
      <c r="F295" s="191"/>
      <c r="G295" s="220"/>
      <c r="H295" s="227"/>
    </row>
    <row r="296" ht="12.75" customHeight="1" outlineLevel="2">
      <c r="A296" s="89" t="s">
        <v>117</v>
      </c>
      <c r="B296" s="251">
        <v>4.3</v>
      </c>
      <c r="C296" s="245" t="s">
        <v>2154</v>
      </c>
      <c r="E296" s="79"/>
      <c r="F296" s="191"/>
      <c r="G296" s="220"/>
      <c r="H296" s="227"/>
    </row>
    <row r="297" ht="12.75" customHeight="1" outlineLevel="2">
      <c r="B297" s="189"/>
      <c r="E297" s="79"/>
      <c r="F297" s="191"/>
      <c r="G297" s="220"/>
      <c r="H297" s="227"/>
    </row>
    <row r="298" ht="12.75" customHeight="1" outlineLevel="2">
      <c r="A298" s="89" t="s">
        <v>119</v>
      </c>
      <c r="B298" s="198" t="s">
        <v>1059</v>
      </c>
      <c r="C298" s="202" t="s">
        <v>2150</v>
      </c>
      <c r="D298" s="203" t="s">
        <v>40</v>
      </c>
      <c r="E298" s="214">
        <v>32.4</v>
      </c>
      <c r="F298" s="205">
        <v>21.0</v>
      </c>
      <c r="G298" s="206">
        <f>E298*F298</f>
        <v>680.4</v>
      </c>
      <c r="H298" s="219"/>
    </row>
    <row r="299" ht="12.75" customHeight="1" outlineLevel="2">
      <c r="B299" s="189"/>
      <c r="E299" s="79"/>
      <c r="F299" s="191"/>
      <c r="G299" s="220"/>
      <c r="H299" s="227"/>
    </row>
    <row r="300" ht="12.75" customHeight="1" outlineLevel="2">
      <c r="A300" s="89" t="s">
        <v>120</v>
      </c>
      <c r="B300" s="198" t="s">
        <v>1067</v>
      </c>
      <c r="C300" s="202" t="s">
        <v>2152</v>
      </c>
      <c r="D300" s="203" t="s">
        <v>40</v>
      </c>
      <c r="E300" s="214">
        <v>32.4</v>
      </c>
      <c r="F300" s="205">
        <v>30.0</v>
      </c>
      <c r="G300" s="206">
        <f>E300*F300</f>
        <v>972</v>
      </c>
      <c r="H300" s="219"/>
    </row>
    <row r="301" ht="12.75" customHeight="1" outlineLevel="2">
      <c r="B301" s="189"/>
      <c r="E301" s="79"/>
      <c r="F301" s="191"/>
      <c r="G301" s="220"/>
      <c r="H301" s="227"/>
    </row>
    <row r="302" ht="12.75" customHeight="1" outlineLevel="1">
      <c r="A302" s="89" t="s">
        <v>121</v>
      </c>
      <c r="B302" s="189"/>
      <c r="C302" s="184" t="s">
        <v>2155</v>
      </c>
      <c r="E302" s="79"/>
      <c r="F302" s="191"/>
      <c r="G302" s="220"/>
      <c r="H302" s="227"/>
    </row>
    <row r="303" ht="12.75" customHeight="1" outlineLevel="2">
      <c r="B303" s="189"/>
      <c r="E303" s="79"/>
      <c r="F303" s="191"/>
      <c r="G303" s="220"/>
      <c r="H303" s="227"/>
    </row>
    <row r="304" ht="12.75" customHeight="1" outlineLevel="2">
      <c r="A304" s="89" t="s">
        <v>123</v>
      </c>
      <c r="B304" s="198">
        <v>4.4</v>
      </c>
      <c r="C304" s="202" t="s">
        <v>2156</v>
      </c>
      <c r="D304" s="203" t="s">
        <v>40</v>
      </c>
      <c r="E304" s="214">
        <v>303.47</v>
      </c>
      <c r="F304" s="205">
        <v>42.0</v>
      </c>
      <c r="G304" s="206">
        <f>E304*F304</f>
        <v>12745.74</v>
      </c>
      <c r="H304" s="219"/>
    </row>
    <row r="305" ht="12.75" customHeight="1" outlineLevel="2">
      <c r="B305" s="189"/>
      <c r="E305" s="79"/>
      <c r="F305" s="191"/>
      <c r="G305" s="220"/>
      <c r="H305" s="227"/>
    </row>
    <row r="306" ht="12.75" customHeight="1" outlineLevel="1">
      <c r="A306" s="89" t="s">
        <v>125</v>
      </c>
      <c r="B306" s="189"/>
      <c r="C306" s="184" t="s">
        <v>2157</v>
      </c>
      <c r="E306" s="79"/>
      <c r="F306" s="191"/>
      <c r="G306" s="220"/>
      <c r="H306" s="227"/>
    </row>
    <row r="307" ht="12.75" customHeight="1" outlineLevel="2">
      <c r="B307" s="189"/>
      <c r="E307" s="79"/>
      <c r="F307" s="191"/>
      <c r="G307" s="220"/>
      <c r="H307" s="227"/>
    </row>
    <row r="308" ht="12.75" customHeight="1" outlineLevel="2">
      <c r="A308" s="89" t="s">
        <v>127</v>
      </c>
      <c r="B308" s="198">
        <v>4.5</v>
      </c>
      <c r="C308" s="202" t="s">
        <v>2158</v>
      </c>
      <c r="D308" s="203" t="s">
        <v>40</v>
      </c>
      <c r="E308" s="214">
        <v>320.7</v>
      </c>
      <c r="F308" s="205">
        <v>20.0</v>
      </c>
      <c r="G308" s="206">
        <f>E308*F308</f>
        <v>6414</v>
      </c>
      <c r="H308" s="219"/>
    </row>
    <row r="309" ht="12.75" customHeight="1" outlineLevel="2">
      <c r="B309" s="189"/>
      <c r="E309" s="79"/>
      <c r="F309" s="191"/>
      <c r="G309" s="220"/>
      <c r="H309" s="227"/>
    </row>
    <row r="310" ht="12.75" customHeight="1" outlineLevel="1">
      <c r="A310" s="89" t="s">
        <v>129</v>
      </c>
      <c r="B310" s="189"/>
      <c r="C310" s="184" t="s">
        <v>2159</v>
      </c>
      <c r="E310" s="79"/>
      <c r="F310" s="191"/>
      <c r="G310" s="220"/>
      <c r="H310" s="227"/>
    </row>
    <row r="311" ht="12.75" customHeight="1" outlineLevel="2">
      <c r="B311" s="189"/>
      <c r="E311" s="79"/>
      <c r="F311" s="191"/>
      <c r="G311" s="220"/>
      <c r="H311" s="227"/>
    </row>
    <row r="312" ht="12.75" customHeight="1" outlineLevel="2">
      <c r="A312" s="89" t="s">
        <v>131</v>
      </c>
      <c r="B312" s="198">
        <v>4.6</v>
      </c>
      <c r="C312" s="202" t="s">
        <v>2160</v>
      </c>
      <c r="D312" s="203" t="s">
        <v>75</v>
      </c>
      <c r="E312" s="214">
        <v>22.19</v>
      </c>
      <c r="F312" s="205">
        <v>28.0</v>
      </c>
      <c r="G312" s="206">
        <f>E312*F312</f>
        <v>621.32</v>
      </c>
      <c r="H312" s="219"/>
    </row>
    <row r="313" ht="12.75" customHeight="1" outlineLevel="2">
      <c r="B313" s="189"/>
      <c r="E313" s="79"/>
      <c r="F313" s="191"/>
      <c r="G313" s="220"/>
      <c r="H313" s="227"/>
    </row>
    <row r="314" ht="12.75" customHeight="1" outlineLevel="1">
      <c r="A314" s="89" t="s">
        <v>133</v>
      </c>
      <c r="B314" s="189"/>
      <c r="C314" s="184" t="s">
        <v>2161</v>
      </c>
      <c r="E314" s="79"/>
      <c r="F314" s="191"/>
      <c r="G314" s="220"/>
      <c r="H314" s="227"/>
    </row>
    <row r="315" ht="12.75" customHeight="1" outlineLevel="2">
      <c r="B315" s="189"/>
      <c r="E315" s="79"/>
      <c r="F315" s="191"/>
      <c r="G315" s="220"/>
      <c r="H315" s="227"/>
    </row>
    <row r="316" ht="12.75" customHeight="1" outlineLevel="2">
      <c r="A316" s="89" t="s">
        <v>135</v>
      </c>
      <c r="B316" s="198">
        <v>4.7</v>
      </c>
      <c r="C316" s="202" t="s">
        <v>2162</v>
      </c>
      <c r="D316" s="203" t="s">
        <v>40</v>
      </c>
      <c r="E316" s="214">
        <v>200.6</v>
      </c>
      <c r="F316" s="205">
        <v>56.0</v>
      </c>
      <c r="G316" s="206">
        <f>E316*F316</f>
        <v>11233.6</v>
      </c>
      <c r="H316" s="219"/>
    </row>
    <row r="317" ht="12.75" customHeight="1" outlineLevel="2">
      <c r="A317" s="208"/>
      <c r="B317" s="250"/>
      <c r="C317" s="152"/>
      <c r="D317" s="151"/>
      <c r="E317" s="153"/>
      <c r="F317" s="220"/>
      <c r="G317" s="220"/>
      <c r="H317" s="227"/>
    </row>
    <row r="318" ht="12.75" customHeight="1" outlineLevel="1">
      <c r="A318" s="208"/>
      <c r="B318" s="250"/>
      <c r="C318" s="152"/>
      <c r="D318" s="151"/>
      <c r="E318" s="153"/>
      <c r="F318" s="220"/>
      <c r="G318" s="220"/>
      <c r="H318" s="227"/>
    </row>
    <row r="319" ht="12.75" customHeight="1">
      <c r="A319" s="192"/>
      <c r="B319" s="83">
        <v>5.0</v>
      </c>
      <c r="C319" s="184" t="s">
        <v>2163</v>
      </c>
      <c r="D319" s="193"/>
      <c r="E319" s="194"/>
      <c r="F319" s="195"/>
      <c r="G319" s="196">
        <f>SUM(G323:G366)</f>
        <v>32070.2244</v>
      </c>
      <c r="H319" s="197">
        <f>G319-('Orcamento RU'!C10+'Orcamento RU'!C42)</f>
        <v>2879.0644</v>
      </c>
    </row>
    <row r="320" ht="12.75" customHeight="1" outlineLevel="1">
      <c r="A320" s="208"/>
      <c r="B320" s="250"/>
      <c r="C320" s="152"/>
      <c r="D320" s="151"/>
      <c r="E320" s="153"/>
      <c r="F320" s="220"/>
      <c r="G320" s="220"/>
      <c r="H320" s="227"/>
    </row>
    <row r="321" ht="12.75" customHeight="1" outlineLevel="1">
      <c r="A321" s="89" t="s">
        <v>36</v>
      </c>
      <c r="B321" s="189"/>
      <c r="C321" s="184" t="s">
        <v>2164</v>
      </c>
      <c r="E321" s="79"/>
      <c r="F321" s="220"/>
      <c r="G321" s="220"/>
      <c r="H321" s="227"/>
    </row>
    <row r="322" ht="12.75" customHeight="1" outlineLevel="2">
      <c r="B322" s="189"/>
      <c r="E322" s="79"/>
      <c r="F322" s="220"/>
      <c r="G322" s="220"/>
      <c r="H322" s="227"/>
    </row>
    <row r="323" ht="12.75" customHeight="1" outlineLevel="2">
      <c r="A323" s="95" t="s">
        <v>38</v>
      </c>
      <c r="B323" s="198">
        <v>5.1</v>
      </c>
      <c r="C323" s="202" t="s">
        <v>2165</v>
      </c>
      <c r="D323" s="203" t="s">
        <v>40</v>
      </c>
      <c r="E323" s="214">
        <v>155.42</v>
      </c>
      <c r="F323" s="205">
        <v>42.0</v>
      </c>
      <c r="G323" s="206">
        <f>E323*F323</f>
        <v>6527.64</v>
      </c>
      <c r="H323" s="219"/>
    </row>
    <row r="324" ht="12.75" customHeight="1" outlineLevel="2">
      <c r="A324" s="102"/>
      <c r="B324" s="189"/>
      <c r="C324" s="102"/>
      <c r="D324" s="102"/>
      <c r="E324" s="103"/>
      <c r="F324" s="220"/>
      <c r="G324" s="220"/>
      <c r="H324" s="227"/>
    </row>
    <row r="325" ht="12.75" customHeight="1" outlineLevel="2">
      <c r="A325" s="95" t="s">
        <v>41</v>
      </c>
      <c r="B325" s="198">
        <v>5.2</v>
      </c>
      <c r="C325" s="202" t="s">
        <v>2166</v>
      </c>
      <c r="D325" s="203" t="s">
        <v>40</v>
      </c>
      <c r="E325" s="214">
        <v>32.57</v>
      </c>
      <c r="F325" s="205">
        <v>32.0</v>
      </c>
      <c r="G325" s="206">
        <f>E325*F325</f>
        <v>1042.24</v>
      </c>
      <c r="H325" s="219"/>
    </row>
    <row r="326" ht="12.75" customHeight="1" outlineLevel="2">
      <c r="A326" s="102"/>
      <c r="B326" s="189"/>
      <c r="C326" s="102"/>
      <c r="D326" s="102"/>
      <c r="E326" s="103"/>
      <c r="F326" s="220"/>
      <c r="G326" s="220"/>
      <c r="H326" s="227"/>
    </row>
    <row r="327" ht="12.75" customHeight="1" outlineLevel="2">
      <c r="A327" s="95" t="s">
        <v>43</v>
      </c>
      <c r="B327" s="198">
        <v>5.3</v>
      </c>
      <c r="C327" s="202" t="s">
        <v>2167</v>
      </c>
      <c r="D327" s="203" t="s">
        <v>40</v>
      </c>
      <c r="E327" s="214">
        <v>144.31</v>
      </c>
      <c r="F327" s="205">
        <v>35.0</v>
      </c>
      <c r="G327" s="206">
        <f>E327*F327</f>
        <v>5050.85</v>
      </c>
      <c r="H327" s="219"/>
    </row>
    <row r="328" ht="12.75" customHeight="1" outlineLevel="2">
      <c r="B328" s="189"/>
      <c r="E328" s="79"/>
      <c r="F328" s="220"/>
      <c r="G328" s="220"/>
      <c r="H328" s="227"/>
    </row>
    <row r="329" ht="12.75" customHeight="1" outlineLevel="1">
      <c r="A329" s="89" t="s">
        <v>45</v>
      </c>
      <c r="B329" s="189"/>
      <c r="C329" s="184" t="s">
        <v>2168</v>
      </c>
      <c r="E329" s="79"/>
      <c r="F329" s="220"/>
      <c r="G329" s="220"/>
      <c r="H329" s="227"/>
    </row>
    <row r="330" ht="12.75" customHeight="1" outlineLevel="2">
      <c r="B330" s="189"/>
      <c r="E330" s="79"/>
      <c r="F330" s="220"/>
      <c r="G330" s="220"/>
      <c r="H330" s="227"/>
    </row>
    <row r="331" ht="12.75" customHeight="1" outlineLevel="2">
      <c r="A331" s="89" t="s">
        <v>47</v>
      </c>
      <c r="B331" s="198">
        <v>5.4</v>
      </c>
      <c r="C331" s="202" t="s">
        <v>2169</v>
      </c>
      <c r="D331" s="203" t="s">
        <v>40</v>
      </c>
      <c r="E331" s="214">
        <v>152.25</v>
      </c>
      <c r="F331" s="205">
        <v>32.0</v>
      </c>
      <c r="G331" s="206">
        <f>E331*F331</f>
        <v>4872</v>
      </c>
      <c r="H331" s="219"/>
    </row>
    <row r="332" ht="12.75" customHeight="1" outlineLevel="2">
      <c r="B332" s="189"/>
      <c r="E332" s="79"/>
      <c r="F332" s="220"/>
      <c r="G332" s="220"/>
      <c r="H332" s="227"/>
    </row>
    <row r="333" ht="12.75" customHeight="1" outlineLevel="2">
      <c r="A333" s="89" t="s">
        <v>49</v>
      </c>
      <c r="B333" s="198">
        <v>5.5</v>
      </c>
      <c r="C333" s="202" t="s">
        <v>2170</v>
      </c>
      <c r="D333" s="203" t="s">
        <v>40</v>
      </c>
      <c r="E333" s="214">
        <v>14.64</v>
      </c>
      <c r="F333" s="205">
        <v>32.0</v>
      </c>
      <c r="G333" s="206">
        <f>E333*F333</f>
        <v>468.48</v>
      </c>
      <c r="H333" s="219"/>
    </row>
    <row r="334" ht="12.75" customHeight="1" outlineLevel="2">
      <c r="B334" s="189"/>
      <c r="E334" s="79"/>
      <c r="F334" s="220"/>
      <c r="G334" s="220"/>
      <c r="H334" s="227"/>
    </row>
    <row r="335" ht="12.75" customHeight="1" outlineLevel="2">
      <c r="A335" s="89" t="s">
        <v>51</v>
      </c>
      <c r="B335" s="198">
        <v>5.6</v>
      </c>
      <c r="C335" s="202" t="s">
        <v>2171</v>
      </c>
      <c r="D335" s="203" t="s">
        <v>40</v>
      </c>
      <c r="E335" s="214">
        <v>48.01</v>
      </c>
      <c r="F335" s="205">
        <v>64.0</v>
      </c>
      <c r="G335" s="206">
        <f>E335*F335</f>
        <v>3072.64</v>
      </c>
      <c r="H335" s="219"/>
    </row>
    <row r="336" ht="12.75" customHeight="1" outlineLevel="2">
      <c r="B336" s="189"/>
      <c r="E336" s="79"/>
      <c r="F336" s="220"/>
      <c r="G336" s="220"/>
      <c r="H336" s="227"/>
    </row>
    <row r="337" ht="12.75" customHeight="1" outlineLevel="1">
      <c r="A337" s="89" t="s">
        <v>53</v>
      </c>
      <c r="B337" s="189"/>
      <c r="C337" s="184" t="s">
        <v>2172</v>
      </c>
      <c r="E337" s="79"/>
      <c r="F337" s="220"/>
      <c r="G337" s="220"/>
      <c r="H337" s="227"/>
    </row>
    <row r="338" ht="12.75" customHeight="1" outlineLevel="2">
      <c r="B338" s="189"/>
      <c r="E338" s="79"/>
      <c r="F338" s="220"/>
      <c r="G338" s="220"/>
      <c r="H338" s="227"/>
    </row>
    <row r="339" ht="12.75" customHeight="1" outlineLevel="2">
      <c r="A339" s="89" t="s">
        <v>55</v>
      </c>
      <c r="B339" s="198">
        <v>5.7</v>
      </c>
      <c r="C339" s="202" t="s">
        <v>2173</v>
      </c>
      <c r="D339" s="203" t="s">
        <v>40</v>
      </c>
      <c r="E339" s="214">
        <v>19.35</v>
      </c>
      <c r="F339" s="205">
        <v>52.0</v>
      </c>
      <c r="G339" s="206">
        <f>E339*F339</f>
        <v>1006.2</v>
      </c>
      <c r="H339" s="219"/>
    </row>
    <row r="340" ht="12.75" customHeight="1" outlineLevel="2">
      <c r="B340" s="189"/>
      <c r="E340" s="79"/>
      <c r="F340" s="220"/>
      <c r="G340" s="220"/>
      <c r="H340" s="227"/>
    </row>
    <row r="341" ht="12.75" customHeight="1" outlineLevel="2">
      <c r="A341" s="89" t="s">
        <v>57</v>
      </c>
      <c r="B341" s="198">
        <v>5.8</v>
      </c>
      <c r="C341" s="202" t="s">
        <v>2174</v>
      </c>
      <c r="D341" s="203" t="s">
        <v>40</v>
      </c>
      <c r="E341" s="214">
        <v>37.64</v>
      </c>
      <c r="F341" s="205">
        <v>50.0</v>
      </c>
      <c r="G341" s="206">
        <f>E341*F341</f>
        <v>1882</v>
      </c>
      <c r="H341" s="219"/>
    </row>
    <row r="342" ht="12.75" customHeight="1" outlineLevel="2">
      <c r="B342" s="189"/>
      <c r="E342" s="79"/>
      <c r="F342" s="220"/>
      <c r="G342" s="220"/>
      <c r="H342" s="227"/>
    </row>
    <row r="343" ht="12.75" customHeight="1" outlineLevel="2">
      <c r="A343" s="89" t="s">
        <v>59</v>
      </c>
      <c r="B343" s="198">
        <v>5.9</v>
      </c>
      <c r="C343" s="202" t="s">
        <v>2175</v>
      </c>
      <c r="D343" s="203" t="s">
        <v>40</v>
      </c>
      <c r="E343" s="214">
        <v>20.27</v>
      </c>
      <c r="F343" s="205">
        <v>51.0</v>
      </c>
      <c r="G343" s="206">
        <f>E343*F343</f>
        <v>1033.77</v>
      </c>
      <c r="H343" s="219"/>
    </row>
    <row r="344" ht="12.75" customHeight="1" outlineLevel="2">
      <c r="B344" s="189"/>
      <c r="E344" s="79"/>
      <c r="F344" s="220"/>
      <c r="G344" s="220"/>
      <c r="H344" s="227"/>
    </row>
    <row r="345" ht="12.75" customHeight="1" outlineLevel="2">
      <c r="A345" s="89" t="s">
        <v>61</v>
      </c>
      <c r="B345" s="198">
        <v>5.1</v>
      </c>
      <c r="C345" s="202" t="s">
        <v>2176</v>
      </c>
      <c r="D345" s="203" t="s">
        <v>40</v>
      </c>
      <c r="E345" s="214">
        <v>10.99</v>
      </c>
      <c r="F345" s="205">
        <v>51.0</v>
      </c>
      <c r="G345" s="206">
        <f>E345*F345</f>
        <v>560.49</v>
      </c>
      <c r="H345" s="219"/>
    </row>
    <row r="346" ht="12.75" customHeight="1" outlineLevel="2">
      <c r="B346" s="189"/>
      <c r="E346" s="79"/>
      <c r="F346" s="220"/>
      <c r="G346" s="220"/>
      <c r="H346" s="227"/>
    </row>
    <row r="347" ht="12.75" customHeight="1" outlineLevel="2">
      <c r="A347" s="89" t="s">
        <v>63</v>
      </c>
      <c r="B347" s="198">
        <v>5.11</v>
      </c>
      <c r="C347" s="202" t="s">
        <v>2177</v>
      </c>
      <c r="D347" s="203" t="s">
        <v>40</v>
      </c>
      <c r="E347" s="214">
        <v>17.94</v>
      </c>
      <c r="F347" s="205">
        <v>52.76</v>
      </c>
      <c r="G347" s="206">
        <f>E347*F347</f>
        <v>946.5144</v>
      </c>
      <c r="H347" s="219"/>
    </row>
    <row r="348" ht="12.75" customHeight="1" outlineLevel="2">
      <c r="B348" s="189"/>
      <c r="E348" s="79"/>
      <c r="F348" s="220"/>
      <c r="G348" s="220"/>
      <c r="H348" s="227"/>
    </row>
    <row r="349" ht="12.75" customHeight="1" outlineLevel="2">
      <c r="A349" s="89" t="s">
        <v>65</v>
      </c>
      <c r="B349" s="198">
        <v>5.12</v>
      </c>
      <c r="C349" s="202" t="s">
        <v>2178</v>
      </c>
      <c r="D349" s="203" t="s">
        <v>40</v>
      </c>
      <c r="E349" s="214">
        <v>12.91</v>
      </c>
      <c r="F349" s="205">
        <v>140.0</v>
      </c>
      <c r="G349" s="206">
        <f>E349*F349</f>
        <v>1807.4</v>
      </c>
      <c r="H349" s="219"/>
    </row>
    <row r="350" ht="12.75" customHeight="1" outlineLevel="2">
      <c r="A350" s="89"/>
      <c r="B350" s="230"/>
      <c r="C350" s="246"/>
      <c r="D350" s="130"/>
      <c r="E350" s="170"/>
      <c r="F350" s="239"/>
      <c r="G350" s="239"/>
      <c r="H350" s="240"/>
    </row>
    <row r="351" ht="12.75" customHeight="1" outlineLevel="1">
      <c r="A351" s="89" t="s">
        <v>69</v>
      </c>
      <c r="B351" s="189"/>
      <c r="C351" s="184" t="s">
        <v>2179</v>
      </c>
      <c r="E351" s="79"/>
      <c r="F351" s="191"/>
      <c r="G351" s="191"/>
      <c r="H351" s="240"/>
    </row>
    <row r="352" ht="12.75" customHeight="1" outlineLevel="2">
      <c r="B352" s="189"/>
      <c r="E352" s="79"/>
      <c r="F352" s="191"/>
      <c r="G352" s="191"/>
      <c r="H352" s="240"/>
    </row>
    <row r="353" ht="12.75" customHeight="1" outlineLevel="2">
      <c r="A353" s="89" t="s">
        <v>71</v>
      </c>
      <c r="B353" s="248">
        <v>5.13</v>
      </c>
      <c r="C353" s="245" t="s">
        <v>2180</v>
      </c>
      <c r="E353" s="79"/>
      <c r="F353" s="191"/>
      <c r="G353" s="191"/>
      <c r="H353" s="240"/>
    </row>
    <row r="354" ht="12.75" customHeight="1" outlineLevel="2">
      <c r="B354" s="189"/>
      <c r="E354" s="79"/>
      <c r="F354" s="191"/>
      <c r="G354" s="191"/>
      <c r="H354" s="240"/>
    </row>
    <row r="355" ht="12.75" customHeight="1" outlineLevel="2">
      <c r="A355" s="89" t="s">
        <v>73</v>
      </c>
      <c r="B355" s="198" t="s">
        <v>2181</v>
      </c>
      <c r="C355" s="202" t="s">
        <v>2182</v>
      </c>
      <c r="D355" s="203" t="s">
        <v>75</v>
      </c>
      <c r="E355" s="214">
        <v>1.0</v>
      </c>
      <c r="F355" s="205">
        <v>200.0</v>
      </c>
      <c r="G355" s="206">
        <f t="shared" ref="G355:G358" si="23">E355*F355</f>
        <v>200</v>
      </c>
      <c r="H355" s="240"/>
    </row>
    <row r="356" ht="12.75" customHeight="1" outlineLevel="2">
      <c r="A356" s="89" t="s">
        <v>76</v>
      </c>
      <c r="B356" s="198" t="s">
        <v>2183</v>
      </c>
      <c r="C356" s="202" t="s">
        <v>2184</v>
      </c>
      <c r="D356" s="203" t="s">
        <v>75</v>
      </c>
      <c r="E356" s="214">
        <v>1.0</v>
      </c>
      <c r="F356" s="205">
        <v>700.0</v>
      </c>
      <c r="G356" s="206">
        <f t="shared" si="23"/>
        <v>700</v>
      </c>
      <c r="H356" s="240"/>
    </row>
    <row r="357" ht="12.75" customHeight="1" outlineLevel="2">
      <c r="A357" s="89" t="s">
        <v>78</v>
      </c>
      <c r="B357" s="198" t="s">
        <v>2185</v>
      </c>
      <c r="C357" s="202" t="s">
        <v>2186</v>
      </c>
      <c r="D357" s="203" t="s">
        <v>75</v>
      </c>
      <c r="E357" s="214">
        <v>1.0</v>
      </c>
      <c r="F357" s="205">
        <v>690.0</v>
      </c>
      <c r="G357" s="206">
        <f t="shared" si="23"/>
        <v>690</v>
      </c>
      <c r="H357" s="240"/>
    </row>
    <row r="358" ht="12.75" customHeight="1" outlineLevel="2">
      <c r="A358" s="89" t="s">
        <v>80</v>
      </c>
      <c r="B358" s="198" t="s">
        <v>2187</v>
      </c>
      <c r="C358" s="202" t="s">
        <v>2188</v>
      </c>
      <c r="D358" s="203" t="s">
        <v>75</v>
      </c>
      <c r="E358" s="214">
        <v>1.0</v>
      </c>
      <c r="F358" s="205">
        <v>430.0</v>
      </c>
      <c r="G358" s="206">
        <f t="shared" si="23"/>
        <v>430</v>
      </c>
      <c r="H358" s="240"/>
    </row>
    <row r="359" ht="12.75" customHeight="1" outlineLevel="2">
      <c r="B359" s="189"/>
      <c r="E359" s="79"/>
      <c r="F359" s="241"/>
      <c r="G359" s="191"/>
      <c r="H359" s="240"/>
    </row>
    <row r="360" ht="12.75" customHeight="1" outlineLevel="2">
      <c r="A360" s="89" t="s">
        <v>82</v>
      </c>
      <c r="B360" s="248">
        <v>5.14</v>
      </c>
      <c r="C360" s="245" t="s">
        <v>2189</v>
      </c>
      <c r="E360" s="79"/>
      <c r="F360" s="241"/>
      <c r="G360" s="191"/>
      <c r="H360" s="240"/>
    </row>
    <row r="361" ht="12.75" customHeight="1" outlineLevel="2">
      <c r="B361" s="189"/>
      <c r="E361" s="79"/>
      <c r="F361" s="241"/>
      <c r="G361" s="191"/>
      <c r="H361" s="240"/>
    </row>
    <row r="362" ht="12.75" customHeight="1" outlineLevel="2">
      <c r="A362" s="89" t="s">
        <v>84</v>
      </c>
      <c r="B362" s="198" t="s">
        <v>2190</v>
      </c>
      <c r="C362" s="202" t="s">
        <v>2191</v>
      </c>
      <c r="D362" s="203" t="s">
        <v>75</v>
      </c>
      <c r="E362" s="214">
        <v>1.0</v>
      </c>
      <c r="F362" s="205">
        <v>70.0</v>
      </c>
      <c r="G362" s="206">
        <f t="shared" ref="G362:G366" si="24">E362*F362</f>
        <v>70</v>
      </c>
      <c r="H362" s="240"/>
    </row>
    <row r="363" ht="12.75" customHeight="1" outlineLevel="2">
      <c r="A363" s="89" t="s">
        <v>86</v>
      </c>
      <c r="B363" s="198" t="s">
        <v>2192</v>
      </c>
      <c r="C363" s="202" t="s">
        <v>2193</v>
      </c>
      <c r="D363" s="203" t="s">
        <v>75</v>
      </c>
      <c r="E363" s="214">
        <v>1.0</v>
      </c>
      <c r="F363" s="205">
        <v>600.0</v>
      </c>
      <c r="G363" s="206">
        <f t="shared" si="24"/>
        <v>600</v>
      </c>
      <c r="H363" s="240"/>
    </row>
    <row r="364" ht="12.75" customHeight="1" outlineLevel="2">
      <c r="A364" s="89" t="s">
        <v>88</v>
      </c>
      <c r="B364" s="198" t="s">
        <v>2194</v>
      </c>
      <c r="C364" s="202" t="s">
        <v>2195</v>
      </c>
      <c r="D364" s="203" t="s">
        <v>75</v>
      </c>
      <c r="E364" s="214">
        <v>1.0</v>
      </c>
      <c r="F364" s="205">
        <v>720.0</v>
      </c>
      <c r="G364" s="206">
        <f t="shared" si="24"/>
        <v>720</v>
      </c>
      <c r="H364" s="240"/>
    </row>
    <row r="365" ht="12.75" customHeight="1" outlineLevel="2">
      <c r="A365" s="89" t="s">
        <v>90</v>
      </c>
      <c r="B365" s="198" t="s">
        <v>2196</v>
      </c>
      <c r="C365" s="202" t="s">
        <v>2197</v>
      </c>
      <c r="D365" s="203" t="s">
        <v>75</v>
      </c>
      <c r="E365" s="214">
        <v>1.0</v>
      </c>
      <c r="F365" s="205">
        <v>210.0</v>
      </c>
      <c r="G365" s="206">
        <f t="shared" si="24"/>
        <v>210</v>
      </c>
      <c r="H365" s="240"/>
    </row>
    <row r="366" ht="12.75" customHeight="1" outlineLevel="2">
      <c r="A366" s="89" t="s">
        <v>92</v>
      </c>
      <c r="B366" s="198" t="s">
        <v>2198</v>
      </c>
      <c r="C366" s="202" t="s">
        <v>2199</v>
      </c>
      <c r="D366" s="203" t="s">
        <v>75</v>
      </c>
      <c r="E366" s="214">
        <v>1.0</v>
      </c>
      <c r="F366" s="205">
        <v>180.0</v>
      </c>
      <c r="G366" s="206">
        <f t="shared" si="24"/>
        <v>180</v>
      </c>
      <c r="H366" s="240"/>
    </row>
    <row r="367" ht="12.75" customHeight="1" outlineLevel="2">
      <c r="A367" s="89"/>
      <c r="B367" s="230"/>
      <c r="C367" s="246"/>
      <c r="D367" s="130"/>
      <c r="E367" s="170"/>
      <c r="F367" s="239"/>
      <c r="G367" s="239"/>
      <c r="H367" s="240"/>
    </row>
    <row r="368" ht="12.75" customHeight="1" outlineLevel="2">
      <c r="B368" s="189"/>
      <c r="F368" s="191"/>
      <c r="G368" s="191"/>
    </row>
    <row r="369" ht="12.75" customHeight="1" outlineLevel="1">
      <c r="A369" s="167"/>
      <c r="B369" s="167"/>
      <c r="C369" s="252"/>
      <c r="D369" s="171"/>
      <c r="E369" s="170"/>
      <c r="F369" s="239"/>
      <c r="G369" s="253"/>
      <c r="H369" s="169"/>
    </row>
    <row r="370" ht="12.75" customHeight="1">
      <c r="A370" s="192"/>
      <c r="B370" s="83">
        <v>6.0</v>
      </c>
      <c r="C370" s="184" t="s">
        <v>2200</v>
      </c>
      <c r="D370" s="193"/>
      <c r="E370" s="194"/>
      <c r="F370" s="195"/>
      <c r="G370" s="196">
        <f>SUM(G374:G380)</f>
        <v>55010.63</v>
      </c>
      <c r="H370" s="197">
        <f>G370-'Orcamento RU'!C114</f>
        <v>-5023.11</v>
      </c>
    </row>
    <row r="371" ht="12.75" customHeight="1" outlineLevel="1">
      <c r="A371" s="89"/>
      <c r="B371" s="230"/>
      <c r="C371" s="246"/>
      <c r="D371" s="130"/>
      <c r="E371" s="170"/>
      <c r="F371" s="239"/>
      <c r="G371" s="239"/>
      <c r="H371" s="240"/>
    </row>
    <row r="372" ht="12.75" customHeight="1" outlineLevel="1">
      <c r="A372" s="89"/>
      <c r="B372" s="230"/>
      <c r="C372" s="184" t="s">
        <v>2200</v>
      </c>
      <c r="D372" s="130"/>
      <c r="E372" s="170"/>
      <c r="F372" s="239"/>
      <c r="G372" s="239"/>
      <c r="H372" s="240"/>
    </row>
    <row r="373" ht="12.75" customHeight="1" outlineLevel="2">
      <c r="A373" s="89"/>
      <c r="B373" s="230"/>
      <c r="C373" s="246"/>
      <c r="D373" s="130"/>
      <c r="E373" s="170"/>
      <c r="F373" s="239"/>
      <c r="G373" s="239"/>
      <c r="H373" s="240"/>
    </row>
    <row r="374" ht="12.75" customHeight="1" outlineLevel="2">
      <c r="A374" s="254" t="s">
        <v>138</v>
      </c>
      <c r="B374" s="255">
        <v>6.1</v>
      </c>
      <c r="C374" s="256" t="s">
        <v>2201</v>
      </c>
      <c r="D374" s="257" t="s">
        <v>40</v>
      </c>
      <c r="E374" s="258">
        <v>181.91</v>
      </c>
      <c r="F374" s="259">
        <v>275.0</v>
      </c>
      <c r="G374" s="260">
        <f>E374*F374</f>
        <v>50025.25</v>
      </c>
      <c r="H374" s="261"/>
    </row>
    <row r="375" ht="12.75" customHeight="1" outlineLevel="2">
      <c r="B375" s="189"/>
      <c r="E375" s="79"/>
      <c r="F375" s="191"/>
      <c r="G375" s="191"/>
      <c r="H375" s="240"/>
    </row>
    <row r="376" ht="12.75" customHeight="1" outlineLevel="2">
      <c r="A376" s="89" t="s">
        <v>140</v>
      </c>
      <c r="B376" s="198">
        <v>6.2</v>
      </c>
      <c r="C376" s="202" t="s">
        <v>2202</v>
      </c>
      <c r="D376" s="203" t="s">
        <v>40</v>
      </c>
      <c r="E376" s="214">
        <v>37.14</v>
      </c>
      <c r="F376" s="205">
        <v>31.0</v>
      </c>
      <c r="G376" s="206">
        <f>E376*F376</f>
        <v>1151.34</v>
      </c>
      <c r="H376" s="219"/>
    </row>
    <row r="377" ht="12.75" customHeight="1" outlineLevel="2">
      <c r="B377" s="189"/>
      <c r="E377" s="79"/>
      <c r="F377" s="191"/>
      <c r="G377" s="191"/>
      <c r="H377" s="240"/>
    </row>
    <row r="378" ht="12.75" customHeight="1" outlineLevel="2">
      <c r="A378" s="254" t="s">
        <v>142</v>
      </c>
      <c r="B378" s="255">
        <v>6.3</v>
      </c>
      <c r="C378" s="256" t="s">
        <v>2203</v>
      </c>
      <c r="D378" s="257" t="s">
        <v>40</v>
      </c>
      <c r="E378" s="258">
        <v>15.09</v>
      </c>
      <c r="F378" s="259">
        <v>156.0</v>
      </c>
      <c r="G378" s="260">
        <f>E378*F378</f>
        <v>2354.04</v>
      </c>
      <c r="H378" s="261"/>
    </row>
    <row r="379" ht="12.75" customHeight="1" outlineLevel="2">
      <c r="B379" s="189"/>
      <c r="E379" s="79"/>
      <c r="F379" s="191"/>
      <c r="G379" s="191"/>
      <c r="H379" s="240"/>
    </row>
    <row r="380" ht="12.75" customHeight="1" outlineLevel="2">
      <c r="A380" s="89" t="s">
        <v>144</v>
      </c>
      <c r="B380" s="198">
        <v>6.4</v>
      </c>
      <c r="C380" s="202" t="s">
        <v>2204</v>
      </c>
      <c r="D380" s="203" t="s">
        <v>75</v>
      </c>
      <c r="E380" s="214">
        <v>2.0</v>
      </c>
      <c r="F380" s="205">
        <v>740.0</v>
      </c>
      <c r="G380" s="206">
        <f>E380*F380</f>
        <v>1480</v>
      </c>
      <c r="H380" s="219"/>
    </row>
    <row r="381" ht="12.75" customHeight="1" outlineLevel="1">
      <c r="A381" s="89"/>
      <c r="B381" s="230"/>
      <c r="C381" s="246"/>
      <c r="D381" s="130"/>
      <c r="E381" s="170"/>
      <c r="F381" s="239"/>
      <c r="G381" s="239"/>
      <c r="H381" s="240"/>
    </row>
    <row r="382" ht="12.75" customHeight="1">
      <c r="A382" s="192"/>
      <c r="B382" s="83">
        <v>7.0</v>
      </c>
      <c r="C382" s="184" t="s">
        <v>2205</v>
      </c>
      <c r="D382" s="193"/>
      <c r="E382" s="194"/>
      <c r="F382" s="195"/>
      <c r="G382" s="196">
        <f>SUM(G386:G398)</f>
        <v>16547.615</v>
      </c>
      <c r="H382" s="197">
        <f>G382-Resumo!J30</f>
        <v>1090.745</v>
      </c>
    </row>
    <row r="383" ht="12.75" customHeight="1" outlineLevel="1">
      <c r="A383" s="89"/>
      <c r="B383" s="230"/>
      <c r="C383" s="246"/>
      <c r="D383" s="130"/>
      <c r="E383" s="170"/>
      <c r="F383" s="239"/>
      <c r="G383" s="239"/>
      <c r="H383" s="240"/>
    </row>
    <row r="384" ht="12.75" customHeight="1" outlineLevel="1">
      <c r="A384" s="89" t="s">
        <v>147</v>
      </c>
      <c r="B384" s="189"/>
      <c r="C384" s="184" t="s">
        <v>2206</v>
      </c>
      <c r="E384" s="79"/>
      <c r="F384" s="191"/>
      <c r="G384" s="191"/>
      <c r="H384" s="240"/>
    </row>
    <row r="385" ht="12.75" customHeight="1" outlineLevel="2">
      <c r="B385" s="189"/>
      <c r="E385" s="79"/>
      <c r="F385" s="191"/>
      <c r="G385" s="191"/>
      <c r="H385" s="240"/>
    </row>
    <row r="386" ht="12.75" customHeight="1" outlineLevel="2">
      <c r="A386" s="89" t="s">
        <v>149</v>
      </c>
      <c r="B386" s="198">
        <v>7.1</v>
      </c>
      <c r="C386" s="202" t="s">
        <v>2207</v>
      </c>
      <c r="D386" s="203" t="s">
        <v>40</v>
      </c>
      <c r="E386" s="214">
        <v>42.56</v>
      </c>
      <c r="F386" s="205">
        <v>14.0</v>
      </c>
      <c r="G386" s="206">
        <f>E386*F386</f>
        <v>595.84</v>
      </c>
      <c r="H386" s="219"/>
    </row>
    <row r="387" ht="12.75" customHeight="1" outlineLevel="2">
      <c r="B387" s="189"/>
      <c r="E387" s="79"/>
      <c r="F387" s="191"/>
      <c r="G387" s="191"/>
      <c r="H387" s="240"/>
    </row>
    <row r="388" ht="12.75" customHeight="1" outlineLevel="1">
      <c r="A388" s="89" t="s">
        <v>151</v>
      </c>
      <c r="B388" s="189"/>
      <c r="C388" s="184" t="s">
        <v>2208</v>
      </c>
      <c r="E388" s="79"/>
      <c r="F388" s="191"/>
      <c r="G388" s="191"/>
      <c r="H388" s="240"/>
    </row>
    <row r="389" ht="12.75" customHeight="1" outlineLevel="2">
      <c r="B389" s="189"/>
      <c r="E389" s="79"/>
      <c r="F389" s="191"/>
      <c r="G389" s="191"/>
      <c r="H389" s="240"/>
    </row>
    <row r="390" ht="12.75" customHeight="1" outlineLevel="2">
      <c r="A390" s="89" t="s">
        <v>153</v>
      </c>
      <c r="B390" s="198">
        <v>7.2</v>
      </c>
      <c r="C390" s="202" t="s">
        <v>2209</v>
      </c>
      <c r="D390" s="203" t="s">
        <v>40</v>
      </c>
      <c r="E390" s="214">
        <v>331.34</v>
      </c>
      <c r="F390" s="205">
        <v>14.0</v>
      </c>
      <c r="G390" s="206">
        <f>E390*F390</f>
        <v>4638.76</v>
      </c>
      <c r="H390" s="219"/>
    </row>
    <row r="391" ht="12.75" customHeight="1" outlineLevel="2">
      <c r="B391" s="189"/>
      <c r="E391" s="79"/>
      <c r="F391" s="191"/>
      <c r="G391" s="191"/>
      <c r="H391" s="240"/>
    </row>
    <row r="392" ht="12.75" customHeight="1" outlineLevel="2">
      <c r="A392" s="89" t="s">
        <v>155</v>
      </c>
      <c r="B392" s="198">
        <v>7.3</v>
      </c>
      <c r="C392" s="202" t="s">
        <v>2210</v>
      </c>
      <c r="D392" s="203" t="s">
        <v>40</v>
      </c>
      <c r="E392" s="214">
        <v>170.41</v>
      </c>
      <c r="F392" s="205">
        <v>32.5</v>
      </c>
      <c r="G392" s="206">
        <f>E392*F392</f>
        <v>5538.325</v>
      </c>
      <c r="H392" s="219" t="s">
        <v>2211</v>
      </c>
    </row>
    <row r="393" ht="12.75" customHeight="1" outlineLevel="2">
      <c r="B393" s="189"/>
      <c r="E393" s="79"/>
      <c r="F393" s="191"/>
      <c r="G393" s="191"/>
      <c r="H393" s="240"/>
    </row>
    <row r="394" ht="12.75" customHeight="1" outlineLevel="2">
      <c r="A394" s="89" t="s">
        <v>157</v>
      </c>
      <c r="B394" s="198">
        <v>7.4</v>
      </c>
      <c r="C394" s="202" t="s">
        <v>2212</v>
      </c>
      <c r="D394" s="203" t="s">
        <v>40</v>
      </c>
      <c r="E394" s="214">
        <v>59.45</v>
      </c>
      <c r="F394" s="205">
        <v>37.0</v>
      </c>
      <c r="G394" s="206">
        <f>E394*F394</f>
        <v>2199.65</v>
      </c>
      <c r="H394" s="219"/>
    </row>
    <row r="395" ht="12.75" customHeight="1" outlineLevel="2">
      <c r="B395" s="189"/>
      <c r="E395" s="79"/>
      <c r="F395" s="191"/>
      <c r="G395" s="191"/>
      <c r="H395" s="240"/>
    </row>
    <row r="396" ht="12.75" customHeight="1" outlineLevel="2">
      <c r="A396" s="89" t="s">
        <v>159</v>
      </c>
      <c r="B396" s="198">
        <v>7.5</v>
      </c>
      <c r="C396" s="202" t="s">
        <v>2213</v>
      </c>
      <c r="D396" s="203" t="s">
        <v>161</v>
      </c>
      <c r="E396" s="214">
        <v>11.9</v>
      </c>
      <c r="F396" s="205">
        <v>30.0</v>
      </c>
      <c r="G396" s="206">
        <f>E396*F396</f>
        <v>357</v>
      </c>
      <c r="H396" s="219"/>
    </row>
    <row r="397" ht="12.75" customHeight="1" outlineLevel="2">
      <c r="B397" s="189"/>
      <c r="E397" s="79"/>
      <c r="F397" s="191"/>
      <c r="G397" s="191"/>
      <c r="H397" s="240"/>
    </row>
    <row r="398" ht="12.75" customHeight="1" outlineLevel="2">
      <c r="A398" s="89" t="s">
        <v>162</v>
      </c>
      <c r="B398" s="198">
        <v>7.6</v>
      </c>
      <c r="C398" s="202" t="s">
        <v>2214</v>
      </c>
      <c r="D398" s="203" t="s">
        <v>40</v>
      </c>
      <c r="E398" s="214">
        <v>229.86</v>
      </c>
      <c r="F398" s="205">
        <v>14.0</v>
      </c>
      <c r="G398" s="206">
        <f>E398*F398</f>
        <v>3218.04</v>
      </c>
      <c r="H398" s="219"/>
    </row>
    <row r="399" ht="12.75" customHeight="1" outlineLevel="2">
      <c r="A399" s="89"/>
      <c r="B399" s="230"/>
      <c r="C399" s="246"/>
      <c r="D399" s="130"/>
      <c r="E399" s="170"/>
      <c r="F399" s="239"/>
      <c r="G399" s="239"/>
      <c r="H399" s="240"/>
    </row>
    <row r="400" ht="12.75" customHeight="1" outlineLevel="1">
      <c r="A400" s="89"/>
      <c r="B400" s="230"/>
      <c r="C400" s="246"/>
      <c r="D400" s="130"/>
      <c r="E400" s="170"/>
      <c r="F400" s="239"/>
      <c r="G400" s="239"/>
      <c r="H400" s="240"/>
    </row>
    <row r="401" ht="12.75" customHeight="1">
      <c r="A401" s="192"/>
      <c r="B401" s="83">
        <v>8.0</v>
      </c>
      <c r="C401" s="184" t="s">
        <v>2215</v>
      </c>
      <c r="D401" s="193"/>
      <c r="E401" s="194"/>
      <c r="F401" s="195"/>
      <c r="G401" s="196">
        <f>SUM(G405:G431)</f>
        <v>82409.94</v>
      </c>
      <c r="H401" s="197">
        <f>G401-'Orcamento RU'!C142</f>
        <v>-8315.38</v>
      </c>
    </row>
    <row r="402" ht="12.75" customHeight="1" outlineLevel="1">
      <c r="A402" s="89"/>
      <c r="B402" s="262"/>
      <c r="C402" s="246"/>
      <c r="D402" s="130"/>
      <c r="E402" s="170"/>
      <c r="F402" s="239"/>
      <c r="G402" s="239"/>
      <c r="H402" s="240"/>
    </row>
    <row r="403" ht="12.75" customHeight="1" outlineLevel="1">
      <c r="A403" s="89" t="s">
        <v>166</v>
      </c>
      <c r="B403" s="263"/>
      <c r="C403" s="184" t="s">
        <v>2216</v>
      </c>
      <c r="E403" s="79"/>
      <c r="F403" s="191"/>
      <c r="G403" s="191"/>
      <c r="H403" s="240"/>
    </row>
    <row r="404" ht="12.75" customHeight="1" outlineLevel="2">
      <c r="B404" s="263"/>
      <c r="E404" s="79"/>
      <c r="F404" s="191"/>
      <c r="G404" s="191"/>
      <c r="H404" s="240"/>
    </row>
    <row r="405" ht="12.75" customHeight="1" outlineLevel="2">
      <c r="A405" s="89" t="s">
        <v>168</v>
      </c>
      <c r="B405" s="264">
        <v>8.1</v>
      </c>
      <c r="C405" s="202" t="s">
        <v>2217</v>
      </c>
      <c r="D405" s="203" t="s">
        <v>40</v>
      </c>
      <c r="E405" s="214">
        <v>110.6</v>
      </c>
      <c r="F405" s="205">
        <v>13.0</v>
      </c>
      <c r="G405" s="206">
        <f>E405*F405</f>
        <v>1437.8</v>
      </c>
      <c r="H405" s="219"/>
    </row>
    <row r="406" ht="12.75" customHeight="1" outlineLevel="2">
      <c r="B406" s="263"/>
      <c r="E406" s="79"/>
      <c r="F406" s="191"/>
      <c r="G406" s="191"/>
      <c r="H406" s="240"/>
    </row>
    <row r="407" ht="12.75" customHeight="1" outlineLevel="2">
      <c r="A407" s="89" t="s">
        <v>170</v>
      </c>
      <c r="B407" s="264">
        <v>8.2</v>
      </c>
      <c r="C407" s="202" t="s">
        <v>2218</v>
      </c>
      <c r="D407" s="203" t="s">
        <v>40</v>
      </c>
      <c r="E407" s="214">
        <v>319.19</v>
      </c>
      <c r="F407" s="205">
        <v>25.0</v>
      </c>
      <c r="G407" s="206">
        <f>E407*F407</f>
        <v>7979.75</v>
      </c>
      <c r="H407" s="219"/>
    </row>
    <row r="408" ht="12.75" customHeight="1" outlineLevel="2">
      <c r="B408" s="263"/>
      <c r="E408" s="79"/>
      <c r="F408" s="191"/>
      <c r="G408" s="191"/>
      <c r="H408" s="240"/>
    </row>
    <row r="409" ht="12.75" customHeight="1" outlineLevel="2">
      <c r="A409" s="89" t="s">
        <v>172</v>
      </c>
      <c r="B409" s="264">
        <v>8.3</v>
      </c>
      <c r="C409" s="202" t="s">
        <v>2219</v>
      </c>
      <c r="D409" s="203" t="s">
        <v>40</v>
      </c>
      <c r="E409" s="214">
        <v>131.48</v>
      </c>
      <c r="F409" s="205">
        <v>75.0</v>
      </c>
      <c r="G409" s="206">
        <f>E409*F409</f>
        <v>9861</v>
      </c>
      <c r="H409" s="219"/>
    </row>
    <row r="410" ht="12.75" customHeight="1" outlineLevel="2">
      <c r="B410" s="263"/>
      <c r="E410" s="79"/>
      <c r="F410" s="191"/>
      <c r="G410" s="191"/>
      <c r="H410" s="240"/>
    </row>
    <row r="411" ht="12.75" customHeight="1" outlineLevel="2">
      <c r="A411" s="89" t="s">
        <v>174</v>
      </c>
      <c r="B411" s="265">
        <v>8.4</v>
      </c>
      <c r="C411" s="256" t="s">
        <v>2220</v>
      </c>
      <c r="D411" s="257" t="s">
        <v>40</v>
      </c>
      <c r="E411" s="258">
        <v>106.79</v>
      </c>
      <c r="F411" s="259">
        <v>230.0</v>
      </c>
      <c r="G411" s="260">
        <f>E411*F411</f>
        <v>24561.7</v>
      </c>
      <c r="H411" s="266" t="s">
        <v>2221</v>
      </c>
    </row>
    <row r="412" ht="12.75" customHeight="1" outlineLevel="2">
      <c r="B412" s="263"/>
      <c r="E412" s="79"/>
      <c r="F412" s="191"/>
      <c r="G412" s="191"/>
      <c r="H412" s="240"/>
    </row>
    <row r="413" ht="12.75" customHeight="1" outlineLevel="2">
      <c r="A413" s="89" t="s">
        <v>176</v>
      </c>
      <c r="B413" s="264">
        <v>8.5</v>
      </c>
      <c r="C413" s="202" t="s">
        <v>2222</v>
      </c>
      <c r="D413" s="203" t="s">
        <v>40</v>
      </c>
      <c r="E413" s="214">
        <v>353.75</v>
      </c>
      <c r="F413" s="205">
        <v>21.0</v>
      </c>
      <c r="G413" s="206">
        <f>E413*F413</f>
        <v>7428.75</v>
      </c>
      <c r="H413" s="219"/>
    </row>
    <row r="414" ht="12.75" customHeight="1" outlineLevel="2">
      <c r="B414" s="263"/>
      <c r="E414" s="79"/>
      <c r="F414" s="191"/>
      <c r="G414" s="191"/>
      <c r="H414" s="240"/>
    </row>
    <row r="415" ht="12.75" customHeight="1" outlineLevel="2">
      <c r="A415" s="89" t="s">
        <v>178</v>
      </c>
      <c r="B415" s="264">
        <v>8.6</v>
      </c>
      <c r="C415" s="202" t="s">
        <v>2223</v>
      </c>
      <c r="D415" s="203" t="s">
        <v>40</v>
      </c>
      <c r="E415" s="214">
        <v>34.56</v>
      </c>
      <c r="F415" s="205">
        <v>14.0</v>
      </c>
      <c r="G415" s="206">
        <f>E415*F415</f>
        <v>483.84</v>
      </c>
      <c r="H415" s="219"/>
    </row>
    <row r="416" ht="12.75" customHeight="1" outlineLevel="2">
      <c r="B416" s="263"/>
      <c r="E416" s="79"/>
      <c r="F416" s="191"/>
      <c r="G416" s="191"/>
      <c r="H416" s="240"/>
    </row>
    <row r="417" ht="12.75" customHeight="1" outlineLevel="1">
      <c r="A417" s="89" t="s">
        <v>180</v>
      </c>
      <c r="B417" s="263"/>
      <c r="C417" s="184" t="s">
        <v>2224</v>
      </c>
      <c r="E417" s="79"/>
      <c r="F417" s="191"/>
      <c r="G417" s="191"/>
    </row>
    <row r="418" ht="12.75" customHeight="1" outlineLevel="2">
      <c r="B418" s="263"/>
      <c r="E418" s="79"/>
      <c r="F418" s="191"/>
      <c r="G418" s="191"/>
      <c r="H418" s="240"/>
    </row>
    <row r="419" ht="12.75" customHeight="1" outlineLevel="2">
      <c r="A419" s="89" t="s">
        <v>182</v>
      </c>
      <c r="B419" s="264">
        <v>8.7</v>
      </c>
      <c r="C419" s="202" t="s">
        <v>2225</v>
      </c>
      <c r="D419" s="203" t="s">
        <v>40</v>
      </c>
      <c r="E419" s="214">
        <v>52.0</v>
      </c>
      <c r="F419" s="205">
        <v>13.0</v>
      </c>
      <c r="G419" s="206">
        <f>E419*F419</f>
        <v>676</v>
      </c>
      <c r="H419" s="219"/>
    </row>
    <row r="420" ht="12.75" customHeight="1" outlineLevel="2">
      <c r="B420" s="263"/>
      <c r="E420" s="79"/>
      <c r="F420" s="191"/>
      <c r="G420" s="191"/>
      <c r="H420" s="240"/>
    </row>
    <row r="421" ht="12.75" customHeight="1" outlineLevel="2">
      <c r="A421" s="89" t="s">
        <v>184</v>
      </c>
      <c r="B421" s="264">
        <v>8.8</v>
      </c>
      <c r="C421" s="202" t="s">
        <v>2226</v>
      </c>
      <c r="D421" s="203" t="s">
        <v>40</v>
      </c>
      <c r="E421" s="214">
        <v>466.94</v>
      </c>
      <c r="F421" s="205">
        <v>21.0</v>
      </c>
      <c r="G421" s="206">
        <f>E421*F421</f>
        <v>9805.74</v>
      </c>
      <c r="H421" s="219"/>
    </row>
    <row r="422" ht="12.75" customHeight="1" outlineLevel="2">
      <c r="B422" s="263"/>
      <c r="E422" s="79"/>
      <c r="F422" s="191"/>
      <c r="G422" s="191"/>
      <c r="H422" s="240"/>
    </row>
    <row r="423" ht="12.75" customHeight="1" outlineLevel="2">
      <c r="A423" s="89" t="s">
        <v>186</v>
      </c>
      <c r="B423" s="264">
        <v>8.9</v>
      </c>
      <c r="C423" s="202" t="s">
        <v>2227</v>
      </c>
      <c r="D423" s="203" t="s">
        <v>40</v>
      </c>
      <c r="E423" s="214">
        <v>81.43</v>
      </c>
      <c r="F423" s="205">
        <v>87.0</v>
      </c>
      <c r="G423" s="206">
        <f>E423*F423</f>
        <v>7084.41</v>
      </c>
      <c r="H423" s="219" t="s">
        <v>2228</v>
      </c>
    </row>
    <row r="424" ht="12.75" customHeight="1" outlineLevel="2">
      <c r="B424" s="263"/>
      <c r="E424" s="79"/>
      <c r="F424" s="191"/>
      <c r="G424" s="191"/>
      <c r="H424" s="240"/>
    </row>
    <row r="425" ht="12.75" customHeight="1" outlineLevel="2">
      <c r="A425" s="89" t="s">
        <v>188</v>
      </c>
      <c r="B425" s="267">
        <v>8.1</v>
      </c>
      <c r="C425" s="268" t="s">
        <v>2229</v>
      </c>
      <c r="D425" s="269" t="s">
        <v>40</v>
      </c>
      <c r="E425" s="270">
        <v>46.05</v>
      </c>
      <c r="F425" s="205">
        <v>87.0</v>
      </c>
      <c r="G425" s="206">
        <f>E425*F425</f>
        <v>4006.35</v>
      </c>
      <c r="H425" s="219" t="s">
        <v>2230</v>
      </c>
    </row>
    <row r="426" ht="12.75" customHeight="1" outlineLevel="2">
      <c r="B426" s="263"/>
      <c r="E426" s="79"/>
      <c r="F426" s="191"/>
      <c r="G426" s="191"/>
      <c r="H426" s="240"/>
    </row>
    <row r="427" ht="12.75" customHeight="1" outlineLevel="2">
      <c r="A427" s="89" t="s">
        <v>190</v>
      </c>
      <c r="B427" s="267">
        <v>8.11</v>
      </c>
      <c r="C427" s="268" t="s">
        <v>2231</v>
      </c>
      <c r="D427" s="269" t="s">
        <v>40</v>
      </c>
      <c r="E427" s="270">
        <v>50.7</v>
      </c>
      <c r="F427" s="205">
        <v>21.0</v>
      </c>
      <c r="G427" s="206">
        <f>E427*F427</f>
        <v>1064.7</v>
      </c>
      <c r="H427" s="271"/>
    </row>
    <row r="428" ht="12.75" customHeight="1" outlineLevel="2">
      <c r="B428" s="263"/>
      <c r="E428" s="79"/>
      <c r="F428" s="191"/>
      <c r="G428" s="191"/>
      <c r="H428" s="240"/>
    </row>
    <row r="429" ht="12.75" customHeight="1" outlineLevel="2">
      <c r="A429" s="89" t="s">
        <v>192</v>
      </c>
      <c r="B429" s="267">
        <v>8.12</v>
      </c>
      <c r="C429" s="268" t="s">
        <v>2232</v>
      </c>
      <c r="D429" s="269" t="s">
        <v>40</v>
      </c>
      <c r="E429" s="270">
        <v>551.51</v>
      </c>
      <c r="F429" s="205">
        <v>14.0</v>
      </c>
      <c r="G429" s="206">
        <f>E429*F429</f>
        <v>7721.14</v>
      </c>
      <c r="H429" s="271"/>
    </row>
    <row r="430" ht="12.75" customHeight="1" outlineLevel="2">
      <c r="B430" s="263"/>
      <c r="E430" s="79"/>
      <c r="F430" s="191"/>
      <c r="G430" s="191"/>
      <c r="H430" s="240"/>
    </row>
    <row r="431" ht="12.75" customHeight="1" outlineLevel="2">
      <c r="A431" s="89" t="s">
        <v>194</v>
      </c>
      <c r="B431" s="267">
        <v>8.13</v>
      </c>
      <c r="C431" s="268" t="s">
        <v>2233</v>
      </c>
      <c r="D431" s="269" t="s">
        <v>40</v>
      </c>
      <c r="E431" s="270">
        <v>21.34</v>
      </c>
      <c r="F431" s="205">
        <v>14.0</v>
      </c>
      <c r="G431" s="206">
        <f>E431*F431</f>
        <v>298.76</v>
      </c>
      <c r="H431" s="271"/>
    </row>
    <row r="432" ht="12.75" customHeight="1" outlineLevel="2">
      <c r="A432" s="89"/>
      <c r="B432" s="262"/>
      <c r="C432" s="246"/>
      <c r="D432" s="130"/>
      <c r="E432" s="170"/>
      <c r="F432" s="239"/>
      <c r="G432" s="239"/>
      <c r="H432" s="240"/>
    </row>
    <row r="433" ht="12.75" customHeight="1" outlineLevel="1">
      <c r="A433" s="89"/>
      <c r="B433" s="262"/>
      <c r="C433" s="246"/>
      <c r="D433" s="130"/>
      <c r="E433" s="170"/>
      <c r="F433" s="239"/>
      <c r="G433" s="239"/>
      <c r="H433" s="240"/>
    </row>
    <row r="434" ht="12.75" customHeight="1">
      <c r="A434" s="192"/>
      <c r="B434" s="83">
        <v>9.0</v>
      </c>
      <c r="C434" s="184" t="s">
        <v>2234</v>
      </c>
      <c r="D434" s="193"/>
      <c r="E434" s="194"/>
      <c r="F434" s="195"/>
      <c r="G434" s="196">
        <f>SUM(G438:G479)</f>
        <v>116008.42</v>
      </c>
      <c r="H434" s="197">
        <f>G434-'Orcamento RU'!C174</f>
        <v>-9735.89</v>
      </c>
    </row>
    <row r="435" ht="12.75" customHeight="1" outlineLevel="1">
      <c r="A435" s="89"/>
      <c r="B435" s="230"/>
      <c r="C435" s="246"/>
      <c r="D435" s="130"/>
      <c r="E435" s="170"/>
      <c r="F435" s="239"/>
      <c r="G435" s="239"/>
      <c r="H435" s="240"/>
    </row>
    <row r="436" ht="12.75" customHeight="1" outlineLevel="1">
      <c r="A436" s="89" t="s">
        <v>198</v>
      </c>
      <c r="B436" s="189"/>
      <c r="C436" s="184" t="s">
        <v>2235</v>
      </c>
      <c r="E436" s="79"/>
      <c r="F436" s="80"/>
      <c r="G436" s="80"/>
      <c r="H436" s="240"/>
    </row>
    <row r="437" ht="15.75" customHeight="1" outlineLevel="2">
      <c r="B437" s="189"/>
      <c r="E437" s="79"/>
      <c r="F437" s="80"/>
      <c r="G437" s="80"/>
      <c r="H437" s="240"/>
    </row>
    <row r="438" ht="12.75" customHeight="1" outlineLevel="2">
      <c r="A438" s="89" t="s">
        <v>200</v>
      </c>
      <c r="B438" s="272">
        <v>9.1</v>
      </c>
      <c r="C438" s="268" t="s">
        <v>2236</v>
      </c>
      <c r="D438" s="269" t="s">
        <v>40</v>
      </c>
      <c r="E438" s="270">
        <v>228.22</v>
      </c>
      <c r="F438" s="205">
        <v>40.0</v>
      </c>
      <c r="G438" s="206">
        <f>E438*F438</f>
        <v>9128.8</v>
      </c>
      <c r="H438" s="271"/>
    </row>
    <row r="439" ht="12.75" customHeight="1" outlineLevel="2">
      <c r="B439" s="189"/>
      <c r="E439" s="79"/>
      <c r="F439" s="80"/>
      <c r="G439" s="80"/>
      <c r="H439" s="240"/>
    </row>
    <row r="440" ht="12.75" customHeight="1" outlineLevel="2">
      <c r="A440" s="89" t="s">
        <v>202</v>
      </c>
      <c r="B440" s="272">
        <v>9.2</v>
      </c>
      <c r="C440" s="268" t="s">
        <v>2237</v>
      </c>
      <c r="D440" s="269" t="s">
        <v>40</v>
      </c>
      <c r="E440" s="270">
        <v>153.22</v>
      </c>
      <c r="F440" s="205">
        <v>35.0</v>
      </c>
      <c r="G440" s="206">
        <f>E440*F440</f>
        <v>5362.7</v>
      </c>
      <c r="H440" s="271"/>
    </row>
    <row r="441" ht="12.75" customHeight="1" outlineLevel="2">
      <c r="B441" s="189"/>
      <c r="E441" s="79"/>
      <c r="F441" s="80"/>
      <c r="G441" s="80"/>
      <c r="H441" s="240"/>
    </row>
    <row r="442" ht="12.75" customHeight="1" outlineLevel="2">
      <c r="A442" s="89" t="s">
        <v>204</v>
      </c>
      <c r="B442" s="272">
        <v>9.3</v>
      </c>
      <c r="C442" s="268" t="s">
        <v>2238</v>
      </c>
      <c r="D442" s="269" t="s">
        <v>40</v>
      </c>
      <c r="E442" s="270">
        <v>50.95</v>
      </c>
      <c r="F442" s="205">
        <v>61.0</v>
      </c>
      <c r="G442" s="206">
        <f>E442*F442</f>
        <v>3107.95</v>
      </c>
      <c r="H442" s="271"/>
    </row>
    <row r="443" ht="12.75" customHeight="1" outlineLevel="2">
      <c r="B443" s="189"/>
      <c r="E443" s="79"/>
      <c r="F443" s="80"/>
      <c r="G443" s="80"/>
      <c r="H443" s="240"/>
    </row>
    <row r="444" ht="12.75" customHeight="1" outlineLevel="2">
      <c r="A444" s="89" t="s">
        <v>206</v>
      </c>
      <c r="B444" s="272">
        <v>9.4</v>
      </c>
      <c r="C444" s="273" t="s">
        <v>2239</v>
      </c>
      <c r="D444" s="274"/>
      <c r="E444" s="275"/>
      <c r="F444" s="239"/>
      <c r="G444" s="239"/>
      <c r="H444" s="276"/>
    </row>
    <row r="445" ht="12.75" customHeight="1" outlineLevel="3">
      <c r="B445" s="189"/>
      <c r="E445" s="79"/>
      <c r="F445" s="80"/>
      <c r="G445" s="80"/>
      <c r="H445" s="240"/>
    </row>
    <row r="446" ht="12.75" customHeight="1" outlineLevel="3">
      <c r="A446" s="89" t="s">
        <v>208</v>
      </c>
      <c r="B446" s="272" t="s">
        <v>2240</v>
      </c>
      <c r="C446" s="268" t="s">
        <v>2241</v>
      </c>
      <c r="D446" s="269" t="s">
        <v>40</v>
      </c>
      <c r="E446" s="270">
        <v>1.27</v>
      </c>
      <c r="F446" s="205">
        <v>180.0</v>
      </c>
      <c r="G446" s="206">
        <f>E446*F446</f>
        <v>228.6</v>
      </c>
      <c r="H446" s="271"/>
    </row>
    <row r="447" ht="12.75" customHeight="1" outlineLevel="3">
      <c r="B447" s="189"/>
      <c r="E447" s="79"/>
      <c r="F447" s="80"/>
      <c r="G447" s="80"/>
      <c r="H447" s="240"/>
    </row>
    <row r="448" ht="12.75" customHeight="1" outlineLevel="3">
      <c r="A448" s="89" t="s">
        <v>210</v>
      </c>
      <c r="B448" s="272" t="s">
        <v>2242</v>
      </c>
      <c r="C448" s="268" t="s">
        <v>2243</v>
      </c>
      <c r="D448" s="269" t="s">
        <v>40</v>
      </c>
      <c r="E448" s="270">
        <v>5.38</v>
      </c>
      <c r="F448" s="205">
        <v>180.0</v>
      </c>
      <c r="G448" s="206">
        <f>E448*F448</f>
        <v>968.4</v>
      </c>
      <c r="H448" s="271"/>
    </row>
    <row r="449" ht="12.75" customHeight="1" outlineLevel="3">
      <c r="B449" s="189"/>
      <c r="E449" s="79"/>
      <c r="F449" s="80"/>
      <c r="G449" s="80"/>
      <c r="H449" s="240"/>
    </row>
    <row r="450" ht="12.75" customHeight="1" outlineLevel="3">
      <c r="A450" s="89" t="s">
        <v>212</v>
      </c>
      <c r="B450" s="272" t="s">
        <v>2244</v>
      </c>
      <c r="C450" s="268" t="s">
        <v>2245</v>
      </c>
      <c r="D450" s="269" t="s">
        <v>40</v>
      </c>
      <c r="E450" s="270">
        <v>5.54</v>
      </c>
      <c r="F450" s="205">
        <v>180.0</v>
      </c>
      <c r="G450" s="206">
        <f>E450*F450</f>
        <v>997.2</v>
      </c>
      <c r="H450" s="271"/>
    </row>
    <row r="451" ht="12.75" customHeight="1" outlineLevel="3">
      <c r="B451" s="189"/>
      <c r="E451" s="79"/>
      <c r="F451" s="80"/>
      <c r="G451" s="80"/>
      <c r="H451" s="240"/>
    </row>
    <row r="452" ht="12.75" customHeight="1" outlineLevel="2">
      <c r="B452" s="189"/>
      <c r="E452" s="79"/>
      <c r="F452" s="80"/>
      <c r="G452" s="80"/>
      <c r="H452" s="240"/>
    </row>
    <row r="453" ht="12.75" customHeight="1" outlineLevel="2">
      <c r="A453" s="89" t="s">
        <v>214</v>
      </c>
      <c r="B453" s="272">
        <v>9.5</v>
      </c>
      <c r="C453" s="268" t="s">
        <v>2246</v>
      </c>
      <c r="D453" s="269" t="s">
        <v>40</v>
      </c>
      <c r="E453" s="270">
        <v>116.49</v>
      </c>
      <c r="F453" s="205">
        <v>75.0</v>
      </c>
      <c r="G453" s="206">
        <f>E453*F453</f>
        <v>8736.75</v>
      </c>
      <c r="H453" s="271"/>
    </row>
    <row r="454" ht="12.75" customHeight="1" outlineLevel="2">
      <c r="B454" s="189"/>
      <c r="E454" s="79"/>
      <c r="F454" s="80"/>
      <c r="G454" s="80"/>
      <c r="H454" s="240"/>
    </row>
    <row r="455" ht="12.75" customHeight="1" outlineLevel="2">
      <c r="A455" s="89" t="s">
        <v>216</v>
      </c>
      <c r="B455" s="277">
        <v>9.6</v>
      </c>
      <c r="C455" s="278" t="s">
        <v>2247</v>
      </c>
      <c r="D455" s="279" t="s">
        <v>40</v>
      </c>
      <c r="E455" s="280">
        <v>50.0</v>
      </c>
      <c r="F455" s="259">
        <v>145.0</v>
      </c>
      <c r="G455" s="260">
        <f>E455*F455</f>
        <v>7250</v>
      </c>
      <c r="H455" s="281" t="s">
        <v>2248</v>
      </c>
    </row>
    <row r="456" ht="12.75" customHeight="1" outlineLevel="2">
      <c r="B456" s="189"/>
      <c r="E456" s="79"/>
      <c r="F456" s="80"/>
      <c r="G456" s="80"/>
      <c r="H456" s="240"/>
    </row>
    <row r="457" ht="12.75" customHeight="1" outlineLevel="2">
      <c r="A457" s="89" t="s">
        <v>218</v>
      </c>
      <c r="B457" s="272">
        <v>9.7</v>
      </c>
      <c r="C457" s="268" t="s">
        <v>2249</v>
      </c>
      <c r="D457" s="269" t="s">
        <v>40</v>
      </c>
      <c r="E457" s="270">
        <v>5.75</v>
      </c>
      <c r="F457" s="205">
        <v>42.0</v>
      </c>
      <c r="G457" s="206">
        <f>E457*F457</f>
        <v>241.5</v>
      </c>
      <c r="H457" s="271"/>
    </row>
    <row r="458" ht="12.75" customHeight="1" outlineLevel="2">
      <c r="B458" s="189"/>
      <c r="E458" s="79"/>
      <c r="F458" s="80"/>
      <c r="G458" s="80"/>
      <c r="H458" s="240"/>
    </row>
    <row r="459" ht="12.75" customHeight="1" outlineLevel="2">
      <c r="A459" s="89" t="s">
        <v>220</v>
      </c>
      <c r="B459" s="272">
        <v>9.8</v>
      </c>
      <c r="C459" s="268" t="s">
        <v>2250</v>
      </c>
      <c r="D459" s="269" t="s">
        <v>40</v>
      </c>
      <c r="E459" s="270">
        <v>17.54</v>
      </c>
      <c r="F459" s="205">
        <v>31.0</v>
      </c>
      <c r="G459" s="206">
        <f>E459*F459</f>
        <v>543.74</v>
      </c>
      <c r="H459" s="271"/>
    </row>
    <row r="460" ht="12.75" customHeight="1" outlineLevel="2">
      <c r="B460" s="189"/>
      <c r="E460" s="79"/>
      <c r="F460" s="80"/>
      <c r="G460" s="80"/>
      <c r="H460" s="240"/>
    </row>
    <row r="461" ht="12.75" customHeight="1" outlineLevel="2">
      <c r="A461" s="109" t="s">
        <v>222</v>
      </c>
      <c r="B461" s="272">
        <v>9.9</v>
      </c>
      <c r="C461" s="268" t="s">
        <v>2251</v>
      </c>
      <c r="D461" s="269" t="s">
        <v>40</v>
      </c>
      <c r="E461" s="270">
        <v>200.6</v>
      </c>
      <c r="F461" s="205">
        <v>100.0</v>
      </c>
      <c r="G461" s="206">
        <f>E461*F461</f>
        <v>20060</v>
      </c>
      <c r="H461" s="271"/>
    </row>
    <row r="462" ht="12.75" customHeight="1" outlineLevel="2">
      <c r="B462" s="189"/>
      <c r="E462" s="79"/>
      <c r="F462" s="80"/>
      <c r="G462" s="80"/>
      <c r="H462" s="240"/>
    </row>
    <row r="463" ht="12.75" customHeight="1" outlineLevel="2">
      <c r="A463" s="89" t="s">
        <v>225</v>
      </c>
      <c r="B463" s="282">
        <v>9.1</v>
      </c>
      <c r="C463" s="268" t="s">
        <v>2252</v>
      </c>
      <c r="D463" s="269" t="s">
        <v>227</v>
      </c>
      <c r="E463" s="270">
        <v>1.0</v>
      </c>
      <c r="F463" s="205">
        <v>1500.0</v>
      </c>
      <c r="G463" s="206">
        <f>E463*F463</f>
        <v>1500</v>
      </c>
      <c r="H463" s="271"/>
    </row>
    <row r="464" ht="12.75" customHeight="1" outlineLevel="2">
      <c r="B464" s="189"/>
      <c r="E464" s="79"/>
      <c r="F464" s="80"/>
      <c r="G464" s="80"/>
      <c r="H464" s="240"/>
    </row>
    <row r="465" ht="12.75" customHeight="1" outlineLevel="2">
      <c r="A465" s="89" t="s">
        <v>228</v>
      </c>
      <c r="B465" s="282">
        <v>9.11</v>
      </c>
      <c r="C465" s="268" t="s">
        <v>2253</v>
      </c>
      <c r="D465" s="269" t="s">
        <v>227</v>
      </c>
      <c r="E465" s="270">
        <v>1.0</v>
      </c>
      <c r="F465" s="205">
        <v>3300.0</v>
      </c>
      <c r="G465" s="206">
        <f>E465*F465</f>
        <v>3300</v>
      </c>
      <c r="H465" s="271"/>
    </row>
    <row r="466" ht="12.75" customHeight="1" outlineLevel="2">
      <c r="B466" s="189"/>
      <c r="E466" s="79"/>
      <c r="F466" s="80"/>
      <c r="G466" s="80"/>
      <c r="H466" s="240"/>
    </row>
    <row r="467" ht="12.75" customHeight="1" outlineLevel="1">
      <c r="A467" s="89" t="s">
        <v>230</v>
      </c>
      <c r="B467" s="189"/>
      <c r="C467" s="184" t="s">
        <v>2254</v>
      </c>
      <c r="E467" s="79"/>
      <c r="F467" s="80"/>
      <c r="G467" s="80"/>
      <c r="H467" s="240"/>
    </row>
    <row r="468" ht="12.75" customHeight="1" outlineLevel="2">
      <c r="B468" s="189"/>
      <c r="E468" s="79"/>
      <c r="F468" s="80"/>
      <c r="G468" s="80"/>
      <c r="H468" s="240"/>
    </row>
    <row r="469" ht="12.75" customHeight="1" outlineLevel="2">
      <c r="A469" s="89" t="s">
        <v>232</v>
      </c>
      <c r="B469" s="282">
        <v>9.12</v>
      </c>
      <c r="C469" s="268" t="s">
        <v>2255</v>
      </c>
      <c r="D469" s="269" t="s">
        <v>40</v>
      </c>
      <c r="E469" s="270">
        <v>277.52</v>
      </c>
      <c r="F469" s="205">
        <v>50.0</v>
      </c>
      <c r="G469" s="206">
        <f>E469*F469</f>
        <v>13876</v>
      </c>
      <c r="H469" s="271"/>
    </row>
    <row r="470" ht="12.75" customHeight="1" outlineLevel="2">
      <c r="B470" s="189"/>
      <c r="E470" s="79"/>
      <c r="F470" s="80"/>
      <c r="G470" s="80"/>
      <c r="H470" s="240"/>
    </row>
    <row r="471" ht="12.75" customHeight="1" outlineLevel="2">
      <c r="A471" s="89" t="s">
        <v>234</v>
      </c>
      <c r="B471" s="283">
        <v>9.13</v>
      </c>
      <c r="C471" s="278" t="s">
        <v>2256</v>
      </c>
      <c r="D471" s="279" t="s">
        <v>40</v>
      </c>
      <c r="E471" s="280">
        <v>239.8</v>
      </c>
      <c r="F471" s="259">
        <v>145.0</v>
      </c>
      <c r="G471" s="260">
        <f>E471*F471</f>
        <v>34771</v>
      </c>
      <c r="H471" s="281" t="s">
        <v>2257</v>
      </c>
    </row>
    <row r="472" ht="12.75" customHeight="1" outlineLevel="2">
      <c r="B472" s="189"/>
      <c r="E472" s="79"/>
      <c r="F472" s="80"/>
      <c r="G472" s="80"/>
      <c r="H472" s="240"/>
    </row>
    <row r="473" ht="12.75" customHeight="1" outlineLevel="2">
      <c r="A473" s="89" t="s">
        <v>236</v>
      </c>
      <c r="B473" s="283">
        <v>9.14</v>
      </c>
      <c r="C473" s="278" t="s">
        <v>2258</v>
      </c>
      <c r="D473" s="279" t="s">
        <v>40</v>
      </c>
      <c r="E473" s="280">
        <v>16.81</v>
      </c>
      <c r="F473" s="259">
        <v>50.0</v>
      </c>
      <c r="G473" s="260">
        <f>E473*F473</f>
        <v>840.5</v>
      </c>
      <c r="H473" s="281" t="s">
        <v>2259</v>
      </c>
    </row>
    <row r="474" ht="12.75" customHeight="1" outlineLevel="2">
      <c r="B474" s="189"/>
      <c r="E474" s="79"/>
      <c r="F474" s="80"/>
      <c r="G474" s="80"/>
      <c r="H474" s="240"/>
    </row>
    <row r="475" ht="12.75" customHeight="1" outlineLevel="2">
      <c r="A475" s="89" t="s">
        <v>238</v>
      </c>
      <c r="B475" s="283">
        <v>9.15</v>
      </c>
      <c r="C475" s="278" t="s">
        <v>2260</v>
      </c>
      <c r="D475" s="279" t="s">
        <v>40</v>
      </c>
      <c r="E475" s="280">
        <v>29.1</v>
      </c>
      <c r="F475" s="259">
        <v>50.0</v>
      </c>
      <c r="G475" s="260">
        <f>E475*F475</f>
        <v>1455</v>
      </c>
      <c r="H475" s="281" t="s">
        <v>2259</v>
      </c>
    </row>
    <row r="476" ht="12.75" customHeight="1" outlineLevel="2">
      <c r="B476" s="189"/>
      <c r="E476" s="79"/>
      <c r="F476" s="80"/>
      <c r="G476" s="80"/>
      <c r="H476" s="240"/>
    </row>
    <row r="477" ht="12.75" customHeight="1" outlineLevel="1">
      <c r="A477" s="89" t="s">
        <v>240</v>
      </c>
      <c r="B477" s="189"/>
      <c r="C477" s="184" t="s">
        <v>2261</v>
      </c>
      <c r="E477" s="79"/>
      <c r="F477" s="80"/>
      <c r="G477" s="80"/>
      <c r="H477" s="240"/>
    </row>
    <row r="478" ht="12.75" customHeight="1" outlineLevel="2">
      <c r="B478" s="189"/>
      <c r="E478" s="79"/>
      <c r="F478" s="80"/>
      <c r="G478" s="80"/>
      <c r="H478" s="240"/>
    </row>
    <row r="479" ht="12.75" customHeight="1" outlineLevel="2">
      <c r="A479" s="89" t="s">
        <v>242</v>
      </c>
      <c r="B479" s="283">
        <v>9.16</v>
      </c>
      <c r="C479" s="278" t="s">
        <v>2262</v>
      </c>
      <c r="D479" s="279" t="s">
        <v>161</v>
      </c>
      <c r="E479" s="280">
        <v>130.01</v>
      </c>
      <c r="F479" s="259">
        <v>28.0</v>
      </c>
      <c r="G479" s="260">
        <f>E479*F479</f>
        <v>3640.28</v>
      </c>
      <c r="H479" s="281" t="s">
        <v>2263</v>
      </c>
    </row>
    <row r="480" ht="12.75" customHeight="1" outlineLevel="2">
      <c r="A480" s="89"/>
      <c r="B480" s="230"/>
      <c r="C480" s="246"/>
      <c r="D480" s="130"/>
      <c r="E480" s="170"/>
      <c r="F480" s="239"/>
      <c r="G480" s="239"/>
      <c r="H480" s="240"/>
    </row>
    <row r="481" ht="12.75" customHeight="1" outlineLevel="1">
      <c r="A481" s="167"/>
      <c r="B481" s="167"/>
      <c r="C481" s="252"/>
      <c r="D481" s="171"/>
      <c r="E481" s="170"/>
      <c r="F481" s="239"/>
      <c r="G481" s="253"/>
      <c r="H481" s="169"/>
    </row>
    <row r="482" ht="12.75" customHeight="1">
      <c r="A482" s="192"/>
      <c r="B482" s="83">
        <v>10.0</v>
      </c>
      <c r="C482" s="184" t="s">
        <v>2264</v>
      </c>
      <c r="D482" s="193"/>
      <c r="E482" s="194"/>
      <c r="F482" s="195"/>
      <c r="G482" s="196">
        <f>SUM(G486:G640)</f>
        <v>243804.03</v>
      </c>
      <c r="H482" s="197">
        <f>G482-'Orcamento RU'!C354</f>
        <v>-35535.08</v>
      </c>
    </row>
    <row r="483" ht="12.75" customHeight="1" outlineLevel="1">
      <c r="A483" s="89"/>
      <c r="B483" s="262"/>
      <c r="C483" s="246"/>
      <c r="D483" s="130"/>
      <c r="E483" s="170"/>
      <c r="F483" s="239"/>
      <c r="G483" s="239"/>
      <c r="H483" s="240"/>
    </row>
    <row r="484" ht="12.75" customHeight="1" outlineLevel="1">
      <c r="A484" s="89" t="s">
        <v>381</v>
      </c>
      <c r="B484" s="263"/>
      <c r="C484" s="184" t="s">
        <v>2265</v>
      </c>
      <c r="E484" s="79"/>
      <c r="F484" s="80"/>
      <c r="G484" s="80"/>
      <c r="H484" s="240"/>
    </row>
    <row r="485" ht="12.75" customHeight="1" outlineLevel="2">
      <c r="A485" s="21"/>
      <c r="B485" s="263"/>
      <c r="C485" s="21"/>
      <c r="D485" s="21"/>
      <c r="E485" s="115"/>
      <c r="F485" s="116"/>
      <c r="G485" s="116"/>
      <c r="H485" s="240"/>
    </row>
    <row r="486" ht="12.75" customHeight="1" outlineLevel="2">
      <c r="A486" s="89" t="s">
        <v>384</v>
      </c>
      <c r="B486" s="284" t="s">
        <v>2266</v>
      </c>
      <c r="C486" s="268" t="s">
        <v>2267</v>
      </c>
      <c r="D486" s="269"/>
      <c r="E486" s="270"/>
      <c r="F486" s="205"/>
      <c r="G486" s="206"/>
      <c r="H486" s="219"/>
    </row>
    <row r="487" ht="12.75" customHeight="1" outlineLevel="3">
      <c r="B487" s="234"/>
      <c r="E487" s="79"/>
      <c r="F487" s="80"/>
      <c r="G487" s="80"/>
      <c r="H487" s="240"/>
    </row>
    <row r="488" ht="12.75" customHeight="1" outlineLevel="3">
      <c r="A488" s="89" t="s">
        <v>386</v>
      </c>
      <c r="B488" s="267" t="s">
        <v>2268</v>
      </c>
      <c r="C488" s="268" t="s">
        <v>2269</v>
      </c>
      <c r="D488" s="269" t="s">
        <v>75</v>
      </c>
      <c r="E488" s="270">
        <v>1.0</v>
      </c>
      <c r="F488" s="205">
        <v>2000.0</v>
      </c>
      <c r="G488" s="206">
        <f>F488*E488</f>
        <v>2000</v>
      </c>
      <c r="H488" s="219"/>
    </row>
    <row r="489" ht="12.75" customHeight="1" outlineLevel="3">
      <c r="B489" s="234"/>
      <c r="E489" s="79"/>
      <c r="F489" s="80"/>
      <c r="G489" s="80"/>
      <c r="H489" s="240"/>
    </row>
    <row r="490" ht="12.75" customHeight="1" outlineLevel="3">
      <c r="A490" s="89" t="s">
        <v>388</v>
      </c>
      <c r="B490" s="267" t="s">
        <v>2270</v>
      </c>
      <c r="C490" s="268" t="s">
        <v>2271</v>
      </c>
      <c r="D490" s="269" t="s">
        <v>75</v>
      </c>
      <c r="E490" s="270">
        <v>1.0</v>
      </c>
      <c r="F490" s="205">
        <v>7200.0</v>
      </c>
      <c r="G490" s="206">
        <f>F490*E490</f>
        <v>7200</v>
      </c>
      <c r="H490" s="219"/>
    </row>
    <row r="491" ht="12.75" customHeight="1" outlineLevel="3">
      <c r="B491" s="234"/>
      <c r="E491" s="79"/>
      <c r="F491" s="80"/>
      <c r="G491" s="80"/>
      <c r="H491" s="240"/>
    </row>
    <row r="492" ht="12.75" customHeight="1" outlineLevel="3">
      <c r="A492" s="89" t="s">
        <v>390</v>
      </c>
      <c r="B492" s="267" t="s">
        <v>2272</v>
      </c>
      <c r="C492" s="268" t="s">
        <v>2273</v>
      </c>
      <c r="D492" s="269" t="s">
        <v>75</v>
      </c>
      <c r="E492" s="270">
        <v>1.0</v>
      </c>
      <c r="F492" s="205">
        <v>8000.0</v>
      </c>
      <c r="G492" s="206">
        <f>F492*E492</f>
        <v>8000</v>
      </c>
      <c r="H492" s="219"/>
    </row>
    <row r="493" ht="12.75" customHeight="1" outlineLevel="3">
      <c r="B493" s="234"/>
      <c r="E493" s="79"/>
      <c r="F493" s="80"/>
      <c r="G493" s="80"/>
      <c r="H493" s="240"/>
    </row>
    <row r="494" ht="12.75" customHeight="1" outlineLevel="3">
      <c r="A494" s="89" t="s">
        <v>392</v>
      </c>
      <c r="B494" s="267" t="s">
        <v>2274</v>
      </c>
      <c r="C494" s="268" t="s">
        <v>2275</v>
      </c>
      <c r="D494" s="269" t="s">
        <v>75</v>
      </c>
      <c r="E494" s="270">
        <v>1.0</v>
      </c>
      <c r="F494" s="205">
        <v>5600.0</v>
      </c>
      <c r="G494" s="206">
        <f>F494*E494</f>
        <v>5600</v>
      </c>
      <c r="H494" s="219"/>
    </row>
    <row r="495" ht="12.75" customHeight="1" outlineLevel="3">
      <c r="B495" s="234"/>
      <c r="E495" s="79"/>
      <c r="F495" s="80"/>
      <c r="G495" s="80"/>
      <c r="H495" s="240"/>
    </row>
    <row r="496" ht="12.75" customHeight="1" outlineLevel="3">
      <c r="A496" s="89" t="s">
        <v>394</v>
      </c>
      <c r="B496" s="267" t="s">
        <v>2276</v>
      </c>
      <c r="C496" s="268" t="s">
        <v>2277</v>
      </c>
      <c r="D496" s="269" t="s">
        <v>75</v>
      </c>
      <c r="E496" s="270">
        <v>1.0</v>
      </c>
      <c r="F496" s="205">
        <v>10000.0</v>
      </c>
      <c r="G496" s="206">
        <f>F496*E496</f>
        <v>10000</v>
      </c>
      <c r="H496" s="219"/>
    </row>
    <row r="497" ht="12.75" customHeight="1" outlineLevel="3">
      <c r="B497" s="234"/>
      <c r="E497" s="79"/>
      <c r="F497" s="80"/>
      <c r="G497" s="80"/>
      <c r="H497" s="240"/>
    </row>
    <row r="498" ht="12.75" customHeight="1" outlineLevel="3">
      <c r="A498" s="89" t="s">
        <v>396</v>
      </c>
      <c r="B498" s="267" t="s">
        <v>2278</v>
      </c>
      <c r="C498" s="268" t="s">
        <v>2279</v>
      </c>
      <c r="D498" s="269" t="s">
        <v>75</v>
      </c>
      <c r="E498" s="270">
        <v>1.0</v>
      </c>
      <c r="F498" s="205">
        <v>10000.0</v>
      </c>
      <c r="G498" s="206">
        <f>F498*E498</f>
        <v>10000</v>
      </c>
      <c r="H498" s="219"/>
    </row>
    <row r="499" ht="12.75" customHeight="1" outlineLevel="3">
      <c r="B499" s="234"/>
      <c r="E499" s="79"/>
      <c r="F499" s="80"/>
      <c r="G499" s="80"/>
      <c r="H499" s="240"/>
    </row>
    <row r="500" ht="12.75" customHeight="1" outlineLevel="3">
      <c r="A500" s="89" t="s">
        <v>398</v>
      </c>
      <c r="B500" s="267" t="s">
        <v>2280</v>
      </c>
      <c r="C500" s="268" t="s">
        <v>2281</v>
      </c>
      <c r="D500" s="269" t="s">
        <v>75</v>
      </c>
      <c r="E500" s="270">
        <v>1.0</v>
      </c>
      <c r="F500" s="205">
        <v>8500.0</v>
      </c>
      <c r="G500" s="206">
        <f>F500*E500</f>
        <v>8500</v>
      </c>
      <c r="H500" s="219"/>
    </row>
    <row r="501" ht="12.75" customHeight="1" outlineLevel="3">
      <c r="B501" s="234"/>
      <c r="E501" s="79"/>
      <c r="F501" s="80"/>
      <c r="G501" s="80"/>
      <c r="H501" s="240"/>
    </row>
    <row r="502" ht="12.75" customHeight="1" outlineLevel="3">
      <c r="A502" s="89" t="s">
        <v>400</v>
      </c>
      <c r="B502" s="267" t="s">
        <v>2282</v>
      </c>
      <c r="C502" s="268" t="s">
        <v>2283</v>
      </c>
      <c r="D502" s="269" t="s">
        <v>75</v>
      </c>
      <c r="E502" s="270">
        <v>1.0</v>
      </c>
      <c r="F502" s="205">
        <v>11000.0</v>
      </c>
      <c r="G502" s="206">
        <f>F502*E502</f>
        <v>11000</v>
      </c>
      <c r="H502" s="219"/>
    </row>
    <row r="503" ht="12.75" customHeight="1" outlineLevel="3">
      <c r="B503" s="234"/>
      <c r="E503" s="79"/>
      <c r="F503" s="80"/>
      <c r="G503" s="80"/>
      <c r="H503" s="240"/>
    </row>
    <row r="504" ht="12.75" customHeight="1" outlineLevel="3">
      <c r="A504" s="89" t="s">
        <v>402</v>
      </c>
      <c r="B504" s="267" t="s">
        <v>2284</v>
      </c>
      <c r="C504" s="268" t="s">
        <v>2285</v>
      </c>
      <c r="D504" s="269" t="s">
        <v>75</v>
      </c>
      <c r="E504" s="270">
        <v>1.0</v>
      </c>
      <c r="F504" s="205">
        <v>11000.0</v>
      </c>
      <c r="G504" s="206">
        <f>F504*E504</f>
        <v>11000</v>
      </c>
      <c r="H504" s="219"/>
    </row>
    <row r="505" ht="12.75" customHeight="1" outlineLevel="3">
      <c r="B505" s="234"/>
      <c r="E505" s="79"/>
      <c r="F505" s="80"/>
      <c r="G505" s="80"/>
      <c r="H505" s="240"/>
    </row>
    <row r="506" ht="12.75" customHeight="1" outlineLevel="3">
      <c r="A506" s="89" t="s">
        <v>404</v>
      </c>
      <c r="B506" s="267" t="s">
        <v>2286</v>
      </c>
      <c r="C506" s="268" t="s">
        <v>2287</v>
      </c>
      <c r="D506" s="269" t="s">
        <v>75</v>
      </c>
      <c r="E506" s="270">
        <v>1.0</v>
      </c>
      <c r="F506" s="205">
        <v>4200.0</v>
      </c>
      <c r="G506" s="206">
        <f>F506*E506</f>
        <v>4200</v>
      </c>
      <c r="H506" s="219"/>
    </row>
    <row r="507" ht="12.75" customHeight="1" outlineLevel="3">
      <c r="B507" s="234"/>
      <c r="E507" s="79"/>
      <c r="F507" s="80"/>
      <c r="G507" s="80"/>
      <c r="H507" s="240"/>
    </row>
    <row r="508" ht="12.75" customHeight="1" outlineLevel="3">
      <c r="A508" s="89" t="s">
        <v>406</v>
      </c>
      <c r="B508" s="267" t="s">
        <v>2288</v>
      </c>
      <c r="C508" s="268" t="s">
        <v>2289</v>
      </c>
      <c r="D508" s="269" t="s">
        <v>75</v>
      </c>
      <c r="E508" s="270">
        <v>1.0</v>
      </c>
      <c r="F508" s="205">
        <v>4000.0</v>
      </c>
      <c r="G508" s="206">
        <f>F508*E508</f>
        <v>4000</v>
      </c>
      <c r="H508" s="219"/>
    </row>
    <row r="509" ht="12.75" customHeight="1" outlineLevel="3">
      <c r="B509" s="234"/>
      <c r="E509" s="79"/>
      <c r="F509" s="80"/>
      <c r="G509" s="80"/>
      <c r="H509" s="240"/>
    </row>
    <row r="510" ht="12.75" customHeight="1" outlineLevel="3">
      <c r="A510" s="89" t="s">
        <v>408</v>
      </c>
      <c r="B510" s="267" t="s">
        <v>2290</v>
      </c>
      <c r="C510" s="268" t="s">
        <v>2291</v>
      </c>
      <c r="D510" s="269" t="s">
        <v>75</v>
      </c>
      <c r="E510" s="270">
        <v>1.0</v>
      </c>
      <c r="F510" s="205">
        <v>4900.0</v>
      </c>
      <c r="G510" s="206">
        <f>F510*E510</f>
        <v>4900</v>
      </c>
      <c r="H510" s="219"/>
    </row>
    <row r="511" ht="12.75" customHeight="1" outlineLevel="3">
      <c r="B511" s="234"/>
      <c r="E511" s="79"/>
      <c r="F511" s="80"/>
      <c r="G511" s="80"/>
      <c r="H511" s="240"/>
    </row>
    <row r="512" ht="12.75" customHeight="1" outlineLevel="3">
      <c r="A512" s="89" t="s">
        <v>410</v>
      </c>
      <c r="B512" s="267" t="s">
        <v>2292</v>
      </c>
      <c r="C512" s="268" t="s">
        <v>2293</v>
      </c>
      <c r="D512" s="269" t="s">
        <v>75</v>
      </c>
      <c r="E512" s="270">
        <v>1.0</v>
      </c>
      <c r="F512" s="205">
        <v>30000.0</v>
      </c>
      <c r="G512" s="206">
        <f>F512*E512</f>
        <v>30000</v>
      </c>
      <c r="H512" s="219"/>
    </row>
    <row r="513" ht="12.75" customHeight="1" outlineLevel="3">
      <c r="B513" s="234"/>
      <c r="E513" s="79"/>
      <c r="F513" s="80"/>
      <c r="G513" s="80"/>
      <c r="H513" s="240"/>
    </row>
    <row r="514" ht="12.75" customHeight="1" outlineLevel="3">
      <c r="A514" s="89" t="s">
        <v>412</v>
      </c>
      <c r="B514" s="267" t="s">
        <v>2294</v>
      </c>
      <c r="C514" s="268" t="s">
        <v>2295</v>
      </c>
      <c r="D514" s="269" t="s">
        <v>75</v>
      </c>
      <c r="E514" s="270">
        <v>1.0</v>
      </c>
      <c r="F514" s="205">
        <v>8000.0</v>
      </c>
      <c r="G514" s="206">
        <f>F514*E514</f>
        <v>8000</v>
      </c>
      <c r="H514" s="219"/>
    </row>
    <row r="515" ht="12.75" customHeight="1" outlineLevel="3">
      <c r="B515" s="234"/>
      <c r="E515" s="79"/>
      <c r="F515" s="80"/>
      <c r="G515" s="80"/>
      <c r="H515" s="240"/>
    </row>
    <row r="516" ht="12.75" customHeight="1" outlineLevel="3">
      <c r="A516" s="89" t="s">
        <v>414</v>
      </c>
      <c r="B516" s="267" t="s">
        <v>2296</v>
      </c>
      <c r="C516" s="268" t="s">
        <v>2297</v>
      </c>
      <c r="D516" s="269" t="s">
        <v>75</v>
      </c>
      <c r="E516" s="270">
        <v>1.0</v>
      </c>
      <c r="F516" s="205">
        <v>4000.0</v>
      </c>
      <c r="G516" s="206">
        <f>F516*E516</f>
        <v>4000</v>
      </c>
      <c r="H516" s="219"/>
    </row>
    <row r="517" ht="12.75" customHeight="1" outlineLevel="3">
      <c r="B517" s="234"/>
      <c r="E517" s="79"/>
      <c r="F517" s="80"/>
      <c r="G517" s="80"/>
      <c r="H517" s="240"/>
    </row>
    <row r="518" ht="12.75" customHeight="1" outlineLevel="3">
      <c r="A518" s="89" t="s">
        <v>416</v>
      </c>
      <c r="B518" s="267" t="s">
        <v>2298</v>
      </c>
      <c r="C518" s="268" t="s">
        <v>2299</v>
      </c>
      <c r="D518" s="269" t="s">
        <v>75</v>
      </c>
      <c r="E518" s="270">
        <v>1.0</v>
      </c>
      <c r="F518" s="205">
        <v>4500.0</v>
      </c>
      <c r="G518" s="206">
        <f>F518*E518</f>
        <v>4500</v>
      </c>
      <c r="H518" s="219"/>
    </row>
    <row r="519" ht="12.75" customHeight="1" outlineLevel="3">
      <c r="B519" s="234"/>
      <c r="E519" s="79"/>
      <c r="F519" s="80"/>
      <c r="G519" s="80"/>
      <c r="H519" s="240"/>
    </row>
    <row r="520" ht="12.75" customHeight="1" outlineLevel="3">
      <c r="A520" s="89" t="s">
        <v>418</v>
      </c>
      <c r="B520" s="267" t="s">
        <v>2300</v>
      </c>
      <c r="C520" s="268" t="s">
        <v>2301</v>
      </c>
      <c r="D520" s="269" t="s">
        <v>75</v>
      </c>
      <c r="E520" s="270">
        <v>1.0</v>
      </c>
      <c r="F520" s="205">
        <v>6100.0</v>
      </c>
      <c r="G520" s="206">
        <f>F520*E520</f>
        <v>6100</v>
      </c>
      <c r="H520" s="219"/>
    </row>
    <row r="521" ht="12.75" customHeight="1" outlineLevel="3">
      <c r="B521" s="234"/>
      <c r="E521" s="79"/>
      <c r="F521" s="80"/>
      <c r="G521" s="80"/>
      <c r="H521" s="240"/>
    </row>
    <row r="522" ht="12.75" customHeight="1" outlineLevel="3">
      <c r="A522" s="89" t="s">
        <v>420</v>
      </c>
      <c r="B522" s="267" t="s">
        <v>2302</v>
      </c>
      <c r="C522" s="268" t="s">
        <v>2303</v>
      </c>
      <c r="D522" s="269" t="s">
        <v>75</v>
      </c>
      <c r="E522" s="270">
        <v>1.0</v>
      </c>
      <c r="F522" s="205">
        <v>5500.0</v>
      </c>
      <c r="G522" s="206">
        <f>F522*E522</f>
        <v>5500</v>
      </c>
      <c r="H522" s="219"/>
    </row>
    <row r="523" ht="12.75" customHeight="1" outlineLevel="3">
      <c r="B523" s="234"/>
      <c r="E523" s="79"/>
      <c r="F523" s="80"/>
      <c r="G523" s="80"/>
      <c r="H523" s="240"/>
    </row>
    <row r="524" ht="12.75" customHeight="1" outlineLevel="3">
      <c r="A524" s="89" t="s">
        <v>422</v>
      </c>
      <c r="B524" s="267" t="s">
        <v>2304</v>
      </c>
      <c r="C524" s="268" t="s">
        <v>2305</v>
      </c>
      <c r="D524" s="269" t="s">
        <v>75</v>
      </c>
      <c r="E524" s="270">
        <v>1.0</v>
      </c>
      <c r="F524" s="205">
        <v>2300.0</v>
      </c>
      <c r="G524" s="206">
        <f>F524*E524</f>
        <v>2300</v>
      </c>
      <c r="H524" s="219"/>
    </row>
    <row r="525" ht="12.75" customHeight="1" outlineLevel="3">
      <c r="B525" s="234"/>
      <c r="E525" s="79"/>
      <c r="F525" s="80"/>
      <c r="G525" s="80"/>
      <c r="H525" s="240"/>
    </row>
    <row r="526" ht="12.75" customHeight="1" outlineLevel="3">
      <c r="A526" s="89" t="s">
        <v>424</v>
      </c>
      <c r="B526" s="267" t="s">
        <v>2306</v>
      </c>
      <c r="C526" s="268" t="s">
        <v>2307</v>
      </c>
      <c r="D526" s="269" t="s">
        <v>75</v>
      </c>
      <c r="E526" s="270">
        <v>1.0</v>
      </c>
      <c r="F526" s="205">
        <v>4000.0</v>
      </c>
      <c r="G526" s="206">
        <f>F526*E526</f>
        <v>4000</v>
      </c>
      <c r="H526" s="219"/>
    </row>
    <row r="527" ht="12.75" customHeight="1" outlineLevel="3">
      <c r="B527" s="234"/>
      <c r="E527" s="79"/>
      <c r="F527" s="80"/>
      <c r="G527" s="80"/>
      <c r="H527" s="240"/>
    </row>
    <row r="528" ht="12.75" customHeight="1" outlineLevel="3">
      <c r="A528" s="89" t="s">
        <v>426</v>
      </c>
      <c r="B528" s="267" t="s">
        <v>2308</v>
      </c>
      <c r="C528" s="268" t="s">
        <v>2309</v>
      </c>
      <c r="D528" s="269" t="s">
        <v>75</v>
      </c>
      <c r="E528" s="270">
        <v>1.0</v>
      </c>
      <c r="F528" s="205">
        <v>1269.31</v>
      </c>
      <c r="G528" s="206">
        <v>1400.0</v>
      </c>
      <c r="H528" s="219"/>
    </row>
    <row r="529" ht="15.75" customHeight="1" outlineLevel="3">
      <c r="B529" s="234"/>
      <c r="E529" s="79"/>
      <c r="F529" s="80"/>
      <c r="G529" s="80"/>
      <c r="H529" s="240"/>
    </row>
    <row r="530" ht="12.75" customHeight="1" outlineLevel="2">
      <c r="A530" s="89"/>
      <c r="B530" s="275"/>
      <c r="C530" s="285"/>
      <c r="D530" s="274"/>
      <c r="E530" s="275"/>
      <c r="F530" s="239"/>
      <c r="G530" s="239"/>
      <c r="H530" s="240"/>
    </row>
    <row r="531" ht="12.75" customHeight="1" outlineLevel="2">
      <c r="A531" s="89" t="s">
        <v>428</v>
      </c>
      <c r="B531" s="267">
        <v>10.2</v>
      </c>
      <c r="C531" s="268" t="s">
        <v>2310</v>
      </c>
      <c r="D531" s="269"/>
      <c r="E531" s="270"/>
      <c r="F531" s="205"/>
      <c r="G531" s="206"/>
      <c r="H531" s="219"/>
    </row>
    <row r="532" ht="12.75" customHeight="1" outlineLevel="3">
      <c r="B532" s="234"/>
      <c r="E532" s="79"/>
      <c r="F532" s="80"/>
      <c r="G532" s="80"/>
      <c r="H532" s="240"/>
    </row>
    <row r="533" ht="12.75" customHeight="1" outlineLevel="3">
      <c r="A533" s="89" t="s">
        <v>430</v>
      </c>
      <c r="B533" s="267" t="s">
        <v>2311</v>
      </c>
      <c r="C533" s="268" t="s">
        <v>2312</v>
      </c>
      <c r="D533" s="269" t="s">
        <v>75</v>
      </c>
      <c r="E533" s="270">
        <v>1.0</v>
      </c>
      <c r="F533" s="205">
        <v>403.01</v>
      </c>
      <c r="G533" s="206">
        <v>400.0</v>
      </c>
      <c r="H533" s="219"/>
    </row>
    <row r="534" ht="12.75" customHeight="1" outlineLevel="3">
      <c r="B534" s="234"/>
      <c r="E534" s="79"/>
      <c r="F534" s="80"/>
      <c r="G534" s="80"/>
      <c r="H534" s="240"/>
    </row>
    <row r="535" ht="12.75" customHeight="1" outlineLevel="1">
      <c r="A535" s="89" t="s">
        <v>432</v>
      </c>
      <c r="B535" s="234"/>
      <c r="C535" s="184" t="s">
        <v>2313</v>
      </c>
      <c r="E535" s="79"/>
      <c r="F535" s="80"/>
      <c r="G535" s="80"/>
      <c r="H535" s="240"/>
    </row>
    <row r="536" ht="12.75" customHeight="1" outlineLevel="2">
      <c r="B536" s="234"/>
      <c r="E536" s="79"/>
      <c r="F536" s="80"/>
      <c r="G536" s="80"/>
      <c r="H536" s="240"/>
    </row>
    <row r="537" ht="12.75" customHeight="1" outlineLevel="2">
      <c r="A537" s="89" t="s">
        <v>434</v>
      </c>
      <c r="B537" s="284" t="s">
        <v>2314</v>
      </c>
      <c r="C537" s="268" t="s">
        <v>2315</v>
      </c>
      <c r="D537" s="269"/>
      <c r="E537" s="270"/>
      <c r="F537" s="205"/>
      <c r="G537" s="206"/>
      <c r="H537" s="219"/>
    </row>
    <row r="538" ht="12.75" customHeight="1" outlineLevel="2">
      <c r="B538" s="286"/>
      <c r="E538" s="79"/>
      <c r="F538" s="80"/>
      <c r="G538" s="80"/>
      <c r="H538" s="240"/>
    </row>
    <row r="539" ht="12.75" customHeight="1" outlineLevel="2">
      <c r="A539" s="89" t="s">
        <v>436</v>
      </c>
      <c r="B539" s="284" t="s">
        <v>2316</v>
      </c>
      <c r="C539" s="268" t="s">
        <v>2317</v>
      </c>
      <c r="D539" s="269" t="s">
        <v>75</v>
      </c>
      <c r="E539" s="270">
        <v>1.0</v>
      </c>
      <c r="F539" s="205">
        <v>900.0</v>
      </c>
      <c r="G539" s="206">
        <f>F539*E539</f>
        <v>900</v>
      </c>
      <c r="H539" s="219"/>
    </row>
    <row r="540" ht="12.75" customHeight="1" outlineLevel="2">
      <c r="B540" s="286"/>
      <c r="E540" s="79"/>
      <c r="F540" s="80"/>
      <c r="G540" s="80"/>
      <c r="H540" s="240"/>
    </row>
    <row r="541" ht="12.75" customHeight="1" outlineLevel="2">
      <c r="A541" s="89" t="s">
        <v>438</v>
      </c>
      <c r="B541" s="284" t="s">
        <v>2318</v>
      </c>
      <c r="C541" s="268" t="s">
        <v>2319</v>
      </c>
      <c r="D541" s="269"/>
      <c r="E541" s="270"/>
      <c r="F541" s="205"/>
      <c r="G541" s="206"/>
      <c r="H541" s="219"/>
    </row>
    <row r="542" ht="12.75" customHeight="1" outlineLevel="2">
      <c r="B542" s="286"/>
      <c r="E542" s="79"/>
      <c r="F542" s="80"/>
      <c r="G542" s="80"/>
      <c r="H542" s="240"/>
    </row>
    <row r="543" ht="12.75" customHeight="1" outlineLevel="2">
      <c r="A543" s="89" t="s">
        <v>440</v>
      </c>
      <c r="B543" s="284" t="s">
        <v>2320</v>
      </c>
      <c r="C543" s="268" t="s">
        <v>2321</v>
      </c>
      <c r="D543" s="269" t="s">
        <v>75</v>
      </c>
      <c r="E543" s="270">
        <v>1.0</v>
      </c>
      <c r="F543" s="205">
        <v>900.0</v>
      </c>
      <c r="G543" s="206">
        <f>F543*E543</f>
        <v>900</v>
      </c>
      <c r="H543" s="219"/>
    </row>
    <row r="544" ht="12.75" customHeight="1" outlineLevel="2">
      <c r="B544" s="286"/>
      <c r="E544" s="79"/>
      <c r="F544" s="80"/>
      <c r="G544" s="80"/>
      <c r="H544" s="240"/>
    </row>
    <row r="545" ht="12.75" customHeight="1" outlineLevel="2">
      <c r="A545" s="89" t="s">
        <v>442</v>
      </c>
      <c r="B545" s="284" t="s">
        <v>2322</v>
      </c>
      <c r="C545" s="268" t="s">
        <v>2323</v>
      </c>
      <c r="D545" s="269"/>
      <c r="E545" s="270"/>
      <c r="F545" s="205"/>
      <c r="G545" s="206"/>
      <c r="H545" s="219"/>
    </row>
    <row r="546" ht="12.75" customHeight="1" outlineLevel="2">
      <c r="B546" s="286"/>
      <c r="E546" s="79"/>
      <c r="F546" s="80"/>
      <c r="G546" s="80"/>
      <c r="H546" s="240"/>
    </row>
    <row r="547" ht="12.75" customHeight="1" outlineLevel="2">
      <c r="A547" s="89" t="s">
        <v>444</v>
      </c>
      <c r="B547" s="284" t="s">
        <v>2324</v>
      </c>
      <c r="C547" s="268" t="s">
        <v>2325</v>
      </c>
      <c r="D547" s="269" t="s">
        <v>75</v>
      </c>
      <c r="E547" s="270">
        <v>1.0</v>
      </c>
      <c r="F547" s="205">
        <v>1000.0</v>
      </c>
      <c r="G547" s="206">
        <f>F547*E547</f>
        <v>1000</v>
      </c>
      <c r="H547" s="219"/>
    </row>
    <row r="548" ht="12.75" customHeight="1" outlineLevel="2">
      <c r="B548" s="286"/>
      <c r="E548" s="79"/>
      <c r="F548" s="80"/>
      <c r="G548" s="80"/>
      <c r="H548" s="240"/>
    </row>
    <row r="549" ht="12.75" customHeight="1" outlineLevel="2">
      <c r="A549" s="89" t="s">
        <v>446</v>
      </c>
      <c r="B549" s="284" t="s">
        <v>2326</v>
      </c>
      <c r="C549" s="268" t="s">
        <v>2327</v>
      </c>
      <c r="D549" s="269" t="s">
        <v>75</v>
      </c>
      <c r="E549" s="270">
        <v>1.0</v>
      </c>
      <c r="F549" s="205">
        <v>1000.0</v>
      </c>
      <c r="G549" s="206">
        <f>F549*E549</f>
        <v>1000</v>
      </c>
      <c r="H549" s="219"/>
    </row>
    <row r="550" ht="12.75" customHeight="1" outlineLevel="2">
      <c r="B550" s="286"/>
      <c r="E550" s="79"/>
      <c r="F550" s="80"/>
      <c r="G550" s="80"/>
      <c r="H550" s="240"/>
    </row>
    <row r="551" ht="12.75" customHeight="1" outlineLevel="2">
      <c r="A551" s="89" t="s">
        <v>448</v>
      </c>
      <c r="B551" s="284" t="s">
        <v>2328</v>
      </c>
      <c r="C551" s="268" t="s">
        <v>2329</v>
      </c>
      <c r="D551" s="269"/>
      <c r="E551" s="270"/>
      <c r="F551" s="205"/>
      <c r="G551" s="206"/>
      <c r="H551" s="219"/>
    </row>
    <row r="552" ht="12.75" customHeight="1" outlineLevel="2">
      <c r="B552" s="286"/>
      <c r="E552" s="79"/>
      <c r="F552" s="80"/>
      <c r="G552" s="80"/>
      <c r="H552" s="240"/>
    </row>
    <row r="553" ht="12.75" customHeight="1" outlineLevel="2">
      <c r="A553" s="89" t="s">
        <v>450</v>
      </c>
      <c r="B553" s="284" t="s">
        <v>2330</v>
      </c>
      <c r="C553" s="268" t="s">
        <v>2331</v>
      </c>
      <c r="D553" s="269" t="s">
        <v>75</v>
      </c>
      <c r="E553" s="270">
        <v>1.0</v>
      </c>
      <c r="F553" s="205">
        <v>1100.0</v>
      </c>
      <c r="G553" s="206">
        <f>F553*E553</f>
        <v>1100</v>
      </c>
      <c r="H553" s="219"/>
    </row>
    <row r="554" ht="12.75" customHeight="1" outlineLevel="2">
      <c r="B554" s="286"/>
      <c r="E554" s="79"/>
      <c r="F554" s="80"/>
      <c r="G554" s="80"/>
      <c r="H554" s="240"/>
    </row>
    <row r="555" ht="12.75" customHeight="1" outlineLevel="2">
      <c r="A555" s="89" t="s">
        <v>452</v>
      </c>
      <c r="B555" s="284" t="s">
        <v>2332</v>
      </c>
      <c r="C555" s="268" t="s">
        <v>2333</v>
      </c>
      <c r="D555" s="269"/>
      <c r="E555" s="270"/>
      <c r="F555" s="205"/>
      <c r="G555" s="206"/>
      <c r="H555" s="219"/>
    </row>
    <row r="556" ht="12.75" customHeight="1" outlineLevel="2">
      <c r="B556" s="286"/>
      <c r="E556" s="79"/>
      <c r="F556" s="80"/>
      <c r="G556" s="80"/>
      <c r="H556" s="240"/>
    </row>
    <row r="557" ht="12.75" customHeight="1" outlineLevel="2">
      <c r="A557" s="89" t="s">
        <v>454</v>
      </c>
      <c r="B557" s="284" t="s">
        <v>2334</v>
      </c>
      <c r="C557" s="268" t="s">
        <v>2335</v>
      </c>
      <c r="D557" s="269" t="s">
        <v>75</v>
      </c>
      <c r="E557" s="270">
        <v>1.0</v>
      </c>
      <c r="F557" s="205">
        <v>750.0</v>
      </c>
      <c r="G557" s="206">
        <f>F557*E557</f>
        <v>750</v>
      </c>
      <c r="H557" s="240"/>
    </row>
    <row r="558" ht="12.75" customHeight="1" outlineLevel="2">
      <c r="B558" s="286"/>
      <c r="E558" s="79"/>
      <c r="F558" s="80"/>
      <c r="G558" s="80"/>
      <c r="H558" s="240"/>
    </row>
    <row r="559" ht="12.75" customHeight="1" outlineLevel="2">
      <c r="A559" s="89" t="s">
        <v>456</v>
      </c>
      <c r="B559" s="284" t="s">
        <v>2336</v>
      </c>
      <c r="C559" s="268" t="s">
        <v>2337</v>
      </c>
      <c r="D559" s="269"/>
      <c r="E559" s="270"/>
      <c r="F559" s="205"/>
      <c r="G559" s="206"/>
      <c r="H559" s="219"/>
    </row>
    <row r="560" ht="12.75" customHeight="1" outlineLevel="2">
      <c r="B560" s="234"/>
      <c r="E560" s="79"/>
      <c r="F560" s="80"/>
      <c r="G560" s="80"/>
      <c r="H560" s="240"/>
    </row>
    <row r="561" ht="12.75" customHeight="1" outlineLevel="2">
      <c r="A561" s="89" t="s">
        <v>458</v>
      </c>
      <c r="B561" s="267" t="s">
        <v>2338</v>
      </c>
      <c r="C561" s="268" t="s">
        <v>2339</v>
      </c>
      <c r="D561" s="269" t="s">
        <v>75</v>
      </c>
      <c r="E561" s="270">
        <v>1.0</v>
      </c>
      <c r="F561" s="205">
        <v>1100.0</v>
      </c>
      <c r="G561" s="206">
        <f>F561*E561</f>
        <v>1100</v>
      </c>
      <c r="H561" s="219"/>
    </row>
    <row r="562" ht="12.75" customHeight="1" outlineLevel="2">
      <c r="B562" s="234"/>
      <c r="E562" s="79"/>
      <c r="F562" s="80"/>
      <c r="G562" s="80"/>
      <c r="H562" s="240"/>
    </row>
    <row r="563" ht="12.75" customHeight="1" outlineLevel="2">
      <c r="A563" s="89" t="s">
        <v>460</v>
      </c>
      <c r="B563" s="267" t="s">
        <v>2340</v>
      </c>
      <c r="C563" s="268" t="s">
        <v>2341</v>
      </c>
      <c r="D563" s="269" t="s">
        <v>75</v>
      </c>
      <c r="E563" s="270">
        <v>1.0</v>
      </c>
      <c r="F563" s="205">
        <v>2015.0</v>
      </c>
      <c r="G563" s="206">
        <f>F563*E563</f>
        <v>2015</v>
      </c>
      <c r="H563" s="219"/>
    </row>
    <row r="564" ht="12.75" customHeight="1" outlineLevel="2">
      <c r="B564" s="234"/>
      <c r="E564" s="79"/>
      <c r="F564" s="80"/>
      <c r="G564" s="80"/>
      <c r="H564" s="240"/>
    </row>
    <row r="565" ht="12.75" customHeight="1" outlineLevel="2">
      <c r="A565" s="89" t="s">
        <v>462</v>
      </c>
      <c r="B565" s="267" t="s">
        <v>2342</v>
      </c>
      <c r="C565" s="268" t="s">
        <v>2343</v>
      </c>
      <c r="D565" s="269" t="s">
        <v>75</v>
      </c>
      <c r="E565" s="270">
        <v>1.0</v>
      </c>
      <c r="F565" s="205">
        <v>1090.0</v>
      </c>
      <c r="G565" s="206">
        <f>F565*E565</f>
        <v>1090</v>
      </c>
      <c r="H565" s="219"/>
    </row>
    <row r="566" ht="12.75" customHeight="1" outlineLevel="2">
      <c r="B566" s="234"/>
      <c r="E566" s="79"/>
      <c r="F566" s="80"/>
      <c r="G566" s="80"/>
      <c r="H566" s="240"/>
    </row>
    <row r="567" ht="12.75" customHeight="1" outlineLevel="1">
      <c r="A567" s="89" t="s">
        <v>464</v>
      </c>
      <c r="B567" s="234"/>
      <c r="C567" s="184" t="s">
        <v>2344</v>
      </c>
      <c r="E567" s="79"/>
      <c r="F567" s="80"/>
      <c r="G567" s="80"/>
      <c r="H567" s="240"/>
    </row>
    <row r="568" ht="12.75" customHeight="1" outlineLevel="2">
      <c r="B568" s="234"/>
      <c r="E568" s="79"/>
      <c r="F568" s="80"/>
      <c r="G568" s="80"/>
      <c r="H568" s="240"/>
    </row>
    <row r="569" ht="12.75" customHeight="1" outlineLevel="2">
      <c r="A569" s="89" t="s">
        <v>466</v>
      </c>
      <c r="B569" s="284" t="s">
        <v>2345</v>
      </c>
      <c r="C569" s="268" t="s">
        <v>2346</v>
      </c>
      <c r="D569" s="269"/>
      <c r="E569" s="270"/>
      <c r="F569" s="205"/>
      <c r="G569" s="206"/>
      <c r="H569" s="219"/>
    </row>
    <row r="570" ht="12.75" customHeight="1" outlineLevel="2">
      <c r="B570" s="234"/>
      <c r="E570" s="79"/>
      <c r="F570" s="80"/>
      <c r="G570" s="80"/>
      <c r="H570" s="240"/>
    </row>
    <row r="571" ht="12.75" customHeight="1" outlineLevel="2">
      <c r="A571" s="89" t="s">
        <v>468</v>
      </c>
      <c r="B571" s="267" t="s">
        <v>2347</v>
      </c>
      <c r="C571" s="268" t="s">
        <v>2348</v>
      </c>
      <c r="D571" s="269" t="s">
        <v>75</v>
      </c>
      <c r="E571" s="270">
        <v>1.0</v>
      </c>
      <c r="F571" s="205">
        <v>1900.0</v>
      </c>
      <c r="G571" s="206">
        <f>F571*E571</f>
        <v>1900</v>
      </c>
      <c r="H571" s="240"/>
    </row>
    <row r="572" ht="12.75" customHeight="1" outlineLevel="2">
      <c r="B572" s="234"/>
      <c r="E572" s="79"/>
      <c r="F572" s="80"/>
      <c r="G572" s="80"/>
      <c r="H572" s="240"/>
    </row>
    <row r="573" ht="12.75" customHeight="1" outlineLevel="1">
      <c r="A573" s="89" t="s">
        <v>470</v>
      </c>
      <c r="B573" s="234"/>
      <c r="C573" s="184" t="s">
        <v>2349</v>
      </c>
      <c r="E573" s="79"/>
      <c r="F573" s="80"/>
      <c r="G573" s="80"/>
      <c r="H573" s="240"/>
    </row>
    <row r="574" ht="12.75" customHeight="1" outlineLevel="2">
      <c r="B574" s="234"/>
      <c r="E574" s="79"/>
      <c r="F574" s="80"/>
      <c r="G574" s="80"/>
      <c r="H574" s="240"/>
    </row>
    <row r="575" ht="12.75" customHeight="1" outlineLevel="2">
      <c r="A575" s="89" t="s">
        <v>472</v>
      </c>
      <c r="B575" s="287">
        <v>10.1</v>
      </c>
      <c r="C575" s="273" t="s">
        <v>2350</v>
      </c>
      <c r="E575" s="79"/>
      <c r="F575" s="80"/>
      <c r="G575" s="80"/>
      <c r="H575" s="240"/>
    </row>
    <row r="576" ht="12.75" customHeight="1" outlineLevel="2">
      <c r="B576" s="234"/>
      <c r="E576" s="79"/>
      <c r="F576" s="80"/>
      <c r="G576" s="80"/>
      <c r="H576" s="240"/>
    </row>
    <row r="577" ht="12.75" customHeight="1" outlineLevel="2">
      <c r="A577" s="89" t="s">
        <v>474</v>
      </c>
      <c r="B577" s="267" t="s">
        <v>2351</v>
      </c>
      <c r="C577" s="268" t="s">
        <v>2352</v>
      </c>
      <c r="D577" s="269" t="s">
        <v>75</v>
      </c>
      <c r="E577" s="270">
        <v>1.0</v>
      </c>
      <c r="F577" s="205">
        <v>3500.0</v>
      </c>
      <c r="G577" s="206">
        <f>F577*E577</f>
        <v>3500</v>
      </c>
      <c r="H577" s="240"/>
    </row>
    <row r="578" ht="12.75" customHeight="1" outlineLevel="2">
      <c r="B578" s="234"/>
      <c r="E578" s="79"/>
      <c r="F578" s="80"/>
      <c r="G578" s="80"/>
      <c r="H578" s="240"/>
    </row>
    <row r="579" ht="12.75" customHeight="1" outlineLevel="1">
      <c r="A579" s="89" t="s">
        <v>476</v>
      </c>
      <c r="B579" s="234"/>
      <c r="C579" s="184" t="s">
        <v>2353</v>
      </c>
      <c r="E579" s="79"/>
      <c r="F579" s="80"/>
      <c r="G579" s="80"/>
      <c r="H579" s="240"/>
    </row>
    <row r="580" ht="12.75" customHeight="1" outlineLevel="2">
      <c r="B580" s="234"/>
      <c r="E580" s="79"/>
      <c r="F580" s="80"/>
      <c r="G580" s="80"/>
      <c r="H580" s="240"/>
    </row>
    <row r="581" ht="12.75" customHeight="1" outlineLevel="2">
      <c r="A581" s="89" t="s">
        <v>478</v>
      </c>
      <c r="B581" s="267">
        <v>10.11</v>
      </c>
      <c r="C581" s="268" t="s">
        <v>2354</v>
      </c>
      <c r="D581" s="269" t="s">
        <v>227</v>
      </c>
      <c r="E581" s="270">
        <v>1.0</v>
      </c>
      <c r="F581" s="205">
        <v>6200.0</v>
      </c>
      <c r="G581" s="206">
        <f>F581*E581</f>
        <v>6200</v>
      </c>
      <c r="H581" s="219" t="s">
        <v>2355</v>
      </c>
    </row>
    <row r="582" ht="12.75" customHeight="1" outlineLevel="2">
      <c r="B582" s="234"/>
      <c r="E582" s="79"/>
      <c r="F582" s="80"/>
      <c r="G582" s="80"/>
      <c r="H582" s="240"/>
    </row>
    <row r="583" ht="12.75" customHeight="1" outlineLevel="1">
      <c r="A583" s="89" t="s">
        <v>480</v>
      </c>
      <c r="B583" s="234"/>
      <c r="C583" s="184" t="s">
        <v>2356</v>
      </c>
      <c r="E583" s="79"/>
      <c r="F583" s="80"/>
      <c r="G583" s="80"/>
      <c r="H583" s="240"/>
    </row>
    <row r="584" ht="12.75" customHeight="1" outlineLevel="2">
      <c r="B584" s="234"/>
      <c r="E584" s="79"/>
      <c r="F584" s="80"/>
      <c r="G584" s="80"/>
      <c r="H584" s="240"/>
    </row>
    <row r="585" ht="12.75" customHeight="1" outlineLevel="2">
      <c r="A585" s="89" t="s">
        <v>482</v>
      </c>
      <c r="B585" s="267">
        <v>10.12</v>
      </c>
      <c r="C585" s="268" t="s">
        <v>2357</v>
      </c>
      <c r="D585" s="269"/>
      <c r="E585" s="270"/>
      <c r="F585" s="205"/>
      <c r="G585" s="206"/>
      <c r="H585" s="219"/>
    </row>
    <row r="586" ht="12.75" customHeight="1" outlineLevel="2">
      <c r="B586" s="234"/>
      <c r="E586" s="79"/>
      <c r="F586" s="80"/>
      <c r="G586" s="80"/>
      <c r="H586" s="240"/>
    </row>
    <row r="587" ht="12.75" customHeight="1" outlineLevel="2">
      <c r="A587" s="89" t="s">
        <v>484</v>
      </c>
      <c r="B587" s="267" t="s">
        <v>2358</v>
      </c>
      <c r="C587" s="268" t="s">
        <v>2359</v>
      </c>
      <c r="D587" s="269" t="s">
        <v>75</v>
      </c>
      <c r="E587" s="270">
        <v>1.0</v>
      </c>
      <c r="F587" s="205">
        <v>3400.0</v>
      </c>
      <c r="G587" s="206">
        <f t="shared" ref="G587:G592" si="25">F587*E587</f>
        <v>3400</v>
      </c>
      <c r="H587" s="240"/>
    </row>
    <row r="588" ht="12.75" customHeight="1" outlineLevel="2">
      <c r="A588" s="89" t="s">
        <v>486</v>
      </c>
      <c r="B588" s="267" t="s">
        <v>2360</v>
      </c>
      <c r="C588" s="268" t="s">
        <v>2361</v>
      </c>
      <c r="D588" s="269" t="s">
        <v>75</v>
      </c>
      <c r="E588" s="270">
        <v>1.0</v>
      </c>
      <c r="F588" s="205">
        <v>3300.0</v>
      </c>
      <c r="G588" s="206">
        <f t="shared" si="25"/>
        <v>3300</v>
      </c>
      <c r="H588" s="240"/>
    </row>
    <row r="589" ht="12.75" customHeight="1" outlineLevel="2">
      <c r="A589" s="89" t="s">
        <v>488</v>
      </c>
      <c r="B589" s="267" t="s">
        <v>2362</v>
      </c>
      <c r="C589" s="268" t="s">
        <v>2363</v>
      </c>
      <c r="D589" s="269" t="s">
        <v>75</v>
      </c>
      <c r="E589" s="270">
        <v>1.0</v>
      </c>
      <c r="F589" s="205">
        <v>2600.0</v>
      </c>
      <c r="G589" s="206">
        <f t="shared" si="25"/>
        <v>2600</v>
      </c>
      <c r="H589" s="240"/>
    </row>
    <row r="590" ht="12.75" customHeight="1" outlineLevel="2">
      <c r="A590" s="89" t="s">
        <v>490</v>
      </c>
      <c r="B590" s="267" t="s">
        <v>2364</v>
      </c>
      <c r="C590" s="268" t="s">
        <v>2365</v>
      </c>
      <c r="D590" s="269" t="s">
        <v>75</v>
      </c>
      <c r="E590" s="270">
        <v>1.0</v>
      </c>
      <c r="F590" s="205">
        <v>3700.0</v>
      </c>
      <c r="G590" s="206">
        <f t="shared" si="25"/>
        <v>3700</v>
      </c>
      <c r="H590" s="240"/>
    </row>
    <row r="591" ht="12.75" customHeight="1" outlineLevel="2">
      <c r="A591" s="89" t="s">
        <v>492</v>
      </c>
      <c r="B591" s="267" t="s">
        <v>2366</v>
      </c>
      <c r="C591" s="268" t="s">
        <v>2367</v>
      </c>
      <c r="D591" s="269" t="s">
        <v>75</v>
      </c>
      <c r="E591" s="270">
        <v>1.0</v>
      </c>
      <c r="F591" s="205">
        <v>1500.0</v>
      </c>
      <c r="G591" s="206">
        <f t="shared" si="25"/>
        <v>1500</v>
      </c>
      <c r="H591" s="240"/>
    </row>
    <row r="592" ht="12.75" customHeight="1" outlineLevel="2">
      <c r="A592" s="89" t="s">
        <v>494</v>
      </c>
      <c r="B592" s="267" t="s">
        <v>2368</v>
      </c>
      <c r="C592" s="268" t="s">
        <v>2369</v>
      </c>
      <c r="D592" s="269" t="s">
        <v>75</v>
      </c>
      <c r="E592" s="270">
        <v>1.0</v>
      </c>
      <c r="F592" s="205">
        <v>2200.0</v>
      </c>
      <c r="G592" s="206">
        <f t="shared" si="25"/>
        <v>2200</v>
      </c>
      <c r="H592" s="240"/>
    </row>
    <row r="593" ht="12.75" customHeight="1" outlineLevel="2">
      <c r="B593" s="234"/>
      <c r="E593" s="79"/>
      <c r="F593" s="80"/>
      <c r="G593" s="80"/>
      <c r="H593" s="240"/>
    </row>
    <row r="594" ht="12.75" customHeight="1" outlineLevel="1">
      <c r="A594" s="89" t="s">
        <v>470</v>
      </c>
      <c r="B594" s="234"/>
      <c r="C594" s="184" t="s">
        <v>2370</v>
      </c>
      <c r="E594" s="79"/>
      <c r="F594" s="80"/>
      <c r="G594" s="80"/>
      <c r="H594" s="240"/>
    </row>
    <row r="595" ht="12.75" customHeight="1" outlineLevel="2">
      <c r="B595" s="234"/>
      <c r="E595" s="79"/>
      <c r="F595" s="80"/>
      <c r="G595" s="80"/>
      <c r="H595" s="240"/>
    </row>
    <row r="596" ht="12.75" customHeight="1" outlineLevel="2">
      <c r="A596" s="89" t="s">
        <v>472</v>
      </c>
      <c r="B596" s="267">
        <v>10.13</v>
      </c>
      <c r="C596" s="273" t="s">
        <v>2371</v>
      </c>
      <c r="E596" s="79"/>
      <c r="F596" s="80"/>
      <c r="G596" s="80"/>
      <c r="H596" s="240"/>
    </row>
    <row r="597" ht="12.75" customHeight="1" outlineLevel="2">
      <c r="B597" s="234"/>
      <c r="E597" s="79"/>
      <c r="F597" s="80"/>
      <c r="G597" s="80"/>
      <c r="H597" s="240"/>
    </row>
    <row r="598" ht="12.75" customHeight="1" outlineLevel="2">
      <c r="A598" s="89" t="s">
        <v>474</v>
      </c>
      <c r="B598" s="267" t="s">
        <v>2372</v>
      </c>
      <c r="C598" s="268" t="s">
        <v>2373</v>
      </c>
      <c r="D598" s="269" t="s">
        <v>161</v>
      </c>
      <c r="E598" s="270">
        <v>4.53</v>
      </c>
      <c r="F598" s="205">
        <v>120.0</v>
      </c>
      <c r="G598" s="206">
        <f>F598*E598</f>
        <v>543.6</v>
      </c>
      <c r="H598" s="240"/>
    </row>
    <row r="599" ht="12.75" customHeight="1" outlineLevel="2">
      <c r="B599" s="234"/>
      <c r="E599" s="79"/>
      <c r="F599" s="80"/>
      <c r="G599" s="80"/>
      <c r="H599" s="240"/>
    </row>
    <row r="600" ht="12.75" customHeight="1" outlineLevel="2">
      <c r="A600" s="89" t="s">
        <v>499</v>
      </c>
      <c r="B600" s="267" t="s">
        <v>2374</v>
      </c>
      <c r="C600" s="268" t="s">
        <v>2375</v>
      </c>
      <c r="D600" s="269" t="s">
        <v>161</v>
      </c>
      <c r="E600" s="270">
        <v>8.7</v>
      </c>
      <c r="F600" s="205">
        <v>120.0</v>
      </c>
      <c r="G600" s="206">
        <f>F600*E600</f>
        <v>1044</v>
      </c>
      <c r="H600" s="240"/>
    </row>
    <row r="601" ht="12.75" customHeight="1" outlineLevel="2">
      <c r="B601" s="234"/>
      <c r="E601" s="79"/>
      <c r="F601" s="80"/>
      <c r="G601" s="80"/>
      <c r="H601" s="240"/>
    </row>
    <row r="602" ht="12.75" customHeight="1" outlineLevel="2">
      <c r="A602" s="89" t="s">
        <v>501</v>
      </c>
      <c r="B602" s="267" t="s">
        <v>2376</v>
      </c>
      <c r="C602" s="268" t="s">
        <v>2377</v>
      </c>
      <c r="D602" s="269" t="s">
        <v>161</v>
      </c>
      <c r="E602" s="270">
        <v>14.0</v>
      </c>
      <c r="F602" s="205">
        <v>120.0</v>
      </c>
      <c r="G602" s="206">
        <f>F602*E602</f>
        <v>1680</v>
      </c>
      <c r="H602" s="240"/>
    </row>
    <row r="603" ht="12.75" customHeight="1" outlineLevel="2">
      <c r="B603" s="234"/>
      <c r="E603" s="79"/>
      <c r="F603" s="80"/>
      <c r="G603" s="80"/>
      <c r="H603" s="240"/>
    </row>
    <row r="604" ht="12.75" customHeight="1" outlineLevel="2">
      <c r="A604" s="89" t="s">
        <v>503</v>
      </c>
      <c r="B604" s="267" t="s">
        <v>2378</v>
      </c>
      <c r="C604" s="268" t="s">
        <v>2379</v>
      </c>
      <c r="D604" s="269" t="s">
        <v>161</v>
      </c>
      <c r="E604" s="270">
        <v>8.44</v>
      </c>
      <c r="F604" s="205">
        <v>120.0</v>
      </c>
      <c r="G604" s="206">
        <f>F604*E604</f>
        <v>1012.8</v>
      </c>
      <c r="H604" s="240"/>
    </row>
    <row r="605" ht="12.75" customHeight="1" outlineLevel="2">
      <c r="B605" s="234"/>
      <c r="E605" s="79"/>
      <c r="F605" s="80"/>
      <c r="G605" s="80"/>
      <c r="H605" s="240"/>
    </row>
    <row r="606" ht="12.75" customHeight="1" outlineLevel="2">
      <c r="A606" s="89" t="s">
        <v>505</v>
      </c>
      <c r="B606" s="267">
        <v>10.14</v>
      </c>
      <c r="C606" s="273" t="s">
        <v>2380</v>
      </c>
      <c r="E606" s="79"/>
      <c r="F606" s="80"/>
      <c r="G606" s="80"/>
      <c r="H606" s="240"/>
    </row>
    <row r="607" ht="12.75" customHeight="1" outlineLevel="2">
      <c r="B607" s="234"/>
      <c r="E607" s="79"/>
      <c r="F607" s="80"/>
      <c r="G607" s="80"/>
      <c r="H607" s="240"/>
    </row>
    <row r="608" ht="12.75" customHeight="1" outlineLevel="2">
      <c r="A608" s="89" t="s">
        <v>507</v>
      </c>
      <c r="B608" s="267" t="s">
        <v>2381</v>
      </c>
      <c r="C608" s="268" t="s">
        <v>2382</v>
      </c>
      <c r="D608" s="269" t="s">
        <v>161</v>
      </c>
      <c r="E608" s="270">
        <v>2.65</v>
      </c>
      <c r="F608" s="205">
        <v>260.0</v>
      </c>
      <c r="G608" s="206">
        <f>F608*E608</f>
        <v>689</v>
      </c>
      <c r="H608" s="240"/>
    </row>
    <row r="609" ht="12.75" customHeight="1" outlineLevel="2">
      <c r="B609" s="234"/>
      <c r="E609" s="79"/>
      <c r="F609" s="80"/>
      <c r="G609" s="80"/>
      <c r="H609" s="240"/>
    </row>
    <row r="610" ht="12.75" customHeight="1" outlineLevel="2">
      <c r="A610" s="89" t="s">
        <v>509</v>
      </c>
      <c r="B610" s="267" t="s">
        <v>2383</v>
      </c>
      <c r="C610" s="268" t="s">
        <v>2384</v>
      </c>
      <c r="D610" s="269" t="s">
        <v>161</v>
      </c>
      <c r="E610" s="270">
        <v>25.15</v>
      </c>
      <c r="F610" s="205">
        <v>260.0</v>
      </c>
      <c r="G610" s="206">
        <f>F610*E610</f>
        <v>6539</v>
      </c>
      <c r="H610" s="240"/>
    </row>
    <row r="611" ht="12.75" customHeight="1" outlineLevel="2">
      <c r="B611" s="234"/>
      <c r="E611" s="79"/>
      <c r="F611" s="80"/>
      <c r="G611" s="80"/>
      <c r="H611" s="240"/>
    </row>
    <row r="612" ht="12.75" customHeight="1" outlineLevel="1">
      <c r="A612" s="89" t="s">
        <v>476</v>
      </c>
      <c r="B612" s="234"/>
      <c r="C612" s="184" t="s">
        <v>2385</v>
      </c>
      <c r="E612" s="79"/>
      <c r="F612" s="80"/>
      <c r="G612" s="80"/>
      <c r="H612" s="240"/>
    </row>
    <row r="613" ht="12.75" customHeight="1" outlineLevel="2">
      <c r="B613" s="234"/>
      <c r="E613" s="79"/>
      <c r="F613" s="80"/>
      <c r="G613" s="80"/>
      <c r="H613" s="240"/>
    </row>
    <row r="614" ht="12.75" customHeight="1" outlineLevel="2">
      <c r="A614" s="89" t="s">
        <v>478</v>
      </c>
      <c r="B614" s="267">
        <v>10.15</v>
      </c>
      <c r="C614" s="273" t="s">
        <v>2386</v>
      </c>
      <c r="E614" s="79"/>
      <c r="F614" s="80"/>
      <c r="G614" s="80"/>
      <c r="H614" s="240"/>
    </row>
    <row r="615" ht="12.75" customHeight="1" outlineLevel="2">
      <c r="B615" s="234"/>
      <c r="E615" s="79"/>
      <c r="F615" s="80"/>
      <c r="G615" s="80"/>
      <c r="H615" s="240"/>
    </row>
    <row r="616" ht="12.75" customHeight="1" outlineLevel="2">
      <c r="A616" s="89" t="s">
        <v>513</v>
      </c>
      <c r="B616" s="267" t="s">
        <v>2387</v>
      </c>
      <c r="C616" s="268" t="s">
        <v>2388</v>
      </c>
      <c r="D616" s="269" t="s">
        <v>40</v>
      </c>
      <c r="E616" s="270">
        <v>70.44</v>
      </c>
      <c r="F616" s="205">
        <v>234.0</v>
      </c>
      <c r="G616" s="206">
        <f>F616*E616</f>
        <v>16482.96</v>
      </c>
      <c r="H616" s="240" t="s">
        <v>2389</v>
      </c>
    </row>
    <row r="617" ht="12.75" customHeight="1" outlineLevel="2">
      <c r="B617" s="234"/>
      <c r="E617" s="79"/>
      <c r="F617" s="80"/>
      <c r="G617" s="80"/>
      <c r="H617" s="240"/>
    </row>
    <row r="618" ht="12.75" customHeight="1" outlineLevel="2">
      <c r="A618" s="89" t="s">
        <v>515</v>
      </c>
      <c r="B618" s="267">
        <v>10.16</v>
      </c>
      <c r="C618" s="273" t="s">
        <v>2390</v>
      </c>
      <c r="E618" s="79"/>
      <c r="F618" s="80"/>
      <c r="G618" s="80"/>
      <c r="H618" s="240"/>
    </row>
    <row r="619" ht="12.75" customHeight="1" outlineLevel="2">
      <c r="B619" s="234"/>
      <c r="E619" s="79"/>
      <c r="F619" s="80"/>
      <c r="G619" s="80"/>
      <c r="H619" s="240"/>
    </row>
    <row r="620" ht="12.75" customHeight="1" outlineLevel="2">
      <c r="A620" s="89" t="s">
        <v>517</v>
      </c>
      <c r="B620" s="267" t="s">
        <v>2391</v>
      </c>
      <c r="C620" s="268" t="s">
        <v>2392</v>
      </c>
      <c r="D620" s="269" t="s">
        <v>40</v>
      </c>
      <c r="E620" s="270">
        <v>39.46</v>
      </c>
      <c r="F620" s="205">
        <v>234.0</v>
      </c>
      <c r="G620" s="206">
        <f>F620*E620</f>
        <v>9233.64</v>
      </c>
      <c r="H620" s="240"/>
    </row>
    <row r="621" ht="12.75" customHeight="1" outlineLevel="2">
      <c r="B621" s="234"/>
      <c r="E621" s="79"/>
      <c r="F621" s="80"/>
      <c r="G621" s="80"/>
      <c r="H621" s="240"/>
    </row>
    <row r="622" ht="12.75" customHeight="1" outlineLevel="2">
      <c r="A622" s="89" t="s">
        <v>519</v>
      </c>
      <c r="B622" s="267">
        <v>10.17</v>
      </c>
      <c r="C622" s="273" t="s">
        <v>2393</v>
      </c>
      <c r="E622" s="79"/>
      <c r="F622" s="80"/>
      <c r="G622" s="80"/>
      <c r="H622" s="240"/>
    </row>
    <row r="623" ht="12.75" customHeight="1" outlineLevel="2">
      <c r="B623" s="234"/>
      <c r="E623" s="79"/>
      <c r="F623" s="80"/>
      <c r="G623" s="80"/>
      <c r="H623" s="240"/>
    </row>
    <row r="624" ht="12.75" customHeight="1" outlineLevel="2">
      <c r="A624" s="89" t="s">
        <v>521</v>
      </c>
      <c r="B624" s="267" t="s">
        <v>2394</v>
      </c>
      <c r="C624" s="268" t="s">
        <v>2395</v>
      </c>
      <c r="D624" s="269" t="s">
        <v>40</v>
      </c>
      <c r="E624" s="270">
        <v>40.81</v>
      </c>
      <c r="F624" s="205">
        <v>234.0</v>
      </c>
      <c r="G624" s="206">
        <f>F624*E624</f>
        <v>9549.54</v>
      </c>
      <c r="H624" s="240"/>
    </row>
    <row r="625" ht="12.75" customHeight="1" outlineLevel="2">
      <c r="B625" s="234"/>
      <c r="E625" s="79"/>
      <c r="F625" s="80"/>
      <c r="G625" s="80"/>
      <c r="H625" s="240"/>
    </row>
    <row r="626" ht="12.75" customHeight="1" outlineLevel="2">
      <c r="A626" s="89" t="s">
        <v>523</v>
      </c>
      <c r="B626" s="267">
        <v>10.18</v>
      </c>
      <c r="C626" s="273" t="s">
        <v>2396</v>
      </c>
      <c r="E626" s="79"/>
      <c r="F626" s="80"/>
      <c r="G626" s="80"/>
      <c r="H626" s="240"/>
    </row>
    <row r="627" ht="12.75" customHeight="1" outlineLevel="2">
      <c r="B627" s="234"/>
      <c r="E627" s="79"/>
      <c r="F627" s="80"/>
      <c r="G627" s="80"/>
      <c r="H627" s="240"/>
    </row>
    <row r="628" ht="12.75" customHeight="1" outlineLevel="2">
      <c r="A628" s="89" t="s">
        <v>525</v>
      </c>
      <c r="B628" s="267" t="s">
        <v>2397</v>
      </c>
      <c r="C628" s="268" t="s">
        <v>2398</v>
      </c>
      <c r="D628" s="269" t="s">
        <v>40</v>
      </c>
      <c r="E628" s="270">
        <v>7.9</v>
      </c>
      <c r="F628" s="205">
        <v>234.0</v>
      </c>
      <c r="G628" s="206">
        <f>F628*E628</f>
        <v>1848.6</v>
      </c>
      <c r="H628" s="240"/>
    </row>
    <row r="629" ht="12.75" customHeight="1" outlineLevel="2">
      <c r="B629" s="234"/>
      <c r="E629" s="79"/>
      <c r="F629" s="80"/>
      <c r="G629" s="80"/>
      <c r="H629" s="240"/>
    </row>
    <row r="630" ht="12.75" customHeight="1" outlineLevel="1">
      <c r="A630" s="89" t="s">
        <v>480</v>
      </c>
      <c r="B630" s="234"/>
      <c r="C630" s="184" t="s">
        <v>2399</v>
      </c>
      <c r="E630" s="79"/>
      <c r="F630" s="80"/>
      <c r="G630" s="80"/>
      <c r="H630" s="240"/>
    </row>
    <row r="631" ht="12.75" customHeight="1" outlineLevel="2">
      <c r="B631" s="234"/>
      <c r="E631" s="79"/>
      <c r="F631" s="80"/>
      <c r="G631" s="80"/>
      <c r="H631" s="240"/>
    </row>
    <row r="632" ht="12.75" customHeight="1" outlineLevel="2">
      <c r="A632" s="89" t="s">
        <v>482</v>
      </c>
      <c r="B632" s="267">
        <v>10.19</v>
      </c>
      <c r="C632" s="273" t="s">
        <v>2400</v>
      </c>
      <c r="E632" s="79"/>
      <c r="F632" s="80"/>
      <c r="G632" s="80"/>
      <c r="H632" s="240"/>
    </row>
    <row r="633" ht="12.75" customHeight="1" outlineLevel="2">
      <c r="B633" s="234"/>
      <c r="E633" s="79"/>
      <c r="F633" s="80"/>
      <c r="G633" s="80"/>
      <c r="H633" s="240"/>
    </row>
    <row r="634" ht="12.75" customHeight="1" outlineLevel="2">
      <c r="A634" s="89" t="s">
        <v>484</v>
      </c>
      <c r="B634" s="267" t="s">
        <v>2401</v>
      </c>
      <c r="C634" s="268" t="s">
        <v>2402</v>
      </c>
      <c r="D634" s="269" t="s">
        <v>161</v>
      </c>
      <c r="E634" s="270">
        <v>3.6</v>
      </c>
      <c r="F634" s="205">
        <v>142.0</v>
      </c>
      <c r="G634" s="206">
        <f t="shared" ref="G634:G636" si="26">F634*E634</f>
        <v>511.2</v>
      </c>
      <c r="H634" s="240"/>
    </row>
    <row r="635" ht="12.75" customHeight="1" outlineLevel="2">
      <c r="A635" s="89" t="s">
        <v>486</v>
      </c>
      <c r="B635" s="267" t="s">
        <v>2403</v>
      </c>
      <c r="C635" s="268" t="s">
        <v>2404</v>
      </c>
      <c r="D635" s="269" t="s">
        <v>161</v>
      </c>
      <c r="E635" s="270">
        <v>22.07</v>
      </c>
      <c r="F635" s="205">
        <v>142.0</v>
      </c>
      <c r="G635" s="206">
        <f t="shared" si="26"/>
        <v>3133.94</v>
      </c>
      <c r="H635" s="240"/>
    </row>
    <row r="636" ht="12.75" customHeight="1" outlineLevel="2">
      <c r="A636" s="89" t="s">
        <v>488</v>
      </c>
      <c r="B636" s="267" t="s">
        <v>2405</v>
      </c>
      <c r="C636" s="268" t="s">
        <v>2406</v>
      </c>
      <c r="D636" s="269" t="s">
        <v>161</v>
      </c>
      <c r="E636" s="270">
        <v>0.85</v>
      </c>
      <c r="F636" s="205">
        <v>95.0</v>
      </c>
      <c r="G636" s="206">
        <f t="shared" si="26"/>
        <v>80.75</v>
      </c>
      <c r="H636" s="240"/>
    </row>
    <row r="637" ht="12.75" customHeight="1" outlineLevel="2">
      <c r="B637" s="234"/>
      <c r="E637" s="79"/>
      <c r="F637" s="80"/>
      <c r="G637" s="80"/>
      <c r="H637" s="240"/>
    </row>
    <row r="638" ht="12.75" customHeight="1" outlineLevel="1">
      <c r="A638" s="89" t="s">
        <v>532</v>
      </c>
      <c r="B638" s="234"/>
      <c r="C638" s="184" t="s">
        <v>2407</v>
      </c>
      <c r="E638" s="79"/>
      <c r="F638" s="80"/>
      <c r="G638" s="80"/>
      <c r="H638" s="240"/>
    </row>
    <row r="639" ht="12.75" customHeight="1" outlineLevel="2">
      <c r="B639" s="234"/>
      <c r="E639" s="79"/>
      <c r="F639" s="80"/>
      <c r="G639" s="80"/>
      <c r="H639" s="240"/>
    </row>
    <row r="640" ht="12.75" customHeight="1" outlineLevel="2">
      <c r="A640" s="89" t="s">
        <v>534</v>
      </c>
      <c r="B640" s="267">
        <v>10.2</v>
      </c>
      <c r="C640" s="268" t="s">
        <v>2408</v>
      </c>
      <c r="D640" s="269" t="s">
        <v>75</v>
      </c>
      <c r="E640" s="270">
        <v>1.0</v>
      </c>
      <c r="F640" s="205">
        <v>700.0</v>
      </c>
      <c r="G640" s="206">
        <f>F640*E640</f>
        <v>700</v>
      </c>
      <c r="H640" s="219"/>
    </row>
    <row r="641" ht="12.75" customHeight="1" outlineLevel="2">
      <c r="A641" s="89"/>
      <c r="B641" s="288"/>
      <c r="C641" s="285"/>
      <c r="D641" s="274"/>
      <c r="E641" s="275"/>
      <c r="F641" s="239"/>
      <c r="G641" s="239"/>
      <c r="H641" s="240"/>
    </row>
    <row r="642" ht="12.75" customHeight="1" outlineLevel="1">
      <c r="A642" s="89"/>
      <c r="B642" s="288"/>
      <c r="C642" s="285"/>
      <c r="D642" s="274"/>
      <c r="E642" s="275"/>
      <c r="F642" s="239"/>
      <c r="G642" s="239"/>
      <c r="H642" s="240"/>
    </row>
    <row r="643" ht="12.75" customHeight="1">
      <c r="A643" s="192"/>
      <c r="B643" s="83">
        <v>11.0</v>
      </c>
      <c r="C643" s="184" t="s">
        <v>2409</v>
      </c>
      <c r="D643" s="193"/>
      <c r="E643" s="194"/>
      <c r="F643" s="195"/>
      <c r="G643" s="196">
        <f>SUM(G647:G758)</f>
        <v>19500</v>
      </c>
      <c r="H643" s="197">
        <f>G643-'Orcamento RU'!C220</f>
        <v>-74359.78</v>
      </c>
    </row>
    <row r="644" ht="12.75" customHeight="1" outlineLevel="1">
      <c r="A644" s="89"/>
      <c r="B644" s="189"/>
      <c r="C644" s="252"/>
      <c r="E644" s="79"/>
      <c r="F644" s="80"/>
      <c r="G644" s="80"/>
      <c r="H644" s="240"/>
    </row>
    <row r="645" ht="12.75" customHeight="1" outlineLevel="1">
      <c r="A645" s="89" t="s">
        <v>246</v>
      </c>
      <c r="B645" s="189"/>
      <c r="C645" s="184" t="s">
        <v>2410</v>
      </c>
      <c r="E645" s="79"/>
      <c r="F645" s="80"/>
      <c r="G645" s="80"/>
      <c r="H645" s="240"/>
    </row>
    <row r="646" ht="12.75" customHeight="1" outlineLevel="2">
      <c r="A646" s="21"/>
      <c r="B646" s="189"/>
      <c r="C646" s="21"/>
      <c r="D646" s="21"/>
      <c r="E646" s="115"/>
      <c r="F646" s="116"/>
      <c r="G646" s="116"/>
      <c r="H646" s="240"/>
    </row>
    <row r="647" ht="12.75" customHeight="1" outlineLevel="2">
      <c r="A647" s="89" t="s">
        <v>248</v>
      </c>
      <c r="B647" s="272">
        <v>11.1</v>
      </c>
      <c r="C647" s="273" t="s">
        <v>2411</v>
      </c>
      <c r="E647" s="79"/>
      <c r="F647" s="80"/>
      <c r="G647" s="80"/>
      <c r="H647" s="240"/>
    </row>
    <row r="648" ht="12.75" customHeight="1" outlineLevel="2">
      <c r="B648" s="189"/>
      <c r="E648" s="79"/>
      <c r="F648" s="80"/>
      <c r="G648" s="80"/>
      <c r="H648" s="240"/>
    </row>
    <row r="649" ht="12.75" customHeight="1" outlineLevel="2">
      <c r="A649" s="89" t="s">
        <v>251</v>
      </c>
      <c r="B649" s="282" t="s">
        <v>2412</v>
      </c>
      <c r="C649" s="268" t="s">
        <v>2413</v>
      </c>
      <c r="D649" s="269" t="s">
        <v>75</v>
      </c>
      <c r="E649" s="270">
        <v>1.0</v>
      </c>
      <c r="F649" s="205">
        <v>1200.0</v>
      </c>
      <c r="G649" s="206">
        <f t="shared" ref="G649:G652" si="27">F649*E649</f>
        <v>1200</v>
      </c>
      <c r="H649" s="240"/>
    </row>
    <row r="650" ht="12.75" customHeight="1" outlineLevel="2">
      <c r="A650" s="89" t="s">
        <v>253</v>
      </c>
      <c r="B650" s="282" t="s">
        <v>2414</v>
      </c>
      <c r="C650" s="268" t="s">
        <v>2415</v>
      </c>
      <c r="D650" s="269" t="s">
        <v>75</v>
      </c>
      <c r="E650" s="270">
        <v>1.0</v>
      </c>
      <c r="F650" s="205">
        <v>1200.0</v>
      </c>
      <c r="G650" s="206">
        <f t="shared" si="27"/>
        <v>1200</v>
      </c>
      <c r="H650" s="240"/>
    </row>
    <row r="651" ht="12.75" customHeight="1" outlineLevel="2">
      <c r="A651" s="89" t="s">
        <v>255</v>
      </c>
      <c r="B651" s="282" t="s">
        <v>2416</v>
      </c>
      <c r="C651" s="268" t="s">
        <v>2417</v>
      </c>
      <c r="D651" s="269" t="s">
        <v>75</v>
      </c>
      <c r="E651" s="270">
        <v>1.0</v>
      </c>
      <c r="F651" s="205">
        <v>1200.0</v>
      </c>
      <c r="G651" s="206">
        <f t="shared" si="27"/>
        <v>1200</v>
      </c>
      <c r="H651" s="240"/>
    </row>
    <row r="652" ht="12.75" customHeight="1" outlineLevel="2">
      <c r="A652" s="89" t="s">
        <v>257</v>
      </c>
      <c r="B652" s="282" t="s">
        <v>2418</v>
      </c>
      <c r="C652" s="268" t="s">
        <v>2419</v>
      </c>
      <c r="D652" s="269" t="s">
        <v>75</v>
      </c>
      <c r="E652" s="270">
        <v>1.0</v>
      </c>
      <c r="F652" s="205">
        <v>1200.0</v>
      </c>
      <c r="G652" s="206">
        <f t="shared" si="27"/>
        <v>1200</v>
      </c>
      <c r="H652" s="240"/>
    </row>
    <row r="653" ht="12.75" customHeight="1" outlineLevel="2">
      <c r="B653" s="189"/>
      <c r="E653" s="79"/>
      <c r="F653" s="80"/>
      <c r="G653" s="80"/>
      <c r="H653" s="240"/>
    </row>
    <row r="654" ht="12.75" customHeight="1" outlineLevel="2">
      <c r="A654" s="89" t="s">
        <v>259</v>
      </c>
      <c r="B654" s="272">
        <v>11.2</v>
      </c>
      <c r="C654" s="273" t="s">
        <v>2420</v>
      </c>
      <c r="E654" s="79"/>
      <c r="F654" s="80"/>
      <c r="G654" s="80"/>
      <c r="H654" s="240"/>
    </row>
    <row r="655" ht="12.75" customHeight="1" outlineLevel="2">
      <c r="B655" s="189"/>
      <c r="E655" s="79"/>
      <c r="F655" s="80"/>
      <c r="G655" s="80"/>
      <c r="H655" s="240"/>
    </row>
    <row r="656" ht="12.75" customHeight="1" outlineLevel="2">
      <c r="A656" s="89" t="s">
        <v>261</v>
      </c>
      <c r="B656" s="282" t="s">
        <v>2421</v>
      </c>
      <c r="C656" s="268" t="s">
        <v>2422</v>
      </c>
      <c r="D656" s="269" t="s">
        <v>75</v>
      </c>
      <c r="E656" s="270">
        <v>1.0</v>
      </c>
      <c r="F656" s="205">
        <v>1400.0</v>
      </c>
      <c r="G656" s="206">
        <f t="shared" ref="G656:G660" si="28">F656*E656</f>
        <v>1400</v>
      </c>
      <c r="H656" s="240"/>
    </row>
    <row r="657" ht="12.75" customHeight="1" outlineLevel="2">
      <c r="A657" s="89" t="s">
        <v>263</v>
      </c>
      <c r="B657" s="282" t="s">
        <v>2423</v>
      </c>
      <c r="C657" s="268" t="s">
        <v>2424</v>
      </c>
      <c r="D657" s="269" t="s">
        <v>75</v>
      </c>
      <c r="E657" s="270">
        <v>1.0</v>
      </c>
      <c r="F657" s="205">
        <v>1400.0</v>
      </c>
      <c r="G657" s="206">
        <f t="shared" si="28"/>
        <v>1400</v>
      </c>
      <c r="H657" s="240"/>
    </row>
    <row r="658" ht="12.75" customHeight="1" outlineLevel="2">
      <c r="A658" s="89" t="s">
        <v>265</v>
      </c>
      <c r="B658" s="282" t="s">
        <v>2425</v>
      </c>
      <c r="C658" s="268" t="s">
        <v>2426</v>
      </c>
      <c r="D658" s="269" t="s">
        <v>75</v>
      </c>
      <c r="E658" s="270">
        <v>1.0</v>
      </c>
      <c r="F658" s="205">
        <v>1400.0</v>
      </c>
      <c r="G658" s="206">
        <f t="shared" si="28"/>
        <v>1400</v>
      </c>
      <c r="H658" s="240"/>
    </row>
    <row r="659" ht="12.75" customHeight="1" outlineLevel="2">
      <c r="A659" s="89" t="s">
        <v>267</v>
      </c>
      <c r="B659" s="282" t="s">
        <v>2427</v>
      </c>
      <c r="C659" s="268" t="s">
        <v>2428</v>
      </c>
      <c r="D659" s="269" t="s">
        <v>75</v>
      </c>
      <c r="E659" s="270">
        <v>1.0</v>
      </c>
      <c r="F659" s="205">
        <v>1400.0</v>
      </c>
      <c r="G659" s="206">
        <f t="shared" si="28"/>
        <v>1400</v>
      </c>
      <c r="H659" s="240"/>
    </row>
    <row r="660" ht="12.75" customHeight="1" outlineLevel="2">
      <c r="A660" s="89" t="s">
        <v>269</v>
      </c>
      <c r="B660" s="282" t="s">
        <v>2429</v>
      </c>
      <c r="C660" s="268" t="s">
        <v>2430</v>
      </c>
      <c r="D660" s="269" t="s">
        <v>75</v>
      </c>
      <c r="E660" s="270">
        <v>1.0</v>
      </c>
      <c r="F660" s="205">
        <v>1400.0</v>
      </c>
      <c r="G660" s="206">
        <f t="shared" si="28"/>
        <v>1400</v>
      </c>
      <c r="H660" s="240"/>
    </row>
    <row r="661" ht="12.75" customHeight="1" outlineLevel="2">
      <c r="B661" s="189"/>
      <c r="E661" s="79"/>
      <c r="F661" s="80"/>
      <c r="G661" s="80"/>
      <c r="H661" s="240"/>
    </row>
    <row r="662" ht="12.75" customHeight="1" outlineLevel="2">
      <c r="A662" s="89" t="s">
        <v>271</v>
      </c>
      <c r="B662" s="272">
        <v>11.3</v>
      </c>
      <c r="C662" s="273" t="s">
        <v>2431</v>
      </c>
      <c r="E662" s="79"/>
      <c r="F662" s="80"/>
      <c r="G662" s="80"/>
      <c r="H662" s="240"/>
    </row>
    <row r="663" ht="12.75" customHeight="1" outlineLevel="2">
      <c r="B663" s="189"/>
      <c r="E663" s="79"/>
      <c r="F663" s="80"/>
      <c r="G663" s="80"/>
      <c r="H663" s="240"/>
    </row>
    <row r="664" ht="12.75" customHeight="1" outlineLevel="2">
      <c r="A664" s="89" t="s">
        <v>273</v>
      </c>
      <c r="B664" s="282" t="s">
        <v>2432</v>
      </c>
      <c r="C664" s="268" t="s">
        <v>2433</v>
      </c>
      <c r="D664" s="269" t="s">
        <v>75</v>
      </c>
      <c r="E664" s="270">
        <v>1.0</v>
      </c>
      <c r="F664" s="205">
        <v>1300.0</v>
      </c>
      <c r="G664" s="206">
        <f>F664*E664</f>
        <v>1300</v>
      </c>
      <c r="H664" s="240"/>
    </row>
    <row r="665" ht="12.75" customHeight="1" outlineLevel="2">
      <c r="B665" s="189"/>
      <c r="E665" s="79"/>
      <c r="F665" s="80"/>
      <c r="G665" s="80"/>
      <c r="H665" s="240"/>
    </row>
    <row r="666" ht="12.75" customHeight="1" outlineLevel="1">
      <c r="A666" s="89" t="s">
        <v>275</v>
      </c>
      <c r="B666" s="189"/>
      <c r="C666" s="184" t="s">
        <v>2434</v>
      </c>
      <c r="E666" s="79"/>
      <c r="F666" s="80"/>
      <c r="G666" s="80"/>
      <c r="H666" s="240"/>
    </row>
    <row r="667" ht="12.75" customHeight="1" outlineLevel="2">
      <c r="B667" s="189"/>
      <c r="E667" s="79"/>
      <c r="F667" s="80"/>
      <c r="G667" s="80"/>
      <c r="H667" s="240"/>
    </row>
    <row r="668" ht="12.75" customHeight="1" outlineLevel="2">
      <c r="A668" s="89" t="s">
        <v>277</v>
      </c>
      <c r="B668" s="272">
        <v>11.4</v>
      </c>
      <c r="C668" s="273" t="s">
        <v>2435</v>
      </c>
      <c r="E668" s="79"/>
      <c r="F668" s="80"/>
      <c r="G668" s="80"/>
      <c r="H668" s="240"/>
    </row>
    <row r="669" ht="12.75" customHeight="1" outlineLevel="2">
      <c r="B669" s="189"/>
      <c r="E669" s="79"/>
      <c r="F669" s="80"/>
      <c r="G669" s="80"/>
      <c r="H669" s="240"/>
    </row>
    <row r="670" ht="12.75" customHeight="1" outlineLevel="2">
      <c r="A670" s="89" t="s">
        <v>279</v>
      </c>
      <c r="B670" s="282" t="s">
        <v>2436</v>
      </c>
      <c r="C670" s="268" t="s">
        <v>2437</v>
      </c>
      <c r="D670" s="269" t="s">
        <v>75</v>
      </c>
      <c r="E670" s="270">
        <v>1.0</v>
      </c>
      <c r="F670" s="205">
        <v>1200.0</v>
      </c>
      <c r="G670" s="206">
        <f>F670*E670</f>
        <v>1200</v>
      </c>
      <c r="H670" s="240"/>
    </row>
    <row r="671" ht="12.75" customHeight="1" outlineLevel="2">
      <c r="B671" s="189"/>
      <c r="E671" s="79"/>
      <c r="F671" s="80"/>
      <c r="G671" s="80"/>
      <c r="H671" s="240"/>
    </row>
    <row r="672" ht="12.75" customHeight="1" outlineLevel="2">
      <c r="A672" s="89" t="s">
        <v>281</v>
      </c>
      <c r="B672" s="272">
        <v>11.5</v>
      </c>
      <c r="C672" s="273" t="s">
        <v>2438</v>
      </c>
      <c r="E672" s="79"/>
      <c r="F672" s="80"/>
      <c r="G672" s="80"/>
      <c r="H672" s="240"/>
    </row>
    <row r="673" ht="12.75" customHeight="1" outlineLevel="2">
      <c r="B673" s="189"/>
      <c r="E673" s="79"/>
      <c r="F673" s="80"/>
      <c r="G673" s="80"/>
      <c r="H673" s="240"/>
    </row>
    <row r="674" ht="12.75" customHeight="1" outlineLevel="2">
      <c r="A674" s="89" t="s">
        <v>283</v>
      </c>
      <c r="B674" s="282" t="s">
        <v>2439</v>
      </c>
      <c r="C674" s="268" t="s">
        <v>2440</v>
      </c>
      <c r="D674" s="269" t="s">
        <v>75</v>
      </c>
      <c r="E674" s="270">
        <v>1.0</v>
      </c>
      <c r="F674" s="205">
        <v>1400.0</v>
      </c>
      <c r="G674" s="206">
        <f>F674*E674</f>
        <v>1400</v>
      </c>
      <c r="H674" s="240"/>
    </row>
    <row r="675" ht="12.75" customHeight="1" outlineLevel="2">
      <c r="B675" s="189"/>
      <c r="E675" s="79"/>
      <c r="F675" s="80"/>
      <c r="G675" s="80"/>
      <c r="H675" s="240"/>
    </row>
    <row r="676" ht="12.75" customHeight="1" outlineLevel="2">
      <c r="A676" s="89" t="s">
        <v>285</v>
      </c>
      <c r="B676" s="272">
        <v>11.6</v>
      </c>
      <c r="C676" s="273" t="s">
        <v>2441</v>
      </c>
      <c r="E676" s="79"/>
      <c r="F676" s="80"/>
      <c r="G676" s="80"/>
      <c r="H676" s="240"/>
    </row>
    <row r="677" ht="12.75" customHeight="1" outlineLevel="2">
      <c r="B677" s="189"/>
      <c r="E677" s="79"/>
      <c r="F677" s="80"/>
      <c r="G677" s="80"/>
      <c r="H677" s="240"/>
    </row>
    <row r="678" ht="12.75" customHeight="1" outlineLevel="2">
      <c r="A678" s="89" t="s">
        <v>287</v>
      </c>
      <c r="B678" s="282" t="s">
        <v>2442</v>
      </c>
      <c r="C678" s="268" t="s">
        <v>2443</v>
      </c>
      <c r="D678" s="269" t="s">
        <v>75</v>
      </c>
      <c r="E678" s="270">
        <v>1.0</v>
      </c>
      <c r="F678" s="205">
        <v>1400.0</v>
      </c>
      <c r="G678" s="206">
        <f>F678*E678</f>
        <v>1400</v>
      </c>
      <c r="H678" s="240"/>
    </row>
    <row r="679" ht="12.75" customHeight="1" outlineLevel="2">
      <c r="B679" s="189"/>
      <c r="E679" s="79"/>
      <c r="F679" s="80"/>
      <c r="G679" s="80"/>
      <c r="H679" s="240"/>
    </row>
    <row r="680" ht="12.75" customHeight="1" outlineLevel="2">
      <c r="A680" s="89" t="s">
        <v>289</v>
      </c>
      <c r="B680" s="272">
        <v>11.7</v>
      </c>
      <c r="C680" s="273" t="s">
        <v>2444</v>
      </c>
      <c r="E680" s="79"/>
      <c r="F680" s="80"/>
      <c r="G680" s="80"/>
      <c r="H680" s="240"/>
    </row>
    <row r="681" ht="12.75" customHeight="1" outlineLevel="2">
      <c r="B681" s="189"/>
      <c r="E681" s="79"/>
      <c r="F681" s="80"/>
      <c r="G681" s="80"/>
      <c r="H681" s="240"/>
    </row>
    <row r="682" ht="12.75" customHeight="1" outlineLevel="2">
      <c r="A682" s="89" t="s">
        <v>291</v>
      </c>
      <c r="B682" s="282" t="s">
        <v>2445</v>
      </c>
      <c r="C682" s="268" t="s">
        <v>2446</v>
      </c>
      <c r="D682" s="269" t="s">
        <v>75</v>
      </c>
      <c r="E682" s="270">
        <v>1.0</v>
      </c>
      <c r="F682" s="205">
        <v>1200.0</v>
      </c>
      <c r="G682" s="206">
        <f t="shared" ref="G682:G683" si="29">F682*E682</f>
        <v>1200</v>
      </c>
      <c r="H682" s="240"/>
    </row>
    <row r="683" ht="12.75" customHeight="1" outlineLevel="2">
      <c r="A683" s="89" t="s">
        <v>293</v>
      </c>
      <c r="B683" s="282" t="s">
        <v>2447</v>
      </c>
      <c r="C683" s="268" t="s">
        <v>2448</v>
      </c>
      <c r="D683" s="269" t="s">
        <v>75</v>
      </c>
      <c r="E683" s="270">
        <v>1.0</v>
      </c>
      <c r="F683" s="205">
        <v>1200.0</v>
      </c>
      <c r="G683" s="206">
        <f t="shared" si="29"/>
        <v>1200</v>
      </c>
      <c r="H683" s="240"/>
    </row>
    <row r="684" ht="12.75" customHeight="1" outlineLevel="2">
      <c r="B684" s="189"/>
      <c r="E684" s="79"/>
      <c r="F684" s="80"/>
      <c r="G684" s="80"/>
      <c r="H684" s="240"/>
    </row>
    <row r="685" ht="12.75" customHeight="1" outlineLevel="1">
      <c r="A685" s="89" t="s">
        <v>295</v>
      </c>
      <c r="B685" s="189"/>
      <c r="C685" s="184" t="s">
        <v>2449</v>
      </c>
      <c r="E685" s="79"/>
      <c r="F685" s="80"/>
      <c r="G685" s="80"/>
      <c r="H685" s="240"/>
    </row>
    <row r="686" ht="12.75" customHeight="1" outlineLevel="2">
      <c r="A686" s="21"/>
      <c r="B686" s="209"/>
      <c r="C686" s="21"/>
      <c r="D686" s="21"/>
      <c r="E686" s="115"/>
      <c r="F686" s="116"/>
      <c r="G686" s="116"/>
      <c r="H686" s="240"/>
    </row>
    <row r="687" ht="12.75" customHeight="1" outlineLevel="2">
      <c r="A687" s="89" t="s">
        <v>297</v>
      </c>
      <c r="B687" s="272">
        <v>11.8</v>
      </c>
      <c r="C687" s="273" t="s">
        <v>2450</v>
      </c>
      <c r="E687" s="79"/>
      <c r="F687" s="80"/>
      <c r="G687" s="80"/>
      <c r="H687" s="240" t="s">
        <v>2451</v>
      </c>
    </row>
    <row r="688" ht="12.75" customHeight="1" outlineLevel="2">
      <c r="B688" s="189"/>
      <c r="E688" s="79"/>
      <c r="F688" s="80"/>
      <c r="G688" s="80"/>
      <c r="H688" s="240"/>
    </row>
    <row r="689" ht="12.75" customHeight="1" outlineLevel="2">
      <c r="A689" s="89" t="s">
        <v>300</v>
      </c>
      <c r="B689" s="282" t="s">
        <v>2452</v>
      </c>
      <c r="C689" s="268" t="s">
        <v>2453</v>
      </c>
      <c r="D689" s="269" t="s">
        <v>75</v>
      </c>
      <c r="E689" s="270">
        <v>1.0</v>
      </c>
      <c r="F689" s="205">
        <v>0.0</v>
      </c>
      <c r="G689" s="206">
        <f>F689*E689</f>
        <v>0</v>
      </c>
      <c r="H689" s="240"/>
    </row>
    <row r="690" ht="12.75" customHeight="1" outlineLevel="2">
      <c r="B690" s="189"/>
      <c r="E690" s="79"/>
      <c r="F690" s="80"/>
      <c r="G690" s="80"/>
      <c r="H690" s="240"/>
    </row>
    <row r="691" ht="12.75" customHeight="1" outlineLevel="2">
      <c r="A691" s="89" t="s">
        <v>302</v>
      </c>
      <c r="B691" s="272">
        <v>11.9</v>
      </c>
      <c r="C691" s="273" t="s">
        <v>2454</v>
      </c>
      <c r="E691" s="79"/>
      <c r="F691" s="80"/>
      <c r="G691" s="80"/>
      <c r="H691" s="240" t="s">
        <v>2451</v>
      </c>
    </row>
    <row r="692" ht="12.75" customHeight="1" outlineLevel="2">
      <c r="B692" s="189"/>
      <c r="E692" s="79"/>
      <c r="F692" s="80"/>
      <c r="G692" s="80"/>
      <c r="H692" s="240"/>
    </row>
    <row r="693" ht="12.75" customHeight="1" outlineLevel="2">
      <c r="A693" s="89" t="s">
        <v>304</v>
      </c>
      <c r="B693" s="282" t="s">
        <v>2455</v>
      </c>
      <c r="C693" s="268" t="s">
        <v>2456</v>
      </c>
      <c r="D693" s="269" t="s">
        <v>75</v>
      </c>
      <c r="E693" s="270">
        <v>1.0</v>
      </c>
      <c r="F693" s="205">
        <v>0.0</v>
      </c>
      <c r="G693" s="206">
        <f t="shared" ref="G693:G694" si="30">F693*E693</f>
        <v>0</v>
      </c>
      <c r="H693" s="240"/>
    </row>
    <row r="694" ht="12.75" customHeight="1" outlineLevel="2">
      <c r="A694" s="89" t="s">
        <v>306</v>
      </c>
      <c r="B694" s="282" t="s">
        <v>2457</v>
      </c>
      <c r="C694" s="268" t="s">
        <v>2458</v>
      </c>
      <c r="D694" s="269" t="s">
        <v>75</v>
      </c>
      <c r="E694" s="270">
        <v>1.0</v>
      </c>
      <c r="F694" s="205">
        <v>0.0</v>
      </c>
      <c r="G694" s="206">
        <f t="shared" si="30"/>
        <v>0</v>
      </c>
      <c r="H694" s="240"/>
    </row>
    <row r="695" ht="12.75" customHeight="1" outlineLevel="2">
      <c r="B695" s="189"/>
      <c r="E695" s="79"/>
      <c r="F695" s="80"/>
      <c r="G695" s="80"/>
      <c r="H695" s="240"/>
    </row>
    <row r="696" ht="12.75" customHeight="1" outlineLevel="2">
      <c r="A696" s="89" t="s">
        <v>308</v>
      </c>
      <c r="B696" s="282">
        <v>11.1</v>
      </c>
      <c r="C696" s="273" t="s">
        <v>2459</v>
      </c>
      <c r="E696" s="79"/>
      <c r="F696" s="80"/>
      <c r="G696" s="80"/>
      <c r="H696" s="240" t="s">
        <v>2451</v>
      </c>
    </row>
    <row r="697" ht="12.75" customHeight="1" outlineLevel="2">
      <c r="B697" s="189"/>
      <c r="E697" s="79"/>
      <c r="F697" s="80"/>
      <c r="G697" s="80"/>
      <c r="H697" s="240"/>
    </row>
    <row r="698" ht="12.75" customHeight="1" outlineLevel="2">
      <c r="A698" s="89" t="s">
        <v>310</v>
      </c>
      <c r="B698" s="282" t="s">
        <v>2460</v>
      </c>
      <c r="C698" s="268" t="s">
        <v>2461</v>
      </c>
      <c r="D698" s="269" t="s">
        <v>75</v>
      </c>
      <c r="E698" s="270">
        <v>1.0</v>
      </c>
      <c r="F698" s="205">
        <v>0.0</v>
      </c>
      <c r="G698" s="206">
        <f>F698*E698</f>
        <v>0</v>
      </c>
      <c r="H698" s="240"/>
    </row>
    <row r="699" ht="12.75" customHeight="1" outlineLevel="2">
      <c r="B699" s="189"/>
      <c r="E699" s="79"/>
      <c r="F699" s="80"/>
      <c r="G699" s="80"/>
      <c r="H699" s="240"/>
    </row>
    <row r="700" ht="12.75" customHeight="1" outlineLevel="2">
      <c r="A700" s="89" t="s">
        <v>312</v>
      </c>
      <c r="B700" s="282">
        <v>11.11</v>
      </c>
      <c r="C700" s="273" t="s">
        <v>2462</v>
      </c>
      <c r="E700" s="79"/>
      <c r="F700" s="80"/>
      <c r="G700" s="80"/>
      <c r="H700" s="240" t="s">
        <v>2451</v>
      </c>
    </row>
    <row r="701" ht="12.75" customHeight="1" outlineLevel="2">
      <c r="B701" s="189"/>
      <c r="E701" s="79"/>
      <c r="F701" s="80"/>
      <c r="G701" s="80"/>
      <c r="H701" s="240"/>
    </row>
    <row r="702" ht="12.75" customHeight="1" outlineLevel="2">
      <c r="A702" s="89" t="s">
        <v>314</v>
      </c>
      <c r="B702" s="282" t="s">
        <v>2463</v>
      </c>
      <c r="C702" s="268" t="s">
        <v>2464</v>
      </c>
      <c r="D702" s="269" t="s">
        <v>75</v>
      </c>
      <c r="E702" s="270">
        <v>1.0</v>
      </c>
      <c r="F702" s="205">
        <v>0.0</v>
      </c>
      <c r="G702" s="206">
        <f>F702*E702</f>
        <v>0</v>
      </c>
      <c r="H702" s="240"/>
    </row>
    <row r="703" ht="12.75" customHeight="1" outlineLevel="2">
      <c r="B703" s="189"/>
      <c r="E703" s="79"/>
      <c r="F703" s="80"/>
      <c r="G703" s="80"/>
      <c r="H703" s="240"/>
    </row>
    <row r="704" ht="12.75" customHeight="1" outlineLevel="2">
      <c r="A704" s="89" t="s">
        <v>316</v>
      </c>
      <c r="B704" s="282">
        <v>11.12</v>
      </c>
      <c r="C704" s="273" t="s">
        <v>2465</v>
      </c>
      <c r="E704" s="79"/>
      <c r="F704" s="80"/>
      <c r="G704" s="80"/>
      <c r="H704" s="240" t="s">
        <v>2451</v>
      </c>
    </row>
    <row r="705" ht="12.75" customHeight="1" outlineLevel="2">
      <c r="B705" s="189"/>
      <c r="E705" s="79"/>
      <c r="F705" s="80"/>
      <c r="G705" s="80"/>
      <c r="H705" s="240"/>
    </row>
    <row r="706" ht="12.75" customHeight="1" outlineLevel="2">
      <c r="A706" s="89" t="s">
        <v>318</v>
      </c>
      <c r="B706" s="282" t="s">
        <v>2466</v>
      </c>
      <c r="C706" s="268" t="s">
        <v>2467</v>
      </c>
      <c r="D706" s="269" t="s">
        <v>75</v>
      </c>
      <c r="E706" s="270">
        <v>1.0</v>
      </c>
      <c r="F706" s="205">
        <v>0.0</v>
      </c>
      <c r="G706" s="206">
        <f>F706*E706</f>
        <v>0</v>
      </c>
      <c r="H706" s="240"/>
    </row>
    <row r="707" ht="12.75" customHeight="1" outlineLevel="2">
      <c r="B707" s="189"/>
      <c r="E707" s="79"/>
      <c r="F707" s="80"/>
      <c r="G707" s="80"/>
      <c r="H707" s="240"/>
    </row>
    <row r="708" ht="12.75" customHeight="1" outlineLevel="2">
      <c r="A708" s="89" t="s">
        <v>320</v>
      </c>
      <c r="B708" s="282">
        <v>11.13</v>
      </c>
      <c r="C708" s="273" t="s">
        <v>2468</v>
      </c>
      <c r="E708" s="79"/>
      <c r="F708" s="80"/>
      <c r="G708" s="80"/>
      <c r="H708" s="240" t="s">
        <v>2451</v>
      </c>
    </row>
    <row r="709" ht="12.75" customHeight="1" outlineLevel="2">
      <c r="B709" s="189"/>
      <c r="E709" s="79"/>
      <c r="F709" s="80"/>
      <c r="G709" s="80"/>
      <c r="H709" s="240"/>
    </row>
    <row r="710" ht="12.75" customHeight="1" outlineLevel="2">
      <c r="A710" s="89" t="s">
        <v>322</v>
      </c>
      <c r="B710" s="282" t="s">
        <v>2469</v>
      </c>
      <c r="C710" s="268" t="s">
        <v>2470</v>
      </c>
      <c r="D710" s="269" t="s">
        <v>75</v>
      </c>
      <c r="E710" s="270">
        <v>1.0</v>
      </c>
      <c r="F710" s="205">
        <v>0.0</v>
      </c>
      <c r="G710" s="206">
        <f>F710*E710</f>
        <v>0</v>
      </c>
      <c r="H710" s="240"/>
    </row>
    <row r="711" ht="12.75" customHeight="1" outlineLevel="2">
      <c r="B711" s="189"/>
      <c r="E711" s="79"/>
      <c r="F711" s="80"/>
      <c r="G711" s="80"/>
      <c r="H711" s="240"/>
    </row>
    <row r="712" ht="12.75" customHeight="1" outlineLevel="2">
      <c r="A712" s="89" t="s">
        <v>324</v>
      </c>
      <c r="B712" s="282">
        <v>11.14</v>
      </c>
      <c r="C712" s="273" t="s">
        <v>2471</v>
      </c>
      <c r="E712" s="79"/>
      <c r="F712" s="80"/>
      <c r="G712" s="80"/>
      <c r="H712" s="240" t="s">
        <v>2451</v>
      </c>
    </row>
    <row r="713" ht="12.75" customHeight="1" outlineLevel="2">
      <c r="B713" s="189"/>
      <c r="E713" s="79"/>
      <c r="F713" s="80"/>
      <c r="G713" s="80"/>
      <c r="H713" s="240"/>
    </row>
    <row r="714" ht="12.75" customHeight="1" outlineLevel="2">
      <c r="A714" s="89" t="s">
        <v>326</v>
      </c>
      <c r="B714" s="282" t="s">
        <v>2472</v>
      </c>
      <c r="C714" s="268" t="s">
        <v>2473</v>
      </c>
      <c r="D714" s="269" t="s">
        <v>75</v>
      </c>
      <c r="E714" s="270">
        <v>1.0</v>
      </c>
      <c r="F714" s="205">
        <v>0.0</v>
      </c>
      <c r="G714" s="206">
        <f>F714*E714</f>
        <v>0</v>
      </c>
      <c r="H714" s="240"/>
    </row>
    <row r="715" ht="12.75" customHeight="1" outlineLevel="2">
      <c r="B715" s="189"/>
      <c r="E715" s="79"/>
      <c r="F715" s="80"/>
      <c r="G715" s="80"/>
      <c r="H715" s="240"/>
    </row>
    <row r="716" ht="12.75" customHeight="1" outlineLevel="2">
      <c r="A716" s="89" t="s">
        <v>328</v>
      </c>
      <c r="B716" s="282">
        <v>11.15</v>
      </c>
      <c r="C716" s="273" t="s">
        <v>2474</v>
      </c>
      <c r="E716" s="79"/>
      <c r="F716" s="80"/>
      <c r="G716" s="80"/>
      <c r="H716" s="240" t="s">
        <v>2451</v>
      </c>
    </row>
    <row r="717" ht="12.75" customHeight="1" outlineLevel="2">
      <c r="B717" s="189"/>
      <c r="E717" s="79"/>
      <c r="F717" s="80"/>
      <c r="G717" s="80"/>
      <c r="H717" s="240"/>
    </row>
    <row r="718" ht="12.75" customHeight="1" outlineLevel="2">
      <c r="A718" s="89" t="s">
        <v>330</v>
      </c>
      <c r="B718" s="282" t="s">
        <v>2475</v>
      </c>
      <c r="C718" s="268" t="s">
        <v>2476</v>
      </c>
      <c r="D718" s="269" t="s">
        <v>75</v>
      </c>
      <c r="E718" s="270">
        <v>1.0</v>
      </c>
      <c r="F718" s="205">
        <v>0.0</v>
      </c>
      <c r="G718" s="206">
        <f t="shared" ref="G718:G719" si="31">F718*E718</f>
        <v>0</v>
      </c>
      <c r="H718" s="240"/>
    </row>
    <row r="719" ht="12.75" customHeight="1" outlineLevel="2">
      <c r="A719" s="89" t="s">
        <v>332</v>
      </c>
      <c r="B719" s="282" t="s">
        <v>2477</v>
      </c>
      <c r="C719" s="268" t="s">
        <v>2478</v>
      </c>
      <c r="D719" s="269" t="s">
        <v>75</v>
      </c>
      <c r="E719" s="270">
        <v>1.0</v>
      </c>
      <c r="F719" s="205">
        <v>0.0</v>
      </c>
      <c r="G719" s="206">
        <f t="shared" si="31"/>
        <v>0</v>
      </c>
      <c r="H719" s="240"/>
    </row>
    <row r="720" ht="12.75" customHeight="1" outlineLevel="2">
      <c r="B720" s="189"/>
      <c r="E720" s="79"/>
      <c r="F720" s="80"/>
      <c r="G720" s="80"/>
      <c r="H720" s="240"/>
    </row>
    <row r="721" ht="12.75" customHeight="1" outlineLevel="2">
      <c r="A721" s="89" t="s">
        <v>334</v>
      </c>
      <c r="B721" s="282">
        <v>11.16</v>
      </c>
      <c r="C721" s="273" t="s">
        <v>2479</v>
      </c>
      <c r="E721" s="79"/>
      <c r="F721" s="80"/>
      <c r="G721" s="80"/>
      <c r="H721" s="240" t="s">
        <v>2451</v>
      </c>
    </row>
    <row r="722" ht="12.75" customHeight="1" outlineLevel="2">
      <c r="B722" s="189"/>
      <c r="E722" s="79"/>
      <c r="F722" s="80"/>
      <c r="G722" s="80"/>
      <c r="H722" s="240"/>
    </row>
    <row r="723" ht="12.75" customHeight="1" outlineLevel="2">
      <c r="A723" s="89" t="s">
        <v>336</v>
      </c>
      <c r="B723" s="282" t="s">
        <v>2480</v>
      </c>
      <c r="C723" s="268" t="s">
        <v>2481</v>
      </c>
      <c r="D723" s="269" t="s">
        <v>75</v>
      </c>
      <c r="E723" s="270">
        <v>2.0</v>
      </c>
      <c r="F723" s="205">
        <v>0.0</v>
      </c>
      <c r="G723" s="206">
        <f>F723*E723</f>
        <v>0</v>
      </c>
      <c r="H723" s="240"/>
    </row>
    <row r="724" ht="12.75" customHeight="1" outlineLevel="2">
      <c r="B724" s="189"/>
      <c r="E724" s="79"/>
      <c r="F724" s="80"/>
      <c r="G724" s="80"/>
      <c r="H724" s="240"/>
    </row>
    <row r="725" ht="12.75" customHeight="1" outlineLevel="2">
      <c r="A725" s="89" t="s">
        <v>338</v>
      </c>
      <c r="B725" s="282">
        <v>11.17</v>
      </c>
      <c r="C725" s="273" t="s">
        <v>2482</v>
      </c>
      <c r="E725" s="79"/>
      <c r="F725" s="80"/>
      <c r="G725" s="80"/>
      <c r="H725" s="240" t="s">
        <v>2451</v>
      </c>
    </row>
    <row r="726" ht="12.75" customHeight="1" outlineLevel="2">
      <c r="B726" s="189"/>
      <c r="E726" s="79"/>
      <c r="F726" s="80"/>
      <c r="G726" s="80"/>
      <c r="H726" s="240"/>
    </row>
    <row r="727" ht="12.75" customHeight="1" outlineLevel="2">
      <c r="A727" s="89" t="s">
        <v>340</v>
      </c>
      <c r="B727" s="282" t="s">
        <v>2483</v>
      </c>
      <c r="C727" s="268" t="s">
        <v>2484</v>
      </c>
      <c r="D727" s="269" t="s">
        <v>75</v>
      </c>
      <c r="E727" s="270">
        <v>1.0</v>
      </c>
      <c r="F727" s="205">
        <v>0.0</v>
      </c>
      <c r="G727" s="206">
        <f>F727*E727</f>
        <v>0</v>
      </c>
      <c r="H727" s="240"/>
    </row>
    <row r="728" ht="12.75" customHeight="1" outlineLevel="2">
      <c r="B728" s="189"/>
      <c r="E728" s="79"/>
      <c r="F728" s="80"/>
      <c r="G728" s="80"/>
      <c r="H728" s="240"/>
    </row>
    <row r="729" ht="12.75" customHeight="1" outlineLevel="2">
      <c r="A729" s="89" t="s">
        <v>342</v>
      </c>
      <c r="B729" s="282">
        <v>11.18</v>
      </c>
      <c r="C729" s="273" t="s">
        <v>2485</v>
      </c>
      <c r="E729" s="79"/>
      <c r="F729" s="80"/>
      <c r="G729" s="80"/>
      <c r="H729" s="240" t="s">
        <v>2451</v>
      </c>
    </row>
    <row r="730" ht="12.75" customHeight="1" outlineLevel="2">
      <c r="B730" s="189"/>
      <c r="E730" s="79"/>
      <c r="F730" s="80"/>
      <c r="G730" s="80"/>
      <c r="H730" s="240"/>
    </row>
    <row r="731" ht="12.75" customHeight="1" outlineLevel="2">
      <c r="A731" s="89" t="s">
        <v>344</v>
      </c>
      <c r="B731" s="282" t="s">
        <v>2486</v>
      </c>
      <c r="C731" s="268" t="s">
        <v>2487</v>
      </c>
      <c r="D731" s="269" t="s">
        <v>75</v>
      </c>
      <c r="E731" s="270">
        <v>1.0</v>
      </c>
      <c r="F731" s="205">
        <v>0.0</v>
      </c>
      <c r="G731" s="206">
        <f>F731*E731</f>
        <v>0</v>
      </c>
      <c r="H731" s="240"/>
    </row>
    <row r="732" ht="12.75" customHeight="1" outlineLevel="2">
      <c r="B732" s="189"/>
      <c r="E732" s="79"/>
      <c r="F732" s="80"/>
      <c r="G732" s="80"/>
      <c r="H732" s="240"/>
    </row>
    <row r="733" ht="12.75" customHeight="1" outlineLevel="2">
      <c r="A733" s="89" t="s">
        <v>346</v>
      </c>
      <c r="B733" s="282">
        <v>11.19</v>
      </c>
      <c r="C733" s="273" t="s">
        <v>2488</v>
      </c>
      <c r="E733" s="79"/>
      <c r="F733" s="80"/>
      <c r="G733" s="80"/>
      <c r="H733" s="240" t="s">
        <v>2451</v>
      </c>
    </row>
    <row r="734" ht="12.75" customHeight="1" outlineLevel="2">
      <c r="B734" s="189"/>
      <c r="E734" s="79"/>
      <c r="F734" s="80"/>
      <c r="G734" s="80"/>
      <c r="H734" s="240"/>
    </row>
    <row r="735" ht="12.75" customHeight="1" outlineLevel="2">
      <c r="A735" s="89" t="s">
        <v>348</v>
      </c>
      <c r="B735" s="282" t="s">
        <v>2489</v>
      </c>
      <c r="C735" s="268" t="s">
        <v>2490</v>
      </c>
      <c r="D735" s="269" t="s">
        <v>75</v>
      </c>
      <c r="E735" s="270">
        <v>1.0</v>
      </c>
      <c r="F735" s="205">
        <v>0.0</v>
      </c>
      <c r="G735" s="206">
        <f t="shared" ref="G735:G737" si="32">F735*E735</f>
        <v>0</v>
      </c>
      <c r="H735" s="240"/>
    </row>
    <row r="736" ht="12.75" customHeight="1" outlineLevel="2">
      <c r="A736" s="89" t="s">
        <v>350</v>
      </c>
      <c r="B736" s="282" t="s">
        <v>2491</v>
      </c>
      <c r="C736" s="268" t="s">
        <v>2492</v>
      </c>
      <c r="D736" s="269" t="s">
        <v>75</v>
      </c>
      <c r="E736" s="270">
        <v>1.0</v>
      </c>
      <c r="F736" s="205">
        <v>0.0</v>
      </c>
      <c r="G736" s="206">
        <f t="shared" si="32"/>
        <v>0</v>
      </c>
      <c r="H736" s="240"/>
    </row>
    <row r="737" ht="12.75" customHeight="1" outlineLevel="2">
      <c r="A737" s="89" t="s">
        <v>352</v>
      </c>
      <c r="B737" s="282" t="s">
        <v>2493</v>
      </c>
      <c r="C737" s="268" t="s">
        <v>2494</v>
      </c>
      <c r="D737" s="269" t="s">
        <v>75</v>
      </c>
      <c r="E737" s="270">
        <v>1.0</v>
      </c>
      <c r="F737" s="205">
        <v>0.0</v>
      </c>
      <c r="G737" s="206">
        <f t="shared" si="32"/>
        <v>0</v>
      </c>
      <c r="H737" s="240"/>
    </row>
    <row r="738" ht="12.75" customHeight="1" outlineLevel="2">
      <c r="B738" s="189"/>
      <c r="E738" s="79"/>
      <c r="F738" s="80"/>
      <c r="G738" s="80"/>
      <c r="H738" s="240"/>
    </row>
    <row r="739" ht="12.75" customHeight="1" outlineLevel="2">
      <c r="A739" s="89" t="s">
        <v>354</v>
      </c>
      <c r="B739" s="282">
        <v>11.2</v>
      </c>
      <c r="C739" s="273" t="s">
        <v>2495</v>
      </c>
      <c r="E739" s="79"/>
      <c r="F739" s="80"/>
      <c r="G739" s="80"/>
      <c r="H739" s="240" t="s">
        <v>2451</v>
      </c>
    </row>
    <row r="740" ht="12.75" customHeight="1" outlineLevel="2">
      <c r="B740" s="189"/>
      <c r="E740" s="79"/>
      <c r="F740" s="80"/>
      <c r="G740" s="80"/>
      <c r="H740" s="240"/>
    </row>
    <row r="741" ht="12.75" customHeight="1" outlineLevel="2">
      <c r="A741" s="89" t="s">
        <v>356</v>
      </c>
      <c r="B741" s="282" t="s">
        <v>2496</v>
      </c>
      <c r="C741" s="268" t="s">
        <v>2497</v>
      </c>
      <c r="D741" s="269" t="s">
        <v>75</v>
      </c>
      <c r="E741" s="270">
        <v>1.0</v>
      </c>
      <c r="F741" s="205">
        <v>0.0</v>
      </c>
      <c r="G741" s="206">
        <f>F741*E741</f>
        <v>0</v>
      </c>
      <c r="H741" s="240"/>
    </row>
    <row r="742" ht="12.75" customHeight="1" outlineLevel="2">
      <c r="B742" s="189"/>
      <c r="E742" s="79"/>
      <c r="F742" s="80"/>
      <c r="G742" s="80"/>
      <c r="H742" s="240"/>
    </row>
    <row r="743" ht="12.75" customHeight="1" outlineLevel="2">
      <c r="A743" s="89" t="s">
        <v>358</v>
      </c>
      <c r="B743" s="282">
        <v>11.21</v>
      </c>
      <c r="C743" s="273" t="s">
        <v>2498</v>
      </c>
      <c r="E743" s="79"/>
      <c r="F743" s="80"/>
      <c r="G743" s="80"/>
      <c r="H743" s="240" t="s">
        <v>2451</v>
      </c>
    </row>
    <row r="744" ht="12.75" customHeight="1" outlineLevel="2">
      <c r="B744" s="189"/>
      <c r="E744" s="79"/>
      <c r="F744" s="80"/>
      <c r="G744" s="80"/>
      <c r="H744" s="240"/>
    </row>
    <row r="745" ht="12.75" customHeight="1" outlineLevel="2">
      <c r="A745" s="89" t="s">
        <v>360</v>
      </c>
      <c r="B745" s="282" t="s">
        <v>2499</v>
      </c>
      <c r="C745" s="268" t="s">
        <v>2500</v>
      </c>
      <c r="D745" s="269" t="s">
        <v>75</v>
      </c>
      <c r="E745" s="270">
        <v>1.0</v>
      </c>
      <c r="F745" s="205">
        <v>0.0</v>
      </c>
      <c r="G745" s="206">
        <f>F745*E745</f>
        <v>0</v>
      </c>
      <c r="H745" s="240"/>
    </row>
    <row r="746" ht="12.75" customHeight="1" outlineLevel="2">
      <c r="B746" s="189"/>
      <c r="E746" s="79"/>
      <c r="F746" s="80"/>
      <c r="G746" s="80"/>
      <c r="H746" s="240"/>
    </row>
    <row r="747" ht="12.75" customHeight="1" outlineLevel="2">
      <c r="A747" s="89" t="s">
        <v>362</v>
      </c>
      <c r="B747" s="282">
        <v>11.22</v>
      </c>
      <c r="C747" s="273" t="s">
        <v>2501</v>
      </c>
      <c r="E747" s="79"/>
      <c r="F747" s="80"/>
      <c r="G747" s="80"/>
      <c r="H747" s="240" t="s">
        <v>2451</v>
      </c>
    </row>
    <row r="748" ht="12.75" customHeight="1" outlineLevel="2">
      <c r="B748" s="189"/>
      <c r="E748" s="79"/>
      <c r="F748" s="80"/>
      <c r="G748" s="80"/>
      <c r="H748" s="240"/>
    </row>
    <row r="749" ht="12.75" customHeight="1" outlineLevel="2">
      <c r="A749" s="89" t="s">
        <v>364</v>
      </c>
      <c r="B749" s="282" t="s">
        <v>2502</v>
      </c>
      <c r="C749" s="268" t="s">
        <v>2503</v>
      </c>
      <c r="D749" s="269" t="s">
        <v>75</v>
      </c>
      <c r="E749" s="270">
        <v>1.0</v>
      </c>
      <c r="F749" s="205">
        <v>0.0</v>
      </c>
      <c r="G749" s="206">
        <f>F749*E749</f>
        <v>0</v>
      </c>
      <c r="H749" s="240"/>
    </row>
    <row r="750" ht="12.75" customHeight="1" outlineLevel="2">
      <c r="B750" s="189"/>
      <c r="E750" s="79"/>
      <c r="F750" s="80"/>
      <c r="G750" s="80"/>
      <c r="H750" s="240"/>
    </row>
    <row r="751" ht="12.75" customHeight="1" outlineLevel="2">
      <c r="A751" s="89" t="s">
        <v>366</v>
      </c>
      <c r="B751" s="282">
        <v>11.23</v>
      </c>
      <c r="C751" s="273" t="s">
        <v>2504</v>
      </c>
      <c r="E751" s="79"/>
      <c r="F751" s="80"/>
      <c r="G751" s="80"/>
      <c r="H751" s="240" t="s">
        <v>2451</v>
      </c>
    </row>
    <row r="752" ht="12.75" customHeight="1" outlineLevel="2">
      <c r="B752" s="189"/>
      <c r="E752" s="79"/>
      <c r="F752" s="80"/>
      <c r="G752" s="80"/>
      <c r="H752" s="240"/>
    </row>
    <row r="753" ht="12.75" customHeight="1" outlineLevel="2">
      <c r="A753" s="89" t="s">
        <v>368</v>
      </c>
      <c r="B753" s="282" t="s">
        <v>2505</v>
      </c>
      <c r="C753" s="268" t="s">
        <v>2506</v>
      </c>
      <c r="D753" s="269" t="s">
        <v>75</v>
      </c>
      <c r="E753" s="270">
        <v>1.0</v>
      </c>
      <c r="F753" s="205">
        <v>0.0</v>
      </c>
      <c r="G753" s="206">
        <f t="shared" ref="G753:G758" si="33">F753*E753</f>
        <v>0</v>
      </c>
      <c r="H753" s="240"/>
    </row>
    <row r="754" ht="12.75" customHeight="1" outlineLevel="2">
      <c r="A754" s="89" t="s">
        <v>370</v>
      </c>
      <c r="B754" s="282" t="s">
        <v>2507</v>
      </c>
      <c r="C754" s="268" t="s">
        <v>2508</v>
      </c>
      <c r="D754" s="269" t="s">
        <v>75</v>
      </c>
      <c r="E754" s="270">
        <v>1.0</v>
      </c>
      <c r="F754" s="205">
        <v>0.0</v>
      </c>
      <c r="G754" s="206">
        <f t="shared" si="33"/>
        <v>0</v>
      </c>
      <c r="H754" s="240"/>
    </row>
    <row r="755" ht="12.75" customHeight="1" outlineLevel="2">
      <c r="A755" s="89" t="s">
        <v>372</v>
      </c>
      <c r="B755" s="282" t="s">
        <v>2509</v>
      </c>
      <c r="C755" s="268" t="s">
        <v>2510</v>
      </c>
      <c r="D755" s="269" t="s">
        <v>75</v>
      </c>
      <c r="E755" s="270">
        <v>1.0</v>
      </c>
      <c r="F755" s="205">
        <v>0.0</v>
      </c>
      <c r="G755" s="206">
        <f t="shared" si="33"/>
        <v>0</v>
      </c>
      <c r="H755" s="240"/>
    </row>
    <row r="756" ht="12.75" customHeight="1" outlineLevel="2">
      <c r="A756" s="89" t="s">
        <v>374</v>
      </c>
      <c r="B756" s="282" t="s">
        <v>2511</v>
      </c>
      <c r="C756" s="268" t="s">
        <v>2512</v>
      </c>
      <c r="D756" s="269" t="s">
        <v>75</v>
      </c>
      <c r="E756" s="270">
        <v>1.0</v>
      </c>
      <c r="F756" s="205">
        <v>0.0</v>
      </c>
      <c r="G756" s="206">
        <f t="shared" si="33"/>
        <v>0</v>
      </c>
      <c r="H756" s="240"/>
    </row>
    <row r="757" ht="12.75" customHeight="1" outlineLevel="2">
      <c r="A757" s="89" t="s">
        <v>376</v>
      </c>
      <c r="B757" s="282" t="s">
        <v>2513</v>
      </c>
      <c r="C757" s="268" t="s">
        <v>2514</v>
      </c>
      <c r="D757" s="269" t="s">
        <v>75</v>
      </c>
      <c r="E757" s="270">
        <v>1.0</v>
      </c>
      <c r="F757" s="205">
        <v>0.0</v>
      </c>
      <c r="G757" s="206">
        <f t="shared" si="33"/>
        <v>0</v>
      </c>
      <c r="H757" s="240"/>
    </row>
    <row r="758" ht="12.75" customHeight="1" outlineLevel="2">
      <c r="A758" s="89" t="s">
        <v>378</v>
      </c>
      <c r="B758" s="282" t="s">
        <v>2515</v>
      </c>
      <c r="C758" s="268" t="s">
        <v>2516</v>
      </c>
      <c r="D758" s="269" t="s">
        <v>75</v>
      </c>
      <c r="E758" s="270">
        <v>1.0</v>
      </c>
      <c r="F758" s="205">
        <v>0.0</v>
      </c>
      <c r="G758" s="206">
        <f t="shared" si="33"/>
        <v>0</v>
      </c>
      <c r="H758" s="240"/>
    </row>
    <row r="759" ht="12.75" customHeight="1" outlineLevel="2">
      <c r="A759" s="89"/>
      <c r="B759" s="289"/>
      <c r="C759" s="285"/>
      <c r="D759" s="274"/>
      <c r="E759" s="275"/>
      <c r="F759" s="239"/>
      <c r="G759" s="239"/>
      <c r="H759" s="240"/>
    </row>
    <row r="760" ht="12.75" customHeight="1" outlineLevel="1">
      <c r="A760" s="89"/>
      <c r="B760" s="289"/>
      <c r="C760" s="285"/>
      <c r="D760" s="274"/>
      <c r="E760" s="275"/>
      <c r="F760" s="239"/>
      <c r="G760" s="239"/>
      <c r="H760" s="240"/>
    </row>
    <row r="761" ht="12.75" customHeight="1">
      <c r="A761" s="192"/>
      <c r="B761" s="83">
        <v>12.0</v>
      </c>
      <c r="C761" s="184" t="s">
        <v>2517</v>
      </c>
      <c r="D761" s="193"/>
      <c r="E761" s="194"/>
      <c r="F761" s="195"/>
      <c r="G761" s="196">
        <f>SUM(G765:G829)</f>
        <v>51642.25</v>
      </c>
      <c r="H761" s="197">
        <f>G761-'Orcamento RU'!C520</f>
        <v>-4592.29</v>
      </c>
    </row>
    <row r="762" ht="12.75" customHeight="1" outlineLevel="1">
      <c r="A762" s="89"/>
      <c r="B762" s="288"/>
      <c r="C762" s="285"/>
      <c r="D762" s="274"/>
      <c r="E762" s="275"/>
      <c r="F762" s="239"/>
      <c r="G762" s="239"/>
      <c r="H762" s="240"/>
    </row>
    <row r="763" ht="12.75" customHeight="1" outlineLevel="1">
      <c r="A763" s="89" t="s">
        <v>537</v>
      </c>
      <c r="B763" s="290"/>
      <c r="C763" s="184" t="s">
        <v>2518</v>
      </c>
      <c r="E763" s="79"/>
      <c r="F763" s="80"/>
      <c r="G763" s="80"/>
      <c r="H763" s="240"/>
    </row>
    <row r="764" ht="12.75" customHeight="1" outlineLevel="2">
      <c r="B764" s="290"/>
      <c r="E764" s="79"/>
      <c r="F764" s="80"/>
      <c r="G764" s="80"/>
      <c r="H764" s="240"/>
    </row>
    <row r="765" ht="71.25" customHeight="1" outlineLevel="2">
      <c r="A765" s="89" t="s">
        <v>539</v>
      </c>
      <c r="B765" s="198" t="s">
        <v>2519</v>
      </c>
      <c r="C765" s="202" t="s">
        <v>2520</v>
      </c>
      <c r="D765" s="203"/>
      <c r="E765" s="214"/>
      <c r="F765" s="205"/>
      <c r="G765" s="206"/>
      <c r="H765" s="219" t="s">
        <v>2521</v>
      </c>
    </row>
    <row r="766" ht="12.75" customHeight="1" outlineLevel="2">
      <c r="B766" s="291"/>
      <c r="E766" s="79"/>
      <c r="F766" s="80"/>
      <c r="G766" s="80"/>
      <c r="H766" s="240"/>
    </row>
    <row r="767" ht="12.75" customHeight="1" outlineLevel="2">
      <c r="A767" s="89" t="s">
        <v>541</v>
      </c>
      <c r="B767" s="198" t="s">
        <v>2522</v>
      </c>
      <c r="C767" s="202" t="s">
        <v>2523</v>
      </c>
      <c r="D767" s="203" t="s">
        <v>227</v>
      </c>
      <c r="E767" s="214">
        <v>1.0</v>
      </c>
      <c r="F767" s="205">
        <v>3800.0</v>
      </c>
      <c r="G767" s="206">
        <f>E767*F767</f>
        <v>3800</v>
      </c>
      <c r="H767" s="219"/>
    </row>
    <row r="768" ht="12.75" customHeight="1" outlineLevel="2">
      <c r="B768" s="286"/>
      <c r="E768" s="79"/>
      <c r="F768" s="80"/>
      <c r="G768" s="80"/>
      <c r="H768" s="240"/>
    </row>
    <row r="769" ht="12.75" customHeight="1" outlineLevel="2">
      <c r="A769" s="89" t="s">
        <v>543</v>
      </c>
      <c r="B769" s="198" t="s">
        <v>2524</v>
      </c>
      <c r="C769" s="202" t="s">
        <v>2525</v>
      </c>
      <c r="D769" s="203" t="s">
        <v>227</v>
      </c>
      <c r="E769" s="214">
        <v>1.0</v>
      </c>
      <c r="F769" s="205">
        <v>3800.0</v>
      </c>
      <c r="G769" s="206">
        <f>E769*F769</f>
        <v>3800</v>
      </c>
      <c r="H769" s="219"/>
    </row>
    <row r="770" ht="12.75" customHeight="1" outlineLevel="2">
      <c r="B770" s="286"/>
      <c r="E770" s="79"/>
      <c r="F770" s="80"/>
      <c r="G770" s="80"/>
      <c r="H770" s="240"/>
    </row>
    <row r="771" ht="12.75" customHeight="1" outlineLevel="2">
      <c r="A771" s="89" t="s">
        <v>545</v>
      </c>
      <c r="B771" s="198" t="s">
        <v>2526</v>
      </c>
      <c r="C771" s="202" t="s">
        <v>2527</v>
      </c>
      <c r="D771" s="203" t="s">
        <v>227</v>
      </c>
      <c r="E771" s="214">
        <v>1.0</v>
      </c>
      <c r="F771" s="205">
        <v>2800.0</v>
      </c>
      <c r="G771" s="206">
        <f>E771*F771</f>
        <v>2800</v>
      </c>
      <c r="H771" s="219"/>
    </row>
    <row r="772" ht="12.75" customHeight="1" outlineLevel="2">
      <c r="B772" s="286"/>
      <c r="E772" s="79"/>
      <c r="F772" s="80"/>
      <c r="G772" s="80"/>
      <c r="H772" s="240"/>
    </row>
    <row r="773" ht="12.75" customHeight="1" outlineLevel="1">
      <c r="A773" s="89" t="s">
        <v>547</v>
      </c>
      <c r="B773" s="286"/>
      <c r="C773" s="184" t="s">
        <v>2528</v>
      </c>
      <c r="E773" s="79"/>
      <c r="F773" s="80"/>
      <c r="G773" s="80"/>
      <c r="H773" s="240"/>
    </row>
    <row r="774" ht="12.75" customHeight="1" outlineLevel="2">
      <c r="B774" s="286"/>
      <c r="E774" s="79"/>
      <c r="F774" s="80"/>
      <c r="G774" s="80"/>
      <c r="H774" s="240"/>
    </row>
    <row r="775" ht="12.75" customHeight="1" outlineLevel="2">
      <c r="A775" s="95" t="s">
        <v>549</v>
      </c>
      <c r="B775" s="264" t="s">
        <v>2529</v>
      </c>
      <c r="C775" s="292" t="s">
        <v>2530</v>
      </c>
      <c r="D775" s="293"/>
      <c r="E775" s="214"/>
      <c r="F775" s="205"/>
      <c r="G775" s="206"/>
      <c r="H775" s="294"/>
    </row>
    <row r="776" ht="12.75" customHeight="1" outlineLevel="2">
      <c r="A776" s="102"/>
      <c r="B776" s="286"/>
      <c r="C776" s="102"/>
      <c r="D776" s="102"/>
      <c r="E776" s="103"/>
      <c r="F776" s="104"/>
      <c r="G776" s="104"/>
      <c r="H776" s="295"/>
    </row>
    <row r="777" ht="12.75" customHeight="1" outlineLevel="2">
      <c r="A777" s="95" t="s">
        <v>551</v>
      </c>
      <c r="B777" s="264" t="s">
        <v>2531</v>
      </c>
      <c r="C777" s="292" t="s">
        <v>2532</v>
      </c>
      <c r="D777" s="293" t="s">
        <v>75</v>
      </c>
      <c r="E777" s="214">
        <v>1.0</v>
      </c>
      <c r="F777" s="205">
        <v>2300.0</v>
      </c>
      <c r="G777" s="206">
        <f>E777*F777</f>
        <v>2300</v>
      </c>
      <c r="H777" s="294"/>
    </row>
    <row r="778" ht="12.75" customHeight="1" outlineLevel="2">
      <c r="A778" s="102"/>
      <c r="B778" s="286"/>
      <c r="C778" s="102"/>
      <c r="D778" s="102"/>
      <c r="E778" s="103"/>
      <c r="F778" s="104"/>
      <c r="G778" s="104"/>
      <c r="H778" s="295"/>
    </row>
    <row r="779" ht="12.75" customHeight="1" outlineLevel="2">
      <c r="A779" s="95" t="s">
        <v>553</v>
      </c>
      <c r="B779" s="264" t="s">
        <v>2533</v>
      </c>
      <c r="C779" s="292" t="s">
        <v>2534</v>
      </c>
      <c r="D779" s="293" t="s">
        <v>75</v>
      </c>
      <c r="E779" s="214">
        <v>1.0</v>
      </c>
      <c r="F779" s="205">
        <v>2300.0</v>
      </c>
      <c r="G779" s="206">
        <f>E779*F779</f>
        <v>2300</v>
      </c>
      <c r="H779" s="294"/>
    </row>
    <row r="780" ht="12.75" customHeight="1" outlineLevel="2">
      <c r="A780" s="102"/>
      <c r="B780" s="286"/>
      <c r="C780" s="102"/>
      <c r="D780" s="102"/>
      <c r="E780" s="103"/>
      <c r="F780" s="104"/>
      <c r="G780" s="104"/>
      <c r="H780" s="295"/>
    </row>
    <row r="781" ht="12.75" customHeight="1" outlineLevel="2">
      <c r="A781" s="95" t="s">
        <v>555</v>
      </c>
      <c r="B781" s="264" t="s">
        <v>2535</v>
      </c>
      <c r="C781" s="292" t="s">
        <v>2536</v>
      </c>
      <c r="D781" s="293" t="s">
        <v>75</v>
      </c>
      <c r="E781" s="214">
        <v>1.0</v>
      </c>
      <c r="F781" s="205">
        <v>2300.0</v>
      </c>
      <c r="G781" s="206">
        <f>E781*F781</f>
        <v>2300</v>
      </c>
      <c r="H781" s="294"/>
    </row>
    <row r="782" ht="12.75" customHeight="1" outlineLevel="2">
      <c r="B782" s="286"/>
      <c r="E782" s="79"/>
      <c r="F782" s="80"/>
      <c r="G782" s="80"/>
      <c r="H782" s="240"/>
    </row>
    <row r="783" ht="12.75" customHeight="1" outlineLevel="1">
      <c r="A783" s="89" t="s">
        <v>547</v>
      </c>
      <c r="B783" s="286"/>
      <c r="C783" s="184" t="s">
        <v>2537</v>
      </c>
      <c r="E783" s="79"/>
      <c r="F783" s="80"/>
      <c r="G783" s="80"/>
      <c r="H783" s="240"/>
    </row>
    <row r="784" ht="12.75" customHeight="1" outlineLevel="2">
      <c r="B784" s="286"/>
      <c r="E784" s="79"/>
      <c r="F784" s="80"/>
      <c r="G784" s="80"/>
      <c r="H784" s="240"/>
    </row>
    <row r="785" ht="12.75" customHeight="1" outlineLevel="2">
      <c r="A785" s="89" t="s">
        <v>549</v>
      </c>
      <c r="B785" s="198">
        <v>12.3</v>
      </c>
      <c r="C785" s="202" t="s">
        <v>2538</v>
      </c>
      <c r="D785" s="203" t="s">
        <v>75</v>
      </c>
      <c r="E785" s="214">
        <v>7.0</v>
      </c>
      <c r="F785" s="205">
        <v>420.0</v>
      </c>
      <c r="G785" s="206">
        <f>E785*F785</f>
        <v>2940</v>
      </c>
      <c r="H785" s="219"/>
    </row>
    <row r="786" ht="12.75" customHeight="1" outlineLevel="2">
      <c r="B786" s="286"/>
      <c r="E786" s="79"/>
      <c r="F786" s="80"/>
      <c r="G786" s="80"/>
      <c r="H786" s="240"/>
    </row>
    <row r="787" ht="12.75" customHeight="1" outlineLevel="2">
      <c r="A787" s="89" t="s">
        <v>560</v>
      </c>
      <c r="B787" s="198" t="s">
        <v>2539</v>
      </c>
      <c r="C787" s="202" t="s">
        <v>2540</v>
      </c>
      <c r="D787" s="203" t="s">
        <v>75</v>
      </c>
      <c r="E787" s="214">
        <v>1.0</v>
      </c>
      <c r="F787" s="205">
        <v>1600.0</v>
      </c>
      <c r="G787" s="206">
        <f>E787*F787</f>
        <v>1600</v>
      </c>
      <c r="H787" s="219"/>
    </row>
    <row r="788" ht="12.75" customHeight="1" outlineLevel="2">
      <c r="B788" s="286"/>
      <c r="E788" s="79"/>
      <c r="F788" s="80"/>
      <c r="G788" s="80"/>
      <c r="H788" s="240"/>
    </row>
    <row r="789" ht="12.75" customHeight="1" outlineLevel="2">
      <c r="A789" s="89" t="s">
        <v>562</v>
      </c>
      <c r="B789" s="198" t="s">
        <v>2541</v>
      </c>
      <c r="C789" s="202" t="s">
        <v>2542</v>
      </c>
      <c r="D789" s="203" t="s">
        <v>75</v>
      </c>
      <c r="E789" s="214">
        <v>6.0</v>
      </c>
      <c r="F789" s="205">
        <v>670.0</v>
      </c>
      <c r="G789" s="206">
        <f>E789*F789</f>
        <v>4020</v>
      </c>
      <c r="H789" s="219"/>
    </row>
    <row r="790" ht="12.75" customHeight="1" outlineLevel="2">
      <c r="B790" s="286"/>
      <c r="E790" s="79"/>
      <c r="F790" s="80"/>
      <c r="G790" s="80"/>
      <c r="H790" s="240"/>
    </row>
    <row r="791" ht="12.75" customHeight="1" outlineLevel="2">
      <c r="A791" s="89" t="s">
        <v>564</v>
      </c>
      <c r="B791" s="198" t="s">
        <v>2543</v>
      </c>
      <c r="C791" s="202" t="s">
        <v>2544</v>
      </c>
      <c r="D791" s="203" t="s">
        <v>75</v>
      </c>
      <c r="E791" s="214">
        <v>2.0</v>
      </c>
      <c r="F791" s="205">
        <v>220.0</v>
      </c>
      <c r="G791" s="206">
        <f>E791*F791</f>
        <v>440</v>
      </c>
      <c r="H791" s="219"/>
    </row>
    <row r="792" ht="12.75" customHeight="1" outlineLevel="2">
      <c r="B792" s="286"/>
      <c r="E792" s="79"/>
      <c r="F792" s="80"/>
      <c r="G792" s="80"/>
      <c r="H792" s="240"/>
    </row>
    <row r="793" ht="12.75" customHeight="1" outlineLevel="2">
      <c r="A793" s="89" t="s">
        <v>566</v>
      </c>
      <c r="B793" s="198" t="s">
        <v>2545</v>
      </c>
      <c r="C793" s="202" t="s">
        <v>2546</v>
      </c>
      <c r="D793" s="203" t="s">
        <v>75</v>
      </c>
      <c r="E793" s="214">
        <v>4.0</v>
      </c>
      <c r="F793" s="205">
        <v>180.0</v>
      </c>
      <c r="G793" s="206">
        <f>E793*F793</f>
        <v>720</v>
      </c>
      <c r="H793" s="219"/>
    </row>
    <row r="794" ht="12.75" customHeight="1" outlineLevel="2">
      <c r="B794" s="286"/>
      <c r="E794" s="79"/>
      <c r="F794" s="80"/>
      <c r="G794" s="80"/>
      <c r="H794" s="240"/>
    </row>
    <row r="795" ht="12.75" customHeight="1" outlineLevel="1">
      <c r="A795" s="89" t="s">
        <v>569</v>
      </c>
      <c r="B795" s="286"/>
      <c r="C795" s="184" t="s">
        <v>2547</v>
      </c>
      <c r="E795" s="79"/>
      <c r="F795" s="80"/>
      <c r="G795" s="80"/>
      <c r="H795" s="240"/>
    </row>
    <row r="796" ht="12.75" customHeight="1" outlineLevel="2">
      <c r="B796" s="286"/>
      <c r="E796" s="79"/>
      <c r="F796" s="80"/>
      <c r="G796" s="80"/>
      <c r="H796" s="240"/>
    </row>
    <row r="797" ht="12.75" customHeight="1" outlineLevel="2">
      <c r="A797" s="89" t="s">
        <v>571</v>
      </c>
      <c r="B797" s="198">
        <v>12.4</v>
      </c>
      <c r="C797" s="202" t="s">
        <v>2548</v>
      </c>
      <c r="D797" s="203" t="s">
        <v>75</v>
      </c>
      <c r="E797" s="214">
        <v>14.0</v>
      </c>
      <c r="F797" s="205">
        <v>60.0</v>
      </c>
      <c r="G797" s="206">
        <f>E797*F797</f>
        <v>840</v>
      </c>
      <c r="H797" s="219"/>
    </row>
    <row r="798" ht="12.75" customHeight="1" outlineLevel="2">
      <c r="B798" s="286"/>
      <c r="E798" s="79"/>
      <c r="F798" s="80"/>
      <c r="G798" s="80"/>
      <c r="H798" s="240"/>
    </row>
    <row r="799" ht="12.75" customHeight="1" outlineLevel="2">
      <c r="A799" s="89" t="s">
        <v>574</v>
      </c>
      <c r="B799" s="198" t="s">
        <v>2549</v>
      </c>
      <c r="C799" s="202" t="s">
        <v>2550</v>
      </c>
      <c r="D799" s="203" t="s">
        <v>75</v>
      </c>
      <c r="E799" s="214">
        <v>6.0</v>
      </c>
      <c r="F799" s="205">
        <v>50.0</v>
      </c>
      <c r="G799" s="206">
        <f>E799*F799</f>
        <v>300</v>
      </c>
      <c r="H799" s="219"/>
    </row>
    <row r="800" ht="12.75" customHeight="1" outlineLevel="2">
      <c r="B800" s="286"/>
      <c r="E800" s="79"/>
      <c r="F800" s="80"/>
      <c r="G800" s="80"/>
      <c r="H800" s="240"/>
    </row>
    <row r="801" ht="12.75" customHeight="1" outlineLevel="2">
      <c r="A801" s="89" t="s">
        <v>576</v>
      </c>
      <c r="B801" s="198" t="s">
        <v>2551</v>
      </c>
      <c r="C801" s="202" t="s">
        <v>2552</v>
      </c>
      <c r="D801" s="203" t="s">
        <v>75</v>
      </c>
      <c r="E801" s="214">
        <v>1.0</v>
      </c>
      <c r="F801" s="205">
        <v>360.0</v>
      </c>
      <c r="G801" s="206">
        <f>E801*F801</f>
        <v>360</v>
      </c>
      <c r="H801" s="219"/>
    </row>
    <row r="802" ht="12.75" customHeight="1" outlineLevel="2">
      <c r="B802" s="286"/>
      <c r="E802" s="79"/>
      <c r="F802" s="80"/>
      <c r="G802" s="80"/>
      <c r="H802" s="240"/>
    </row>
    <row r="803" ht="12.75" customHeight="1" outlineLevel="2">
      <c r="A803" s="89" t="s">
        <v>578</v>
      </c>
      <c r="B803" s="198" t="s">
        <v>2553</v>
      </c>
      <c r="C803" s="202" t="s">
        <v>2554</v>
      </c>
      <c r="D803" s="203" t="s">
        <v>75</v>
      </c>
      <c r="E803" s="214">
        <v>2.0</v>
      </c>
      <c r="F803" s="205">
        <v>370.0</v>
      </c>
      <c r="G803" s="206">
        <f>E803*F803</f>
        <v>740</v>
      </c>
      <c r="H803" s="219"/>
    </row>
    <row r="804" ht="12.75" customHeight="1" outlineLevel="2">
      <c r="B804" s="286"/>
      <c r="E804" s="79"/>
      <c r="F804" s="80"/>
      <c r="G804" s="80"/>
      <c r="H804" s="240"/>
    </row>
    <row r="805" ht="12.75" customHeight="1" outlineLevel="2">
      <c r="A805" s="89" t="s">
        <v>580</v>
      </c>
      <c r="B805" s="198" t="s">
        <v>2555</v>
      </c>
      <c r="C805" s="202" t="s">
        <v>2556</v>
      </c>
      <c r="D805" s="203" t="s">
        <v>75</v>
      </c>
      <c r="E805" s="214">
        <v>1.0</v>
      </c>
      <c r="F805" s="205">
        <v>1100.0</v>
      </c>
      <c r="G805" s="206">
        <f>E805*F805</f>
        <v>1100</v>
      </c>
      <c r="H805" s="219"/>
    </row>
    <row r="806" ht="12.75" customHeight="1" outlineLevel="2">
      <c r="B806" s="286"/>
      <c r="E806" s="79"/>
      <c r="F806" s="80"/>
      <c r="G806" s="80"/>
      <c r="H806" s="240"/>
    </row>
    <row r="807" ht="12.75" customHeight="1" outlineLevel="2">
      <c r="A807" s="89" t="s">
        <v>584</v>
      </c>
      <c r="B807" s="198" t="s">
        <v>2557</v>
      </c>
      <c r="C807" s="202" t="s">
        <v>2558</v>
      </c>
      <c r="D807" s="203" t="s">
        <v>75</v>
      </c>
      <c r="E807" s="214">
        <v>6.0</v>
      </c>
      <c r="F807" s="205">
        <v>280.0</v>
      </c>
      <c r="G807" s="206">
        <f>E807*F807</f>
        <v>1680</v>
      </c>
      <c r="H807" s="219"/>
    </row>
    <row r="808" ht="12.75" customHeight="1" outlineLevel="2">
      <c r="B808" s="286"/>
      <c r="E808" s="79"/>
      <c r="F808" s="80"/>
      <c r="G808" s="80"/>
      <c r="H808" s="240"/>
    </row>
    <row r="809" ht="12.75" customHeight="1" outlineLevel="2">
      <c r="A809" s="89" t="s">
        <v>587</v>
      </c>
      <c r="B809" s="198" t="s">
        <v>2559</v>
      </c>
      <c r="C809" s="202" t="s">
        <v>2560</v>
      </c>
      <c r="D809" s="203" t="s">
        <v>75</v>
      </c>
      <c r="E809" s="214">
        <v>7.0</v>
      </c>
      <c r="F809" s="205">
        <v>740.0</v>
      </c>
      <c r="G809" s="206">
        <f>E809*F809</f>
        <v>5180</v>
      </c>
      <c r="H809" s="219"/>
    </row>
    <row r="810" ht="12.75" customHeight="1" outlineLevel="2">
      <c r="B810" s="286"/>
      <c r="E810" s="79"/>
      <c r="F810" s="80"/>
      <c r="G810" s="80"/>
      <c r="H810" s="240"/>
    </row>
    <row r="811" ht="12.75" customHeight="1" outlineLevel="2">
      <c r="A811" s="89" t="s">
        <v>589</v>
      </c>
      <c r="B811" s="198" t="s">
        <v>2561</v>
      </c>
      <c r="C811" s="202" t="s">
        <v>2562</v>
      </c>
      <c r="D811" s="203" t="s">
        <v>75</v>
      </c>
      <c r="E811" s="214">
        <v>3.0</v>
      </c>
      <c r="F811" s="205">
        <v>300.0</v>
      </c>
      <c r="G811" s="206">
        <f>E811*F811</f>
        <v>900</v>
      </c>
      <c r="H811" s="219"/>
    </row>
    <row r="812" ht="12.75" customHeight="1" outlineLevel="2">
      <c r="B812" s="286"/>
      <c r="E812" s="79"/>
      <c r="F812" s="80"/>
      <c r="G812" s="80"/>
      <c r="H812" s="240"/>
    </row>
    <row r="813" ht="12.75" customHeight="1" outlineLevel="1">
      <c r="A813" s="89" t="s">
        <v>591</v>
      </c>
      <c r="B813" s="286"/>
      <c r="C813" s="184" t="s">
        <v>2563</v>
      </c>
      <c r="E813" s="79"/>
      <c r="F813" s="80"/>
      <c r="G813" s="80"/>
      <c r="H813" s="240"/>
    </row>
    <row r="814" ht="12.75" customHeight="1" outlineLevel="2">
      <c r="B814" s="286"/>
      <c r="E814" s="79"/>
      <c r="F814" s="80"/>
      <c r="G814" s="80"/>
      <c r="H814" s="240"/>
    </row>
    <row r="815" ht="12.75" customHeight="1" outlineLevel="2">
      <c r="A815" s="89" t="s">
        <v>593</v>
      </c>
      <c r="B815" s="198">
        <v>12.5</v>
      </c>
      <c r="C815" s="202" t="s">
        <v>2564</v>
      </c>
      <c r="D815" s="203" t="s">
        <v>75</v>
      </c>
      <c r="E815" s="214">
        <v>6.0</v>
      </c>
      <c r="F815" s="205">
        <v>42.0</v>
      </c>
      <c r="G815" s="206">
        <f>E815*F815</f>
        <v>252</v>
      </c>
      <c r="H815" s="219"/>
    </row>
    <row r="816" ht="12.75" customHeight="1" outlineLevel="2">
      <c r="B816" s="286"/>
      <c r="E816" s="79"/>
      <c r="F816" s="80"/>
      <c r="G816" s="80"/>
      <c r="H816" s="240"/>
    </row>
    <row r="817" ht="12.75" customHeight="1" outlineLevel="2">
      <c r="A817" s="89" t="s">
        <v>595</v>
      </c>
      <c r="B817" s="198" t="s">
        <v>2565</v>
      </c>
      <c r="C817" s="202" t="s">
        <v>2566</v>
      </c>
      <c r="D817" s="203" t="s">
        <v>75</v>
      </c>
      <c r="E817" s="214">
        <v>11.0</v>
      </c>
      <c r="F817" s="205">
        <v>80.0</v>
      </c>
      <c r="G817" s="206">
        <f>E817*F817</f>
        <v>880</v>
      </c>
      <c r="H817" s="219"/>
    </row>
    <row r="818" ht="12.75" customHeight="1" outlineLevel="2">
      <c r="B818" s="286"/>
      <c r="E818" s="79"/>
      <c r="F818" s="80"/>
      <c r="G818" s="80"/>
      <c r="H818" s="240"/>
    </row>
    <row r="819" ht="12.75" customHeight="1" outlineLevel="2">
      <c r="A819" s="89" t="s">
        <v>597</v>
      </c>
      <c r="B819" s="198" t="s">
        <v>2567</v>
      </c>
      <c r="C819" s="202" t="s">
        <v>2568</v>
      </c>
      <c r="D819" s="203" t="s">
        <v>75</v>
      </c>
      <c r="E819" s="214">
        <v>3.0</v>
      </c>
      <c r="F819" s="205">
        <v>110.0</v>
      </c>
      <c r="G819" s="206">
        <f>E819*F819</f>
        <v>330</v>
      </c>
      <c r="H819" s="219"/>
    </row>
    <row r="820" ht="12.75" customHeight="1" outlineLevel="2">
      <c r="B820" s="296"/>
      <c r="E820" s="79"/>
      <c r="F820" s="80"/>
      <c r="G820" s="80"/>
      <c r="H820" s="240"/>
    </row>
    <row r="821" ht="12.75" customHeight="1" outlineLevel="2">
      <c r="A821" s="89" t="s">
        <v>599</v>
      </c>
      <c r="B821" s="198" t="s">
        <v>2569</v>
      </c>
      <c r="C821" s="202" t="s">
        <v>2570</v>
      </c>
      <c r="D821" s="203" t="s">
        <v>75</v>
      </c>
      <c r="E821" s="214">
        <v>3.0</v>
      </c>
      <c r="F821" s="205">
        <v>65.0</v>
      </c>
      <c r="G821" s="206">
        <f>E821*F821</f>
        <v>195</v>
      </c>
      <c r="H821" s="219"/>
    </row>
    <row r="822" ht="12.75" customHeight="1" outlineLevel="2">
      <c r="B822" s="296"/>
      <c r="E822" s="79"/>
      <c r="F822" s="80"/>
      <c r="G822" s="80"/>
      <c r="H822" s="240"/>
    </row>
    <row r="823" ht="12.75" customHeight="1" outlineLevel="2">
      <c r="A823" s="89" t="s">
        <v>601</v>
      </c>
      <c r="B823" s="198" t="s">
        <v>2571</v>
      </c>
      <c r="C823" s="202" t="s">
        <v>2572</v>
      </c>
      <c r="D823" s="203" t="s">
        <v>75</v>
      </c>
      <c r="E823" s="214">
        <v>1.0</v>
      </c>
      <c r="F823" s="205">
        <v>1200.0</v>
      </c>
      <c r="G823" s="206">
        <f>E823*F823</f>
        <v>1200</v>
      </c>
      <c r="H823" s="219"/>
    </row>
    <row r="824" ht="12.75" customHeight="1" outlineLevel="2">
      <c r="B824" s="296"/>
      <c r="E824" s="79"/>
      <c r="F824" s="80"/>
      <c r="G824" s="80"/>
      <c r="H824" s="240"/>
    </row>
    <row r="825" ht="12.75" customHeight="1" outlineLevel="2">
      <c r="A825" s="89" t="s">
        <v>603</v>
      </c>
      <c r="B825" s="198" t="s">
        <v>2573</v>
      </c>
      <c r="C825" s="202" t="s">
        <v>2574</v>
      </c>
      <c r="D825" s="203" t="s">
        <v>40</v>
      </c>
      <c r="E825" s="214">
        <v>21.85</v>
      </c>
      <c r="F825" s="205">
        <v>325.0</v>
      </c>
      <c r="G825" s="206">
        <f>E825*F825</f>
        <v>7101.25</v>
      </c>
      <c r="H825" s="219"/>
    </row>
    <row r="826" ht="12.75" customHeight="1" outlineLevel="2">
      <c r="B826" s="296"/>
      <c r="E826" s="79"/>
      <c r="F826" s="80"/>
      <c r="G826" s="80"/>
      <c r="H826" s="240"/>
    </row>
    <row r="827" ht="12.75" customHeight="1" outlineLevel="2">
      <c r="A827" s="89" t="s">
        <v>605</v>
      </c>
      <c r="B827" s="198" t="s">
        <v>2575</v>
      </c>
      <c r="C827" s="202" t="s">
        <v>2576</v>
      </c>
      <c r="D827" s="203" t="s">
        <v>75</v>
      </c>
      <c r="E827" s="214">
        <v>2.0</v>
      </c>
      <c r="F827" s="205">
        <v>200.0</v>
      </c>
      <c r="G827" s="206">
        <f>E827*F827</f>
        <v>400</v>
      </c>
      <c r="H827" s="219"/>
    </row>
    <row r="828" ht="12.75" customHeight="1" outlineLevel="2">
      <c r="B828" s="296"/>
      <c r="E828" s="79"/>
      <c r="F828" s="80"/>
      <c r="G828" s="80"/>
      <c r="H828" s="240"/>
    </row>
    <row r="829" ht="12.75" customHeight="1" outlineLevel="2">
      <c r="A829" s="89" t="s">
        <v>607</v>
      </c>
      <c r="B829" s="198" t="s">
        <v>2577</v>
      </c>
      <c r="C829" s="202" t="s">
        <v>2578</v>
      </c>
      <c r="D829" s="203" t="s">
        <v>40</v>
      </c>
      <c r="E829" s="214">
        <v>22.6</v>
      </c>
      <c r="F829" s="205">
        <v>140.0</v>
      </c>
      <c r="G829" s="206">
        <f>E829*F829</f>
        <v>3164</v>
      </c>
      <c r="H829" s="219"/>
    </row>
    <row r="830" ht="12.75" customHeight="1" outlineLevel="2">
      <c r="A830" s="89"/>
      <c r="B830" s="288"/>
      <c r="C830" s="285"/>
      <c r="D830" s="274"/>
      <c r="E830" s="275"/>
      <c r="F830" s="239"/>
      <c r="G830" s="239"/>
      <c r="H830" s="240"/>
    </row>
    <row r="831" ht="12.75" customHeight="1" outlineLevel="1">
      <c r="A831" s="89"/>
      <c r="B831" s="288"/>
      <c r="C831" s="285"/>
      <c r="D831" s="274"/>
      <c r="E831" s="275"/>
      <c r="F831" s="239"/>
      <c r="G831" s="239"/>
      <c r="H831" s="240"/>
    </row>
    <row r="832" ht="12.75" customHeight="1">
      <c r="A832" s="192"/>
      <c r="B832" s="83">
        <v>13.0</v>
      </c>
      <c r="C832" s="184" t="s">
        <v>2579</v>
      </c>
      <c r="D832" s="193"/>
      <c r="E832" s="194"/>
      <c r="F832" s="195"/>
      <c r="G832" s="196">
        <f>SUM(G838:G876)</f>
        <v>19443</v>
      </c>
      <c r="H832" s="197">
        <f>G832-'Orcamento RU'!C590</f>
        <v>82</v>
      </c>
    </row>
    <row r="833" ht="12.75" customHeight="1" outlineLevel="1">
      <c r="A833" s="89"/>
      <c r="B833" s="289"/>
      <c r="C833" s="285"/>
      <c r="D833" s="274"/>
      <c r="E833" s="275"/>
      <c r="F833" s="239"/>
      <c r="G833" s="239"/>
      <c r="H833" s="240"/>
    </row>
    <row r="834" ht="12.75" customHeight="1" outlineLevel="1">
      <c r="A834" s="89" t="s">
        <v>610</v>
      </c>
      <c r="B834" s="189"/>
      <c r="C834" s="184" t="s">
        <v>2580</v>
      </c>
      <c r="E834" s="79"/>
      <c r="F834" s="80"/>
      <c r="G834" s="80"/>
      <c r="H834" s="240"/>
    </row>
    <row r="835" ht="12.75" customHeight="1" outlineLevel="2">
      <c r="B835" s="189"/>
      <c r="E835" s="79"/>
      <c r="F835" s="80"/>
      <c r="G835" s="80"/>
      <c r="H835" s="240"/>
    </row>
    <row r="836" ht="12.75" customHeight="1" outlineLevel="2">
      <c r="A836" s="95" t="s">
        <v>612</v>
      </c>
      <c r="B836" s="297">
        <v>13.1</v>
      </c>
      <c r="C836" s="298" t="s">
        <v>2581</v>
      </c>
      <c r="D836" s="130"/>
      <c r="E836" s="170"/>
      <c r="F836" s="239"/>
      <c r="G836" s="239"/>
      <c r="H836" s="240"/>
    </row>
    <row r="837" ht="12.75" customHeight="1" outlineLevel="2">
      <c r="A837" s="89"/>
      <c r="B837" s="299"/>
      <c r="C837" s="202"/>
      <c r="D837" s="130"/>
      <c r="E837" s="170"/>
      <c r="F837" s="239"/>
      <c r="G837" s="239"/>
      <c r="H837" s="240"/>
    </row>
    <row r="838" ht="12.75" customHeight="1" outlineLevel="2">
      <c r="A838" s="89" t="s">
        <v>615</v>
      </c>
      <c r="B838" s="300" t="s">
        <v>2582</v>
      </c>
      <c r="C838" s="202" t="s">
        <v>2583</v>
      </c>
      <c r="D838" s="203" t="s">
        <v>227</v>
      </c>
      <c r="E838" s="214">
        <v>1.0</v>
      </c>
      <c r="F838" s="205">
        <v>1600.0</v>
      </c>
      <c r="G838" s="206">
        <f t="shared" ref="G838:G839" si="34">F838*E838</f>
        <v>1600</v>
      </c>
      <c r="H838" s="219"/>
    </row>
    <row r="839" ht="12.75" customHeight="1" outlineLevel="2">
      <c r="A839" s="89" t="s">
        <v>617</v>
      </c>
      <c r="B839" s="198" t="s">
        <v>2584</v>
      </c>
      <c r="C839" s="202" t="s">
        <v>2585</v>
      </c>
      <c r="D839" s="203" t="s">
        <v>227</v>
      </c>
      <c r="E839" s="214">
        <v>1.0</v>
      </c>
      <c r="F839" s="205">
        <v>6100.0</v>
      </c>
      <c r="G839" s="206">
        <f t="shared" si="34"/>
        <v>6100</v>
      </c>
      <c r="H839" s="219"/>
    </row>
    <row r="840" ht="12.75" customHeight="1" outlineLevel="2">
      <c r="A840" s="89"/>
      <c r="B840" s="230"/>
      <c r="C840" s="246"/>
      <c r="D840" s="130"/>
      <c r="E840" s="170"/>
      <c r="F840" s="239"/>
      <c r="G840" s="239"/>
      <c r="H840" s="240"/>
    </row>
    <row r="841" ht="12.75" customHeight="1" outlineLevel="2">
      <c r="A841" s="89" t="s">
        <v>620</v>
      </c>
      <c r="B841" s="297">
        <v>13.2</v>
      </c>
      <c r="C841" s="202" t="s">
        <v>2586</v>
      </c>
      <c r="D841" s="238"/>
      <c r="E841" s="170"/>
      <c r="F841" s="239"/>
      <c r="G841" s="239"/>
      <c r="H841" s="240"/>
    </row>
    <row r="842" ht="12.75" customHeight="1" outlineLevel="2">
      <c r="A842" s="89"/>
      <c r="B842" s="299"/>
      <c r="C842" s="202"/>
      <c r="D842" s="130"/>
      <c r="E842" s="170"/>
      <c r="F842" s="239"/>
      <c r="G842" s="239"/>
      <c r="H842" s="240"/>
    </row>
    <row r="843" ht="12.75" customHeight="1" outlineLevel="2">
      <c r="A843" s="89" t="s">
        <v>622</v>
      </c>
      <c r="B843" s="300" t="s">
        <v>2587</v>
      </c>
      <c r="C843" s="202" t="s">
        <v>2588</v>
      </c>
      <c r="D843" s="203" t="s">
        <v>227</v>
      </c>
      <c r="E843" s="214">
        <v>1.0</v>
      </c>
      <c r="F843" s="205">
        <v>1100.0</v>
      </c>
      <c r="G843" s="206">
        <f t="shared" ref="G843:G844" si="35">F843*E843</f>
        <v>1100</v>
      </c>
      <c r="H843" s="219"/>
    </row>
    <row r="844" ht="12.75" customHeight="1" outlineLevel="2">
      <c r="A844" s="89" t="s">
        <v>624</v>
      </c>
      <c r="B844" s="198" t="s">
        <v>2589</v>
      </c>
      <c r="C844" s="202" t="s">
        <v>2590</v>
      </c>
      <c r="D844" s="203" t="s">
        <v>227</v>
      </c>
      <c r="E844" s="214">
        <v>1.0</v>
      </c>
      <c r="F844" s="205">
        <v>500.0</v>
      </c>
      <c r="G844" s="206">
        <f t="shared" si="35"/>
        <v>500</v>
      </c>
      <c r="H844" s="219"/>
    </row>
    <row r="845" ht="12.75" customHeight="1" outlineLevel="2">
      <c r="B845" s="189"/>
      <c r="E845" s="79"/>
      <c r="F845" s="80"/>
      <c r="G845" s="80"/>
      <c r="H845" s="240"/>
    </row>
    <row r="846" ht="12.75" customHeight="1" outlineLevel="2">
      <c r="A846" s="89" t="s">
        <v>626</v>
      </c>
      <c r="B846" s="198">
        <v>13.3</v>
      </c>
      <c r="C846" s="202" t="s">
        <v>2591</v>
      </c>
      <c r="D846" s="203" t="s">
        <v>75</v>
      </c>
      <c r="E846" s="214">
        <v>1.0</v>
      </c>
      <c r="F846" s="205">
        <v>298.0</v>
      </c>
      <c r="G846" s="206">
        <f>F846*E846</f>
        <v>298</v>
      </c>
      <c r="H846" s="219"/>
    </row>
    <row r="847" ht="12.75" customHeight="1" outlineLevel="2">
      <c r="B847" s="189"/>
      <c r="E847" s="79"/>
      <c r="F847" s="80"/>
      <c r="G847" s="80"/>
      <c r="H847" s="240"/>
    </row>
    <row r="848" ht="12.75" customHeight="1" outlineLevel="2">
      <c r="A848" s="89" t="s">
        <v>628</v>
      </c>
      <c r="B848" s="198">
        <v>13.4</v>
      </c>
      <c r="C848" s="202" t="s">
        <v>2592</v>
      </c>
      <c r="D848" s="203" t="s">
        <v>75</v>
      </c>
      <c r="E848" s="214">
        <v>1.0</v>
      </c>
      <c r="F848" s="205">
        <v>400.0</v>
      </c>
      <c r="G848" s="206">
        <f>F848*E848</f>
        <v>400</v>
      </c>
      <c r="H848" s="219"/>
    </row>
    <row r="849" ht="12.75" customHeight="1" outlineLevel="2">
      <c r="B849" s="189"/>
      <c r="E849" s="79"/>
      <c r="F849" s="80"/>
      <c r="G849" s="80"/>
      <c r="H849" s="240"/>
    </row>
    <row r="850" ht="12.75" customHeight="1" outlineLevel="2">
      <c r="A850" s="89" t="s">
        <v>630</v>
      </c>
      <c r="B850" s="198">
        <v>13.5</v>
      </c>
      <c r="C850" s="202" t="s">
        <v>2593</v>
      </c>
      <c r="D850" s="203" t="s">
        <v>75</v>
      </c>
      <c r="E850" s="214">
        <v>1.0</v>
      </c>
      <c r="F850" s="205">
        <v>210.0</v>
      </c>
      <c r="G850" s="206">
        <f>F850*E850</f>
        <v>210</v>
      </c>
      <c r="H850" s="219"/>
    </row>
    <row r="851" ht="12.75" customHeight="1" outlineLevel="2">
      <c r="B851" s="189"/>
      <c r="E851" s="79"/>
      <c r="F851" s="80"/>
      <c r="G851" s="80"/>
      <c r="H851" s="240"/>
    </row>
    <row r="852" ht="12.75" customHeight="1" outlineLevel="2">
      <c r="A852" s="89" t="s">
        <v>632</v>
      </c>
      <c r="B852" s="198">
        <v>13.6</v>
      </c>
      <c r="C852" s="202" t="s">
        <v>2594</v>
      </c>
      <c r="D852" s="203" t="s">
        <v>75</v>
      </c>
      <c r="E852" s="214">
        <v>1.0</v>
      </c>
      <c r="F852" s="205">
        <v>1600.0</v>
      </c>
      <c r="G852" s="206">
        <f>F852*E852</f>
        <v>1600</v>
      </c>
      <c r="H852" s="219"/>
    </row>
    <row r="853" ht="12.75" customHeight="1" outlineLevel="2">
      <c r="B853" s="189"/>
      <c r="E853" s="79"/>
      <c r="F853" s="80"/>
      <c r="G853" s="80"/>
      <c r="H853" s="240"/>
    </row>
    <row r="854" ht="12.75" customHeight="1" outlineLevel="2">
      <c r="A854" s="89" t="s">
        <v>635</v>
      </c>
      <c r="B854" s="198">
        <v>13.7</v>
      </c>
      <c r="C854" s="202" t="s">
        <v>2595</v>
      </c>
      <c r="D854" s="203" t="s">
        <v>75</v>
      </c>
      <c r="E854" s="214">
        <v>1.0</v>
      </c>
      <c r="F854" s="205">
        <v>915.0</v>
      </c>
      <c r="G854" s="206">
        <f>F854*E854</f>
        <v>915</v>
      </c>
      <c r="H854" s="219"/>
    </row>
    <row r="855" ht="12.75" customHeight="1" outlineLevel="2">
      <c r="B855" s="189"/>
      <c r="E855" s="79"/>
      <c r="F855" s="80"/>
      <c r="G855" s="80"/>
      <c r="H855" s="240"/>
    </row>
    <row r="856" ht="12.75" customHeight="1" outlineLevel="2">
      <c r="A856" s="89" t="s">
        <v>638</v>
      </c>
      <c r="B856" s="198">
        <v>13.8</v>
      </c>
      <c r="C856" s="202" t="s">
        <v>2596</v>
      </c>
      <c r="D856" s="203" t="s">
        <v>75</v>
      </c>
      <c r="E856" s="214">
        <v>1.0</v>
      </c>
      <c r="F856" s="205">
        <v>1100.0</v>
      </c>
      <c r="G856" s="206">
        <f>F856*E856</f>
        <v>1100</v>
      </c>
      <c r="H856" s="219"/>
    </row>
    <row r="857" ht="12.75" customHeight="1" outlineLevel="2">
      <c r="B857" s="189"/>
      <c r="E857" s="79"/>
      <c r="F857" s="80"/>
      <c r="G857" s="80"/>
      <c r="H857" s="240"/>
    </row>
    <row r="858" ht="12.75" customHeight="1" outlineLevel="2">
      <c r="A858" s="89" t="s">
        <v>641</v>
      </c>
      <c r="B858" s="198">
        <v>13.9</v>
      </c>
      <c r="C858" s="202" t="s">
        <v>2597</v>
      </c>
      <c r="D858" s="203" t="s">
        <v>75</v>
      </c>
      <c r="E858" s="214">
        <v>1.0</v>
      </c>
      <c r="F858" s="205">
        <v>285.0</v>
      </c>
      <c r="G858" s="206">
        <f>F858*E858</f>
        <v>285</v>
      </c>
      <c r="H858" s="219"/>
    </row>
    <row r="859" ht="12.75" customHeight="1" outlineLevel="2">
      <c r="B859" s="189"/>
      <c r="E859" s="79"/>
      <c r="F859" s="80"/>
      <c r="G859" s="80"/>
      <c r="H859" s="240"/>
    </row>
    <row r="860" ht="12.75" customHeight="1" outlineLevel="2">
      <c r="A860" s="89" t="s">
        <v>644</v>
      </c>
      <c r="B860" s="301" t="s">
        <v>2598</v>
      </c>
      <c r="C860" s="202" t="s">
        <v>2599</v>
      </c>
      <c r="D860" s="203" t="s">
        <v>75</v>
      </c>
      <c r="E860" s="214">
        <v>1.0</v>
      </c>
      <c r="F860" s="205">
        <v>1010.0</v>
      </c>
      <c r="G860" s="206">
        <f>F860*E860</f>
        <v>1010</v>
      </c>
      <c r="H860" s="219"/>
    </row>
    <row r="861" ht="12.75" customHeight="1" outlineLevel="2">
      <c r="B861" s="189"/>
      <c r="E861" s="79"/>
      <c r="F861" s="80"/>
      <c r="G861" s="80"/>
      <c r="H861" s="240"/>
    </row>
    <row r="862" ht="12.75" customHeight="1" outlineLevel="2">
      <c r="A862" s="89" t="s">
        <v>647</v>
      </c>
      <c r="B862" s="198">
        <v>13.11</v>
      </c>
      <c r="C862" s="202" t="s">
        <v>2600</v>
      </c>
      <c r="D862" s="203" t="s">
        <v>75</v>
      </c>
      <c r="E862" s="214">
        <v>1.0</v>
      </c>
      <c r="F862" s="205">
        <v>1400.0</v>
      </c>
      <c r="G862" s="206">
        <f>F862*E862</f>
        <v>1400</v>
      </c>
      <c r="H862" s="219"/>
    </row>
    <row r="863" ht="12.75" customHeight="1" outlineLevel="2">
      <c r="B863" s="189"/>
      <c r="E863" s="79"/>
      <c r="F863" s="80"/>
      <c r="G863" s="80"/>
      <c r="H863" s="240"/>
    </row>
    <row r="864" ht="12.75" customHeight="1" outlineLevel="2">
      <c r="A864" s="89" t="s">
        <v>649</v>
      </c>
      <c r="B864" s="198">
        <v>13.12</v>
      </c>
      <c r="C864" s="202" t="s">
        <v>2601</v>
      </c>
      <c r="D864" s="203" t="s">
        <v>75</v>
      </c>
      <c r="E864" s="214">
        <v>1.0</v>
      </c>
      <c r="F864" s="205">
        <v>650.0</v>
      </c>
      <c r="G864" s="206">
        <f>F864*E864</f>
        <v>650</v>
      </c>
      <c r="H864" s="219"/>
    </row>
    <row r="865" ht="12.75" customHeight="1" outlineLevel="2">
      <c r="B865" s="189"/>
      <c r="E865" s="79"/>
      <c r="F865" s="80"/>
      <c r="G865" s="80"/>
      <c r="H865" s="240"/>
    </row>
    <row r="866" ht="12.75" customHeight="1" outlineLevel="2">
      <c r="A866" s="89" t="s">
        <v>651</v>
      </c>
      <c r="B866" s="198">
        <v>13.13</v>
      </c>
      <c r="C866" s="202" t="s">
        <v>2602</v>
      </c>
      <c r="D866" s="203" t="s">
        <v>75</v>
      </c>
      <c r="E866" s="214">
        <v>1.0</v>
      </c>
      <c r="F866" s="205">
        <v>20.0</v>
      </c>
      <c r="G866" s="206">
        <f>F866*E866</f>
        <v>20</v>
      </c>
      <c r="H866" s="219"/>
    </row>
    <row r="867" ht="12.75" customHeight="1" outlineLevel="2">
      <c r="B867" s="189"/>
      <c r="E867" s="79"/>
      <c r="F867" s="80"/>
      <c r="G867" s="80"/>
      <c r="H867" s="240"/>
    </row>
    <row r="868" ht="12.75" customHeight="1" outlineLevel="2">
      <c r="A868" s="89" t="s">
        <v>653</v>
      </c>
      <c r="B868" s="198">
        <v>13.14</v>
      </c>
      <c r="C868" s="202" t="s">
        <v>2603</v>
      </c>
      <c r="D868" s="203" t="s">
        <v>75</v>
      </c>
      <c r="E868" s="214">
        <v>1.0</v>
      </c>
      <c r="F868" s="205">
        <v>25.0</v>
      </c>
      <c r="G868" s="206">
        <f>F868*E868</f>
        <v>25</v>
      </c>
      <c r="H868" s="219"/>
    </row>
    <row r="869" ht="12.75" customHeight="1" outlineLevel="2">
      <c r="B869" s="189"/>
      <c r="E869" s="79"/>
      <c r="F869" s="80"/>
      <c r="G869" s="80"/>
      <c r="H869" s="240"/>
    </row>
    <row r="870" ht="12.75" customHeight="1" outlineLevel="2">
      <c r="A870" s="89" t="s">
        <v>655</v>
      </c>
      <c r="B870" s="198">
        <v>13.15</v>
      </c>
      <c r="C870" s="202" t="s">
        <v>2604</v>
      </c>
      <c r="D870" s="203" t="s">
        <v>75</v>
      </c>
      <c r="E870" s="214">
        <v>1.0</v>
      </c>
      <c r="F870" s="205">
        <v>830.0</v>
      </c>
      <c r="G870" s="206">
        <f>F870*E870</f>
        <v>830</v>
      </c>
      <c r="H870" s="219"/>
    </row>
    <row r="871" ht="12.75" customHeight="1" outlineLevel="2">
      <c r="B871" s="189"/>
      <c r="E871" s="79"/>
      <c r="F871" s="80"/>
      <c r="G871" s="80"/>
      <c r="H871" s="240"/>
    </row>
    <row r="872" ht="12.75" customHeight="1" outlineLevel="1">
      <c r="A872" s="89" t="s">
        <v>657</v>
      </c>
      <c r="B872" s="189"/>
      <c r="C872" s="184" t="s">
        <v>2605</v>
      </c>
      <c r="E872" s="79"/>
      <c r="F872" s="80"/>
      <c r="G872" s="80"/>
      <c r="H872" s="240"/>
    </row>
    <row r="873" ht="12.75" customHeight="1" outlineLevel="2">
      <c r="B873" s="189"/>
      <c r="E873" s="79"/>
      <c r="F873" s="80"/>
      <c r="G873" s="80"/>
      <c r="H873" s="240"/>
    </row>
    <row r="874" ht="12.75" customHeight="1" outlineLevel="2">
      <c r="A874" s="89" t="s">
        <v>659</v>
      </c>
      <c r="B874" s="198">
        <v>13.16</v>
      </c>
      <c r="C874" s="202" t="s">
        <v>2606</v>
      </c>
      <c r="D874" s="203" t="s">
        <v>75</v>
      </c>
      <c r="E874" s="214">
        <v>1.0</v>
      </c>
      <c r="F874" s="205">
        <v>750.0</v>
      </c>
      <c r="G874" s="206">
        <f>F874*E874</f>
        <v>750</v>
      </c>
      <c r="H874" s="219"/>
    </row>
    <row r="875" ht="12.75" customHeight="1" outlineLevel="2">
      <c r="B875" s="189"/>
      <c r="E875" s="79"/>
      <c r="F875" s="80"/>
      <c r="G875" s="80"/>
      <c r="H875" s="240"/>
    </row>
    <row r="876" ht="12.75" customHeight="1" outlineLevel="2">
      <c r="A876" s="89" t="s">
        <v>662</v>
      </c>
      <c r="B876" s="198">
        <v>13.17</v>
      </c>
      <c r="C876" s="202" t="s">
        <v>2607</v>
      </c>
      <c r="D876" s="203" t="s">
        <v>75</v>
      </c>
      <c r="E876" s="214">
        <v>1.0</v>
      </c>
      <c r="F876" s="205">
        <v>650.0</v>
      </c>
      <c r="G876" s="206">
        <f>F876*E876</f>
        <v>650</v>
      </c>
      <c r="H876" s="219"/>
    </row>
    <row r="877" ht="12.75" customHeight="1" outlineLevel="2">
      <c r="A877" s="89"/>
      <c r="B877" s="289"/>
      <c r="C877" s="285"/>
      <c r="D877" s="274"/>
      <c r="E877" s="275"/>
      <c r="F877" s="239"/>
      <c r="G877" s="239"/>
      <c r="H877" s="240"/>
    </row>
    <row r="878" ht="12.75" customHeight="1" outlineLevel="1">
      <c r="A878" s="89"/>
      <c r="B878" s="289"/>
      <c r="C878" s="285"/>
      <c r="D878" s="274"/>
      <c r="E878" s="275"/>
      <c r="F878" s="239"/>
      <c r="G878" s="239"/>
      <c r="H878" s="240"/>
    </row>
    <row r="879" ht="12.75" customHeight="1">
      <c r="A879" s="192"/>
      <c r="B879" s="84">
        <v>14.0</v>
      </c>
      <c r="C879" s="184" t="s">
        <v>2608</v>
      </c>
      <c r="D879" s="193"/>
      <c r="E879" s="194"/>
      <c r="F879" s="195"/>
      <c r="G879" s="196">
        <f>SUM(G883:G972)</f>
        <v>37904.148</v>
      </c>
      <c r="H879" s="197">
        <f>G879-Resumo!J41</f>
        <v>-2434.452</v>
      </c>
    </row>
    <row r="880" ht="12.75" customHeight="1" outlineLevel="1">
      <c r="A880" s="89"/>
      <c r="B880" s="289"/>
      <c r="C880" s="285"/>
      <c r="D880" s="274"/>
      <c r="E880" s="275"/>
      <c r="F880" s="239"/>
      <c r="G880" s="239"/>
      <c r="H880" s="240"/>
    </row>
    <row r="881" ht="12.75" customHeight="1" outlineLevel="1">
      <c r="A881" s="89"/>
      <c r="B881" s="189"/>
      <c r="C881" s="184" t="s">
        <v>2609</v>
      </c>
      <c r="E881" s="79"/>
      <c r="F881" s="80"/>
      <c r="G881" s="239"/>
      <c r="H881" s="240"/>
    </row>
    <row r="882" ht="12.75" customHeight="1" outlineLevel="2">
      <c r="B882" s="189"/>
      <c r="E882" s="79"/>
      <c r="F882" s="80"/>
      <c r="G882" s="239"/>
      <c r="H882" s="240"/>
    </row>
    <row r="883" ht="12.75" customHeight="1" outlineLevel="2">
      <c r="A883" s="89">
        <v>3.1</v>
      </c>
      <c r="B883" s="244">
        <v>14.1</v>
      </c>
      <c r="C883" s="245" t="s">
        <v>2610</v>
      </c>
      <c r="D883" s="130"/>
      <c r="E883" s="170"/>
      <c r="F883" s="239"/>
      <c r="G883" s="239"/>
      <c r="H883" s="240"/>
    </row>
    <row r="884" ht="12.75" customHeight="1" outlineLevel="2">
      <c r="B884" s="189"/>
      <c r="E884" s="79"/>
      <c r="F884" s="80"/>
      <c r="G884" s="239"/>
      <c r="H884" s="240"/>
    </row>
    <row r="885" ht="12.75" customHeight="1" outlineLevel="2">
      <c r="A885" s="89" t="s">
        <v>940</v>
      </c>
      <c r="B885" s="244">
        <v>14.2</v>
      </c>
      <c r="C885" s="245" t="s">
        <v>2611</v>
      </c>
      <c r="D885" s="130"/>
      <c r="E885" s="170"/>
      <c r="F885" s="239"/>
      <c r="G885" s="239"/>
      <c r="H885" s="240"/>
    </row>
    <row r="886" ht="12.75" customHeight="1" outlineLevel="2">
      <c r="A886" s="89"/>
      <c r="B886" s="230"/>
      <c r="C886" s="246"/>
      <c r="D886" s="130"/>
      <c r="E886" s="170"/>
      <c r="F886" s="239"/>
      <c r="G886" s="239"/>
      <c r="H886" s="240"/>
    </row>
    <row r="887" ht="12.75" customHeight="1" outlineLevel="2">
      <c r="A887" s="89" t="s">
        <v>942</v>
      </c>
      <c r="B887" s="244" t="s">
        <v>2612</v>
      </c>
      <c r="C887" s="245" t="s">
        <v>2613</v>
      </c>
      <c r="D887" s="203" t="s">
        <v>161</v>
      </c>
      <c r="E887" s="214">
        <v>111.35</v>
      </c>
      <c r="F887" s="205">
        <v>4.54</v>
      </c>
      <c r="G887" s="206">
        <f t="shared" ref="G887:G889" si="36">F887*E887</f>
        <v>505.529</v>
      </c>
      <c r="H887" s="219"/>
    </row>
    <row r="888" ht="12.75" customHeight="1" outlineLevel="2">
      <c r="A888" s="89" t="s">
        <v>944</v>
      </c>
      <c r="B888" s="198" t="s">
        <v>2614</v>
      </c>
      <c r="C888" s="202" t="s">
        <v>2615</v>
      </c>
      <c r="D888" s="203" t="s">
        <v>161</v>
      </c>
      <c r="E888" s="214">
        <v>1.7</v>
      </c>
      <c r="F888" s="205">
        <v>6.23</v>
      </c>
      <c r="G888" s="206">
        <f t="shared" si="36"/>
        <v>10.591</v>
      </c>
      <c r="H888" s="219"/>
    </row>
    <row r="889" ht="12.75" customHeight="1" outlineLevel="2">
      <c r="A889" s="89" t="s">
        <v>946</v>
      </c>
      <c r="B889" s="198" t="s">
        <v>2616</v>
      </c>
      <c r="C889" s="202" t="s">
        <v>2617</v>
      </c>
      <c r="D889" s="203" t="s">
        <v>161</v>
      </c>
      <c r="E889" s="214">
        <v>42.4</v>
      </c>
      <c r="F889" s="205">
        <v>8.74</v>
      </c>
      <c r="G889" s="206">
        <f t="shared" si="36"/>
        <v>370.576</v>
      </c>
      <c r="H889" s="219"/>
    </row>
    <row r="890" ht="12.75" customHeight="1" outlineLevel="2">
      <c r="B890" s="189"/>
      <c r="E890" s="79"/>
      <c r="F890" s="80"/>
      <c r="G890" s="239"/>
      <c r="H890" s="240"/>
    </row>
    <row r="891" ht="12.75" customHeight="1" outlineLevel="2">
      <c r="A891" s="89" t="s">
        <v>948</v>
      </c>
      <c r="B891" s="244">
        <v>14.3</v>
      </c>
      <c r="C891" s="245" t="s">
        <v>2618</v>
      </c>
      <c r="D891" s="130"/>
      <c r="E891" s="170"/>
      <c r="F891" s="239"/>
      <c r="G891" s="239"/>
      <c r="H891" s="240"/>
    </row>
    <row r="892" ht="12.75" customHeight="1" outlineLevel="2">
      <c r="A892" s="89"/>
      <c r="B892" s="230"/>
      <c r="C892" s="246"/>
      <c r="D892" s="130"/>
      <c r="E892" s="170"/>
      <c r="F892" s="239"/>
      <c r="G892" s="239"/>
      <c r="H892" s="240"/>
    </row>
    <row r="893" ht="12.75" customHeight="1" outlineLevel="2">
      <c r="A893" s="89" t="s">
        <v>950</v>
      </c>
      <c r="B893" s="244" t="s">
        <v>2619</v>
      </c>
      <c r="C893" s="245" t="s">
        <v>2620</v>
      </c>
      <c r="D893" s="302" t="s">
        <v>161</v>
      </c>
      <c r="E893" s="303">
        <v>64.54</v>
      </c>
      <c r="F893" s="304">
        <v>11.0</v>
      </c>
      <c r="G893" s="304">
        <f t="shared" ref="G893:G897" si="37">F893*E893</f>
        <v>709.94</v>
      </c>
      <c r="H893" s="219"/>
    </row>
    <row r="894" ht="12.75" customHeight="1" outlineLevel="2">
      <c r="A894" s="89" t="s">
        <v>952</v>
      </c>
      <c r="B894" s="198" t="s">
        <v>2621</v>
      </c>
      <c r="C894" s="202" t="s">
        <v>2622</v>
      </c>
      <c r="D894" s="203" t="s">
        <v>161</v>
      </c>
      <c r="E894" s="214">
        <v>82.73</v>
      </c>
      <c r="F894" s="205">
        <v>13.0</v>
      </c>
      <c r="G894" s="206">
        <f t="shared" si="37"/>
        <v>1075.49</v>
      </c>
      <c r="H894" s="219"/>
    </row>
    <row r="895" ht="12.75" customHeight="1" outlineLevel="2">
      <c r="A895" s="89" t="s">
        <v>954</v>
      </c>
      <c r="B895" s="198" t="s">
        <v>2623</v>
      </c>
      <c r="C895" s="202" t="s">
        <v>2624</v>
      </c>
      <c r="D895" s="203" t="s">
        <v>161</v>
      </c>
      <c r="E895" s="214">
        <v>39.6</v>
      </c>
      <c r="F895" s="205">
        <v>14.0</v>
      </c>
      <c r="G895" s="206">
        <f t="shared" si="37"/>
        <v>554.4</v>
      </c>
      <c r="H895" s="219"/>
    </row>
    <row r="896" ht="12.75" customHeight="1" outlineLevel="2">
      <c r="A896" s="89" t="s">
        <v>956</v>
      </c>
      <c r="B896" s="198" t="s">
        <v>2625</v>
      </c>
      <c r="C896" s="202" t="s">
        <v>2626</v>
      </c>
      <c r="D896" s="203" t="s">
        <v>161</v>
      </c>
      <c r="E896" s="214">
        <v>27.8</v>
      </c>
      <c r="F896" s="205">
        <v>15.0</v>
      </c>
      <c r="G896" s="206">
        <f t="shared" si="37"/>
        <v>417</v>
      </c>
      <c r="H896" s="219"/>
    </row>
    <row r="897" ht="12.75" customHeight="1" outlineLevel="2">
      <c r="A897" s="89" t="s">
        <v>958</v>
      </c>
      <c r="B897" s="198" t="s">
        <v>2627</v>
      </c>
      <c r="C897" s="202" t="s">
        <v>2628</v>
      </c>
      <c r="D897" s="203" t="s">
        <v>161</v>
      </c>
      <c r="E897" s="214">
        <v>17.28</v>
      </c>
      <c r="F897" s="205">
        <v>17.0</v>
      </c>
      <c r="G897" s="206">
        <f t="shared" si="37"/>
        <v>293.76</v>
      </c>
      <c r="H897" s="219"/>
    </row>
    <row r="898" ht="12.75" customHeight="1" outlineLevel="2">
      <c r="B898" s="189"/>
      <c r="E898" s="79"/>
      <c r="F898" s="80"/>
      <c r="G898" s="239"/>
      <c r="H898" s="240"/>
    </row>
    <row r="899" ht="12.75" customHeight="1" outlineLevel="2">
      <c r="A899" s="89">
        <v>3.2</v>
      </c>
      <c r="B899" s="244">
        <v>14.4</v>
      </c>
      <c r="C899" s="245" t="s">
        <v>2629</v>
      </c>
      <c r="D899" s="130"/>
      <c r="E899" s="170"/>
      <c r="F899" s="239"/>
      <c r="G899" s="239"/>
      <c r="H899" s="240"/>
    </row>
    <row r="900" ht="12.75" customHeight="1" outlineLevel="2">
      <c r="B900" s="189"/>
      <c r="E900" s="79"/>
      <c r="F900" s="80"/>
      <c r="G900" s="239"/>
      <c r="H900" s="240"/>
    </row>
    <row r="901" ht="12.75" customHeight="1" outlineLevel="2">
      <c r="A901" s="89" t="s">
        <v>961</v>
      </c>
      <c r="B901" s="244">
        <v>14.5</v>
      </c>
      <c r="C901" s="245" t="s">
        <v>2630</v>
      </c>
      <c r="D901" s="130"/>
      <c r="E901" s="170"/>
      <c r="F901" s="239"/>
      <c r="G901" s="239"/>
      <c r="H901" s="240"/>
    </row>
    <row r="902" ht="12.75" customHeight="1" outlineLevel="2">
      <c r="A902" s="89"/>
      <c r="B902" s="230"/>
      <c r="C902" s="246"/>
      <c r="D902" s="130"/>
      <c r="E902" s="170"/>
      <c r="F902" s="239"/>
      <c r="G902" s="239"/>
      <c r="H902" s="240"/>
    </row>
    <row r="903" ht="12.75" customHeight="1" outlineLevel="2">
      <c r="A903" s="89" t="s">
        <v>963</v>
      </c>
      <c r="B903" s="244" t="s">
        <v>2631</v>
      </c>
      <c r="C903" s="245" t="s">
        <v>2620</v>
      </c>
      <c r="D903" s="302" t="s">
        <v>161</v>
      </c>
      <c r="E903" s="303">
        <v>33.18</v>
      </c>
      <c r="F903" s="304">
        <v>11.0</v>
      </c>
      <c r="G903" s="206">
        <f t="shared" ref="G903:G906" si="38">F903*E903</f>
        <v>364.98</v>
      </c>
      <c r="H903" s="219"/>
    </row>
    <row r="904" ht="12.75" customHeight="1" outlineLevel="2">
      <c r="A904" s="89" t="s">
        <v>964</v>
      </c>
      <c r="B904" s="244" t="s">
        <v>2632</v>
      </c>
      <c r="C904" s="202" t="s">
        <v>2622</v>
      </c>
      <c r="D904" s="203" t="s">
        <v>161</v>
      </c>
      <c r="E904" s="214">
        <v>87.49</v>
      </c>
      <c r="F904" s="205">
        <v>13.0</v>
      </c>
      <c r="G904" s="206">
        <f t="shared" si="38"/>
        <v>1137.37</v>
      </c>
      <c r="H904" s="219"/>
    </row>
    <row r="905" ht="12.75" customHeight="1" outlineLevel="2">
      <c r="A905" s="89" t="s">
        <v>965</v>
      </c>
      <c r="B905" s="244" t="s">
        <v>2633</v>
      </c>
      <c r="C905" s="202" t="s">
        <v>2624</v>
      </c>
      <c r="D905" s="203" t="s">
        <v>161</v>
      </c>
      <c r="E905" s="214">
        <v>45.63</v>
      </c>
      <c r="F905" s="205">
        <v>14.0</v>
      </c>
      <c r="G905" s="206">
        <f t="shared" si="38"/>
        <v>638.82</v>
      </c>
      <c r="H905" s="219"/>
    </row>
    <row r="906" ht="12.75" customHeight="1" outlineLevel="2">
      <c r="A906" s="89" t="s">
        <v>966</v>
      </c>
      <c r="B906" s="244" t="s">
        <v>2634</v>
      </c>
      <c r="C906" s="202" t="s">
        <v>2626</v>
      </c>
      <c r="D906" s="203" t="s">
        <v>161</v>
      </c>
      <c r="E906" s="214">
        <v>13.94</v>
      </c>
      <c r="F906" s="205">
        <v>15.0</v>
      </c>
      <c r="G906" s="206">
        <f t="shared" si="38"/>
        <v>209.1</v>
      </c>
      <c r="H906" s="219"/>
    </row>
    <row r="907" ht="12.75" customHeight="1" outlineLevel="2">
      <c r="B907" s="189"/>
      <c r="E907" s="79"/>
      <c r="F907" s="80"/>
      <c r="G907" s="239"/>
      <c r="H907" s="240"/>
    </row>
    <row r="908" ht="12.75" customHeight="1" outlineLevel="2">
      <c r="A908" s="89">
        <v>3.3</v>
      </c>
      <c r="B908" s="244">
        <v>14.6</v>
      </c>
      <c r="C908" s="245" t="s">
        <v>2635</v>
      </c>
      <c r="D908" s="130"/>
      <c r="E908" s="170"/>
      <c r="F908" s="239"/>
      <c r="G908" s="239"/>
      <c r="H908" s="240"/>
    </row>
    <row r="909" ht="12.75" customHeight="1" outlineLevel="2">
      <c r="B909" s="189"/>
      <c r="E909" s="79"/>
      <c r="F909" s="80"/>
      <c r="G909" s="239"/>
      <c r="H909" s="240"/>
    </row>
    <row r="910" ht="12.75" customHeight="1" outlineLevel="2">
      <c r="A910" s="89" t="s">
        <v>968</v>
      </c>
      <c r="B910" s="244">
        <v>14.7</v>
      </c>
      <c r="C910" s="245" t="s">
        <v>2636</v>
      </c>
      <c r="D910" s="130"/>
      <c r="E910" s="170"/>
      <c r="F910" s="239"/>
      <c r="G910" s="239"/>
      <c r="H910" s="240"/>
    </row>
    <row r="911" ht="12.75" customHeight="1" outlineLevel="2">
      <c r="A911" s="89"/>
      <c r="B911" s="230"/>
      <c r="C911" s="246"/>
      <c r="D911" s="130"/>
      <c r="E911" s="170"/>
      <c r="F911" s="239"/>
      <c r="G911" s="239"/>
      <c r="H911" s="240"/>
    </row>
    <row r="912" ht="12.75" customHeight="1" outlineLevel="2">
      <c r="A912" s="89" t="s">
        <v>970</v>
      </c>
      <c r="B912" s="244" t="s">
        <v>2637</v>
      </c>
      <c r="C912" s="245" t="s">
        <v>2620</v>
      </c>
      <c r="D912" s="302" t="s">
        <v>161</v>
      </c>
      <c r="E912" s="303">
        <v>121.86</v>
      </c>
      <c r="F912" s="304">
        <v>11.0</v>
      </c>
      <c r="G912" s="206">
        <f t="shared" ref="G912:G913" si="39">F912*E912</f>
        <v>1340.46</v>
      </c>
      <c r="H912" s="219"/>
    </row>
    <row r="913" ht="12.75" customHeight="1" outlineLevel="2">
      <c r="A913" s="89" t="s">
        <v>971</v>
      </c>
      <c r="B913" s="198" t="s">
        <v>2638</v>
      </c>
      <c r="C913" s="202" t="s">
        <v>2622</v>
      </c>
      <c r="D913" s="203" t="s">
        <v>161</v>
      </c>
      <c r="E913" s="214">
        <v>22.29</v>
      </c>
      <c r="F913" s="205">
        <v>13.0</v>
      </c>
      <c r="G913" s="206">
        <f t="shared" si="39"/>
        <v>289.77</v>
      </c>
      <c r="H913" s="219"/>
    </row>
    <row r="914" ht="12.75" customHeight="1" outlineLevel="2">
      <c r="B914" s="189"/>
      <c r="E914" s="79"/>
      <c r="F914" s="80"/>
      <c r="G914" s="239"/>
      <c r="H914" s="240"/>
    </row>
    <row r="915" ht="12.75" customHeight="1" outlineLevel="2">
      <c r="A915" s="89">
        <v>3.4</v>
      </c>
      <c r="B915" s="198">
        <v>14.8</v>
      </c>
      <c r="C915" s="202" t="s">
        <v>2639</v>
      </c>
      <c r="D915" s="203" t="s">
        <v>75</v>
      </c>
      <c r="E915" s="214">
        <v>1.0</v>
      </c>
      <c r="F915" s="205">
        <v>1000.0</v>
      </c>
      <c r="G915" s="206">
        <f>F915*E915</f>
        <v>1000</v>
      </c>
      <c r="H915" s="219"/>
    </row>
    <row r="916" ht="12.75" customHeight="1" outlineLevel="2">
      <c r="B916" s="189"/>
      <c r="E916" s="79"/>
      <c r="F916" s="80"/>
      <c r="G916" s="239"/>
      <c r="H916" s="240"/>
    </row>
    <row r="917" ht="12.75" customHeight="1" outlineLevel="2">
      <c r="A917" s="89">
        <v>3.5</v>
      </c>
      <c r="B917" s="198">
        <v>14.9</v>
      </c>
      <c r="C917" s="202" t="s">
        <v>2640</v>
      </c>
      <c r="D917" s="203" t="s">
        <v>75</v>
      </c>
      <c r="E917" s="214">
        <v>1.0</v>
      </c>
      <c r="F917" s="205">
        <v>7500.0</v>
      </c>
      <c r="G917" s="206">
        <f>F917*E917</f>
        <v>7500</v>
      </c>
      <c r="H917" s="219"/>
    </row>
    <row r="918" ht="12.75" customHeight="1" outlineLevel="2">
      <c r="B918" s="189"/>
      <c r="E918" s="79"/>
      <c r="F918" s="80"/>
      <c r="G918" s="239"/>
      <c r="H918" s="240"/>
    </row>
    <row r="919" ht="12.75" customHeight="1" outlineLevel="2">
      <c r="A919" s="89">
        <v>3.6</v>
      </c>
      <c r="B919" s="301" t="s">
        <v>2641</v>
      </c>
      <c r="C919" s="202" t="s">
        <v>2642</v>
      </c>
      <c r="D919" s="203" t="s">
        <v>75</v>
      </c>
      <c r="E919" s="214">
        <v>3.0</v>
      </c>
      <c r="F919" s="205">
        <v>30.0</v>
      </c>
      <c r="G919" s="206">
        <f>F919*E919</f>
        <v>90</v>
      </c>
      <c r="H919" s="219"/>
    </row>
    <row r="920" ht="12.75" customHeight="1" outlineLevel="2">
      <c r="B920" s="305"/>
      <c r="E920" s="79"/>
      <c r="F920" s="80"/>
      <c r="G920" s="239"/>
      <c r="H920" s="240"/>
    </row>
    <row r="921" ht="12.75" customHeight="1" outlineLevel="2">
      <c r="A921" s="89">
        <v>3.7</v>
      </c>
      <c r="B921" s="301" t="s">
        <v>2643</v>
      </c>
      <c r="C921" s="202" t="s">
        <v>2644</v>
      </c>
      <c r="D921" s="203" t="s">
        <v>75</v>
      </c>
      <c r="E921" s="214">
        <v>1.0</v>
      </c>
      <c r="F921" s="205">
        <v>30.0</v>
      </c>
      <c r="G921" s="206">
        <f>F921*E921</f>
        <v>30</v>
      </c>
      <c r="H921" s="219"/>
    </row>
    <row r="922" ht="12.75" customHeight="1" outlineLevel="2">
      <c r="B922" s="305"/>
      <c r="E922" s="79"/>
      <c r="F922" s="80"/>
      <c r="G922" s="239"/>
      <c r="H922" s="240"/>
    </row>
    <row r="923" ht="12.75" customHeight="1" outlineLevel="2">
      <c r="A923" s="89">
        <v>3.8</v>
      </c>
      <c r="B923" s="301" t="s">
        <v>2645</v>
      </c>
      <c r="C923" s="202" t="s">
        <v>2646</v>
      </c>
      <c r="D923" s="203" t="s">
        <v>75</v>
      </c>
      <c r="E923" s="214">
        <v>19.0</v>
      </c>
      <c r="F923" s="205">
        <v>30.0</v>
      </c>
      <c r="G923" s="206">
        <f>F923*E923</f>
        <v>570</v>
      </c>
      <c r="H923" s="219"/>
    </row>
    <row r="924" ht="12.75" customHeight="1" outlineLevel="2">
      <c r="B924" s="305"/>
      <c r="E924" s="79"/>
      <c r="F924" s="80"/>
      <c r="G924" s="239"/>
      <c r="H924" s="240"/>
    </row>
    <row r="925" ht="12.75" customHeight="1" outlineLevel="2">
      <c r="A925" s="89">
        <v>3.9</v>
      </c>
      <c r="B925" s="301" t="s">
        <v>2647</v>
      </c>
      <c r="C925" s="202" t="s">
        <v>2648</v>
      </c>
      <c r="D925" s="203" t="s">
        <v>75</v>
      </c>
      <c r="E925" s="214">
        <v>4.0</v>
      </c>
      <c r="F925" s="205">
        <v>216.0</v>
      </c>
      <c r="G925" s="206">
        <f>F925*E925</f>
        <v>864</v>
      </c>
      <c r="H925" s="219"/>
    </row>
    <row r="926" ht="12.75" customHeight="1" outlineLevel="2">
      <c r="B926" s="305"/>
      <c r="E926" s="79"/>
      <c r="F926" s="80"/>
      <c r="G926" s="239"/>
      <c r="H926" s="240"/>
    </row>
    <row r="927" ht="12.75" customHeight="1" outlineLevel="2">
      <c r="A927" s="89">
        <v>3.1</v>
      </c>
      <c r="B927" s="301" t="s">
        <v>2649</v>
      </c>
      <c r="C927" s="202" t="s">
        <v>2650</v>
      </c>
      <c r="D927" s="203" t="s">
        <v>75</v>
      </c>
      <c r="E927" s="214">
        <v>1.0</v>
      </c>
      <c r="F927" s="205">
        <v>800.0</v>
      </c>
      <c r="G927" s="206">
        <f>F927*E927</f>
        <v>800</v>
      </c>
      <c r="H927" s="219"/>
    </row>
    <row r="928" ht="12.75" customHeight="1" outlineLevel="2">
      <c r="B928" s="305"/>
      <c r="E928" s="79"/>
      <c r="F928" s="80"/>
      <c r="G928" s="239"/>
      <c r="H928" s="240"/>
    </row>
    <row r="929" ht="12.75" customHeight="1" outlineLevel="2">
      <c r="A929" s="89">
        <v>3.11</v>
      </c>
      <c r="B929" s="301" t="s">
        <v>2651</v>
      </c>
      <c r="C929" s="202" t="s">
        <v>2652</v>
      </c>
      <c r="D929" s="203" t="s">
        <v>33</v>
      </c>
      <c r="E929" s="214">
        <v>1.0</v>
      </c>
      <c r="F929" s="205">
        <v>2000.0</v>
      </c>
      <c r="G929" s="206">
        <f>F929*E929</f>
        <v>2000</v>
      </c>
      <c r="H929" s="219"/>
    </row>
    <row r="930" ht="12.75" customHeight="1" outlineLevel="2">
      <c r="B930" s="305"/>
      <c r="E930" s="79"/>
      <c r="F930" s="80"/>
      <c r="G930" s="239"/>
      <c r="H930" s="240"/>
    </row>
    <row r="931" ht="12.75" customHeight="1" outlineLevel="2">
      <c r="A931" s="89">
        <v>3.12</v>
      </c>
      <c r="B931" s="301" t="s">
        <v>2653</v>
      </c>
      <c r="C931" s="202" t="s">
        <v>2654</v>
      </c>
      <c r="D931" s="203" t="s">
        <v>75</v>
      </c>
      <c r="E931" s="214">
        <v>1.0</v>
      </c>
      <c r="F931" s="205">
        <v>1000.0</v>
      </c>
      <c r="G931" s="206">
        <f>F931*E931</f>
        <v>1000</v>
      </c>
      <c r="H931" s="219"/>
    </row>
    <row r="932" ht="12.75" customHeight="1" outlineLevel="2">
      <c r="B932" s="189"/>
      <c r="E932" s="79"/>
      <c r="F932" s="80"/>
      <c r="G932" s="239"/>
      <c r="H932" s="240"/>
    </row>
    <row r="933" ht="12.75" customHeight="1" outlineLevel="1">
      <c r="A933" s="89">
        <v>3.13</v>
      </c>
      <c r="B933" s="189"/>
      <c r="C933" s="306" t="s">
        <v>2655</v>
      </c>
      <c r="E933" s="79"/>
      <c r="F933" s="80"/>
      <c r="G933" s="239"/>
      <c r="H933" s="240"/>
    </row>
    <row r="934" ht="12.75" customHeight="1" outlineLevel="2">
      <c r="B934" s="189"/>
      <c r="E934" s="79"/>
      <c r="F934" s="80"/>
      <c r="G934" s="239"/>
      <c r="H934" s="240"/>
    </row>
    <row r="935" ht="12.75" customHeight="1" outlineLevel="2">
      <c r="A935" s="89" t="s">
        <v>982</v>
      </c>
      <c r="B935" s="307" t="s">
        <v>2656</v>
      </c>
      <c r="C935" s="308" t="s">
        <v>2657</v>
      </c>
      <c r="D935" s="309"/>
      <c r="E935" s="310"/>
      <c r="F935" s="311"/>
      <c r="G935" s="311"/>
      <c r="H935" s="240"/>
    </row>
    <row r="936" ht="12.75" customHeight="1" outlineLevel="2">
      <c r="B936" s="189"/>
      <c r="E936" s="79"/>
      <c r="F936" s="80"/>
      <c r="G936" s="239"/>
      <c r="H936" s="240"/>
    </row>
    <row r="937" ht="12.75" customHeight="1" outlineLevel="2">
      <c r="A937" s="89" t="s">
        <v>984</v>
      </c>
      <c r="B937" s="301" t="s">
        <v>2658</v>
      </c>
      <c r="C937" s="202" t="s">
        <v>2659</v>
      </c>
      <c r="D937" s="203" t="s">
        <v>161</v>
      </c>
      <c r="E937" s="214">
        <v>52.18</v>
      </c>
      <c r="F937" s="205">
        <v>11.59</v>
      </c>
      <c r="G937" s="206">
        <f>F937*E937</f>
        <v>604.7662</v>
      </c>
      <c r="H937" s="219"/>
    </row>
    <row r="938" ht="12.75" customHeight="1" outlineLevel="2">
      <c r="B938" s="189"/>
      <c r="E938" s="79"/>
      <c r="F938" s="80"/>
      <c r="G938" s="239"/>
      <c r="H938" s="240"/>
    </row>
    <row r="939" ht="12.75" customHeight="1" outlineLevel="2">
      <c r="A939" s="89" t="s">
        <v>986</v>
      </c>
      <c r="B939" s="307" t="s">
        <v>2660</v>
      </c>
      <c r="C939" s="308" t="s">
        <v>2661</v>
      </c>
      <c r="D939" s="309"/>
      <c r="E939" s="310"/>
      <c r="F939" s="311"/>
      <c r="G939" s="311"/>
      <c r="H939" s="240"/>
    </row>
    <row r="940" ht="12.75" customHeight="1" outlineLevel="2">
      <c r="B940" s="189"/>
      <c r="E940" s="79"/>
      <c r="F940" s="80"/>
      <c r="G940" s="239"/>
      <c r="H940" s="240"/>
    </row>
    <row r="941" ht="12.75" customHeight="1" outlineLevel="2">
      <c r="A941" s="89" t="s">
        <v>988</v>
      </c>
      <c r="B941" s="301" t="s">
        <v>2662</v>
      </c>
      <c r="C941" s="202" t="s">
        <v>2663</v>
      </c>
      <c r="D941" s="203" t="s">
        <v>161</v>
      </c>
      <c r="E941" s="214">
        <v>30.19</v>
      </c>
      <c r="F941" s="205">
        <v>21.58</v>
      </c>
      <c r="G941" s="206">
        <f>F941*E941</f>
        <v>651.5002</v>
      </c>
      <c r="H941" s="219"/>
    </row>
    <row r="942" ht="12.75" customHeight="1" outlineLevel="2">
      <c r="B942" s="189"/>
      <c r="E942" s="79"/>
      <c r="F942" s="80"/>
      <c r="G942" s="239"/>
      <c r="H942" s="240"/>
    </row>
    <row r="943" ht="12.75" customHeight="1" outlineLevel="2">
      <c r="A943" s="89" t="s">
        <v>990</v>
      </c>
      <c r="B943" s="307" t="s">
        <v>2664</v>
      </c>
      <c r="C943" s="308" t="s">
        <v>2665</v>
      </c>
      <c r="D943" s="309"/>
      <c r="E943" s="310"/>
      <c r="F943" s="311"/>
      <c r="G943" s="311"/>
      <c r="H943" s="240"/>
    </row>
    <row r="944" ht="12.75" customHeight="1" outlineLevel="2">
      <c r="B944" s="189"/>
      <c r="E944" s="79"/>
      <c r="F944" s="80"/>
      <c r="G944" s="239"/>
      <c r="H944" s="240"/>
    </row>
    <row r="945" ht="12.75" customHeight="1" outlineLevel="2">
      <c r="A945" s="89" t="s">
        <v>992</v>
      </c>
      <c r="B945" s="301" t="str">
        <f t="shared" ref="B945:B955" si="40">CONCATENATE("14.19",RIGHT(A945,LEN(A945) - (FIND(CHAR(160),SUBSTITUTE(A945,".",CHAR(160),2)) + 1)))</f>
        <v>14.19.1</v>
      </c>
      <c r="C945" s="202" t="s">
        <v>2666</v>
      </c>
      <c r="D945" s="203" t="s">
        <v>75</v>
      </c>
      <c r="E945" s="214">
        <v>1.0</v>
      </c>
      <c r="F945" s="205">
        <v>4411.7</v>
      </c>
      <c r="G945" s="206">
        <f>F945*E945</f>
        <v>4411.7</v>
      </c>
      <c r="H945" s="219"/>
    </row>
    <row r="946" ht="12.75" customHeight="1" outlineLevel="2">
      <c r="A946" s="89" t="s">
        <v>994</v>
      </c>
      <c r="B946" s="301" t="str">
        <f t="shared" si="40"/>
        <v>14.19.2</v>
      </c>
      <c r="C946" s="202" t="s">
        <v>2667</v>
      </c>
      <c r="D946" s="203"/>
      <c r="E946" s="214"/>
      <c r="F946" s="205"/>
      <c r="G946" s="206"/>
      <c r="H946" s="219"/>
    </row>
    <row r="947" ht="12.75" customHeight="1" outlineLevel="2">
      <c r="A947" s="89" t="s">
        <v>996</v>
      </c>
      <c r="B947" s="301" t="str">
        <f t="shared" si="40"/>
        <v>14.19.3</v>
      </c>
      <c r="C947" s="202" t="s">
        <v>2668</v>
      </c>
      <c r="D947" s="203" t="s">
        <v>75</v>
      </c>
      <c r="E947" s="214">
        <v>1.0</v>
      </c>
      <c r="F947" s="205">
        <v>2797.12</v>
      </c>
      <c r="G947" s="206">
        <f t="shared" ref="G947:G955" si="41">F947*E947</f>
        <v>2797.12</v>
      </c>
      <c r="H947" s="219"/>
    </row>
    <row r="948" ht="12.75" customHeight="1" outlineLevel="2">
      <c r="A948" s="89" t="s">
        <v>998</v>
      </c>
      <c r="B948" s="301" t="str">
        <f t="shared" si="40"/>
        <v>14.19.4</v>
      </c>
      <c r="C948" s="202" t="s">
        <v>2669</v>
      </c>
      <c r="D948" s="203" t="s">
        <v>75</v>
      </c>
      <c r="E948" s="214">
        <v>1.0</v>
      </c>
      <c r="F948" s="205">
        <v>149.43</v>
      </c>
      <c r="G948" s="206">
        <f t="shared" si="41"/>
        <v>149.43</v>
      </c>
      <c r="H948" s="219"/>
    </row>
    <row r="949" ht="12.75" customHeight="1" outlineLevel="2">
      <c r="A949" s="89" t="s">
        <v>1000</v>
      </c>
      <c r="B949" s="301" t="str">
        <f t="shared" si="40"/>
        <v>14.19.5</v>
      </c>
      <c r="C949" s="202" t="s">
        <v>2670</v>
      </c>
      <c r="D949" s="203" t="s">
        <v>75</v>
      </c>
      <c r="E949" s="214">
        <v>5.0</v>
      </c>
      <c r="F949" s="205">
        <v>94.18</v>
      </c>
      <c r="G949" s="206">
        <f t="shared" si="41"/>
        <v>470.9</v>
      </c>
      <c r="H949" s="219"/>
    </row>
    <row r="950" ht="12.75" customHeight="1" outlineLevel="2">
      <c r="A950" s="89" t="s">
        <v>1004</v>
      </c>
      <c r="B950" s="301" t="str">
        <f t="shared" si="40"/>
        <v>14.19.7</v>
      </c>
      <c r="C950" s="202" t="s">
        <v>2671</v>
      </c>
      <c r="D950" s="203" t="s">
        <v>75</v>
      </c>
      <c r="E950" s="214">
        <v>1.0</v>
      </c>
      <c r="F950" s="205">
        <v>44.17</v>
      </c>
      <c r="G950" s="206">
        <f t="shared" si="41"/>
        <v>44.17</v>
      </c>
      <c r="H950" s="219"/>
    </row>
    <row r="951" ht="12.75" customHeight="1" outlineLevel="2">
      <c r="A951" s="89" t="s">
        <v>1006</v>
      </c>
      <c r="B951" s="301" t="str">
        <f t="shared" si="40"/>
        <v>14.19.8</v>
      </c>
      <c r="C951" s="202" t="s">
        <v>2672</v>
      </c>
      <c r="D951" s="203" t="s">
        <v>75</v>
      </c>
      <c r="E951" s="214">
        <v>5.0</v>
      </c>
      <c r="F951" s="205">
        <v>53.77</v>
      </c>
      <c r="G951" s="206">
        <f t="shared" si="41"/>
        <v>268.85</v>
      </c>
      <c r="H951" s="219"/>
    </row>
    <row r="952" ht="12.75" customHeight="1" outlineLevel="2">
      <c r="A952" s="89" t="s">
        <v>1008</v>
      </c>
      <c r="B952" s="301" t="str">
        <f t="shared" si="40"/>
        <v>14.19.9</v>
      </c>
      <c r="C952" s="202" t="s">
        <v>2673</v>
      </c>
      <c r="D952" s="203" t="s">
        <v>75</v>
      </c>
      <c r="E952" s="214">
        <v>1.0</v>
      </c>
      <c r="F952" s="205">
        <v>107.09</v>
      </c>
      <c r="G952" s="206">
        <f t="shared" si="41"/>
        <v>107.09</v>
      </c>
      <c r="H952" s="219"/>
    </row>
    <row r="953" ht="12.75" customHeight="1" outlineLevel="2">
      <c r="A953" s="89" t="s">
        <v>1010</v>
      </c>
      <c r="B953" s="301" t="str">
        <f t="shared" si="40"/>
        <v>14.19.10</v>
      </c>
      <c r="C953" s="202" t="s">
        <v>2674</v>
      </c>
      <c r="D953" s="203" t="s">
        <v>75</v>
      </c>
      <c r="E953" s="214">
        <v>1.0</v>
      </c>
      <c r="F953" s="205">
        <v>764.0</v>
      </c>
      <c r="G953" s="206">
        <f t="shared" si="41"/>
        <v>764</v>
      </c>
      <c r="H953" s="219"/>
    </row>
    <row r="954" ht="12.75" customHeight="1" outlineLevel="2">
      <c r="A954" s="89" t="s">
        <v>1012</v>
      </c>
      <c r="B954" s="301" t="str">
        <f t="shared" si="40"/>
        <v>14.19.11</v>
      </c>
      <c r="C954" s="202" t="s">
        <v>2675</v>
      </c>
      <c r="D954" s="203" t="s">
        <v>75</v>
      </c>
      <c r="E954" s="214">
        <v>15.0</v>
      </c>
      <c r="F954" s="205">
        <v>18.03</v>
      </c>
      <c r="G954" s="206">
        <f t="shared" si="41"/>
        <v>270.45</v>
      </c>
      <c r="H954" s="219"/>
    </row>
    <row r="955" ht="12.75" customHeight="1" outlineLevel="2">
      <c r="A955" s="89" t="s">
        <v>1014</v>
      </c>
      <c r="B955" s="301" t="str">
        <f t="shared" si="40"/>
        <v>14.19.12</v>
      </c>
      <c r="C955" s="202" t="s">
        <v>2676</v>
      </c>
      <c r="D955" s="203" t="s">
        <v>75</v>
      </c>
      <c r="E955" s="214">
        <v>1.0</v>
      </c>
      <c r="F955" s="205">
        <v>28.72</v>
      </c>
      <c r="G955" s="206">
        <f t="shared" si="41"/>
        <v>28.72</v>
      </c>
      <c r="H955" s="219"/>
    </row>
    <row r="956" ht="12.75" customHeight="1" outlineLevel="2">
      <c r="B956" s="189"/>
      <c r="E956" s="79"/>
      <c r="F956" s="80"/>
      <c r="G956" s="239"/>
      <c r="H956" s="240"/>
    </row>
    <row r="957" ht="12.75" customHeight="1" outlineLevel="1">
      <c r="A957" s="89">
        <v>3.14</v>
      </c>
      <c r="B957" s="189"/>
      <c r="C957" s="158" t="s">
        <v>2677</v>
      </c>
      <c r="E957" s="79"/>
      <c r="F957" s="80"/>
      <c r="G957" s="239"/>
      <c r="H957" s="240"/>
    </row>
    <row r="958" ht="12.75" customHeight="1" outlineLevel="2">
      <c r="B958" s="189"/>
      <c r="E958" s="79"/>
      <c r="F958" s="80"/>
      <c r="G958" s="239"/>
      <c r="H958" s="240"/>
    </row>
    <row r="959" ht="12.75" customHeight="1" outlineLevel="2">
      <c r="A959" s="89" t="s">
        <v>1017</v>
      </c>
      <c r="B959" s="307" t="s">
        <v>2678</v>
      </c>
      <c r="C959" s="308" t="s">
        <v>2679</v>
      </c>
      <c r="D959" s="309"/>
      <c r="E959" s="310"/>
      <c r="F959" s="311"/>
      <c r="G959" s="311"/>
      <c r="H959" s="240"/>
    </row>
    <row r="960" ht="12.75" customHeight="1" outlineLevel="2">
      <c r="B960" s="189"/>
      <c r="E960" s="79"/>
      <c r="F960" s="80"/>
      <c r="G960" s="239"/>
      <c r="H960" s="240"/>
    </row>
    <row r="961" ht="12.75" customHeight="1" outlineLevel="2">
      <c r="A961" s="89" t="s">
        <v>1019</v>
      </c>
      <c r="B961" s="301" t="s">
        <v>2680</v>
      </c>
      <c r="C961" s="202" t="s">
        <v>2659</v>
      </c>
      <c r="D961" s="203" t="s">
        <v>161</v>
      </c>
      <c r="E961" s="214">
        <v>34.84</v>
      </c>
      <c r="F961" s="205">
        <v>11.59</v>
      </c>
      <c r="G961" s="206">
        <f>F961*E961</f>
        <v>403.7956</v>
      </c>
      <c r="H961" s="219"/>
    </row>
    <row r="962" ht="12.75" customHeight="1" outlineLevel="2">
      <c r="B962" s="189"/>
      <c r="E962" s="79"/>
      <c r="F962" s="80"/>
      <c r="G962" s="239"/>
      <c r="H962" s="240"/>
    </row>
    <row r="963" ht="12.75" customHeight="1" outlineLevel="2">
      <c r="A963" s="89" t="s">
        <v>1020</v>
      </c>
      <c r="B963" s="307" t="s">
        <v>2681</v>
      </c>
      <c r="C963" s="308" t="s">
        <v>2682</v>
      </c>
      <c r="D963" s="309"/>
      <c r="E963" s="310"/>
      <c r="F963" s="311"/>
      <c r="G963" s="311"/>
      <c r="H963" s="240"/>
    </row>
    <row r="964" ht="12.75" customHeight="1" outlineLevel="2">
      <c r="B964" s="189"/>
      <c r="E964" s="79"/>
      <c r="F964" s="80"/>
      <c r="G964" s="239"/>
      <c r="H964" s="240"/>
    </row>
    <row r="965" ht="12.75" customHeight="1" outlineLevel="2">
      <c r="A965" s="89" t="s">
        <v>1022</v>
      </c>
      <c r="B965" s="301" t="s">
        <v>2683</v>
      </c>
      <c r="C965" s="202" t="s">
        <v>2684</v>
      </c>
      <c r="D965" s="203" t="s">
        <v>75</v>
      </c>
      <c r="E965" s="214">
        <v>1.0</v>
      </c>
      <c r="F965" s="205">
        <v>1657.88</v>
      </c>
      <c r="G965" s="206">
        <f t="shared" ref="G965:G970" si="42">F965*E965</f>
        <v>1657.88</v>
      </c>
      <c r="H965" s="219"/>
    </row>
    <row r="966" ht="12.75" customHeight="1" outlineLevel="2">
      <c r="A966" s="89" t="s">
        <v>1024</v>
      </c>
      <c r="B966" s="301" t="s">
        <v>2685</v>
      </c>
      <c r="C966" s="202" t="s">
        <v>2686</v>
      </c>
      <c r="D966" s="203" t="s">
        <v>75</v>
      </c>
      <c r="E966" s="214">
        <v>1.0</v>
      </c>
      <c r="F966" s="205">
        <v>301.74</v>
      </c>
      <c r="G966" s="206">
        <f t="shared" si="42"/>
        <v>301.74</v>
      </c>
      <c r="H966" s="219"/>
    </row>
    <row r="967" ht="12.75" customHeight="1" outlineLevel="2">
      <c r="A967" s="89" t="s">
        <v>1026</v>
      </c>
      <c r="B967" s="301" t="s">
        <v>2687</v>
      </c>
      <c r="C967" s="202" t="s">
        <v>2688</v>
      </c>
      <c r="D967" s="203" t="s">
        <v>75</v>
      </c>
      <c r="E967" s="214">
        <v>4.0</v>
      </c>
      <c r="F967" s="205">
        <v>70.62</v>
      </c>
      <c r="G967" s="206">
        <f t="shared" si="42"/>
        <v>282.48</v>
      </c>
      <c r="H967" s="219"/>
    </row>
    <row r="968" ht="12.75" customHeight="1" outlineLevel="2">
      <c r="A968" s="89" t="s">
        <v>1028</v>
      </c>
      <c r="B968" s="301" t="s">
        <v>2689</v>
      </c>
      <c r="C968" s="202" t="s">
        <v>2690</v>
      </c>
      <c r="D968" s="203" t="s">
        <v>75</v>
      </c>
      <c r="E968" s="214">
        <v>1.0</v>
      </c>
      <c r="F968" s="205">
        <v>109.63</v>
      </c>
      <c r="G968" s="206">
        <f t="shared" si="42"/>
        <v>109.63</v>
      </c>
      <c r="H968" s="219"/>
    </row>
    <row r="969" ht="12.75" customHeight="1" outlineLevel="2">
      <c r="A969" s="89" t="s">
        <v>1030</v>
      </c>
      <c r="B969" s="301" t="s">
        <v>2691</v>
      </c>
      <c r="C969" s="202" t="s">
        <v>2692</v>
      </c>
      <c r="D969" s="203" t="s">
        <v>75</v>
      </c>
      <c r="E969" s="214">
        <v>1.0</v>
      </c>
      <c r="F969" s="205">
        <v>685.01</v>
      </c>
      <c r="G969" s="206">
        <f t="shared" si="42"/>
        <v>685.01</v>
      </c>
      <c r="H969" s="219"/>
    </row>
    <row r="970" ht="12.75" customHeight="1" outlineLevel="2">
      <c r="A970" s="89" t="s">
        <v>1032</v>
      </c>
      <c r="B970" s="301" t="s">
        <v>2693</v>
      </c>
      <c r="C970" s="202" t="s">
        <v>2694</v>
      </c>
      <c r="D970" s="203" t="s">
        <v>75</v>
      </c>
      <c r="E970" s="214">
        <v>1.0</v>
      </c>
      <c r="F970" s="205">
        <v>183.48</v>
      </c>
      <c r="G970" s="206">
        <f t="shared" si="42"/>
        <v>183.48</v>
      </c>
      <c r="H970" s="219"/>
    </row>
    <row r="971" ht="12.75" customHeight="1" outlineLevel="2">
      <c r="B971" s="189"/>
      <c r="E971" s="79"/>
      <c r="F971" s="80"/>
      <c r="G971" s="239"/>
      <c r="H971" s="240"/>
    </row>
    <row r="972" ht="12.75" customHeight="1" outlineLevel="2">
      <c r="A972" s="89" t="s">
        <v>1034</v>
      </c>
      <c r="B972" s="301" t="s">
        <v>2695</v>
      </c>
      <c r="C972" s="202" t="s">
        <v>2652</v>
      </c>
      <c r="D972" s="203" t="s">
        <v>33</v>
      </c>
      <c r="E972" s="214">
        <v>1.0</v>
      </c>
      <c r="F972" s="205">
        <v>1939.65</v>
      </c>
      <c r="G972" s="206">
        <f>F972*E972</f>
        <v>1939.65</v>
      </c>
      <c r="H972" s="219"/>
    </row>
    <row r="973" ht="12.75" customHeight="1" outlineLevel="1">
      <c r="A973" s="89"/>
      <c r="B973" s="189"/>
      <c r="C973" s="90"/>
      <c r="D973" s="89"/>
      <c r="E973" s="91"/>
      <c r="F973" s="92"/>
      <c r="G973" s="239"/>
      <c r="H973" s="240"/>
    </row>
    <row r="974" ht="12.75" customHeight="1" outlineLevel="1">
      <c r="A974" s="89"/>
      <c r="B974" s="189"/>
      <c r="C974" s="90"/>
      <c r="D974" s="89"/>
      <c r="E974" s="91"/>
      <c r="F974" s="92"/>
      <c r="G974" s="239"/>
      <c r="H974" s="240"/>
    </row>
    <row r="975" ht="12.75" customHeight="1">
      <c r="A975" s="192"/>
      <c r="B975" s="84">
        <v>15.0</v>
      </c>
      <c r="C975" s="184" t="s">
        <v>2696</v>
      </c>
      <c r="D975" s="193"/>
      <c r="E975" s="194"/>
      <c r="F975" s="195"/>
      <c r="G975" s="196">
        <f>SUM(G979:G993)</f>
        <v>2505.13</v>
      </c>
      <c r="H975" s="197">
        <f>G975-Resumo!J43</f>
        <v>-263.05</v>
      </c>
    </row>
    <row r="976" ht="12.75" customHeight="1" outlineLevel="1">
      <c r="A976" s="89"/>
      <c r="B976" s="189"/>
      <c r="C976" s="90"/>
      <c r="D976" s="89"/>
      <c r="E976" s="91"/>
      <c r="F976" s="92"/>
      <c r="G976" s="239"/>
      <c r="H976" s="240"/>
    </row>
    <row r="977" ht="12.75" customHeight="1" outlineLevel="1">
      <c r="A977" s="89"/>
      <c r="B977" s="312"/>
      <c r="C977" s="184" t="s">
        <v>2697</v>
      </c>
      <c r="E977" s="79"/>
      <c r="F977" s="80"/>
      <c r="G977" s="239"/>
      <c r="H977" s="240"/>
    </row>
    <row r="978" ht="12.75" customHeight="1" outlineLevel="2">
      <c r="A978" s="89"/>
      <c r="B978" s="189"/>
      <c r="E978" s="79"/>
      <c r="F978" s="80"/>
      <c r="G978" s="239"/>
      <c r="H978" s="240"/>
    </row>
    <row r="979" ht="12.75" customHeight="1" outlineLevel="2">
      <c r="A979" s="89"/>
      <c r="B979" s="301" t="s">
        <v>2698</v>
      </c>
      <c r="C979" s="202" t="s">
        <v>2699</v>
      </c>
      <c r="D979" s="203" t="s">
        <v>161</v>
      </c>
      <c r="E979" s="214">
        <v>19.19</v>
      </c>
      <c r="F979" s="205">
        <v>14.0</v>
      </c>
      <c r="G979" s="206">
        <f>F979*E979</f>
        <v>268.66</v>
      </c>
      <c r="H979" s="219"/>
    </row>
    <row r="980" ht="12.75" customHeight="1" outlineLevel="2">
      <c r="A980" s="89"/>
      <c r="B980" s="189"/>
      <c r="E980" s="79"/>
      <c r="F980" s="80"/>
      <c r="G980" s="239"/>
      <c r="H980" s="240"/>
    </row>
    <row r="981" ht="12.75" customHeight="1" outlineLevel="2">
      <c r="A981" s="89"/>
      <c r="B981" s="301" t="s">
        <v>2700</v>
      </c>
      <c r="C981" s="202" t="s">
        <v>2701</v>
      </c>
      <c r="D981" s="203" t="s">
        <v>161</v>
      </c>
      <c r="E981" s="214">
        <v>13.91</v>
      </c>
      <c r="F981" s="205">
        <v>17.0</v>
      </c>
      <c r="G981" s="206">
        <f>F981*E981</f>
        <v>236.47</v>
      </c>
      <c r="H981" s="219"/>
    </row>
    <row r="982" ht="12.75" customHeight="1" outlineLevel="2">
      <c r="A982" s="89"/>
      <c r="B982" s="189"/>
      <c r="E982" s="79"/>
      <c r="F982" s="80"/>
      <c r="G982" s="239"/>
      <c r="H982" s="240"/>
    </row>
    <row r="983" ht="12.75" customHeight="1" outlineLevel="1">
      <c r="A983" s="89"/>
      <c r="B983" s="312"/>
      <c r="C983" s="184" t="s">
        <v>2702</v>
      </c>
      <c r="E983" s="79"/>
      <c r="F983" s="80"/>
      <c r="G983" s="239"/>
      <c r="H983" s="240"/>
    </row>
    <row r="984" ht="12.75" customHeight="1" outlineLevel="2">
      <c r="A984" s="89"/>
      <c r="B984" s="189"/>
      <c r="E984" s="79"/>
      <c r="F984" s="80"/>
      <c r="G984" s="239"/>
      <c r="H984" s="240"/>
    </row>
    <row r="985" ht="12.75" customHeight="1" outlineLevel="2">
      <c r="A985" s="89"/>
      <c r="B985" s="301" t="s">
        <v>2703</v>
      </c>
      <c r="C985" s="202" t="s">
        <v>2704</v>
      </c>
      <c r="D985" s="203" t="s">
        <v>33</v>
      </c>
      <c r="E985" s="214">
        <v>1.0</v>
      </c>
      <c r="F985" s="205">
        <v>400.0</v>
      </c>
      <c r="G985" s="206">
        <f>F985*E985</f>
        <v>400</v>
      </c>
      <c r="H985" s="219"/>
    </row>
    <row r="986" ht="12.75" customHeight="1" outlineLevel="2">
      <c r="A986" s="89"/>
      <c r="B986" s="189"/>
      <c r="E986" s="79"/>
      <c r="F986" s="80"/>
      <c r="G986" s="239"/>
      <c r="H986" s="240"/>
    </row>
    <row r="987" ht="12.75" customHeight="1" outlineLevel="2">
      <c r="A987" s="89"/>
      <c r="B987" s="301" t="s">
        <v>2705</v>
      </c>
      <c r="C987" s="202" t="s">
        <v>2706</v>
      </c>
      <c r="D987" s="203" t="s">
        <v>33</v>
      </c>
      <c r="E987" s="214">
        <v>1.0</v>
      </c>
      <c r="F987" s="205">
        <v>500.0</v>
      </c>
      <c r="G987" s="206">
        <f>F987*E987</f>
        <v>500</v>
      </c>
      <c r="H987" s="219"/>
    </row>
    <row r="988" ht="12.75" customHeight="1" outlineLevel="2">
      <c r="A988" s="89"/>
      <c r="B988" s="189"/>
      <c r="E988" s="79"/>
      <c r="F988" s="80"/>
      <c r="G988" s="239"/>
      <c r="H988" s="240"/>
    </row>
    <row r="989" ht="12.75" customHeight="1" outlineLevel="1">
      <c r="A989" s="89"/>
      <c r="B989" s="312"/>
      <c r="C989" s="184" t="s">
        <v>2132</v>
      </c>
      <c r="E989" s="79"/>
      <c r="F989" s="80"/>
      <c r="G989" s="239"/>
      <c r="H989" s="240"/>
    </row>
    <row r="990" ht="12.75" customHeight="1" outlineLevel="2">
      <c r="A990" s="89"/>
      <c r="B990" s="189"/>
      <c r="E990" s="79"/>
      <c r="F990" s="80"/>
      <c r="G990" s="239"/>
      <c r="H990" s="240"/>
    </row>
    <row r="991" ht="12.75" customHeight="1" outlineLevel="2">
      <c r="A991" s="89"/>
      <c r="B991" s="301" t="s">
        <v>2707</v>
      </c>
      <c r="C991" s="202" t="s">
        <v>2652</v>
      </c>
      <c r="D991" s="203" t="s">
        <v>33</v>
      </c>
      <c r="E991" s="214">
        <v>1.0</v>
      </c>
      <c r="F991" s="205">
        <v>1000.0</v>
      </c>
      <c r="G991" s="206">
        <f>F991*E991</f>
        <v>1000</v>
      </c>
      <c r="H991" s="219"/>
    </row>
    <row r="992" ht="12.75" customHeight="1" outlineLevel="2">
      <c r="A992" s="89"/>
      <c r="B992" s="189"/>
      <c r="E992" s="79"/>
      <c r="F992" s="80"/>
      <c r="G992" s="239"/>
      <c r="H992" s="240"/>
    </row>
    <row r="993" ht="12.75" customHeight="1" outlineLevel="2">
      <c r="A993" s="89"/>
      <c r="B993" s="301" t="s">
        <v>2708</v>
      </c>
      <c r="C993" s="202" t="s">
        <v>2709</v>
      </c>
      <c r="D993" s="203" t="s">
        <v>33</v>
      </c>
      <c r="E993" s="214">
        <v>1.0</v>
      </c>
      <c r="F993" s="205">
        <v>100.0</v>
      </c>
      <c r="G993" s="206">
        <f>F993*E993</f>
        <v>100</v>
      </c>
      <c r="H993" s="219"/>
    </row>
    <row r="994" ht="12.75" customHeight="1" outlineLevel="2">
      <c r="A994" s="89"/>
      <c r="B994" s="189"/>
      <c r="C994" s="90"/>
      <c r="D994" s="89"/>
      <c r="E994" s="91"/>
      <c r="F994" s="92"/>
      <c r="G994" s="239"/>
      <c r="H994" s="240"/>
    </row>
    <row r="995" ht="12.75" customHeight="1" outlineLevel="1">
      <c r="A995" s="89"/>
      <c r="B995" s="189"/>
      <c r="C995" s="90"/>
      <c r="D995" s="89"/>
      <c r="E995" s="91"/>
      <c r="F995" s="92"/>
      <c r="G995" s="239"/>
      <c r="H995" s="240"/>
    </row>
    <row r="996" ht="12.75" customHeight="1">
      <c r="A996" s="192"/>
      <c r="B996" s="84">
        <v>16.0</v>
      </c>
      <c r="C996" s="306" t="s">
        <v>2710</v>
      </c>
      <c r="D996" s="193"/>
      <c r="E996" s="194"/>
      <c r="F996" s="195"/>
      <c r="G996" s="196">
        <f>SUM(G1000:G1157)</f>
        <v>168999.44</v>
      </c>
      <c r="H996" s="197">
        <f>G996-Resumo!J44</f>
        <v>-12241.56</v>
      </c>
    </row>
    <row r="997" ht="15.75" customHeight="1" outlineLevel="1">
      <c r="A997" s="89"/>
      <c r="B997" s="189"/>
      <c r="C997" s="90"/>
      <c r="D997" s="89"/>
      <c r="E997" s="91"/>
      <c r="F997" s="92"/>
      <c r="G997" s="239"/>
      <c r="H997" s="240"/>
    </row>
    <row r="998" ht="12.75" customHeight="1" outlineLevel="1">
      <c r="A998" s="89"/>
      <c r="B998" s="189"/>
      <c r="C998" s="184" t="s">
        <v>2711</v>
      </c>
      <c r="D998" s="89"/>
      <c r="E998" s="91"/>
      <c r="F998" s="92"/>
      <c r="G998" s="92"/>
      <c r="H998" s="240"/>
    </row>
    <row r="999" ht="12.75" customHeight="1" outlineLevel="2">
      <c r="A999" s="89"/>
      <c r="B999" s="189"/>
      <c r="C999" s="90"/>
      <c r="D999" s="89"/>
      <c r="E999" s="91"/>
      <c r="F999" s="92"/>
      <c r="G999" s="92"/>
      <c r="H999" s="240"/>
    </row>
    <row r="1000" ht="12.75" customHeight="1" outlineLevel="2">
      <c r="A1000" s="89" t="s">
        <v>1137</v>
      </c>
      <c r="B1000" s="301" t="s">
        <v>2712</v>
      </c>
      <c r="C1000" s="313" t="s">
        <v>2713</v>
      </c>
      <c r="D1000" s="203" t="s">
        <v>75</v>
      </c>
      <c r="E1000" s="214">
        <v>1.0</v>
      </c>
      <c r="F1000" s="205">
        <v>10000.0</v>
      </c>
      <c r="G1000" s="206">
        <f>F1000*E1000</f>
        <v>10000</v>
      </c>
      <c r="H1000" s="219" t="s">
        <v>2714</v>
      </c>
    </row>
    <row r="1001" ht="12.75" customHeight="1" outlineLevel="2">
      <c r="B1001" s="189"/>
      <c r="E1001" s="79"/>
      <c r="F1001" s="80"/>
      <c r="G1001" s="80"/>
      <c r="H1001" s="240"/>
    </row>
    <row r="1002" ht="12.75" customHeight="1" outlineLevel="2">
      <c r="A1002" s="89" t="s">
        <v>1139</v>
      </c>
      <c r="B1002" s="301" t="s">
        <v>2715</v>
      </c>
      <c r="C1002" s="314" t="s">
        <v>2716</v>
      </c>
      <c r="D1002" s="130"/>
      <c r="E1002" s="170"/>
      <c r="F1002" s="239"/>
      <c r="G1002" s="239"/>
      <c r="H1002" s="240"/>
    </row>
    <row r="1003" ht="12.75" customHeight="1" outlineLevel="2">
      <c r="B1003" s="189"/>
      <c r="E1003" s="79"/>
      <c r="F1003" s="80"/>
      <c r="G1003" s="80"/>
      <c r="H1003" s="240"/>
    </row>
    <row r="1004" ht="12.75" customHeight="1" outlineLevel="2">
      <c r="B1004" s="301" t="s">
        <v>2717</v>
      </c>
      <c r="C1004" s="315" t="s">
        <v>1141</v>
      </c>
      <c r="D1004" s="203" t="s">
        <v>75</v>
      </c>
      <c r="E1004" s="214">
        <v>2.0</v>
      </c>
      <c r="F1004" s="205">
        <v>1500.0</v>
      </c>
      <c r="G1004" s="206">
        <f t="shared" ref="G1004:G1006" si="43">F1004*E1004</f>
        <v>3000</v>
      </c>
      <c r="H1004" s="219"/>
    </row>
    <row r="1005" ht="12.75" customHeight="1" outlineLevel="2">
      <c r="B1005" s="301" t="s">
        <v>2718</v>
      </c>
      <c r="C1005" s="315" t="s">
        <v>1142</v>
      </c>
      <c r="D1005" s="203" t="s">
        <v>75</v>
      </c>
      <c r="E1005" s="214">
        <v>4.0</v>
      </c>
      <c r="F1005" s="205">
        <v>1600.0</v>
      </c>
      <c r="G1005" s="206">
        <f t="shared" si="43"/>
        <v>6400</v>
      </c>
      <c r="H1005" s="219"/>
    </row>
    <row r="1006" ht="12.75" customHeight="1" outlineLevel="2">
      <c r="B1006" s="301" t="s">
        <v>2719</v>
      </c>
      <c r="C1006" s="315" t="s">
        <v>1143</v>
      </c>
      <c r="D1006" s="203" t="s">
        <v>75</v>
      </c>
      <c r="E1006" s="214">
        <v>1.0</v>
      </c>
      <c r="F1006" s="205">
        <v>2800.0</v>
      </c>
      <c r="G1006" s="206">
        <f t="shared" si="43"/>
        <v>2800</v>
      </c>
      <c r="H1006" s="219"/>
    </row>
    <row r="1007" ht="12.75" customHeight="1" outlineLevel="2">
      <c r="B1007" s="189"/>
      <c r="E1007" s="79"/>
      <c r="F1007" s="80"/>
      <c r="G1007" s="80"/>
      <c r="H1007" s="240"/>
    </row>
    <row r="1008" ht="12.75" customHeight="1" outlineLevel="2">
      <c r="A1008" s="89" t="s">
        <v>1144</v>
      </c>
      <c r="B1008" s="301" t="s">
        <v>2720</v>
      </c>
      <c r="C1008" s="316" t="s">
        <v>2721</v>
      </c>
      <c r="D1008" s="130"/>
      <c r="E1008" s="170"/>
      <c r="F1008" s="239"/>
      <c r="G1008" s="239"/>
      <c r="H1008" s="240"/>
    </row>
    <row r="1009" ht="12.75" customHeight="1" outlineLevel="2">
      <c r="B1009" s="189"/>
      <c r="E1009" s="79"/>
      <c r="F1009" s="80"/>
      <c r="G1009" s="80"/>
      <c r="H1009" s="240"/>
    </row>
    <row r="1010" ht="12.75" customHeight="1" outlineLevel="2">
      <c r="B1010" s="301" t="s">
        <v>2722</v>
      </c>
      <c r="C1010" s="315" t="s">
        <v>2723</v>
      </c>
      <c r="D1010" s="203" t="s">
        <v>75</v>
      </c>
      <c r="E1010" s="214">
        <v>7.0</v>
      </c>
      <c r="F1010" s="205">
        <v>40.0</v>
      </c>
      <c r="G1010" s="206">
        <f>F1010*E1010</f>
        <v>280</v>
      </c>
      <c r="H1010" s="219"/>
    </row>
    <row r="1011" ht="12.75" customHeight="1" outlineLevel="2">
      <c r="B1011" s="189"/>
      <c r="E1011" s="79"/>
      <c r="F1011" s="80"/>
      <c r="G1011" s="80"/>
      <c r="H1011" s="240"/>
    </row>
    <row r="1012" ht="12.75" customHeight="1" outlineLevel="2">
      <c r="A1012" s="89" t="s">
        <v>1147</v>
      </c>
      <c r="B1012" s="301" t="s">
        <v>2724</v>
      </c>
      <c r="C1012" s="316" t="s">
        <v>2725</v>
      </c>
      <c r="D1012" s="130"/>
      <c r="E1012" s="170"/>
      <c r="F1012" s="239"/>
      <c r="G1012" s="239"/>
      <c r="H1012" s="240"/>
    </row>
    <row r="1013" ht="12.75" customHeight="1" outlineLevel="2">
      <c r="B1013" s="189"/>
      <c r="E1013" s="79"/>
      <c r="F1013" s="80"/>
      <c r="G1013" s="80"/>
      <c r="H1013" s="240"/>
    </row>
    <row r="1014" ht="12.75" customHeight="1" outlineLevel="2">
      <c r="B1014" s="301" t="s">
        <v>2726</v>
      </c>
      <c r="C1014" s="315" t="s">
        <v>1149</v>
      </c>
      <c r="D1014" s="203" t="s">
        <v>75</v>
      </c>
      <c r="E1014" s="214">
        <v>6.0</v>
      </c>
      <c r="F1014" s="205">
        <v>215.0</v>
      </c>
      <c r="G1014" s="206">
        <f>F1014*E1014</f>
        <v>1290</v>
      </c>
      <c r="H1014" s="219"/>
    </row>
    <row r="1015" ht="12.75" customHeight="1" outlineLevel="2">
      <c r="B1015" s="189"/>
      <c r="E1015" s="79"/>
      <c r="F1015" s="80"/>
      <c r="G1015" s="80"/>
      <c r="H1015" s="240"/>
    </row>
    <row r="1016" ht="12.75" customHeight="1" outlineLevel="2">
      <c r="A1016" s="89" t="s">
        <v>1150</v>
      </c>
      <c r="B1016" s="301" t="s">
        <v>2727</v>
      </c>
      <c r="C1016" s="316" t="s">
        <v>2728</v>
      </c>
      <c r="D1016" s="130"/>
      <c r="E1016" s="170"/>
      <c r="F1016" s="239"/>
      <c r="G1016" s="239"/>
      <c r="H1016" s="240"/>
    </row>
    <row r="1017" ht="12.75" customHeight="1" outlineLevel="2">
      <c r="B1017" s="189"/>
      <c r="E1017" s="79"/>
      <c r="F1017" s="80"/>
      <c r="G1017" s="80"/>
      <c r="H1017" s="240"/>
    </row>
    <row r="1018" ht="12.75" customHeight="1" outlineLevel="2">
      <c r="B1018" s="301" t="s">
        <v>2729</v>
      </c>
      <c r="C1018" s="315" t="s">
        <v>1152</v>
      </c>
      <c r="D1018" s="203" t="s">
        <v>75</v>
      </c>
      <c r="E1018" s="214">
        <v>1.0</v>
      </c>
      <c r="F1018" s="205">
        <v>15000.0</v>
      </c>
      <c r="G1018" s="206">
        <f>F1018*E1018</f>
        <v>15000</v>
      </c>
      <c r="H1018" s="219"/>
    </row>
    <row r="1019" ht="12.75" customHeight="1" outlineLevel="2">
      <c r="B1019" s="189"/>
      <c r="E1019" s="79"/>
      <c r="F1019" s="80"/>
      <c r="G1019" s="80"/>
      <c r="H1019" s="240"/>
    </row>
    <row r="1020" ht="12.75" customHeight="1" outlineLevel="2">
      <c r="A1020" s="89" t="s">
        <v>1153</v>
      </c>
      <c r="B1020" s="301" t="s">
        <v>2730</v>
      </c>
      <c r="C1020" s="315" t="s">
        <v>2731</v>
      </c>
      <c r="D1020" s="203" t="s">
        <v>75</v>
      </c>
      <c r="E1020" s="214">
        <v>1.0</v>
      </c>
      <c r="F1020" s="205">
        <v>4000.0</v>
      </c>
      <c r="G1020" s="206">
        <f>F1020*E1020</f>
        <v>4000</v>
      </c>
      <c r="H1020" s="219"/>
    </row>
    <row r="1021" ht="12.75" customHeight="1" outlineLevel="2">
      <c r="B1021" s="189"/>
      <c r="E1021" s="79"/>
      <c r="F1021" s="80"/>
      <c r="G1021" s="80"/>
      <c r="H1021" s="240"/>
    </row>
    <row r="1022" ht="12.75" customHeight="1" outlineLevel="2">
      <c r="A1022" s="89" t="s">
        <v>1155</v>
      </c>
      <c r="B1022" s="301" t="s">
        <v>2732</v>
      </c>
      <c r="C1022" s="315" t="s">
        <v>2733</v>
      </c>
      <c r="D1022" s="203" t="s">
        <v>75</v>
      </c>
      <c r="E1022" s="214">
        <v>7.0</v>
      </c>
      <c r="F1022" s="205">
        <v>140.0</v>
      </c>
      <c r="G1022" s="206">
        <f>F1022*E1022</f>
        <v>980</v>
      </c>
      <c r="H1022" s="219"/>
    </row>
    <row r="1023" ht="12.75" customHeight="1" outlineLevel="2">
      <c r="B1023" s="189"/>
      <c r="E1023" s="79"/>
      <c r="F1023" s="80"/>
      <c r="G1023" s="80"/>
      <c r="H1023" s="240"/>
    </row>
    <row r="1024" ht="12.75" customHeight="1" outlineLevel="2">
      <c r="A1024" s="89" t="s">
        <v>1157</v>
      </c>
      <c r="B1024" s="251">
        <v>16.8</v>
      </c>
      <c r="C1024" s="249" t="s">
        <v>2734</v>
      </c>
      <c r="D1024" s="317"/>
      <c r="E1024" s="310"/>
      <c r="F1024" s="311"/>
      <c r="G1024" s="311"/>
      <c r="H1024" s="240"/>
    </row>
    <row r="1025" ht="12.75" customHeight="1" outlineLevel="2">
      <c r="B1025" s="189"/>
      <c r="E1025" s="79"/>
      <c r="F1025" s="80"/>
      <c r="G1025" s="80"/>
      <c r="H1025" s="240"/>
    </row>
    <row r="1026" ht="12.75" customHeight="1" outlineLevel="2">
      <c r="B1026" s="301" t="s">
        <v>2735</v>
      </c>
      <c r="C1026" s="315" t="s">
        <v>1159</v>
      </c>
      <c r="D1026" s="203" t="s">
        <v>877</v>
      </c>
      <c r="E1026" s="214">
        <v>54.0</v>
      </c>
      <c r="F1026" s="205">
        <v>11.0</v>
      </c>
      <c r="G1026" s="206">
        <f t="shared" ref="G1026:G1032" si="44">F1026*E1026</f>
        <v>594</v>
      </c>
      <c r="H1026" s="219"/>
    </row>
    <row r="1027" ht="12.75" customHeight="1" outlineLevel="2">
      <c r="B1027" s="301" t="s">
        <v>2736</v>
      </c>
      <c r="C1027" s="315" t="s">
        <v>1160</v>
      </c>
      <c r="D1027" s="203" t="s">
        <v>877</v>
      </c>
      <c r="E1027" s="214">
        <v>22.0</v>
      </c>
      <c r="F1027" s="205">
        <v>13.5</v>
      </c>
      <c r="G1027" s="206">
        <f t="shared" si="44"/>
        <v>297</v>
      </c>
      <c r="H1027" s="219"/>
    </row>
    <row r="1028" ht="12.75" customHeight="1" outlineLevel="2">
      <c r="B1028" s="301" t="s">
        <v>2737</v>
      </c>
      <c r="C1028" s="315" t="s">
        <v>1161</v>
      </c>
      <c r="D1028" s="203" t="s">
        <v>877</v>
      </c>
      <c r="E1028" s="214">
        <v>72.0</v>
      </c>
      <c r="F1028" s="205">
        <v>15.0</v>
      </c>
      <c r="G1028" s="206">
        <f t="shared" si="44"/>
        <v>1080</v>
      </c>
      <c r="H1028" s="219"/>
    </row>
    <row r="1029" ht="12.75" customHeight="1" outlineLevel="2">
      <c r="B1029" s="301" t="s">
        <v>2738</v>
      </c>
      <c r="C1029" s="315" t="s">
        <v>1162</v>
      </c>
      <c r="D1029" s="203" t="s">
        <v>877</v>
      </c>
      <c r="E1029" s="214">
        <v>56.0</v>
      </c>
      <c r="F1029" s="205">
        <v>19.0</v>
      </c>
      <c r="G1029" s="206">
        <f t="shared" si="44"/>
        <v>1064</v>
      </c>
      <c r="H1029" s="219"/>
    </row>
    <row r="1030" ht="12.75" customHeight="1" outlineLevel="2">
      <c r="B1030" s="301" t="s">
        <v>2739</v>
      </c>
      <c r="C1030" s="315" t="s">
        <v>1163</v>
      </c>
      <c r="D1030" s="203" t="s">
        <v>877</v>
      </c>
      <c r="E1030" s="214">
        <v>10.0</v>
      </c>
      <c r="F1030" s="205">
        <v>21.0</v>
      </c>
      <c r="G1030" s="206">
        <f t="shared" si="44"/>
        <v>210</v>
      </c>
      <c r="H1030" s="219"/>
    </row>
    <row r="1031" ht="12.75" customHeight="1" outlineLevel="2">
      <c r="B1031" s="301" t="s">
        <v>2740</v>
      </c>
      <c r="C1031" s="315" t="s">
        <v>1164</v>
      </c>
      <c r="D1031" s="203" t="s">
        <v>877</v>
      </c>
      <c r="E1031" s="214">
        <v>8.0</v>
      </c>
      <c r="F1031" s="205">
        <v>22.0</v>
      </c>
      <c r="G1031" s="206">
        <f t="shared" si="44"/>
        <v>176</v>
      </c>
      <c r="H1031" s="219"/>
    </row>
    <row r="1032" ht="12.75" customHeight="1" outlineLevel="2">
      <c r="B1032" s="301" t="s">
        <v>2741</v>
      </c>
      <c r="C1032" s="315" t="s">
        <v>1165</v>
      </c>
      <c r="D1032" s="203" t="s">
        <v>877</v>
      </c>
      <c r="E1032" s="214">
        <v>34.0</v>
      </c>
      <c r="F1032" s="205">
        <v>25.0</v>
      </c>
      <c r="G1032" s="206">
        <f t="shared" si="44"/>
        <v>850</v>
      </c>
      <c r="H1032" s="219"/>
    </row>
    <row r="1033" ht="12.75" customHeight="1" outlineLevel="2">
      <c r="B1033" s="189"/>
      <c r="E1033" s="79"/>
      <c r="F1033" s="80"/>
      <c r="G1033" s="80"/>
      <c r="H1033" s="240"/>
    </row>
    <row r="1034" ht="12.75" customHeight="1" outlineLevel="2">
      <c r="A1034" s="89">
        <v>6.9</v>
      </c>
      <c r="B1034" s="318" t="s">
        <v>2742</v>
      </c>
      <c r="C1034" s="308" t="s">
        <v>2743</v>
      </c>
      <c r="D1034" s="309"/>
      <c r="E1034" s="310"/>
      <c r="F1034" s="311"/>
      <c r="G1034" s="311"/>
      <c r="H1034" s="240"/>
    </row>
    <row r="1035" ht="12.75" customHeight="1" outlineLevel="2">
      <c r="B1035" s="189"/>
      <c r="E1035" s="79"/>
      <c r="F1035" s="80"/>
      <c r="G1035" s="80"/>
      <c r="H1035" s="240"/>
    </row>
    <row r="1036" ht="12.75" customHeight="1" outlineLevel="2">
      <c r="B1036" s="301" t="s">
        <v>2744</v>
      </c>
      <c r="C1036" s="315" t="s">
        <v>1167</v>
      </c>
      <c r="D1036" s="203" t="s">
        <v>877</v>
      </c>
      <c r="E1036" s="214">
        <v>56.0</v>
      </c>
      <c r="F1036" s="205">
        <v>12.0</v>
      </c>
      <c r="G1036" s="206">
        <f>F1036*E1036</f>
        <v>672</v>
      </c>
      <c r="H1036" s="219"/>
    </row>
    <row r="1037" ht="12.75" customHeight="1" outlineLevel="2">
      <c r="B1037" s="189"/>
      <c r="E1037" s="79"/>
      <c r="F1037" s="80"/>
      <c r="G1037" s="80"/>
      <c r="H1037" s="240"/>
    </row>
    <row r="1038" ht="12.75" customHeight="1" outlineLevel="1">
      <c r="A1038" s="89"/>
      <c r="B1038" s="189"/>
      <c r="C1038" s="184" t="s">
        <v>2745</v>
      </c>
      <c r="E1038" s="79"/>
      <c r="F1038" s="80"/>
      <c r="G1038" s="80"/>
      <c r="H1038" s="240"/>
    </row>
    <row r="1039" ht="12.75" customHeight="1" outlineLevel="2">
      <c r="A1039" s="89"/>
      <c r="B1039" s="189"/>
      <c r="C1039" s="90"/>
      <c r="E1039" s="79"/>
      <c r="F1039" s="80"/>
      <c r="G1039" s="80"/>
      <c r="H1039" s="240"/>
    </row>
    <row r="1040" ht="12.75" customHeight="1" outlineLevel="2">
      <c r="A1040" s="89">
        <v>6.1</v>
      </c>
      <c r="B1040" s="318" t="s">
        <v>2746</v>
      </c>
      <c r="C1040" s="308" t="s">
        <v>2747</v>
      </c>
      <c r="D1040" s="309"/>
      <c r="E1040" s="310"/>
      <c r="F1040" s="311"/>
      <c r="G1040" s="311"/>
      <c r="H1040" s="219" t="s">
        <v>2748</v>
      </c>
    </row>
    <row r="1041" ht="12.75" customHeight="1" outlineLevel="2">
      <c r="B1041" s="189"/>
      <c r="E1041" s="79"/>
      <c r="F1041" s="80"/>
      <c r="G1041" s="80"/>
      <c r="H1041" s="240"/>
    </row>
    <row r="1042" ht="12.75" customHeight="1" outlineLevel="2">
      <c r="B1042" s="301" t="s">
        <v>2749</v>
      </c>
      <c r="C1042" s="315" t="s">
        <v>1169</v>
      </c>
      <c r="D1042" s="203" t="s">
        <v>877</v>
      </c>
      <c r="E1042" s="214">
        <v>28.0</v>
      </c>
      <c r="F1042" s="205">
        <v>13.0</v>
      </c>
      <c r="G1042" s="206">
        <f t="shared" ref="G1042:G1045" si="45">F1042*E1042</f>
        <v>364</v>
      </c>
      <c r="H1042" s="219"/>
    </row>
    <row r="1043" ht="12.75" customHeight="1" outlineLevel="2">
      <c r="B1043" s="301" t="s">
        <v>2750</v>
      </c>
      <c r="C1043" s="315" t="s">
        <v>1170</v>
      </c>
      <c r="D1043" s="203" t="s">
        <v>877</v>
      </c>
      <c r="E1043" s="214">
        <v>52.0</v>
      </c>
      <c r="F1043" s="205">
        <v>16.0</v>
      </c>
      <c r="G1043" s="206">
        <f t="shared" si="45"/>
        <v>832</v>
      </c>
      <c r="H1043" s="219"/>
    </row>
    <row r="1044" ht="12.75" customHeight="1" outlineLevel="2">
      <c r="B1044" s="301" t="s">
        <v>2751</v>
      </c>
      <c r="C1044" s="315" t="s">
        <v>1167</v>
      </c>
      <c r="D1044" s="203" t="s">
        <v>877</v>
      </c>
      <c r="E1044" s="214">
        <v>76.0</v>
      </c>
      <c r="F1044" s="205">
        <v>18.5</v>
      </c>
      <c r="G1044" s="206">
        <f t="shared" si="45"/>
        <v>1406</v>
      </c>
      <c r="H1044" s="219"/>
    </row>
    <row r="1045" ht="12.75" customHeight="1" outlineLevel="2">
      <c r="B1045" s="301" t="s">
        <v>2752</v>
      </c>
      <c r="C1045" s="315" t="s">
        <v>1171</v>
      </c>
      <c r="D1045" s="203" t="s">
        <v>877</v>
      </c>
      <c r="E1045" s="214">
        <v>20.0</v>
      </c>
      <c r="F1045" s="205">
        <v>27.0</v>
      </c>
      <c r="G1045" s="206">
        <f t="shared" si="45"/>
        <v>540</v>
      </c>
      <c r="H1045" s="219"/>
    </row>
    <row r="1046" ht="12.75" customHeight="1" outlineLevel="2">
      <c r="B1046" s="189"/>
      <c r="E1046" s="79"/>
      <c r="F1046" s="80"/>
      <c r="G1046" s="80"/>
      <c r="H1046" s="240"/>
    </row>
    <row r="1047" ht="12.75" customHeight="1" outlineLevel="2">
      <c r="A1047" s="89" t="s">
        <v>1172</v>
      </c>
      <c r="B1047" s="307" t="s">
        <v>2753</v>
      </c>
      <c r="C1047" s="308" t="s">
        <v>2754</v>
      </c>
      <c r="D1047" s="309"/>
      <c r="E1047" s="310"/>
      <c r="F1047" s="311"/>
      <c r="G1047" s="311"/>
      <c r="H1047" s="240"/>
    </row>
    <row r="1048" ht="12.75" customHeight="1" outlineLevel="2">
      <c r="B1048" s="189"/>
      <c r="E1048" s="79"/>
      <c r="F1048" s="80"/>
      <c r="G1048" s="80"/>
      <c r="H1048" s="240"/>
    </row>
    <row r="1049" ht="12.75" customHeight="1" outlineLevel="2">
      <c r="B1049" s="301" t="s">
        <v>2755</v>
      </c>
      <c r="C1049" s="315" t="s">
        <v>1174</v>
      </c>
      <c r="D1049" s="203" t="s">
        <v>877</v>
      </c>
      <c r="E1049" s="214">
        <v>2200.0</v>
      </c>
      <c r="F1049" s="205">
        <v>3.0</v>
      </c>
      <c r="G1049" s="206">
        <f t="shared" ref="G1049:G1064" si="46">F1049*E1049</f>
        <v>6600</v>
      </c>
      <c r="H1049" s="219"/>
    </row>
    <row r="1050" ht="12.75" customHeight="1" outlineLevel="2">
      <c r="B1050" s="301" t="s">
        <v>2756</v>
      </c>
      <c r="C1050" s="315" t="s">
        <v>2757</v>
      </c>
      <c r="D1050" s="203" t="s">
        <v>40</v>
      </c>
      <c r="E1050" s="214">
        <v>300.0</v>
      </c>
      <c r="F1050" s="205">
        <v>29.0</v>
      </c>
      <c r="G1050" s="206">
        <f t="shared" si="46"/>
        <v>8700</v>
      </c>
      <c r="H1050" s="219"/>
    </row>
    <row r="1051" ht="12.75" customHeight="1" outlineLevel="2">
      <c r="B1051" s="301" t="s">
        <v>2758</v>
      </c>
      <c r="C1051" s="315" t="s">
        <v>2759</v>
      </c>
      <c r="D1051" s="203" t="s">
        <v>877</v>
      </c>
      <c r="E1051" s="214">
        <v>270.0</v>
      </c>
      <c r="F1051" s="205">
        <v>1.5</v>
      </c>
      <c r="G1051" s="206">
        <f t="shared" si="46"/>
        <v>405</v>
      </c>
      <c r="H1051" s="219"/>
    </row>
    <row r="1052" ht="12.75" customHeight="1" outlineLevel="2">
      <c r="B1052" s="301" t="s">
        <v>2760</v>
      </c>
      <c r="C1052" s="315" t="s">
        <v>2761</v>
      </c>
      <c r="D1052" s="203" t="s">
        <v>75</v>
      </c>
      <c r="E1052" s="214">
        <v>3.0</v>
      </c>
      <c r="F1052" s="205">
        <v>230.0</v>
      </c>
      <c r="G1052" s="206">
        <f t="shared" si="46"/>
        <v>690</v>
      </c>
      <c r="H1052" s="219"/>
    </row>
    <row r="1053" ht="12.75" customHeight="1" outlineLevel="2">
      <c r="B1053" s="301" t="s">
        <v>2762</v>
      </c>
      <c r="C1053" s="315" t="s">
        <v>2763</v>
      </c>
      <c r="D1053" s="203" t="s">
        <v>75</v>
      </c>
      <c r="E1053" s="214">
        <v>300.0</v>
      </c>
      <c r="F1053" s="205">
        <v>1.25</v>
      </c>
      <c r="G1053" s="206">
        <f t="shared" si="46"/>
        <v>375</v>
      </c>
      <c r="H1053" s="219"/>
    </row>
    <row r="1054" ht="12.75" customHeight="1" outlineLevel="2">
      <c r="B1054" s="301" t="s">
        <v>2764</v>
      </c>
      <c r="C1054" s="315" t="s">
        <v>2765</v>
      </c>
      <c r="D1054" s="203" t="s">
        <v>1180</v>
      </c>
      <c r="E1054" s="214">
        <v>4.0</v>
      </c>
      <c r="F1054" s="205">
        <v>73.0</v>
      </c>
      <c r="G1054" s="206">
        <f t="shared" si="46"/>
        <v>292</v>
      </c>
      <c r="H1054" s="219"/>
    </row>
    <row r="1055" ht="12.75" customHeight="1" outlineLevel="2">
      <c r="B1055" s="301" t="s">
        <v>2766</v>
      </c>
      <c r="C1055" s="315" t="s">
        <v>2767</v>
      </c>
      <c r="D1055" s="203" t="s">
        <v>75</v>
      </c>
      <c r="E1055" s="214">
        <v>1.0</v>
      </c>
      <c r="F1055" s="205">
        <v>340.0</v>
      </c>
      <c r="G1055" s="206">
        <f t="shared" si="46"/>
        <v>340</v>
      </c>
      <c r="H1055" s="219"/>
    </row>
    <row r="1056" ht="12.75" customHeight="1" outlineLevel="2">
      <c r="B1056" s="301" t="s">
        <v>2768</v>
      </c>
      <c r="C1056" s="315" t="s">
        <v>2769</v>
      </c>
      <c r="D1056" s="203" t="s">
        <v>75</v>
      </c>
      <c r="E1056" s="214">
        <v>2.0</v>
      </c>
      <c r="F1056" s="205">
        <v>380.0</v>
      </c>
      <c r="G1056" s="206">
        <f t="shared" si="46"/>
        <v>760</v>
      </c>
      <c r="H1056" s="219"/>
    </row>
    <row r="1057" ht="12.75" customHeight="1" outlineLevel="2">
      <c r="B1057" s="301" t="s">
        <v>2770</v>
      </c>
      <c r="C1057" s="315" t="s">
        <v>2771</v>
      </c>
      <c r="D1057" s="203" t="s">
        <v>75</v>
      </c>
      <c r="E1057" s="214">
        <v>1.0</v>
      </c>
      <c r="F1057" s="205">
        <v>410.0</v>
      </c>
      <c r="G1057" s="206">
        <f t="shared" si="46"/>
        <v>410</v>
      </c>
      <c r="H1057" s="219"/>
    </row>
    <row r="1058" ht="12.75" customHeight="1" outlineLevel="2">
      <c r="B1058" s="301" t="s">
        <v>2772</v>
      </c>
      <c r="C1058" s="315" t="s">
        <v>2773</v>
      </c>
      <c r="D1058" s="203" t="s">
        <v>75</v>
      </c>
      <c r="E1058" s="214">
        <v>1.0</v>
      </c>
      <c r="F1058" s="205">
        <v>260.0</v>
      </c>
      <c r="G1058" s="206">
        <f t="shared" si="46"/>
        <v>260</v>
      </c>
      <c r="H1058" s="219"/>
    </row>
    <row r="1059" ht="12.75" customHeight="1" outlineLevel="2">
      <c r="B1059" s="301" t="s">
        <v>2774</v>
      </c>
      <c r="C1059" s="315" t="s">
        <v>2775</v>
      </c>
      <c r="D1059" s="203" t="s">
        <v>75</v>
      </c>
      <c r="E1059" s="214">
        <v>3.0</v>
      </c>
      <c r="F1059" s="205">
        <v>290.0</v>
      </c>
      <c r="G1059" s="206">
        <f t="shared" si="46"/>
        <v>870</v>
      </c>
      <c r="H1059" s="219"/>
    </row>
    <row r="1060" ht="12.75" customHeight="1" outlineLevel="2">
      <c r="B1060" s="301" t="s">
        <v>2776</v>
      </c>
      <c r="C1060" s="315" t="s">
        <v>2777</v>
      </c>
      <c r="D1060" s="203" t="s">
        <v>75</v>
      </c>
      <c r="E1060" s="214">
        <v>8.0</v>
      </c>
      <c r="F1060" s="205">
        <v>100.0</v>
      </c>
      <c r="G1060" s="206">
        <f t="shared" si="46"/>
        <v>800</v>
      </c>
      <c r="H1060" s="219"/>
    </row>
    <row r="1061" ht="12.75" customHeight="1" outlineLevel="2">
      <c r="B1061" s="301" t="s">
        <v>2778</v>
      </c>
      <c r="C1061" s="315" t="s">
        <v>2779</v>
      </c>
      <c r="D1061" s="203" t="s">
        <v>75</v>
      </c>
      <c r="E1061" s="214">
        <v>48.0</v>
      </c>
      <c r="F1061" s="205">
        <v>10.0</v>
      </c>
      <c r="G1061" s="206">
        <f t="shared" si="46"/>
        <v>480</v>
      </c>
      <c r="H1061" s="219"/>
    </row>
    <row r="1062" ht="12.75" customHeight="1" outlineLevel="2">
      <c r="B1062" s="301" t="s">
        <v>2780</v>
      </c>
      <c r="C1062" s="315" t="s">
        <v>2781</v>
      </c>
      <c r="D1062" s="203" t="s">
        <v>75</v>
      </c>
      <c r="E1062" s="214">
        <v>1.0</v>
      </c>
      <c r="F1062" s="205">
        <v>1450.0</v>
      </c>
      <c r="G1062" s="206">
        <f t="shared" si="46"/>
        <v>1450</v>
      </c>
      <c r="H1062" s="219"/>
    </row>
    <row r="1063" ht="12.75" customHeight="1" outlineLevel="2">
      <c r="B1063" s="301" t="s">
        <v>2782</v>
      </c>
      <c r="C1063" s="315" t="s">
        <v>2783</v>
      </c>
      <c r="D1063" s="203" t="s">
        <v>75</v>
      </c>
      <c r="E1063" s="214">
        <v>1.0</v>
      </c>
      <c r="F1063" s="205">
        <v>150.0</v>
      </c>
      <c r="G1063" s="206">
        <f t="shared" si="46"/>
        <v>150</v>
      </c>
      <c r="H1063" s="219"/>
    </row>
    <row r="1064" ht="12.75" customHeight="1" outlineLevel="2">
      <c r="B1064" s="301" t="s">
        <v>2784</v>
      </c>
      <c r="C1064" s="315" t="s">
        <v>2785</v>
      </c>
      <c r="D1064" s="203" t="s">
        <v>75</v>
      </c>
      <c r="E1064" s="214">
        <v>1.0</v>
      </c>
      <c r="F1064" s="205">
        <v>320.0</v>
      </c>
      <c r="G1064" s="206">
        <f t="shared" si="46"/>
        <v>320</v>
      </c>
      <c r="H1064" s="219"/>
    </row>
    <row r="1065" ht="12.75" customHeight="1" outlineLevel="2">
      <c r="B1065" s="301" t="s">
        <v>2786</v>
      </c>
      <c r="C1065" s="315" t="s">
        <v>2787</v>
      </c>
      <c r="D1065" s="203" t="s">
        <v>75</v>
      </c>
      <c r="E1065" s="214">
        <v>0.0</v>
      </c>
      <c r="F1065" s="205"/>
      <c r="G1065" s="206" t="s">
        <v>619</v>
      </c>
      <c r="H1065" s="219"/>
    </row>
    <row r="1066" ht="12.75" customHeight="1" outlineLevel="2">
      <c r="B1066" s="301" t="s">
        <v>2788</v>
      </c>
      <c r="C1066" s="315" t="s">
        <v>2789</v>
      </c>
      <c r="D1066" s="203" t="s">
        <v>75</v>
      </c>
      <c r="E1066" s="214">
        <v>24.0</v>
      </c>
      <c r="F1066" s="205">
        <v>50.0</v>
      </c>
      <c r="G1066" s="206">
        <f t="shared" ref="G1066:G1067" si="47">F1066*E1066</f>
        <v>1200</v>
      </c>
      <c r="H1066" s="219"/>
    </row>
    <row r="1067" ht="12.75" customHeight="1" outlineLevel="2">
      <c r="B1067" s="301" t="s">
        <v>2790</v>
      </c>
      <c r="C1067" s="315" t="s">
        <v>2791</v>
      </c>
      <c r="D1067" s="203" t="s">
        <v>75</v>
      </c>
      <c r="E1067" s="214">
        <v>2.0</v>
      </c>
      <c r="F1067" s="205">
        <v>1500.0</v>
      </c>
      <c r="G1067" s="206">
        <f t="shared" si="47"/>
        <v>3000</v>
      </c>
      <c r="H1067" s="219"/>
    </row>
    <row r="1068" ht="12.75" customHeight="1" outlineLevel="2">
      <c r="B1068" s="301" t="s">
        <v>2792</v>
      </c>
      <c r="C1068" s="315" t="s">
        <v>2793</v>
      </c>
      <c r="D1068" s="203" t="s">
        <v>75</v>
      </c>
      <c r="E1068" s="214">
        <v>2.0</v>
      </c>
      <c r="F1068" s="205"/>
      <c r="G1068" s="206" t="s">
        <v>619</v>
      </c>
      <c r="H1068" s="219"/>
    </row>
    <row r="1069" ht="12.75" customHeight="1" outlineLevel="2">
      <c r="B1069" s="301" t="s">
        <v>2794</v>
      </c>
      <c r="C1069" s="315" t="s">
        <v>2795</v>
      </c>
      <c r="D1069" s="203" t="s">
        <v>75</v>
      </c>
      <c r="E1069" s="214">
        <v>2.0</v>
      </c>
      <c r="F1069" s="205">
        <v>280.0</v>
      </c>
      <c r="G1069" s="206">
        <f>F1069*E1069</f>
        <v>560</v>
      </c>
      <c r="H1069" s="219"/>
    </row>
    <row r="1070" ht="12.75" customHeight="1" outlineLevel="2">
      <c r="B1070" s="301" t="s">
        <v>2796</v>
      </c>
      <c r="C1070" s="315" t="s">
        <v>2797</v>
      </c>
      <c r="D1070" s="203" t="s">
        <v>75</v>
      </c>
      <c r="E1070" s="214">
        <v>4.0</v>
      </c>
      <c r="F1070" s="205"/>
      <c r="G1070" s="206" t="s">
        <v>619</v>
      </c>
      <c r="H1070" s="219"/>
    </row>
    <row r="1071" ht="12.75" customHeight="1" outlineLevel="2">
      <c r="B1071" s="301" t="s">
        <v>2798</v>
      </c>
      <c r="C1071" s="315" t="s">
        <v>2799</v>
      </c>
      <c r="D1071" s="203" t="s">
        <v>75</v>
      </c>
      <c r="E1071" s="214">
        <v>4.0</v>
      </c>
      <c r="F1071" s="205"/>
      <c r="G1071" s="206" t="s">
        <v>619</v>
      </c>
      <c r="H1071" s="219"/>
    </row>
    <row r="1072" ht="12.75" customHeight="1" outlineLevel="2">
      <c r="B1072" s="301" t="s">
        <v>2800</v>
      </c>
      <c r="C1072" s="315" t="s">
        <v>2801</v>
      </c>
      <c r="D1072" s="203" t="s">
        <v>33</v>
      </c>
      <c r="E1072" s="214">
        <v>1.0</v>
      </c>
      <c r="F1072" s="205">
        <v>2400.0</v>
      </c>
      <c r="G1072" s="206">
        <f>F1072*E1072</f>
        <v>2400</v>
      </c>
      <c r="H1072" s="219"/>
    </row>
    <row r="1073" ht="12.75" customHeight="1" outlineLevel="2">
      <c r="B1073" s="189"/>
      <c r="E1073" s="79"/>
      <c r="F1073" s="80"/>
      <c r="G1073" s="80"/>
      <c r="H1073" s="240"/>
    </row>
    <row r="1074" ht="12.75" customHeight="1" outlineLevel="2">
      <c r="A1074" s="89" t="s">
        <v>1199</v>
      </c>
      <c r="B1074" s="301" t="s">
        <v>2802</v>
      </c>
      <c r="C1074" s="315" t="s">
        <v>2803</v>
      </c>
      <c r="D1074" s="238"/>
      <c r="E1074" s="170"/>
      <c r="F1074" s="239"/>
      <c r="G1074" s="239"/>
      <c r="H1074" s="240"/>
    </row>
    <row r="1075" ht="12.75" customHeight="1" outlineLevel="2">
      <c r="B1075" s="189"/>
      <c r="E1075" s="79"/>
      <c r="F1075" s="80"/>
      <c r="G1075" s="80"/>
      <c r="H1075" s="240"/>
    </row>
    <row r="1076" ht="12.75" customHeight="1" outlineLevel="2">
      <c r="B1076" s="301" t="s">
        <v>2804</v>
      </c>
      <c r="C1076" s="315" t="s">
        <v>2805</v>
      </c>
      <c r="D1076" s="203" t="s">
        <v>1202</v>
      </c>
      <c r="E1076" s="214">
        <v>3.0</v>
      </c>
      <c r="F1076" s="205">
        <v>800.0</v>
      </c>
      <c r="G1076" s="206">
        <f t="shared" ref="G1076:G1086" si="48">F1076*E1076</f>
        <v>2400</v>
      </c>
      <c r="H1076" s="219"/>
    </row>
    <row r="1077" ht="12.75" customHeight="1" outlineLevel="2">
      <c r="B1077" s="301" t="s">
        <v>2806</v>
      </c>
      <c r="C1077" s="315" t="s">
        <v>2807</v>
      </c>
      <c r="D1077" s="203" t="s">
        <v>1202</v>
      </c>
      <c r="E1077" s="214">
        <v>3.0</v>
      </c>
      <c r="F1077" s="205">
        <v>1000.0</v>
      </c>
      <c r="G1077" s="206">
        <f t="shared" si="48"/>
        <v>3000</v>
      </c>
      <c r="H1077" s="219"/>
    </row>
    <row r="1078" ht="12.75" customHeight="1" outlineLevel="2">
      <c r="B1078" s="301" t="s">
        <v>2808</v>
      </c>
      <c r="C1078" s="315" t="s">
        <v>2809</v>
      </c>
      <c r="D1078" s="203" t="s">
        <v>75</v>
      </c>
      <c r="E1078" s="214">
        <v>1.0</v>
      </c>
      <c r="F1078" s="205">
        <v>5400.0</v>
      </c>
      <c r="G1078" s="206">
        <f t="shared" si="48"/>
        <v>5400</v>
      </c>
      <c r="H1078" s="219"/>
    </row>
    <row r="1079" ht="12.75" customHeight="1" outlineLevel="2">
      <c r="B1079" s="301" t="s">
        <v>2810</v>
      </c>
      <c r="C1079" s="315" t="s">
        <v>2811</v>
      </c>
      <c r="D1079" s="203" t="s">
        <v>75</v>
      </c>
      <c r="E1079" s="214">
        <v>1.0</v>
      </c>
      <c r="F1079" s="205">
        <v>1100.0</v>
      </c>
      <c r="G1079" s="206">
        <f t="shared" si="48"/>
        <v>1100</v>
      </c>
      <c r="H1079" s="219"/>
    </row>
    <row r="1080" ht="12.75" customHeight="1" outlineLevel="2">
      <c r="B1080" s="301" t="s">
        <v>2812</v>
      </c>
      <c r="C1080" s="315" t="s">
        <v>2813</v>
      </c>
      <c r="D1080" s="203" t="s">
        <v>75</v>
      </c>
      <c r="E1080" s="214">
        <v>1.0</v>
      </c>
      <c r="F1080" s="205">
        <v>1200.0</v>
      </c>
      <c r="G1080" s="206">
        <f t="shared" si="48"/>
        <v>1200</v>
      </c>
      <c r="H1080" s="219"/>
    </row>
    <row r="1081" ht="12.75" customHeight="1" outlineLevel="2">
      <c r="B1081" s="301" t="s">
        <v>2814</v>
      </c>
      <c r="C1081" s="315" t="s">
        <v>2815</v>
      </c>
      <c r="D1081" s="203" t="s">
        <v>1180</v>
      </c>
      <c r="E1081" s="214">
        <v>3.0</v>
      </c>
      <c r="F1081" s="205">
        <v>43.0</v>
      </c>
      <c r="G1081" s="206">
        <f t="shared" si="48"/>
        <v>129</v>
      </c>
      <c r="H1081" s="219"/>
    </row>
    <row r="1082" ht="12.75" customHeight="1" outlineLevel="2">
      <c r="B1082" s="301" t="s">
        <v>2816</v>
      </c>
      <c r="C1082" s="315" t="s">
        <v>2817</v>
      </c>
      <c r="D1082" s="203" t="s">
        <v>75</v>
      </c>
      <c r="E1082" s="214">
        <v>1.0</v>
      </c>
      <c r="F1082" s="205">
        <v>300.0</v>
      </c>
      <c r="G1082" s="206">
        <f t="shared" si="48"/>
        <v>300</v>
      </c>
      <c r="H1082" s="219"/>
    </row>
    <row r="1083" ht="12.75" customHeight="1" outlineLevel="2">
      <c r="B1083" s="301" t="s">
        <v>2818</v>
      </c>
      <c r="C1083" s="315" t="s">
        <v>2819</v>
      </c>
      <c r="D1083" s="203" t="s">
        <v>75</v>
      </c>
      <c r="E1083" s="214">
        <v>1.0</v>
      </c>
      <c r="F1083" s="205">
        <v>230.0</v>
      </c>
      <c r="G1083" s="206">
        <f t="shared" si="48"/>
        <v>230</v>
      </c>
      <c r="H1083" s="219"/>
    </row>
    <row r="1084" ht="12.75" customHeight="1" outlineLevel="2">
      <c r="B1084" s="301" t="s">
        <v>2820</v>
      </c>
      <c r="C1084" s="315" t="s">
        <v>2821</v>
      </c>
      <c r="D1084" s="203" t="s">
        <v>75</v>
      </c>
      <c r="E1084" s="214">
        <v>1.0</v>
      </c>
      <c r="F1084" s="205">
        <v>200.0</v>
      </c>
      <c r="G1084" s="206">
        <f t="shared" si="48"/>
        <v>200</v>
      </c>
      <c r="H1084" s="219"/>
    </row>
    <row r="1085" ht="12.75" customHeight="1" outlineLevel="2">
      <c r="B1085" s="301" t="s">
        <v>2822</v>
      </c>
      <c r="C1085" s="315" t="s">
        <v>1211</v>
      </c>
      <c r="D1085" s="203" t="s">
        <v>877</v>
      </c>
      <c r="E1085" s="214">
        <v>40.0</v>
      </c>
      <c r="F1085" s="205">
        <v>20.0</v>
      </c>
      <c r="G1085" s="206">
        <f t="shared" si="48"/>
        <v>800</v>
      </c>
      <c r="H1085" s="219"/>
    </row>
    <row r="1086" ht="12.75" customHeight="1" outlineLevel="2">
      <c r="B1086" s="301" t="s">
        <v>2823</v>
      </c>
      <c r="C1086" s="315" t="s">
        <v>2824</v>
      </c>
      <c r="D1086" s="203" t="s">
        <v>75</v>
      </c>
      <c r="E1086" s="214">
        <v>1.0</v>
      </c>
      <c r="F1086" s="205">
        <v>100.0</v>
      </c>
      <c r="G1086" s="206">
        <f t="shared" si="48"/>
        <v>100</v>
      </c>
      <c r="H1086" s="219"/>
    </row>
    <row r="1087" ht="12.75" customHeight="1" outlineLevel="2">
      <c r="B1087" s="301" t="s">
        <v>2825</v>
      </c>
      <c r="C1087" s="315" t="s">
        <v>2826</v>
      </c>
      <c r="D1087" s="203" t="s">
        <v>75</v>
      </c>
      <c r="E1087" s="214">
        <v>1.0</v>
      </c>
      <c r="F1087" s="205"/>
      <c r="G1087" s="206" t="s">
        <v>619</v>
      </c>
      <c r="H1087" s="219"/>
    </row>
    <row r="1088" ht="12.75" customHeight="1" outlineLevel="2">
      <c r="B1088" s="301" t="s">
        <v>2827</v>
      </c>
      <c r="C1088" s="315" t="s">
        <v>2828</v>
      </c>
      <c r="D1088" s="203" t="s">
        <v>75</v>
      </c>
      <c r="E1088" s="214">
        <v>1.0</v>
      </c>
      <c r="F1088" s="205">
        <v>550.0</v>
      </c>
      <c r="G1088" s="206">
        <f t="shared" ref="G1088:G1095" si="49">F1088*E1088</f>
        <v>550</v>
      </c>
      <c r="H1088" s="219"/>
    </row>
    <row r="1089" ht="12.75" customHeight="1" outlineLevel="2">
      <c r="B1089" s="301" t="s">
        <v>2829</v>
      </c>
      <c r="C1089" s="315" t="s">
        <v>2830</v>
      </c>
      <c r="D1089" s="203" t="s">
        <v>75</v>
      </c>
      <c r="E1089" s="214">
        <v>1.0</v>
      </c>
      <c r="F1089" s="205">
        <v>1400.0</v>
      </c>
      <c r="G1089" s="206">
        <f t="shared" si="49"/>
        <v>1400</v>
      </c>
      <c r="H1089" s="219"/>
    </row>
    <row r="1090" ht="12.75" customHeight="1" outlineLevel="2">
      <c r="B1090" s="301" t="s">
        <v>2831</v>
      </c>
      <c r="C1090" s="315" t="s">
        <v>2832</v>
      </c>
      <c r="D1090" s="203" t="s">
        <v>75</v>
      </c>
      <c r="E1090" s="214">
        <v>1.0</v>
      </c>
      <c r="F1090" s="205">
        <v>1400.0</v>
      </c>
      <c r="G1090" s="206">
        <f t="shared" si="49"/>
        <v>1400</v>
      </c>
      <c r="H1090" s="219"/>
    </row>
    <row r="1091" ht="12.75" customHeight="1" outlineLevel="2">
      <c r="B1091" s="301" t="s">
        <v>2833</v>
      </c>
      <c r="C1091" s="315" t="s">
        <v>2834</v>
      </c>
      <c r="D1091" s="203" t="s">
        <v>75</v>
      </c>
      <c r="E1091" s="214">
        <v>1.0</v>
      </c>
      <c r="F1091" s="205">
        <v>1400.0</v>
      </c>
      <c r="G1091" s="206">
        <f t="shared" si="49"/>
        <v>1400</v>
      </c>
      <c r="H1091" s="219"/>
    </row>
    <row r="1092" ht="12.75" customHeight="1" outlineLevel="2">
      <c r="B1092" s="301" t="s">
        <v>2835</v>
      </c>
      <c r="C1092" s="315" t="s">
        <v>2836</v>
      </c>
      <c r="D1092" s="203" t="s">
        <v>75</v>
      </c>
      <c r="E1092" s="214">
        <v>1.0</v>
      </c>
      <c r="F1092" s="205">
        <v>2300.0</v>
      </c>
      <c r="G1092" s="206">
        <f t="shared" si="49"/>
        <v>2300</v>
      </c>
      <c r="H1092" s="219"/>
    </row>
    <row r="1093" ht="12.75" customHeight="1" outlineLevel="2">
      <c r="B1093" s="301" t="s">
        <v>2837</v>
      </c>
      <c r="C1093" s="315" t="s">
        <v>2838</v>
      </c>
      <c r="D1093" s="203" t="s">
        <v>75</v>
      </c>
      <c r="E1093" s="214">
        <v>1.0</v>
      </c>
      <c r="F1093" s="205">
        <v>300.0</v>
      </c>
      <c r="G1093" s="206">
        <f t="shared" si="49"/>
        <v>300</v>
      </c>
      <c r="H1093" s="219"/>
    </row>
    <row r="1094" ht="12.75" customHeight="1" outlineLevel="2">
      <c r="B1094" s="301" t="s">
        <v>2839</v>
      </c>
      <c r="C1094" s="315" t="s">
        <v>2840</v>
      </c>
      <c r="D1094" s="203" t="s">
        <v>75</v>
      </c>
      <c r="E1094" s="214">
        <v>1.0</v>
      </c>
      <c r="F1094" s="205">
        <v>300.0</v>
      </c>
      <c r="G1094" s="206">
        <f t="shared" si="49"/>
        <v>300</v>
      </c>
      <c r="H1094" s="219"/>
    </row>
    <row r="1095" ht="12.75" customHeight="1" outlineLevel="2">
      <c r="B1095" s="301" t="s">
        <v>2841</v>
      </c>
      <c r="C1095" s="315" t="s">
        <v>2801</v>
      </c>
      <c r="D1095" s="203" t="s">
        <v>33</v>
      </c>
      <c r="E1095" s="214">
        <v>1.0</v>
      </c>
      <c r="F1095" s="205">
        <v>2000.0</v>
      </c>
      <c r="G1095" s="206">
        <f t="shared" si="49"/>
        <v>2000</v>
      </c>
      <c r="H1095" s="219"/>
    </row>
    <row r="1096" ht="12.75" customHeight="1" outlineLevel="2">
      <c r="B1096" s="189"/>
      <c r="E1096" s="79"/>
      <c r="F1096" s="80"/>
      <c r="G1096" s="80"/>
      <c r="H1096" s="240"/>
    </row>
    <row r="1097" ht="12.75" customHeight="1" outlineLevel="2">
      <c r="A1097" s="89">
        <v>6.13</v>
      </c>
      <c r="B1097" s="307" t="s">
        <v>2842</v>
      </c>
      <c r="C1097" s="308" t="s">
        <v>2843</v>
      </c>
      <c r="D1097" s="309"/>
      <c r="E1097" s="310"/>
      <c r="F1097" s="311"/>
      <c r="G1097" s="311"/>
      <c r="H1097" s="240"/>
    </row>
    <row r="1098" ht="12.75" customHeight="1" outlineLevel="2">
      <c r="B1098" s="189"/>
      <c r="E1098" s="79"/>
      <c r="F1098" s="80"/>
      <c r="G1098" s="80"/>
      <c r="H1098" s="240"/>
    </row>
    <row r="1099" ht="12.75" customHeight="1" outlineLevel="2">
      <c r="B1099" s="301" t="s">
        <v>2844</v>
      </c>
      <c r="C1099" s="315" t="s">
        <v>1222</v>
      </c>
      <c r="D1099" s="203" t="s">
        <v>75</v>
      </c>
      <c r="E1099" s="214">
        <v>1.0</v>
      </c>
      <c r="F1099" s="205">
        <v>8500.0</v>
      </c>
      <c r="G1099" s="206">
        <f>F1099*E1099</f>
        <v>8500</v>
      </c>
      <c r="H1099" s="219"/>
    </row>
    <row r="1100" ht="12.75" customHeight="1" outlineLevel="2">
      <c r="B1100" s="189"/>
      <c r="E1100" s="79"/>
      <c r="F1100" s="80"/>
      <c r="G1100" s="80"/>
      <c r="H1100" s="240"/>
    </row>
    <row r="1101" ht="12.75" customHeight="1" outlineLevel="1">
      <c r="A1101" s="89"/>
      <c r="B1101" s="189"/>
      <c r="C1101" s="184" t="s">
        <v>2845</v>
      </c>
      <c r="E1101" s="79"/>
      <c r="F1101" s="80"/>
      <c r="G1101" s="80"/>
      <c r="H1101" s="240"/>
    </row>
    <row r="1102" ht="12.75" customHeight="1" outlineLevel="2">
      <c r="A1102" s="89"/>
      <c r="B1102" s="189"/>
      <c r="C1102" s="90"/>
      <c r="E1102" s="79"/>
      <c r="F1102" s="80"/>
      <c r="G1102" s="80"/>
      <c r="H1102" s="240"/>
    </row>
    <row r="1103" ht="12.75" customHeight="1" outlineLevel="2">
      <c r="A1103" s="89" t="s">
        <v>1223</v>
      </c>
      <c r="B1103" s="307" t="s">
        <v>2846</v>
      </c>
      <c r="C1103" s="308" t="s">
        <v>2847</v>
      </c>
      <c r="D1103" s="309"/>
      <c r="E1103" s="310"/>
      <c r="F1103" s="311"/>
      <c r="G1103" s="311"/>
      <c r="H1103" s="240"/>
    </row>
    <row r="1104" ht="12.75" customHeight="1" outlineLevel="2">
      <c r="B1104" s="189"/>
      <c r="E1104" s="79"/>
      <c r="F1104" s="80"/>
      <c r="G1104" s="80"/>
      <c r="H1104" s="240"/>
    </row>
    <row r="1105" ht="12.75" customHeight="1" outlineLevel="2">
      <c r="B1105" s="301" t="s">
        <v>2848</v>
      </c>
      <c r="C1105" s="315" t="s">
        <v>1225</v>
      </c>
      <c r="D1105" s="203" t="s">
        <v>877</v>
      </c>
      <c r="E1105" s="214">
        <v>20.0</v>
      </c>
      <c r="F1105" s="205">
        <v>33.0</v>
      </c>
      <c r="G1105" s="206">
        <f t="shared" ref="G1105:G1106" si="50">F1105*E1105</f>
        <v>660</v>
      </c>
      <c r="H1105" s="219"/>
    </row>
    <row r="1106" ht="12.75" customHeight="1" outlineLevel="2">
      <c r="B1106" s="301" t="s">
        <v>2849</v>
      </c>
      <c r="C1106" s="315" t="s">
        <v>1226</v>
      </c>
      <c r="D1106" s="203" t="s">
        <v>877</v>
      </c>
      <c r="E1106" s="214">
        <v>22.0</v>
      </c>
      <c r="F1106" s="205">
        <v>50.0</v>
      </c>
      <c r="G1106" s="206">
        <f t="shared" si="50"/>
        <v>1100</v>
      </c>
      <c r="H1106" s="219"/>
    </row>
    <row r="1107" ht="12.75" customHeight="1" outlineLevel="2">
      <c r="B1107" s="189"/>
      <c r="E1107" s="79"/>
      <c r="F1107" s="80"/>
      <c r="G1107" s="80"/>
      <c r="H1107" s="240"/>
    </row>
    <row r="1108" ht="12.75" customHeight="1" outlineLevel="2">
      <c r="A1108" s="89" t="s">
        <v>1227</v>
      </c>
      <c r="B1108" s="307" t="s">
        <v>2850</v>
      </c>
      <c r="C1108" s="308" t="s">
        <v>2851</v>
      </c>
      <c r="D1108" s="309"/>
      <c r="E1108" s="310"/>
      <c r="F1108" s="311"/>
      <c r="G1108" s="311"/>
      <c r="H1108" s="240"/>
    </row>
    <row r="1109" ht="12.75" customHeight="1" outlineLevel="2">
      <c r="B1109" s="189"/>
      <c r="E1109" s="79"/>
      <c r="F1109" s="80"/>
      <c r="G1109" s="80"/>
      <c r="H1109" s="240"/>
    </row>
    <row r="1110" ht="12.75" customHeight="1" outlineLevel="2">
      <c r="B1110" s="301" t="s">
        <v>2852</v>
      </c>
      <c r="C1110" s="315" t="s">
        <v>1229</v>
      </c>
      <c r="D1110" s="203" t="s">
        <v>877</v>
      </c>
      <c r="E1110" s="214">
        <v>236.0</v>
      </c>
      <c r="F1110" s="205">
        <v>26.0</v>
      </c>
      <c r="G1110" s="206">
        <f>F1110*E1110</f>
        <v>6136</v>
      </c>
      <c r="H1110" s="219"/>
    </row>
    <row r="1111" ht="12.75" customHeight="1" outlineLevel="2">
      <c r="B1111" s="189"/>
      <c r="E1111" s="79"/>
      <c r="F1111" s="80"/>
      <c r="G1111" s="80"/>
      <c r="H1111" s="240"/>
    </row>
    <row r="1112" ht="12.75" customHeight="1" outlineLevel="2">
      <c r="A1112" s="89" t="s">
        <v>1230</v>
      </c>
      <c r="B1112" s="307" t="s">
        <v>2853</v>
      </c>
      <c r="C1112" s="308" t="s">
        <v>2854</v>
      </c>
      <c r="D1112" s="309"/>
      <c r="E1112" s="310"/>
      <c r="F1112" s="311"/>
      <c r="G1112" s="311"/>
      <c r="H1112" s="240"/>
    </row>
    <row r="1113" ht="12.75" customHeight="1" outlineLevel="2">
      <c r="B1113" s="189"/>
      <c r="E1113" s="79"/>
      <c r="F1113" s="80"/>
      <c r="G1113" s="80"/>
      <c r="H1113" s="240"/>
    </row>
    <row r="1114" ht="12.75" customHeight="1" outlineLevel="2">
      <c r="B1114" s="301" t="s">
        <v>2855</v>
      </c>
      <c r="C1114" s="315" t="s">
        <v>1232</v>
      </c>
      <c r="D1114" s="203" t="s">
        <v>877</v>
      </c>
      <c r="E1114" s="214">
        <v>8.0</v>
      </c>
      <c r="F1114" s="205">
        <v>20.0</v>
      </c>
      <c r="G1114" s="206">
        <f t="shared" ref="G1114:G1115" si="51">F1114*E1114</f>
        <v>160</v>
      </c>
      <c r="H1114" s="219"/>
    </row>
    <row r="1115" ht="12.75" customHeight="1" outlineLevel="2">
      <c r="B1115" s="301" t="s">
        <v>2856</v>
      </c>
      <c r="C1115" s="315" t="s">
        <v>1233</v>
      </c>
      <c r="D1115" s="203" t="s">
        <v>877</v>
      </c>
      <c r="E1115" s="214">
        <v>4.0</v>
      </c>
      <c r="F1115" s="205">
        <v>26.0</v>
      </c>
      <c r="G1115" s="206">
        <f t="shared" si="51"/>
        <v>104</v>
      </c>
      <c r="H1115" s="219"/>
    </row>
    <row r="1116" ht="12.75" customHeight="1" outlineLevel="2">
      <c r="B1116" s="189"/>
      <c r="E1116" s="79"/>
      <c r="F1116" s="80"/>
      <c r="G1116" s="80"/>
      <c r="H1116" s="240"/>
    </row>
    <row r="1117" ht="12.75" customHeight="1" outlineLevel="2">
      <c r="A1117" s="89" t="s">
        <v>1234</v>
      </c>
      <c r="B1117" s="301" t="s">
        <v>2857</v>
      </c>
      <c r="C1117" s="315" t="s">
        <v>2858</v>
      </c>
      <c r="D1117" s="203" t="s">
        <v>1236</v>
      </c>
      <c r="E1117" s="214">
        <v>110.0</v>
      </c>
      <c r="F1117" s="205">
        <v>83.09</v>
      </c>
      <c r="G1117" s="206">
        <f>F1117*E1117</f>
        <v>9139.9</v>
      </c>
      <c r="H1117" s="219"/>
    </row>
    <row r="1118" ht="12.75" customHeight="1" outlineLevel="2">
      <c r="B1118" s="189"/>
      <c r="E1118" s="79"/>
      <c r="F1118" s="80"/>
      <c r="G1118" s="80"/>
      <c r="H1118" s="240"/>
    </row>
    <row r="1119" ht="12.75" customHeight="1" outlineLevel="2">
      <c r="A1119" s="89" t="s">
        <v>1237</v>
      </c>
      <c r="B1119" s="319" t="s">
        <v>2859</v>
      </c>
      <c r="C1119" s="316" t="s">
        <v>2860</v>
      </c>
      <c r="D1119" s="130"/>
      <c r="E1119" s="170"/>
      <c r="F1119" s="239"/>
      <c r="G1119" s="239"/>
      <c r="H1119" s="240"/>
    </row>
    <row r="1120" ht="12.75" customHeight="1" outlineLevel="2">
      <c r="B1120" s="189"/>
      <c r="E1120" s="79"/>
      <c r="F1120" s="80"/>
      <c r="G1120" s="80"/>
      <c r="H1120" s="240"/>
    </row>
    <row r="1121" ht="12.75" customHeight="1" outlineLevel="2">
      <c r="B1121" s="301" t="s">
        <v>2861</v>
      </c>
      <c r="C1121" s="315" t="s">
        <v>1239</v>
      </c>
      <c r="D1121" s="203" t="s">
        <v>75</v>
      </c>
      <c r="E1121" s="214">
        <v>1.0</v>
      </c>
      <c r="F1121" s="205">
        <v>7400.0</v>
      </c>
      <c r="G1121" s="206">
        <f>F1121*E1121</f>
        <v>7400</v>
      </c>
      <c r="H1121" s="219"/>
    </row>
    <row r="1122" ht="12.75" customHeight="1" outlineLevel="2">
      <c r="B1122" s="189"/>
      <c r="E1122" s="79"/>
      <c r="F1122" s="80"/>
      <c r="G1122" s="80"/>
      <c r="H1122" s="240"/>
    </row>
    <row r="1123" ht="12.75" customHeight="1" outlineLevel="2">
      <c r="A1123" s="89" t="s">
        <v>1240</v>
      </c>
      <c r="B1123" s="307" t="s">
        <v>2862</v>
      </c>
      <c r="C1123" s="308" t="s">
        <v>2863</v>
      </c>
      <c r="D1123" s="309"/>
      <c r="E1123" s="310"/>
      <c r="F1123" s="311"/>
      <c r="G1123" s="311"/>
      <c r="H1123" s="240"/>
    </row>
    <row r="1124" ht="12.75" customHeight="1" outlineLevel="2">
      <c r="B1124" s="189"/>
      <c r="E1124" s="79"/>
      <c r="F1124" s="80"/>
      <c r="G1124" s="80"/>
      <c r="H1124" s="240"/>
    </row>
    <row r="1125" ht="12.75" customHeight="1" outlineLevel="2">
      <c r="B1125" s="301" t="s">
        <v>2864</v>
      </c>
      <c r="C1125" s="315" t="s">
        <v>1242</v>
      </c>
      <c r="D1125" s="203" t="s">
        <v>75</v>
      </c>
      <c r="E1125" s="214">
        <v>1.0</v>
      </c>
      <c r="F1125" s="205">
        <v>500.0</v>
      </c>
      <c r="G1125" s="206">
        <f>F1125*E1125</f>
        <v>500</v>
      </c>
      <c r="H1125" s="219"/>
    </row>
    <row r="1126" ht="12.75" customHeight="1" outlineLevel="2">
      <c r="B1126" s="189"/>
      <c r="E1126" s="79"/>
      <c r="F1126" s="80"/>
      <c r="G1126" s="80"/>
      <c r="H1126" s="240"/>
    </row>
    <row r="1127" ht="12.75" customHeight="1" outlineLevel="2">
      <c r="A1127" s="89">
        <v>6.2</v>
      </c>
      <c r="B1127" s="301" t="s">
        <v>2865</v>
      </c>
      <c r="C1127" s="315" t="s">
        <v>2866</v>
      </c>
      <c r="D1127" s="203" t="s">
        <v>227</v>
      </c>
      <c r="E1127" s="214">
        <v>1.0</v>
      </c>
      <c r="F1127" s="205">
        <v>2623.54</v>
      </c>
      <c r="G1127" s="206">
        <f>F1127*E1127</f>
        <v>2623.54</v>
      </c>
      <c r="H1127" s="219"/>
    </row>
    <row r="1128" ht="12.75" customHeight="1" outlineLevel="2">
      <c r="B1128" s="189"/>
      <c r="E1128" s="79"/>
      <c r="F1128" s="80"/>
      <c r="G1128" s="80"/>
      <c r="H1128" s="240"/>
    </row>
    <row r="1129" ht="12.75" customHeight="1" outlineLevel="2">
      <c r="A1129" s="89" t="s">
        <v>1244</v>
      </c>
      <c r="B1129" s="319" t="s">
        <v>2867</v>
      </c>
      <c r="C1129" s="316" t="s">
        <v>2868</v>
      </c>
      <c r="D1129" s="130"/>
      <c r="E1129" s="170"/>
      <c r="F1129" s="239"/>
      <c r="G1129" s="239"/>
      <c r="H1129" s="240"/>
    </row>
    <row r="1130" ht="12.75" customHeight="1" outlineLevel="2">
      <c r="B1130" s="189"/>
      <c r="E1130" s="79"/>
      <c r="F1130" s="80"/>
      <c r="G1130" s="80"/>
      <c r="H1130" s="240"/>
    </row>
    <row r="1131" ht="12.75" customHeight="1" outlineLevel="2">
      <c r="B1131" s="301" t="s">
        <v>2869</v>
      </c>
      <c r="C1131" s="315" t="s">
        <v>1246</v>
      </c>
      <c r="D1131" s="203" t="s">
        <v>75</v>
      </c>
      <c r="E1131" s="214">
        <v>10.0</v>
      </c>
      <c r="F1131" s="205">
        <v>33.0</v>
      </c>
      <c r="G1131" s="206">
        <f>F1131*E1131</f>
        <v>330</v>
      </c>
      <c r="H1131" s="219"/>
    </row>
    <row r="1132" ht="12.75" customHeight="1" outlineLevel="2">
      <c r="B1132" s="189"/>
      <c r="E1132" s="79"/>
      <c r="F1132" s="80"/>
      <c r="G1132" s="80"/>
      <c r="H1132" s="240"/>
    </row>
    <row r="1133" ht="12.75" customHeight="1" outlineLevel="2">
      <c r="A1133" s="89" t="s">
        <v>1247</v>
      </c>
      <c r="B1133" s="307" t="s">
        <v>2870</v>
      </c>
      <c r="C1133" s="308" t="s">
        <v>2871</v>
      </c>
      <c r="D1133" s="309"/>
      <c r="E1133" s="310"/>
      <c r="F1133" s="311"/>
      <c r="G1133" s="311"/>
      <c r="H1133" s="240"/>
    </row>
    <row r="1134" ht="12.75" customHeight="1" outlineLevel="2">
      <c r="B1134" s="189"/>
      <c r="E1134" s="79"/>
      <c r="F1134" s="80"/>
      <c r="G1134" s="80"/>
      <c r="H1134" s="240"/>
    </row>
    <row r="1135" ht="12.75" customHeight="1" outlineLevel="2">
      <c r="B1135" s="301" t="s">
        <v>2872</v>
      </c>
      <c r="C1135" s="315" t="s">
        <v>1249</v>
      </c>
      <c r="D1135" s="203" t="s">
        <v>75</v>
      </c>
      <c r="E1135" s="214">
        <v>1.0</v>
      </c>
      <c r="F1135" s="205">
        <v>2300.0</v>
      </c>
      <c r="G1135" s="206">
        <f t="shared" ref="G1135:G1145" si="52">F1135*E1135</f>
        <v>2300</v>
      </c>
      <c r="H1135" s="219"/>
    </row>
    <row r="1136" ht="12.75" customHeight="1" outlineLevel="2">
      <c r="B1136" s="301" t="s">
        <v>2873</v>
      </c>
      <c r="C1136" s="315" t="s">
        <v>1250</v>
      </c>
      <c r="D1136" s="203" t="s">
        <v>75</v>
      </c>
      <c r="E1136" s="214">
        <v>1.0</v>
      </c>
      <c r="F1136" s="205">
        <v>4500.0</v>
      </c>
      <c r="G1136" s="206">
        <f t="shared" si="52"/>
        <v>4500</v>
      </c>
      <c r="H1136" s="219"/>
    </row>
    <row r="1137" ht="12.75" customHeight="1" outlineLevel="2">
      <c r="B1137" s="301" t="s">
        <v>2874</v>
      </c>
      <c r="C1137" s="315" t="s">
        <v>1251</v>
      </c>
      <c r="D1137" s="203" t="s">
        <v>75</v>
      </c>
      <c r="E1137" s="214">
        <v>1.0</v>
      </c>
      <c r="F1137" s="205">
        <v>3400.0</v>
      </c>
      <c r="G1137" s="206">
        <f t="shared" si="52"/>
        <v>3400</v>
      </c>
      <c r="H1137" s="219"/>
    </row>
    <row r="1138" ht="12.75" customHeight="1" outlineLevel="2">
      <c r="B1138" s="301" t="s">
        <v>2875</v>
      </c>
      <c r="C1138" s="315" t="s">
        <v>1252</v>
      </c>
      <c r="D1138" s="203" t="s">
        <v>75</v>
      </c>
      <c r="E1138" s="214">
        <v>3.0</v>
      </c>
      <c r="F1138" s="205">
        <v>2500.0</v>
      </c>
      <c r="G1138" s="206">
        <f t="shared" si="52"/>
        <v>7500</v>
      </c>
      <c r="H1138" s="219"/>
    </row>
    <row r="1139" ht="12.75" customHeight="1" outlineLevel="2">
      <c r="B1139" s="301" t="s">
        <v>2876</v>
      </c>
      <c r="C1139" s="315" t="s">
        <v>1253</v>
      </c>
      <c r="D1139" s="203" t="s">
        <v>75</v>
      </c>
      <c r="E1139" s="214">
        <v>6.0</v>
      </c>
      <c r="F1139" s="205">
        <v>1000.0</v>
      </c>
      <c r="G1139" s="206">
        <f t="shared" si="52"/>
        <v>6000</v>
      </c>
      <c r="H1139" s="219"/>
    </row>
    <row r="1140" ht="12.75" customHeight="1" outlineLevel="2">
      <c r="B1140" s="301" t="s">
        <v>2877</v>
      </c>
      <c r="C1140" s="315" t="s">
        <v>1254</v>
      </c>
      <c r="D1140" s="203" t="s">
        <v>75</v>
      </c>
      <c r="E1140" s="214">
        <v>2.0</v>
      </c>
      <c r="F1140" s="205">
        <v>200.0</v>
      </c>
      <c r="G1140" s="206">
        <f t="shared" si="52"/>
        <v>400</v>
      </c>
      <c r="H1140" s="219"/>
    </row>
    <row r="1141" ht="12.75" customHeight="1" outlineLevel="2">
      <c r="B1141" s="301" t="s">
        <v>2878</v>
      </c>
      <c r="C1141" s="315" t="s">
        <v>1255</v>
      </c>
      <c r="D1141" s="203" t="s">
        <v>75</v>
      </c>
      <c r="E1141" s="214">
        <v>2.0</v>
      </c>
      <c r="F1141" s="205">
        <v>200.0</v>
      </c>
      <c r="G1141" s="206">
        <f t="shared" si="52"/>
        <v>400</v>
      </c>
      <c r="H1141" s="219"/>
    </row>
    <row r="1142" ht="12.75" customHeight="1" outlineLevel="2">
      <c r="B1142" s="301" t="s">
        <v>2879</v>
      </c>
      <c r="C1142" s="315" t="s">
        <v>1256</v>
      </c>
      <c r="D1142" s="203" t="s">
        <v>75</v>
      </c>
      <c r="E1142" s="214">
        <v>1.0</v>
      </c>
      <c r="F1142" s="205">
        <v>300.0</v>
      </c>
      <c r="G1142" s="206">
        <f t="shared" si="52"/>
        <v>300</v>
      </c>
      <c r="H1142" s="219"/>
    </row>
    <row r="1143" ht="12.75" customHeight="1" outlineLevel="2">
      <c r="B1143" s="301" t="s">
        <v>2880</v>
      </c>
      <c r="C1143" s="315" t="s">
        <v>1257</v>
      </c>
      <c r="D1143" s="203" t="s">
        <v>75</v>
      </c>
      <c r="E1143" s="214">
        <v>1.0</v>
      </c>
      <c r="F1143" s="205">
        <v>300.0</v>
      </c>
      <c r="G1143" s="206">
        <f t="shared" si="52"/>
        <v>300</v>
      </c>
      <c r="H1143" s="219"/>
    </row>
    <row r="1144" ht="12.75" customHeight="1" outlineLevel="2">
      <c r="B1144" s="301" t="s">
        <v>2881</v>
      </c>
      <c r="C1144" s="315" t="s">
        <v>1258</v>
      </c>
      <c r="D1144" s="203" t="s">
        <v>75</v>
      </c>
      <c r="E1144" s="214">
        <v>3.0</v>
      </c>
      <c r="F1144" s="205">
        <v>235.0</v>
      </c>
      <c r="G1144" s="206">
        <f t="shared" si="52"/>
        <v>705</v>
      </c>
      <c r="H1144" s="219"/>
    </row>
    <row r="1145" ht="12.75" customHeight="1" outlineLevel="2">
      <c r="B1145" s="301" t="s">
        <v>2882</v>
      </c>
      <c r="C1145" s="315" t="s">
        <v>2883</v>
      </c>
      <c r="D1145" s="203" t="s">
        <v>75</v>
      </c>
      <c r="E1145" s="214">
        <v>1.0</v>
      </c>
      <c r="F1145" s="205">
        <v>135.0</v>
      </c>
      <c r="G1145" s="206">
        <f t="shared" si="52"/>
        <v>135</v>
      </c>
      <c r="H1145" s="219"/>
    </row>
    <row r="1146" ht="12.75" customHeight="1" outlineLevel="2">
      <c r="B1146" s="189"/>
      <c r="E1146" s="79"/>
      <c r="F1146" s="80"/>
      <c r="G1146" s="80"/>
      <c r="H1146" s="240"/>
    </row>
    <row r="1147" ht="12.75" customHeight="1" outlineLevel="1">
      <c r="A1147" s="89"/>
      <c r="B1147" s="189"/>
      <c r="C1147" s="184" t="s">
        <v>2884</v>
      </c>
      <c r="D1147" s="89"/>
      <c r="E1147" s="91"/>
      <c r="F1147" s="92"/>
      <c r="G1147" s="92"/>
      <c r="H1147" s="240"/>
    </row>
    <row r="1148" ht="12.75" customHeight="1" outlineLevel="2">
      <c r="A1148" s="89"/>
      <c r="B1148" s="189"/>
      <c r="C1148" s="90"/>
      <c r="D1148" s="89"/>
      <c r="E1148" s="91"/>
      <c r="F1148" s="92"/>
      <c r="G1148" s="92"/>
      <c r="H1148" s="240"/>
    </row>
    <row r="1149" ht="12.75" customHeight="1" outlineLevel="2">
      <c r="A1149" s="89" t="s">
        <v>1260</v>
      </c>
      <c r="B1149" s="301" t="s">
        <v>2885</v>
      </c>
      <c r="C1149" s="315" t="s">
        <v>2886</v>
      </c>
      <c r="D1149" s="203" t="s">
        <v>33</v>
      </c>
      <c r="E1149" s="214">
        <v>1.0</v>
      </c>
      <c r="F1149" s="205">
        <v>0.0</v>
      </c>
      <c r="G1149" s="206">
        <f>F1149*E1149</f>
        <v>0</v>
      </c>
      <c r="H1149" s="219" t="s">
        <v>2887</v>
      </c>
    </row>
    <row r="1150" ht="12.75" customHeight="1" outlineLevel="2">
      <c r="B1150" s="189"/>
      <c r="E1150" s="79"/>
      <c r="F1150" s="80"/>
      <c r="G1150" s="80"/>
      <c r="H1150" s="240"/>
    </row>
    <row r="1151" ht="12.75" customHeight="1" outlineLevel="2">
      <c r="A1151" s="89" t="s">
        <v>1262</v>
      </c>
      <c r="B1151" s="301" t="s">
        <v>2888</v>
      </c>
      <c r="C1151" s="315" t="s">
        <v>2889</v>
      </c>
      <c r="D1151" s="203" t="s">
        <v>227</v>
      </c>
      <c r="E1151" s="214">
        <v>1.0</v>
      </c>
      <c r="F1151" s="205">
        <v>0.0</v>
      </c>
      <c r="G1151" s="206">
        <f>F1151*E1151</f>
        <v>0</v>
      </c>
      <c r="H1151" s="219" t="s">
        <v>2887</v>
      </c>
    </row>
    <row r="1152" ht="12.75" customHeight="1" outlineLevel="2">
      <c r="B1152" s="189"/>
      <c r="E1152" s="79"/>
      <c r="F1152" s="80"/>
      <c r="G1152" s="80"/>
      <c r="H1152" s="240"/>
    </row>
    <row r="1153" ht="12.75" customHeight="1" outlineLevel="2">
      <c r="B1153" s="301" t="s">
        <v>2890</v>
      </c>
      <c r="C1153" s="315" t="s">
        <v>2891</v>
      </c>
      <c r="D1153" s="203" t="s">
        <v>227</v>
      </c>
      <c r="E1153" s="214">
        <v>1.0</v>
      </c>
      <c r="F1153" s="205">
        <v>0.0</v>
      </c>
      <c r="G1153" s="206">
        <f>F1153*E1153</f>
        <v>0</v>
      </c>
      <c r="H1153" s="219" t="s">
        <v>2887</v>
      </c>
    </row>
    <row r="1154" ht="12.75" customHeight="1" outlineLevel="2">
      <c r="B1154" s="189"/>
      <c r="E1154" s="79"/>
      <c r="F1154" s="80"/>
      <c r="G1154" s="80"/>
      <c r="H1154" s="240"/>
    </row>
    <row r="1155" ht="12.75" customHeight="1" outlineLevel="2">
      <c r="B1155" s="301" t="s">
        <v>2892</v>
      </c>
      <c r="C1155" s="315" t="s">
        <v>2893</v>
      </c>
      <c r="D1155" s="203" t="s">
        <v>227</v>
      </c>
      <c r="E1155" s="214">
        <v>1.0</v>
      </c>
      <c r="F1155" s="205">
        <v>0.0</v>
      </c>
      <c r="G1155" s="206">
        <f>F1155*E1155</f>
        <v>0</v>
      </c>
      <c r="H1155" s="219" t="s">
        <v>2887</v>
      </c>
    </row>
    <row r="1156" ht="12.75" customHeight="1" outlineLevel="2">
      <c r="B1156" s="189"/>
      <c r="E1156" s="79"/>
      <c r="F1156" s="80"/>
      <c r="G1156" s="80"/>
      <c r="H1156" s="240"/>
    </row>
    <row r="1157" ht="12.75" customHeight="1" outlineLevel="2">
      <c r="B1157" s="301" t="s">
        <v>2894</v>
      </c>
      <c r="C1157" s="315" t="s">
        <v>2895</v>
      </c>
      <c r="D1157" s="203" t="s">
        <v>227</v>
      </c>
      <c r="E1157" s="214">
        <v>1.0</v>
      </c>
      <c r="F1157" s="205">
        <v>0.0</v>
      </c>
      <c r="G1157" s="206">
        <f>F1157*E1157</f>
        <v>0</v>
      </c>
      <c r="H1157" s="219" t="s">
        <v>2887</v>
      </c>
    </row>
    <row r="1158" ht="12.75" customHeight="1" outlineLevel="2">
      <c r="A1158" s="89"/>
      <c r="B1158" s="189"/>
      <c r="E1158" s="79"/>
      <c r="F1158" s="80"/>
      <c r="G1158" s="80"/>
      <c r="H1158" s="240"/>
    </row>
    <row r="1159" ht="12.75" customHeight="1" outlineLevel="1">
      <c r="A1159" s="89"/>
      <c r="B1159" s="189"/>
      <c r="E1159" s="79"/>
      <c r="F1159" s="80"/>
      <c r="G1159" s="80"/>
      <c r="H1159" s="240"/>
    </row>
    <row r="1160" ht="12.75" customHeight="1">
      <c r="A1160" s="192"/>
      <c r="B1160" s="84">
        <v>17.0</v>
      </c>
      <c r="C1160" s="306" t="s">
        <v>2896</v>
      </c>
      <c r="D1160" s="193"/>
      <c r="E1160" s="194"/>
      <c r="F1160" s="195"/>
      <c r="G1160" s="196">
        <f>SUM(G1166:G1528)</f>
        <v>207574.38</v>
      </c>
      <c r="H1160" s="197">
        <f>G1160-Resumo!J45</f>
        <v>-6093.26</v>
      </c>
    </row>
    <row r="1161" ht="12.75" customHeight="1" outlineLevel="1">
      <c r="A1161" s="89"/>
      <c r="B1161" s="189"/>
      <c r="C1161" s="90"/>
      <c r="D1161" s="89"/>
      <c r="E1161" s="91"/>
      <c r="F1161" s="92"/>
      <c r="G1161" s="239"/>
      <c r="H1161" s="240"/>
    </row>
    <row r="1162" ht="12.75" customHeight="1" outlineLevel="1">
      <c r="A1162" s="89"/>
      <c r="B1162" s="312"/>
      <c r="C1162" s="184" t="s">
        <v>2897</v>
      </c>
      <c r="E1162" s="79"/>
      <c r="F1162" s="80"/>
      <c r="G1162" s="80"/>
      <c r="H1162" s="240"/>
    </row>
    <row r="1163" ht="12.75" customHeight="1" outlineLevel="2">
      <c r="A1163" s="89"/>
      <c r="B1163" s="312"/>
      <c r="C1163" s="320"/>
      <c r="E1163" s="79"/>
      <c r="F1163" s="80"/>
      <c r="G1163" s="80"/>
      <c r="H1163" s="240"/>
    </row>
    <row r="1164" ht="12.75" customHeight="1" outlineLevel="2">
      <c r="A1164" s="89" t="s">
        <v>1268</v>
      </c>
      <c r="B1164" s="307" t="s">
        <v>2898</v>
      </c>
      <c r="C1164" s="321" t="s">
        <v>2899</v>
      </c>
      <c r="D1164" s="309"/>
      <c r="E1164" s="310"/>
      <c r="F1164" s="311"/>
      <c r="G1164" s="311"/>
      <c r="H1164" s="240"/>
    </row>
    <row r="1165" ht="12.75" customHeight="1" outlineLevel="2">
      <c r="B1165" s="189"/>
      <c r="C1165" s="208"/>
      <c r="E1165" s="79"/>
      <c r="F1165" s="80"/>
      <c r="G1165" s="80"/>
      <c r="H1165" s="240"/>
    </row>
    <row r="1166" ht="12.75" customHeight="1" outlineLevel="2">
      <c r="B1166" s="301" t="s">
        <v>2900</v>
      </c>
      <c r="C1166" s="315" t="s">
        <v>2901</v>
      </c>
      <c r="D1166" s="203" t="s">
        <v>33</v>
      </c>
      <c r="E1166" s="214">
        <v>1.0</v>
      </c>
      <c r="F1166" s="205">
        <v>280.0</v>
      </c>
      <c r="G1166" s="206">
        <f>F1166*E1166</f>
        <v>280</v>
      </c>
      <c r="H1166" s="219"/>
    </row>
    <row r="1167" ht="12.75" customHeight="1" outlineLevel="2">
      <c r="B1167" s="189"/>
      <c r="C1167" s="208"/>
      <c r="E1167" s="79"/>
      <c r="F1167" s="80"/>
      <c r="G1167" s="80"/>
      <c r="H1167" s="240"/>
    </row>
    <row r="1168" ht="12.75" customHeight="1" outlineLevel="2">
      <c r="B1168" s="301" t="s">
        <v>2902</v>
      </c>
      <c r="C1168" s="315" t="s">
        <v>2903</v>
      </c>
      <c r="D1168" s="203" t="s">
        <v>75</v>
      </c>
      <c r="E1168" s="214">
        <v>1.0</v>
      </c>
      <c r="F1168" s="205">
        <v>120.0</v>
      </c>
      <c r="G1168" s="206">
        <f>F1168*E1168</f>
        <v>120</v>
      </c>
      <c r="H1168" s="219"/>
    </row>
    <row r="1169" ht="12.75" customHeight="1" outlineLevel="2">
      <c r="B1169" s="189"/>
      <c r="C1169" s="208"/>
      <c r="E1169" s="79"/>
      <c r="F1169" s="80"/>
      <c r="G1169" s="80"/>
      <c r="H1169" s="240"/>
    </row>
    <row r="1170" ht="12.75" customHeight="1" outlineLevel="2">
      <c r="A1170" s="89" t="s">
        <v>1272</v>
      </c>
      <c r="B1170" s="319">
        <v>17.4</v>
      </c>
      <c r="C1170" s="316" t="s">
        <v>2904</v>
      </c>
      <c r="D1170" s="130"/>
      <c r="E1170" s="170"/>
      <c r="F1170" s="239"/>
      <c r="G1170" s="239"/>
      <c r="H1170" s="240"/>
    </row>
    <row r="1171" ht="12.75" customHeight="1" outlineLevel="2">
      <c r="B1171" s="189"/>
      <c r="C1171" s="208"/>
      <c r="E1171" s="79"/>
      <c r="F1171" s="80"/>
      <c r="G1171" s="80"/>
      <c r="H1171" s="240"/>
    </row>
    <row r="1172" ht="12.75" customHeight="1" outlineLevel="2">
      <c r="B1172" s="301" t="s">
        <v>2905</v>
      </c>
      <c r="C1172" s="315" t="s">
        <v>2906</v>
      </c>
      <c r="D1172" s="203" t="s">
        <v>33</v>
      </c>
      <c r="E1172" s="214">
        <v>1.0</v>
      </c>
      <c r="F1172" s="205">
        <v>7000.0</v>
      </c>
      <c r="G1172" s="206">
        <f t="shared" ref="G1172:G1181" si="53">F1172*E1172</f>
        <v>7000</v>
      </c>
      <c r="H1172" s="219"/>
    </row>
    <row r="1173" ht="12.75" customHeight="1" outlineLevel="2">
      <c r="B1173" s="301" t="s">
        <v>2907</v>
      </c>
      <c r="C1173" s="315" t="s">
        <v>2908</v>
      </c>
      <c r="D1173" s="203" t="s">
        <v>33</v>
      </c>
      <c r="E1173" s="214">
        <v>1.0</v>
      </c>
      <c r="F1173" s="205">
        <v>5000.0</v>
      </c>
      <c r="G1173" s="206">
        <f t="shared" si="53"/>
        <v>5000</v>
      </c>
      <c r="H1173" s="219"/>
    </row>
    <row r="1174" ht="12.75" customHeight="1" outlineLevel="2">
      <c r="B1174" s="301" t="s">
        <v>2909</v>
      </c>
      <c r="C1174" s="315" t="s">
        <v>2910</v>
      </c>
      <c r="D1174" s="203" t="s">
        <v>33</v>
      </c>
      <c r="E1174" s="214">
        <v>1.0</v>
      </c>
      <c r="F1174" s="205">
        <v>6400.0</v>
      </c>
      <c r="G1174" s="206">
        <f t="shared" si="53"/>
        <v>6400</v>
      </c>
      <c r="H1174" s="219"/>
    </row>
    <row r="1175" ht="12.75" customHeight="1" outlineLevel="2">
      <c r="B1175" s="301" t="s">
        <v>2911</v>
      </c>
      <c r="C1175" s="315" t="s">
        <v>2912</v>
      </c>
      <c r="D1175" s="203" t="s">
        <v>33</v>
      </c>
      <c r="E1175" s="214">
        <v>1.0</v>
      </c>
      <c r="F1175" s="205">
        <v>2200.0</v>
      </c>
      <c r="G1175" s="206">
        <f t="shared" si="53"/>
        <v>2200</v>
      </c>
      <c r="H1175" s="219"/>
    </row>
    <row r="1176" ht="12.75" customHeight="1" outlineLevel="2">
      <c r="B1176" s="301" t="s">
        <v>2913</v>
      </c>
      <c r="C1176" s="315" t="s">
        <v>2914</v>
      </c>
      <c r="D1176" s="203" t="s">
        <v>33</v>
      </c>
      <c r="E1176" s="214">
        <v>1.0</v>
      </c>
      <c r="F1176" s="205">
        <v>1300.0</v>
      </c>
      <c r="G1176" s="206">
        <f t="shared" si="53"/>
        <v>1300</v>
      </c>
      <c r="H1176" s="219"/>
    </row>
    <row r="1177" ht="12.75" customHeight="1" outlineLevel="2">
      <c r="B1177" s="301" t="s">
        <v>2915</v>
      </c>
      <c r="C1177" s="315" t="s">
        <v>2916</v>
      </c>
      <c r="D1177" s="203" t="s">
        <v>33</v>
      </c>
      <c r="E1177" s="214">
        <v>1.0</v>
      </c>
      <c r="F1177" s="205">
        <v>1300.0</v>
      </c>
      <c r="G1177" s="206">
        <f t="shared" si="53"/>
        <v>1300</v>
      </c>
      <c r="H1177" s="219"/>
    </row>
    <row r="1178" ht="12.75" customHeight="1" outlineLevel="2">
      <c r="B1178" s="301" t="s">
        <v>2917</v>
      </c>
      <c r="C1178" s="315" t="s">
        <v>2918</v>
      </c>
      <c r="D1178" s="203" t="s">
        <v>33</v>
      </c>
      <c r="E1178" s="214">
        <v>1.0</v>
      </c>
      <c r="F1178" s="205"/>
      <c r="G1178" s="206">
        <f t="shared" si="53"/>
        <v>0</v>
      </c>
      <c r="H1178" s="219"/>
    </row>
    <row r="1179" ht="12.75" customHeight="1" outlineLevel="2">
      <c r="B1179" s="301" t="s">
        <v>2919</v>
      </c>
      <c r="C1179" s="315" t="s">
        <v>2920</v>
      </c>
      <c r="D1179" s="203" t="s">
        <v>33</v>
      </c>
      <c r="E1179" s="214">
        <v>1.0</v>
      </c>
      <c r="F1179" s="205"/>
      <c r="G1179" s="206">
        <f t="shared" si="53"/>
        <v>0</v>
      </c>
      <c r="H1179" s="219"/>
    </row>
    <row r="1180" ht="12.75" customHeight="1" outlineLevel="2">
      <c r="B1180" s="301" t="s">
        <v>2921</v>
      </c>
      <c r="C1180" s="315" t="s">
        <v>2922</v>
      </c>
      <c r="D1180" s="203" t="s">
        <v>33</v>
      </c>
      <c r="E1180" s="214">
        <v>1.0</v>
      </c>
      <c r="F1180" s="205"/>
      <c r="G1180" s="206">
        <f t="shared" si="53"/>
        <v>0</v>
      </c>
      <c r="H1180" s="219"/>
    </row>
    <row r="1181" ht="12.75" customHeight="1" outlineLevel="2">
      <c r="B1181" s="301" t="s">
        <v>2923</v>
      </c>
      <c r="C1181" s="315" t="s">
        <v>2924</v>
      </c>
      <c r="D1181" s="203" t="s">
        <v>33</v>
      </c>
      <c r="E1181" s="214">
        <v>1.0</v>
      </c>
      <c r="F1181" s="205"/>
      <c r="G1181" s="206">
        <f t="shared" si="53"/>
        <v>0</v>
      </c>
      <c r="H1181" s="219"/>
    </row>
    <row r="1182" ht="12.75" customHeight="1" outlineLevel="2">
      <c r="B1182" s="189"/>
      <c r="C1182" s="208"/>
      <c r="E1182" s="79"/>
      <c r="F1182" s="80"/>
      <c r="G1182" s="80"/>
      <c r="H1182" s="240"/>
    </row>
    <row r="1183" ht="12.75" customHeight="1" outlineLevel="2">
      <c r="A1183" s="89" t="s">
        <v>1284</v>
      </c>
      <c r="B1183" s="189"/>
      <c r="C1183" s="184" t="s">
        <v>2925</v>
      </c>
      <c r="E1183" s="79"/>
      <c r="F1183" s="80"/>
      <c r="G1183" s="80"/>
      <c r="H1183" s="240"/>
    </row>
    <row r="1184" ht="12.75" customHeight="1" outlineLevel="2">
      <c r="B1184" s="189"/>
      <c r="C1184" s="208"/>
      <c r="E1184" s="79"/>
      <c r="F1184" s="80"/>
      <c r="G1184" s="80"/>
      <c r="H1184" s="240"/>
    </row>
    <row r="1185" ht="12.75" customHeight="1" outlineLevel="2">
      <c r="B1185" s="322">
        <v>17.5</v>
      </c>
      <c r="C1185" s="323" t="s">
        <v>2926</v>
      </c>
      <c r="E1185" s="79"/>
      <c r="F1185" s="80"/>
      <c r="G1185" s="80"/>
      <c r="H1185" s="240"/>
    </row>
    <row r="1186" ht="12.75" customHeight="1" outlineLevel="2">
      <c r="B1186" s="189"/>
      <c r="C1186" s="208"/>
      <c r="E1186" s="79"/>
      <c r="F1186" s="80"/>
      <c r="G1186" s="80"/>
      <c r="H1186" s="240"/>
    </row>
    <row r="1187" ht="12.75" customHeight="1" outlineLevel="2">
      <c r="B1187" s="301" t="s">
        <v>2927</v>
      </c>
      <c r="C1187" s="315" t="s">
        <v>2928</v>
      </c>
      <c r="D1187" s="203" t="s">
        <v>161</v>
      </c>
      <c r="E1187" s="214">
        <v>34.0</v>
      </c>
      <c r="F1187" s="205">
        <v>15.0</v>
      </c>
      <c r="G1187" s="206">
        <f t="shared" ref="G1187:G1206" si="54">F1187*E1187</f>
        <v>510</v>
      </c>
      <c r="H1187" s="219"/>
    </row>
    <row r="1188" ht="12.75" customHeight="1" outlineLevel="2">
      <c r="B1188" s="301" t="s">
        <v>2929</v>
      </c>
      <c r="C1188" s="315" t="s">
        <v>1288</v>
      </c>
      <c r="D1188" s="203" t="s">
        <v>161</v>
      </c>
      <c r="E1188" s="214">
        <v>12.0</v>
      </c>
      <c r="F1188" s="205">
        <v>9.0</v>
      </c>
      <c r="G1188" s="206">
        <f t="shared" si="54"/>
        <v>108</v>
      </c>
      <c r="H1188" s="219"/>
    </row>
    <row r="1189" ht="12.75" customHeight="1" outlineLevel="2">
      <c r="B1189" s="301" t="s">
        <v>2930</v>
      </c>
      <c r="C1189" s="315" t="s">
        <v>2931</v>
      </c>
      <c r="D1189" s="203" t="s">
        <v>161</v>
      </c>
      <c r="E1189" s="214">
        <v>33.0</v>
      </c>
      <c r="F1189" s="205">
        <v>7.0</v>
      </c>
      <c r="G1189" s="206">
        <f t="shared" si="54"/>
        <v>231</v>
      </c>
      <c r="H1189" s="219"/>
    </row>
    <row r="1190" ht="12.75" customHeight="1" outlineLevel="2">
      <c r="B1190" s="301" t="s">
        <v>2932</v>
      </c>
      <c r="C1190" s="315" t="s">
        <v>1290</v>
      </c>
      <c r="D1190" s="203" t="s">
        <v>161</v>
      </c>
      <c r="E1190" s="214">
        <v>9.0</v>
      </c>
      <c r="F1190" s="205">
        <v>20.0</v>
      </c>
      <c r="G1190" s="206">
        <f t="shared" si="54"/>
        <v>180</v>
      </c>
      <c r="H1190" s="219"/>
    </row>
    <row r="1191" ht="12.75" customHeight="1" outlineLevel="2">
      <c r="B1191" s="301" t="s">
        <v>2933</v>
      </c>
      <c r="C1191" s="315" t="s">
        <v>1291</v>
      </c>
      <c r="D1191" s="203" t="s">
        <v>161</v>
      </c>
      <c r="E1191" s="214">
        <v>59.0</v>
      </c>
      <c r="F1191" s="205">
        <v>8.0</v>
      </c>
      <c r="G1191" s="206">
        <f t="shared" si="54"/>
        <v>472</v>
      </c>
      <c r="H1191" s="219"/>
    </row>
    <row r="1192" ht="12.75" customHeight="1" outlineLevel="2">
      <c r="B1192" s="301" t="s">
        <v>2934</v>
      </c>
      <c r="C1192" s="315" t="s">
        <v>1292</v>
      </c>
      <c r="D1192" s="203" t="s">
        <v>161</v>
      </c>
      <c r="E1192" s="214">
        <v>33.0</v>
      </c>
      <c r="F1192" s="205">
        <v>8.0</v>
      </c>
      <c r="G1192" s="206">
        <f t="shared" si="54"/>
        <v>264</v>
      </c>
      <c r="H1192" s="219"/>
    </row>
    <row r="1193" ht="12.75" customHeight="1" outlineLevel="2">
      <c r="B1193" s="301" t="s">
        <v>2935</v>
      </c>
      <c r="C1193" s="315" t="s">
        <v>1293</v>
      </c>
      <c r="D1193" s="203" t="s">
        <v>161</v>
      </c>
      <c r="E1193" s="214">
        <v>30.0</v>
      </c>
      <c r="F1193" s="205">
        <v>8.0</v>
      </c>
      <c r="G1193" s="206">
        <f t="shared" si="54"/>
        <v>240</v>
      </c>
      <c r="H1193" s="219"/>
    </row>
    <row r="1194" ht="12.75" customHeight="1" outlineLevel="2">
      <c r="B1194" s="301" t="s">
        <v>2936</v>
      </c>
      <c r="C1194" s="315" t="s">
        <v>2937</v>
      </c>
      <c r="D1194" s="203" t="s">
        <v>161</v>
      </c>
      <c r="E1194" s="214">
        <v>13.0</v>
      </c>
      <c r="F1194" s="205">
        <v>8.0</v>
      </c>
      <c r="G1194" s="206">
        <f t="shared" si="54"/>
        <v>104</v>
      </c>
      <c r="H1194" s="219"/>
    </row>
    <row r="1195" ht="12.75" customHeight="1" outlineLevel="2">
      <c r="B1195" s="301" t="s">
        <v>2938</v>
      </c>
      <c r="C1195" s="315" t="s">
        <v>2939</v>
      </c>
      <c r="D1195" s="203" t="s">
        <v>161</v>
      </c>
      <c r="E1195" s="214">
        <v>35.0</v>
      </c>
      <c r="F1195" s="205">
        <v>8.0</v>
      </c>
      <c r="G1195" s="206">
        <f t="shared" si="54"/>
        <v>280</v>
      </c>
      <c r="H1195" s="219"/>
    </row>
    <row r="1196" ht="12.75" customHeight="1" outlineLevel="2">
      <c r="B1196" s="301" t="s">
        <v>2940</v>
      </c>
      <c r="C1196" s="315" t="s">
        <v>2941</v>
      </c>
      <c r="D1196" s="203" t="s">
        <v>161</v>
      </c>
      <c r="E1196" s="214">
        <v>30.0</v>
      </c>
      <c r="F1196" s="205">
        <v>8.0</v>
      </c>
      <c r="G1196" s="206">
        <f t="shared" si="54"/>
        <v>240</v>
      </c>
      <c r="H1196" s="219"/>
    </row>
    <row r="1197" ht="15.0" customHeight="1" outlineLevel="2">
      <c r="B1197" s="301" t="s">
        <v>2942</v>
      </c>
      <c r="C1197" s="315" t="s">
        <v>2943</v>
      </c>
      <c r="D1197" s="203" t="s">
        <v>161</v>
      </c>
      <c r="E1197" s="214">
        <v>10.0</v>
      </c>
      <c r="F1197" s="205">
        <v>0.0</v>
      </c>
      <c r="G1197" s="206">
        <f t="shared" si="54"/>
        <v>0</v>
      </c>
      <c r="H1197" s="206" t="s">
        <v>619</v>
      </c>
    </row>
    <row r="1198" ht="12.75" customHeight="1" outlineLevel="2">
      <c r="B1198" s="301" t="s">
        <v>2944</v>
      </c>
      <c r="C1198" s="315" t="s">
        <v>2945</v>
      </c>
      <c r="D1198" s="203" t="s">
        <v>161</v>
      </c>
      <c r="E1198" s="214">
        <v>10.0</v>
      </c>
      <c r="F1198" s="205">
        <v>0.0</v>
      </c>
      <c r="G1198" s="206">
        <f t="shared" si="54"/>
        <v>0</v>
      </c>
      <c r="H1198" s="206" t="s">
        <v>619</v>
      </c>
    </row>
    <row r="1199" ht="12.75" customHeight="1" outlineLevel="2">
      <c r="B1199" s="301" t="s">
        <v>2946</v>
      </c>
      <c r="C1199" s="315" t="s">
        <v>2947</v>
      </c>
      <c r="D1199" s="203" t="s">
        <v>161</v>
      </c>
      <c r="E1199" s="214">
        <v>10.0</v>
      </c>
      <c r="F1199" s="205">
        <v>0.0</v>
      </c>
      <c r="G1199" s="206">
        <f t="shared" si="54"/>
        <v>0</v>
      </c>
      <c r="H1199" s="206" t="s">
        <v>619</v>
      </c>
    </row>
    <row r="1200" ht="12.75" customHeight="1" outlineLevel="2">
      <c r="B1200" s="301" t="s">
        <v>2948</v>
      </c>
      <c r="C1200" s="315" t="s">
        <v>2949</v>
      </c>
      <c r="D1200" s="203" t="s">
        <v>161</v>
      </c>
      <c r="E1200" s="214">
        <v>10.0</v>
      </c>
      <c r="F1200" s="205">
        <v>0.0</v>
      </c>
      <c r="G1200" s="206">
        <f t="shared" si="54"/>
        <v>0</v>
      </c>
      <c r="H1200" s="206" t="s">
        <v>619</v>
      </c>
    </row>
    <row r="1201" ht="12.75" customHeight="1" outlineLevel="2">
      <c r="B1201" s="301" t="s">
        <v>2950</v>
      </c>
      <c r="C1201" s="315" t="s">
        <v>2951</v>
      </c>
      <c r="D1201" s="203" t="s">
        <v>161</v>
      </c>
      <c r="E1201" s="214">
        <v>13.0</v>
      </c>
      <c r="F1201" s="205">
        <v>6.0</v>
      </c>
      <c r="G1201" s="206">
        <f t="shared" si="54"/>
        <v>78</v>
      </c>
      <c r="H1201" s="219"/>
    </row>
    <row r="1202" ht="12.75" customHeight="1" outlineLevel="2">
      <c r="B1202" s="301" t="s">
        <v>2952</v>
      </c>
      <c r="C1202" s="315" t="s">
        <v>2953</v>
      </c>
      <c r="D1202" s="203" t="s">
        <v>161</v>
      </c>
      <c r="E1202" s="214">
        <v>10.0</v>
      </c>
      <c r="F1202" s="205">
        <v>0.0</v>
      </c>
      <c r="G1202" s="206">
        <f t="shared" si="54"/>
        <v>0</v>
      </c>
      <c r="H1202" s="206" t="s">
        <v>619</v>
      </c>
    </row>
    <row r="1203" ht="12.75" customHeight="1" outlineLevel="2">
      <c r="B1203" s="301" t="s">
        <v>2954</v>
      </c>
      <c r="C1203" s="315" t="s">
        <v>2955</v>
      </c>
      <c r="D1203" s="203" t="s">
        <v>161</v>
      </c>
      <c r="E1203" s="214">
        <v>13.0</v>
      </c>
      <c r="F1203" s="205">
        <v>0.0</v>
      </c>
      <c r="G1203" s="206">
        <f t="shared" si="54"/>
        <v>0</v>
      </c>
      <c r="H1203" s="206" t="s">
        <v>619</v>
      </c>
    </row>
    <row r="1204" ht="12.75" customHeight="1" outlineLevel="2">
      <c r="B1204" s="301" t="s">
        <v>2956</v>
      </c>
      <c r="C1204" s="315" t="s">
        <v>2957</v>
      </c>
      <c r="D1204" s="203" t="s">
        <v>161</v>
      </c>
      <c r="E1204" s="214">
        <v>13.0</v>
      </c>
      <c r="F1204" s="205">
        <v>0.0</v>
      </c>
      <c r="G1204" s="206">
        <f t="shared" si="54"/>
        <v>0</v>
      </c>
      <c r="H1204" s="206" t="s">
        <v>619</v>
      </c>
    </row>
    <row r="1205" ht="12.75" customHeight="1" outlineLevel="2">
      <c r="B1205" s="301" t="s">
        <v>2958</v>
      </c>
      <c r="C1205" s="315" t="s">
        <v>2959</v>
      </c>
      <c r="D1205" s="203" t="s">
        <v>161</v>
      </c>
      <c r="E1205" s="214">
        <v>13.0</v>
      </c>
      <c r="F1205" s="205">
        <v>0.0</v>
      </c>
      <c r="G1205" s="206">
        <f t="shared" si="54"/>
        <v>0</v>
      </c>
      <c r="H1205" s="206" t="s">
        <v>619</v>
      </c>
    </row>
    <row r="1206" ht="12.75" customHeight="1" outlineLevel="2">
      <c r="B1206" s="301" t="s">
        <v>2960</v>
      </c>
      <c r="C1206" s="315" t="s">
        <v>2961</v>
      </c>
      <c r="D1206" s="203" t="s">
        <v>161</v>
      </c>
      <c r="E1206" s="214">
        <v>13.0</v>
      </c>
      <c r="F1206" s="205">
        <v>0.0</v>
      </c>
      <c r="G1206" s="206">
        <f t="shared" si="54"/>
        <v>0</v>
      </c>
      <c r="H1206" s="206" t="s">
        <v>619</v>
      </c>
    </row>
    <row r="1207" ht="12.75" customHeight="1" outlineLevel="2">
      <c r="B1207" s="189"/>
      <c r="C1207" s="208"/>
      <c r="E1207" s="79"/>
      <c r="F1207" s="80"/>
      <c r="G1207" s="206"/>
      <c r="H1207" s="240"/>
    </row>
    <row r="1208" ht="12.75" customHeight="1" outlineLevel="2">
      <c r="B1208" s="301" t="s">
        <v>2962</v>
      </c>
      <c r="C1208" s="315" t="s">
        <v>2963</v>
      </c>
      <c r="D1208" s="203"/>
      <c r="E1208" s="214"/>
      <c r="F1208" s="205"/>
      <c r="G1208" s="206"/>
      <c r="H1208" s="219"/>
    </row>
    <row r="1209" ht="12.75" customHeight="1" outlineLevel="2">
      <c r="B1209" s="189"/>
      <c r="C1209" s="208"/>
      <c r="E1209" s="79"/>
      <c r="F1209" s="80"/>
      <c r="G1209" s="206"/>
      <c r="H1209" s="240"/>
    </row>
    <row r="1210" ht="12.75" customHeight="1" outlineLevel="2">
      <c r="B1210" s="301" t="s">
        <v>2964</v>
      </c>
      <c r="C1210" s="315" t="s">
        <v>2965</v>
      </c>
      <c r="D1210" s="203" t="s">
        <v>161</v>
      </c>
      <c r="E1210" s="214">
        <v>7.0</v>
      </c>
      <c r="F1210" s="205">
        <v>7.0</v>
      </c>
      <c r="G1210" s="206">
        <f t="shared" ref="G1210:G1216" si="55">F1210*E1210</f>
        <v>49</v>
      </c>
      <c r="H1210" s="219"/>
    </row>
    <row r="1211" ht="12.75" customHeight="1" outlineLevel="2">
      <c r="B1211" s="301" t="s">
        <v>2966</v>
      </c>
      <c r="C1211" s="315" t="s">
        <v>2967</v>
      </c>
      <c r="D1211" s="203" t="s">
        <v>161</v>
      </c>
      <c r="E1211" s="214">
        <v>550.0</v>
      </c>
      <c r="F1211" s="205">
        <v>4.0</v>
      </c>
      <c r="G1211" s="206">
        <f t="shared" si="55"/>
        <v>2200</v>
      </c>
      <c r="H1211" s="219"/>
    </row>
    <row r="1212" ht="12.75" customHeight="1" outlineLevel="2">
      <c r="B1212" s="301" t="s">
        <v>2968</v>
      </c>
      <c r="C1212" s="315" t="s">
        <v>2969</v>
      </c>
      <c r="D1212" s="203" t="s">
        <v>161</v>
      </c>
      <c r="E1212" s="214">
        <v>64.0</v>
      </c>
      <c r="F1212" s="205">
        <v>3.0</v>
      </c>
      <c r="G1212" s="206">
        <f t="shared" si="55"/>
        <v>192</v>
      </c>
      <c r="H1212" s="219"/>
    </row>
    <row r="1213" ht="12.75" customHeight="1" outlineLevel="2">
      <c r="B1213" s="301" t="s">
        <v>2970</v>
      </c>
      <c r="C1213" s="315" t="s">
        <v>2971</v>
      </c>
      <c r="D1213" s="203" t="s">
        <v>161</v>
      </c>
      <c r="E1213" s="214">
        <v>169.0</v>
      </c>
      <c r="F1213" s="205">
        <v>3.0</v>
      </c>
      <c r="G1213" s="206">
        <f t="shared" si="55"/>
        <v>507</v>
      </c>
      <c r="H1213" s="219"/>
    </row>
    <row r="1214" ht="12.75" customHeight="1" outlineLevel="2">
      <c r="B1214" s="301" t="s">
        <v>2972</v>
      </c>
      <c r="C1214" s="315" t="s">
        <v>2973</v>
      </c>
      <c r="D1214" s="203" t="s">
        <v>161</v>
      </c>
      <c r="E1214" s="214">
        <v>98.0</v>
      </c>
      <c r="F1214" s="205">
        <v>2.5</v>
      </c>
      <c r="G1214" s="206">
        <f t="shared" si="55"/>
        <v>245</v>
      </c>
      <c r="H1214" s="219"/>
    </row>
    <row r="1215" ht="12.75" customHeight="1" outlineLevel="2">
      <c r="B1215" s="301" t="s">
        <v>2974</v>
      </c>
      <c r="C1215" s="315" t="s">
        <v>2975</v>
      </c>
      <c r="D1215" s="203" t="s">
        <v>161</v>
      </c>
      <c r="E1215" s="214">
        <v>25.0</v>
      </c>
      <c r="F1215" s="205">
        <v>1.0</v>
      </c>
      <c r="G1215" s="206">
        <f t="shared" si="55"/>
        <v>25</v>
      </c>
      <c r="H1215" s="219"/>
    </row>
    <row r="1216" ht="12.75" customHeight="1" outlineLevel="2">
      <c r="B1216" s="301" t="s">
        <v>2976</v>
      </c>
      <c r="C1216" s="315" t="s">
        <v>2977</v>
      </c>
      <c r="D1216" s="203" t="s">
        <v>161</v>
      </c>
      <c r="E1216" s="214">
        <v>75.0</v>
      </c>
      <c r="F1216" s="205">
        <v>3.0</v>
      </c>
      <c r="G1216" s="206">
        <f t="shared" si="55"/>
        <v>225</v>
      </c>
      <c r="H1216" s="219"/>
    </row>
    <row r="1217" ht="12.75" customHeight="1" outlineLevel="2">
      <c r="B1217" s="189"/>
      <c r="C1217" s="208"/>
      <c r="E1217" s="79"/>
      <c r="F1217" s="80"/>
      <c r="G1217" s="80"/>
      <c r="H1217" s="240"/>
    </row>
    <row r="1218" ht="12.75" customHeight="1" outlineLevel="2">
      <c r="B1218" s="324">
        <v>17.7</v>
      </c>
      <c r="C1218" s="323" t="s">
        <v>2702</v>
      </c>
      <c r="E1218" s="79"/>
      <c r="F1218" s="80"/>
      <c r="G1218" s="80"/>
      <c r="H1218" s="240"/>
    </row>
    <row r="1219" ht="12.75" customHeight="1" outlineLevel="2">
      <c r="B1219" s="189"/>
      <c r="C1219" s="208"/>
      <c r="E1219" s="79"/>
      <c r="F1219" s="80"/>
      <c r="G1219" s="80"/>
      <c r="H1219" s="240"/>
    </row>
    <row r="1220" ht="12.75" customHeight="1" outlineLevel="2">
      <c r="B1220" s="301" t="s">
        <v>2978</v>
      </c>
      <c r="C1220" s="315" t="s">
        <v>2979</v>
      </c>
      <c r="D1220" s="203" t="s">
        <v>75</v>
      </c>
      <c r="E1220" s="214">
        <v>13.0</v>
      </c>
      <c r="F1220" s="205">
        <v>200.0</v>
      </c>
      <c r="G1220" s="206">
        <f>F1220*E1220</f>
        <v>2600</v>
      </c>
      <c r="H1220" s="219"/>
    </row>
    <row r="1221" ht="12.75" customHeight="1" outlineLevel="2">
      <c r="B1221" s="189"/>
      <c r="C1221" s="208"/>
      <c r="E1221" s="79"/>
      <c r="F1221" s="80"/>
      <c r="G1221" s="80"/>
      <c r="H1221" s="240"/>
    </row>
    <row r="1222" ht="12.75" customHeight="1" outlineLevel="2">
      <c r="A1222" s="89" t="s">
        <v>1315</v>
      </c>
      <c r="B1222" s="189"/>
      <c r="C1222" s="184" t="s">
        <v>2980</v>
      </c>
      <c r="E1222" s="79"/>
      <c r="F1222" s="80"/>
      <c r="G1222" s="80"/>
      <c r="H1222" s="240"/>
    </row>
    <row r="1223" ht="12.75" customHeight="1" outlineLevel="2">
      <c r="B1223" s="189"/>
      <c r="C1223" s="208"/>
      <c r="E1223" s="79"/>
      <c r="F1223" s="80"/>
      <c r="G1223" s="80"/>
      <c r="H1223" s="240"/>
    </row>
    <row r="1224" ht="12.75" customHeight="1" outlineLevel="2">
      <c r="B1224" s="324">
        <v>17.8</v>
      </c>
      <c r="C1224" s="323" t="s">
        <v>2981</v>
      </c>
      <c r="E1224" s="79"/>
      <c r="F1224" s="80"/>
      <c r="G1224" s="80"/>
      <c r="H1224" s="240"/>
    </row>
    <row r="1225" ht="12.75" customHeight="1" outlineLevel="2">
      <c r="B1225" s="189"/>
      <c r="C1225" s="208"/>
      <c r="E1225" s="79"/>
      <c r="F1225" s="80"/>
      <c r="G1225" s="80"/>
      <c r="H1225" s="240"/>
    </row>
    <row r="1226" ht="12.75" customHeight="1" outlineLevel="2">
      <c r="B1226" s="301" t="s">
        <v>2982</v>
      </c>
      <c r="C1226" s="315" t="s">
        <v>2983</v>
      </c>
      <c r="D1226" s="203" t="s">
        <v>75</v>
      </c>
      <c r="E1226" s="214">
        <v>1.0</v>
      </c>
      <c r="F1226" s="205">
        <v>100.0</v>
      </c>
      <c r="G1226" s="206">
        <f t="shared" ref="G1226:G1232" si="56">F1226*E1226</f>
        <v>100</v>
      </c>
      <c r="H1226" s="219"/>
    </row>
    <row r="1227" ht="12.75" customHeight="1" outlineLevel="2">
      <c r="B1227" s="301" t="s">
        <v>2984</v>
      </c>
      <c r="C1227" s="315" t="s">
        <v>2985</v>
      </c>
      <c r="D1227" s="203" t="s">
        <v>161</v>
      </c>
      <c r="E1227" s="214">
        <v>13.0</v>
      </c>
      <c r="F1227" s="205">
        <v>7.0</v>
      </c>
      <c r="G1227" s="206">
        <f t="shared" si="56"/>
        <v>91</v>
      </c>
      <c r="H1227" s="219"/>
    </row>
    <row r="1228" ht="12.75" customHeight="1" outlineLevel="2">
      <c r="B1228" s="301" t="s">
        <v>2986</v>
      </c>
      <c r="C1228" s="315" t="s">
        <v>2987</v>
      </c>
      <c r="D1228" s="203" t="s">
        <v>75</v>
      </c>
      <c r="E1228" s="214">
        <v>3.0</v>
      </c>
      <c r="F1228" s="205">
        <v>50.0</v>
      </c>
      <c r="G1228" s="206">
        <f t="shared" si="56"/>
        <v>150</v>
      </c>
      <c r="H1228" s="219"/>
    </row>
    <row r="1229" ht="12.75" customHeight="1" outlineLevel="2">
      <c r="B1229" s="301" t="s">
        <v>2988</v>
      </c>
      <c r="C1229" s="315" t="s">
        <v>2989</v>
      </c>
      <c r="D1229" s="203" t="s">
        <v>161</v>
      </c>
      <c r="E1229" s="214">
        <v>13.0</v>
      </c>
      <c r="F1229" s="205">
        <v>2.5</v>
      </c>
      <c r="G1229" s="206">
        <f t="shared" si="56"/>
        <v>32.5</v>
      </c>
      <c r="H1229" s="219"/>
    </row>
    <row r="1230" ht="12.75" customHeight="1" outlineLevel="2">
      <c r="B1230" s="301" t="s">
        <v>2990</v>
      </c>
      <c r="C1230" s="315" t="s">
        <v>2991</v>
      </c>
      <c r="D1230" s="203" t="s">
        <v>161</v>
      </c>
      <c r="E1230" s="214">
        <v>7.0</v>
      </c>
      <c r="F1230" s="205">
        <v>4.0</v>
      </c>
      <c r="G1230" s="206">
        <f t="shared" si="56"/>
        <v>28</v>
      </c>
      <c r="H1230" s="219"/>
    </row>
    <row r="1231" ht="12.75" customHeight="1" outlineLevel="2">
      <c r="B1231" s="301" t="s">
        <v>2992</v>
      </c>
      <c r="C1231" s="315" t="s">
        <v>2993</v>
      </c>
      <c r="D1231" s="203" t="s">
        <v>161</v>
      </c>
      <c r="E1231" s="214">
        <v>63.0</v>
      </c>
      <c r="F1231" s="205">
        <v>1.0</v>
      </c>
      <c r="G1231" s="206">
        <f t="shared" si="56"/>
        <v>63</v>
      </c>
      <c r="H1231" s="219"/>
    </row>
    <row r="1232" ht="12.75" customHeight="1" outlineLevel="2">
      <c r="B1232" s="301" t="s">
        <v>2994</v>
      </c>
      <c r="C1232" s="315" t="s">
        <v>1324</v>
      </c>
      <c r="D1232" s="203" t="s">
        <v>161</v>
      </c>
      <c r="E1232" s="214">
        <v>63.0</v>
      </c>
      <c r="F1232" s="205">
        <v>2.0</v>
      </c>
      <c r="G1232" s="206">
        <f t="shared" si="56"/>
        <v>126</v>
      </c>
      <c r="H1232" s="219"/>
    </row>
    <row r="1233" ht="12.75" customHeight="1" outlineLevel="2">
      <c r="B1233" s="189"/>
      <c r="C1233" s="208"/>
      <c r="E1233" s="79"/>
      <c r="F1233" s="80"/>
      <c r="G1233" s="80"/>
      <c r="H1233" s="240"/>
    </row>
    <row r="1234" ht="12.75" customHeight="1" outlineLevel="2">
      <c r="A1234" s="89" t="s">
        <v>1325</v>
      </c>
      <c r="B1234" s="324">
        <v>17.9</v>
      </c>
      <c r="C1234" s="323" t="s">
        <v>2995</v>
      </c>
      <c r="E1234" s="79"/>
      <c r="F1234" s="80"/>
      <c r="G1234" s="80"/>
      <c r="H1234" s="240"/>
    </row>
    <row r="1235" ht="12.75" customHeight="1" outlineLevel="2">
      <c r="B1235" s="189"/>
      <c r="C1235" s="208"/>
      <c r="E1235" s="79"/>
      <c r="F1235" s="80"/>
      <c r="G1235" s="80"/>
      <c r="H1235" s="240"/>
    </row>
    <row r="1236" ht="12.75" customHeight="1" outlineLevel="2">
      <c r="B1236" s="301" t="s">
        <v>2996</v>
      </c>
      <c r="C1236" s="315" t="s">
        <v>2997</v>
      </c>
      <c r="D1236" s="203" t="s">
        <v>161</v>
      </c>
      <c r="E1236" s="214">
        <v>290.0</v>
      </c>
      <c r="F1236" s="205">
        <v>2.0</v>
      </c>
      <c r="G1236" s="206">
        <f t="shared" ref="G1236:G1240" si="57">F1236*E1236</f>
        <v>580</v>
      </c>
      <c r="H1236" s="219"/>
    </row>
    <row r="1237" ht="12.75" customHeight="1" outlineLevel="2">
      <c r="B1237" s="301" t="s">
        <v>2998</v>
      </c>
      <c r="C1237" s="315" t="s">
        <v>2999</v>
      </c>
      <c r="D1237" s="203" t="s">
        <v>161</v>
      </c>
      <c r="E1237" s="214">
        <v>19.0</v>
      </c>
      <c r="F1237" s="205">
        <v>3.0</v>
      </c>
      <c r="G1237" s="206">
        <f t="shared" si="57"/>
        <v>57</v>
      </c>
      <c r="H1237" s="219"/>
    </row>
    <row r="1238" ht="12.75" customHeight="1" outlineLevel="2">
      <c r="B1238" s="301" t="s">
        <v>3000</v>
      </c>
      <c r="C1238" s="315" t="s">
        <v>3001</v>
      </c>
      <c r="D1238" s="203" t="s">
        <v>161</v>
      </c>
      <c r="E1238" s="214">
        <v>290.0</v>
      </c>
      <c r="F1238" s="205">
        <v>1.6</v>
      </c>
      <c r="G1238" s="206">
        <f t="shared" si="57"/>
        <v>464</v>
      </c>
      <c r="H1238" s="219"/>
    </row>
    <row r="1239" ht="12.75" customHeight="1" outlineLevel="2">
      <c r="B1239" s="301" t="s">
        <v>3002</v>
      </c>
      <c r="C1239" s="315" t="s">
        <v>3003</v>
      </c>
      <c r="D1239" s="203" t="s">
        <v>161</v>
      </c>
      <c r="E1239" s="214">
        <v>19.0</v>
      </c>
      <c r="F1239" s="205">
        <v>2.1</v>
      </c>
      <c r="G1239" s="206">
        <f t="shared" si="57"/>
        <v>39.9</v>
      </c>
      <c r="H1239" s="219"/>
    </row>
    <row r="1240" ht="12.75" customHeight="1" outlineLevel="2">
      <c r="B1240" s="301" t="s">
        <v>3004</v>
      </c>
      <c r="C1240" s="315" t="s">
        <v>3005</v>
      </c>
      <c r="D1240" s="203" t="s">
        <v>75</v>
      </c>
      <c r="E1240" s="214">
        <v>12.0</v>
      </c>
      <c r="F1240" s="205">
        <v>1.5</v>
      </c>
      <c r="G1240" s="206">
        <f t="shared" si="57"/>
        <v>18</v>
      </c>
      <c r="H1240" s="219"/>
    </row>
    <row r="1241" ht="12.75" customHeight="1" outlineLevel="2">
      <c r="B1241" s="189"/>
      <c r="C1241" s="208"/>
      <c r="E1241" s="79"/>
      <c r="F1241" s="80"/>
      <c r="G1241" s="80"/>
      <c r="H1241" s="240"/>
    </row>
    <row r="1242" ht="12.75" customHeight="1" outlineLevel="1">
      <c r="A1242" s="89" t="s">
        <v>1332</v>
      </c>
      <c r="B1242" s="305"/>
      <c r="C1242" s="184" t="s">
        <v>3006</v>
      </c>
      <c r="E1242" s="79"/>
      <c r="F1242" s="80"/>
      <c r="G1242" s="80"/>
      <c r="H1242" s="240"/>
    </row>
    <row r="1243" ht="12.75" customHeight="1" outlineLevel="2">
      <c r="B1243" s="189"/>
      <c r="C1243" s="208"/>
      <c r="E1243" s="79"/>
      <c r="F1243" s="80"/>
      <c r="G1243" s="80"/>
      <c r="H1243" s="240"/>
    </row>
    <row r="1244" ht="12.75" customHeight="1" outlineLevel="2">
      <c r="B1244" s="325" t="s">
        <v>3007</v>
      </c>
      <c r="C1244" s="323" t="s">
        <v>3008</v>
      </c>
      <c r="E1244" s="79"/>
      <c r="F1244" s="80"/>
      <c r="G1244" s="80"/>
      <c r="H1244" s="240"/>
    </row>
    <row r="1245" ht="12.75" customHeight="1" outlineLevel="2">
      <c r="B1245" s="189"/>
      <c r="C1245" s="208"/>
      <c r="E1245" s="79"/>
      <c r="F1245" s="80"/>
      <c r="G1245" s="80"/>
      <c r="H1245" s="240"/>
    </row>
    <row r="1246" ht="12.75" customHeight="1" outlineLevel="2">
      <c r="B1246" s="301" t="s">
        <v>3009</v>
      </c>
      <c r="C1246" s="315" t="s">
        <v>3010</v>
      </c>
      <c r="D1246" s="203" t="s">
        <v>161</v>
      </c>
      <c r="E1246" s="214">
        <v>732.0</v>
      </c>
      <c r="F1246" s="205">
        <v>3.0</v>
      </c>
      <c r="G1246" s="206">
        <f t="shared" ref="G1246:G1249" si="58">F1246*E1246</f>
        <v>2196</v>
      </c>
      <c r="H1246" s="219"/>
    </row>
    <row r="1247" ht="12.75" customHeight="1" outlineLevel="2">
      <c r="B1247" s="301" t="s">
        <v>3011</v>
      </c>
      <c r="C1247" s="315" t="s">
        <v>3012</v>
      </c>
      <c r="D1247" s="203" t="s">
        <v>161</v>
      </c>
      <c r="E1247" s="214">
        <v>780.0</v>
      </c>
      <c r="F1247" s="205">
        <v>3.0</v>
      </c>
      <c r="G1247" s="206">
        <f t="shared" si="58"/>
        <v>2340</v>
      </c>
      <c r="H1247" s="219"/>
    </row>
    <row r="1248" ht="12.75" customHeight="1" outlineLevel="2">
      <c r="B1248" s="301" t="s">
        <v>3013</v>
      </c>
      <c r="C1248" s="315" t="s">
        <v>3014</v>
      </c>
      <c r="D1248" s="203" t="s">
        <v>161</v>
      </c>
      <c r="E1248" s="214">
        <v>40.0</v>
      </c>
      <c r="F1248" s="205">
        <v>3.2</v>
      </c>
      <c r="G1248" s="206">
        <f t="shared" si="58"/>
        <v>128</v>
      </c>
      <c r="H1248" s="219"/>
    </row>
    <row r="1249" ht="12.75" customHeight="1" outlineLevel="2">
      <c r="B1249" s="301" t="s">
        <v>3015</v>
      </c>
      <c r="C1249" s="315" t="s">
        <v>3016</v>
      </c>
      <c r="D1249" s="203" t="s">
        <v>161</v>
      </c>
      <c r="E1249" s="214">
        <v>33.0</v>
      </c>
      <c r="F1249" s="205">
        <v>5.0</v>
      </c>
      <c r="G1249" s="206">
        <f t="shared" si="58"/>
        <v>165</v>
      </c>
      <c r="H1249" s="219"/>
    </row>
    <row r="1250" ht="12.75" customHeight="1" outlineLevel="2">
      <c r="B1250" s="189"/>
      <c r="C1250" s="208"/>
      <c r="E1250" s="79"/>
      <c r="F1250" s="80"/>
      <c r="G1250" s="80"/>
      <c r="H1250" s="240"/>
    </row>
    <row r="1251" ht="12.75" customHeight="1" outlineLevel="2">
      <c r="B1251" s="322">
        <v>17.11</v>
      </c>
      <c r="C1251" s="326" t="s">
        <v>3017</v>
      </c>
      <c r="E1251" s="79"/>
      <c r="F1251" s="80"/>
      <c r="G1251" s="80"/>
      <c r="H1251" s="240"/>
    </row>
    <row r="1252" ht="12.75" customHeight="1" outlineLevel="2">
      <c r="B1252" s="189"/>
      <c r="C1252" s="208"/>
      <c r="E1252" s="79"/>
      <c r="F1252" s="80"/>
      <c r="G1252" s="80"/>
      <c r="H1252" s="240"/>
    </row>
    <row r="1253" ht="12.75" customHeight="1" outlineLevel="2">
      <c r="B1253" s="301" t="s">
        <v>3018</v>
      </c>
      <c r="C1253" s="315" t="s">
        <v>3001</v>
      </c>
      <c r="D1253" s="203" t="s">
        <v>161</v>
      </c>
      <c r="E1253" s="214">
        <v>1552.0</v>
      </c>
      <c r="F1253" s="205">
        <v>1.6</v>
      </c>
      <c r="G1253" s="206">
        <f t="shared" ref="G1253:G1254" si="59">F1253*E1253</f>
        <v>2483.2</v>
      </c>
      <c r="H1253" s="219"/>
    </row>
    <row r="1254" ht="12.75" customHeight="1" outlineLevel="2">
      <c r="B1254" s="301" t="s">
        <v>3019</v>
      </c>
      <c r="C1254" s="315" t="s">
        <v>3003</v>
      </c>
      <c r="D1254" s="203" t="s">
        <v>161</v>
      </c>
      <c r="E1254" s="214">
        <v>33.0</v>
      </c>
      <c r="F1254" s="205">
        <v>2.1</v>
      </c>
      <c r="G1254" s="206">
        <f t="shared" si="59"/>
        <v>69.3</v>
      </c>
      <c r="H1254" s="219"/>
    </row>
    <row r="1255" ht="12.75" customHeight="1" outlineLevel="2">
      <c r="B1255" s="189"/>
      <c r="C1255" s="208"/>
      <c r="E1255" s="79"/>
      <c r="F1255" s="80"/>
      <c r="G1255" s="80"/>
      <c r="H1255" s="240"/>
    </row>
    <row r="1256" ht="12.75" customHeight="1" outlineLevel="2">
      <c r="B1256" s="324">
        <v>17.12</v>
      </c>
      <c r="C1256" s="323" t="s">
        <v>3020</v>
      </c>
      <c r="E1256" s="79"/>
      <c r="F1256" s="80"/>
      <c r="G1256" s="80"/>
      <c r="H1256" s="240"/>
    </row>
    <row r="1257" ht="12.75" customHeight="1" outlineLevel="2">
      <c r="B1257" s="189"/>
      <c r="C1257" s="208"/>
      <c r="E1257" s="79"/>
      <c r="F1257" s="80"/>
      <c r="G1257" s="80"/>
      <c r="H1257" s="240"/>
    </row>
    <row r="1258" ht="12.75" customHeight="1" outlineLevel="2">
      <c r="B1258" s="301" t="s">
        <v>3021</v>
      </c>
      <c r="C1258" s="315" t="s">
        <v>3022</v>
      </c>
      <c r="D1258" s="203" t="s">
        <v>75</v>
      </c>
      <c r="E1258" s="214">
        <v>160.0</v>
      </c>
      <c r="F1258" s="205">
        <v>2.3</v>
      </c>
      <c r="G1258" s="206">
        <f>F1258*E1258</f>
        <v>368</v>
      </c>
      <c r="H1258" s="219"/>
    </row>
    <row r="1259" ht="12.75" customHeight="1" outlineLevel="2">
      <c r="B1259" s="189"/>
      <c r="C1259" s="208"/>
      <c r="E1259" s="79"/>
      <c r="F1259" s="80"/>
      <c r="G1259" s="80"/>
      <c r="H1259" s="240"/>
    </row>
    <row r="1260" ht="12.75" customHeight="1" outlineLevel="2">
      <c r="B1260" s="324">
        <v>17.13</v>
      </c>
      <c r="C1260" s="323" t="s">
        <v>3023</v>
      </c>
      <c r="E1260" s="79"/>
      <c r="F1260" s="80"/>
      <c r="G1260" s="80"/>
      <c r="H1260" s="240"/>
    </row>
    <row r="1261" ht="12.75" customHeight="1" outlineLevel="2">
      <c r="B1261" s="189"/>
      <c r="C1261" s="208"/>
      <c r="E1261" s="79"/>
      <c r="F1261" s="80"/>
      <c r="G1261" s="80"/>
      <c r="H1261" s="240"/>
    </row>
    <row r="1262" ht="12.75" customHeight="1" outlineLevel="2">
      <c r="B1262" s="301" t="s">
        <v>3024</v>
      </c>
      <c r="C1262" s="315" t="s">
        <v>3025</v>
      </c>
      <c r="D1262" s="203" t="s">
        <v>75</v>
      </c>
      <c r="E1262" s="214">
        <v>21.0</v>
      </c>
      <c r="F1262" s="205">
        <v>30.0</v>
      </c>
      <c r="G1262" s="206">
        <f t="shared" ref="G1262:G1270" si="60">F1262*E1262</f>
        <v>630</v>
      </c>
      <c r="H1262" s="219"/>
    </row>
    <row r="1263" ht="12.75" customHeight="1" outlineLevel="2">
      <c r="B1263" s="301" t="s">
        <v>3026</v>
      </c>
      <c r="C1263" s="315" t="s">
        <v>3027</v>
      </c>
      <c r="D1263" s="203" t="s">
        <v>75</v>
      </c>
      <c r="E1263" s="214">
        <v>41.0</v>
      </c>
      <c r="F1263" s="205">
        <v>55.0</v>
      </c>
      <c r="G1263" s="206">
        <f t="shared" si="60"/>
        <v>2255</v>
      </c>
      <c r="H1263" s="219"/>
    </row>
    <row r="1264" ht="12.75" customHeight="1" outlineLevel="2">
      <c r="B1264" s="301" t="s">
        <v>3028</v>
      </c>
      <c r="C1264" s="315" t="s">
        <v>3029</v>
      </c>
      <c r="D1264" s="203" t="s">
        <v>75</v>
      </c>
      <c r="E1264" s="214">
        <v>8.0</v>
      </c>
      <c r="F1264" s="205">
        <v>150.0</v>
      </c>
      <c r="G1264" s="206">
        <f t="shared" si="60"/>
        <v>1200</v>
      </c>
      <c r="H1264" s="219"/>
    </row>
    <row r="1265" ht="12.75" customHeight="1" outlineLevel="2">
      <c r="B1265" s="301" t="s">
        <v>3030</v>
      </c>
      <c r="C1265" s="315" t="s">
        <v>3031</v>
      </c>
      <c r="D1265" s="203" t="s">
        <v>75</v>
      </c>
      <c r="E1265" s="214">
        <v>9.0</v>
      </c>
      <c r="F1265" s="205">
        <v>350.0</v>
      </c>
      <c r="G1265" s="206">
        <f t="shared" si="60"/>
        <v>3150</v>
      </c>
      <c r="H1265" s="219"/>
    </row>
    <row r="1266" ht="12.75" customHeight="1" outlineLevel="2">
      <c r="B1266" s="301" t="s">
        <v>3032</v>
      </c>
      <c r="C1266" s="315" t="s">
        <v>3033</v>
      </c>
      <c r="D1266" s="203" t="s">
        <v>75</v>
      </c>
      <c r="E1266" s="214">
        <v>6.0</v>
      </c>
      <c r="F1266" s="205">
        <v>430.0</v>
      </c>
      <c r="G1266" s="206">
        <f t="shared" si="60"/>
        <v>2580</v>
      </c>
      <c r="H1266" s="219"/>
    </row>
    <row r="1267" ht="12.75" customHeight="1" outlineLevel="2">
      <c r="B1267" s="301" t="s">
        <v>3034</v>
      </c>
      <c r="C1267" s="315" t="s">
        <v>3035</v>
      </c>
      <c r="D1267" s="203" t="s">
        <v>75</v>
      </c>
      <c r="E1267" s="214">
        <v>2.0</v>
      </c>
      <c r="F1267" s="205">
        <v>2000.0</v>
      </c>
      <c r="G1267" s="206">
        <f t="shared" si="60"/>
        <v>4000</v>
      </c>
      <c r="H1267" s="219"/>
    </row>
    <row r="1268" ht="12.75" customHeight="1" outlineLevel="2">
      <c r="B1268" s="301" t="s">
        <v>3036</v>
      </c>
      <c r="C1268" s="315" t="s">
        <v>3037</v>
      </c>
      <c r="D1268" s="203" t="s">
        <v>75</v>
      </c>
      <c r="E1268" s="214">
        <v>10.0</v>
      </c>
      <c r="F1268" s="205">
        <v>660.0</v>
      </c>
      <c r="G1268" s="206">
        <f t="shared" si="60"/>
        <v>6600</v>
      </c>
      <c r="H1268" s="219"/>
    </row>
    <row r="1269" ht="12.75" customHeight="1" outlineLevel="2">
      <c r="B1269" s="301" t="s">
        <v>3038</v>
      </c>
      <c r="C1269" s="315" t="s">
        <v>3039</v>
      </c>
      <c r="D1269" s="203" t="s">
        <v>75</v>
      </c>
      <c r="E1269" s="214">
        <v>2.0</v>
      </c>
      <c r="F1269" s="205">
        <v>200.0</v>
      </c>
      <c r="G1269" s="206">
        <f t="shared" si="60"/>
        <v>400</v>
      </c>
      <c r="H1269" s="219"/>
    </row>
    <row r="1270" ht="12.75" customHeight="1" outlineLevel="2">
      <c r="B1270" s="301" t="s">
        <v>3040</v>
      </c>
      <c r="C1270" s="315" t="s">
        <v>3041</v>
      </c>
      <c r="D1270" s="203" t="s">
        <v>75</v>
      </c>
      <c r="E1270" s="214">
        <v>14.0</v>
      </c>
      <c r="F1270" s="205">
        <v>70.0</v>
      </c>
      <c r="G1270" s="206">
        <f t="shared" si="60"/>
        <v>980</v>
      </c>
      <c r="H1270" s="219"/>
    </row>
    <row r="1271" ht="12.75" customHeight="1" outlineLevel="2">
      <c r="B1271" s="189"/>
      <c r="C1271" s="208"/>
      <c r="E1271" s="79"/>
      <c r="F1271" s="80"/>
      <c r="G1271" s="80"/>
      <c r="H1271" s="240"/>
    </row>
    <row r="1272" ht="12.75" customHeight="1" outlineLevel="1">
      <c r="A1272" s="89" t="s">
        <v>1349</v>
      </c>
      <c r="B1272" s="189"/>
      <c r="C1272" s="184" t="s">
        <v>3042</v>
      </c>
      <c r="E1272" s="79"/>
      <c r="F1272" s="80"/>
      <c r="G1272" s="80"/>
      <c r="H1272" s="240"/>
    </row>
    <row r="1273" ht="12.75" customHeight="1" outlineLevel="2">
      <c r="B1273" s="189"/>
      <c r="C1273" s="208"/>
      <c r="E1273" s="79"/>
      <c r="F1273" s="80"/>
      <c r="G1273" s="80"/>
      <c r="H1273" s="240"/>
    </row>
    <row r="1274" ht="12.75" customHeight="1" outlineLevel="2">
      <c r="B1274" s="324">
        <v>17.14</v>
      </c>
      <c r="C1274" s="323" t="s">
        <v>3008</v>
      </c>
      <c r="E1274" s="79"/>
      <c r="F1274" s="80"/>
      <c r="G1274" s="80"/>
      <c r="H1274" s="240"/>
    </row>
    <row r="1275" ht="12.75" customHeight="1" outlineLevel="2">
      <c r="B1275" s="189"/>
      <c r="C1275" s="208"/>
      <c r="E1275" s="79"/>
      <c r="F1275" s="80"/>
      <c r="G1275" s="80"/>
      <c r="H1275" s="240"/>
    </row>
    <row r="1276" ht="12.75" customHeight="1" outlineLevel="2">
      <c r="B1276" s="301" t="s">
        <v>3043</v>
      </c>
      <c r="C1276" s="315" t="s">
        <v>3044</v>
      </c>
      <c r="D1276" s="203" t="s">
        <v>161</v>
      </c>
      <c r="E1276" s="214">
        <v>704.0</v>
      </c>
      <c r="F1276" s="205">
        <v>3.0</v>
      </c>
      <c r="G1276" s="206">
        <f>F1276*E1276</f>
        <v>2112</v>
      </c>
      <c r="H1276" s="219"/>
    </row>
    <row r="1277" ht="12.75" customHeight="1" outlineLevel="2">
      <c r="B1277" s="189"/>
      <c r="C1277" s="208"/>
      <c r="E1277" s="79"/>
      <c r="F1277" s="80"/>
      <c r="G1277" s="80"/>
      <c r="H1277" s="240"/>
    </row>
    <row r="1278" ht="12.75" customHeight="1" outlineLevel="2">
      <c r="B1278" s="324">
        <v>17.15</v>
      </c>
      <c r="C1278" s="323" t="s">
        <v>3017</v>
      </c>
      <c r="E1278" s="79"/>
      <c r="F1278" s="80"/>
      <c r="G1278" s="80"/>
      <c r="H1278" s="240"/>
    </row>
    <row r="1279" ht="12.75" customHeight="1" outlineLevel="2">
      <c r="B1279" s="189"/>
      <c r="C1279" s="208"/>
      <c r="E1279" s="79"/>
      <c r="F1279" s="80"/>
      <c r="G1279" s="80"/>
      <c r="H1279" s="240"/>
    </row>
    <row r="1280" ht="12.75" customHeight="1" outlineLevel="2">
      <c r="B1280" s="301" t="s">
        <v>3045</v>
      </c>
      <c r="C1280" s="315" t="s">
        <v>3046</v>
      </c>
      <c r="D1280" s="203" t="s">
        <v>161</v>
      </c>
      <c r="E1280" s="214">
        <v>704.0</v>
      </c>
      <c r="F1280" s="205">
        <v>2.0</v>
      </c>
      <c r="G1280" s="206">
        <f>F1280*E1280</f>
        <v>1408</v>
      </c>
      <c r="H1280" s="219"/>
    </row>
    <row r="1281" ht="12.75" customHeight="1" outlineLevel="2">
      <c r="B1281" s="189"/>
      <c r="C1281" s="208"/>
      <c r="E1281" s="79"/>
      <c r="F1281" s="80"/>
      <c r="G1281" s="80"/>
      <c r="H1281" s="240"/>
    </row>
    <row r="1282" ht="12.75" customHeight="1" outlineLevel="2">
      <c r="B1282" s="324">
        <v>17.16</v>
      </c>
      <c r="C1282" s="323" t="s">
        <v>3020</v>
      </c>
      <c r="E1282" s="79"/>
      <c r="F1282" s="80"/>
      <c r="G1282" s="80"/>
      <c r="H1282" s="240"/>
    </row>
    <row r="1283" ht="12.75" customHeight="1" outlineLevel="2">
      <c r="B1283" s="189"/>
      <c r="C1283" s="208"/>
      <c r="E1283" s="79"/>
      <c r="F1283" s="80"/>
      <c r="G1283" s="80"/>
      <c r="H1283" s="240"/>
    </row>
    <row r="1284" ht="12.75" customHeight="1" outlineLevel="2">
      <c r="B1284" s="301" t="s">
        <v>3047</v>
      </c>
      <c r="C1284" s="315" t="s">
        <v>3048</v>
      </c>
      <c r="D1284" s="203" t="s">
        <v>75</v>
      </c>
      <c r="E1284" s="214">
        <v>29.0</v>
      </c>
      <c r="F1284" s="205">
        <v>11.0</v>
      </c>
      <c r="G1284" s="206">
        <f>F1284*E1284</f>
        <v>319</v>
      </c>
      <c r="H1284" s="219"/>
    </row>
    <row r="1285" ht="12.75" customHeight="1" outlineLevel="2">
      <c r="B1285" s="189"/>
      <c r="C1285" s="208"/>
      <c r="E1285" s="79"/>
      <c r="F1285" s="80"/>
      <c r="G1285" s="80"/>
      <c r="H1285" s="240"/>
    </row>
    <row r="1286" ht="12.75" customHeight="1" outlineLevel="1">
      <c r="A1286" s="89" t="s">
        <v>1354</v>
      </c>
      <c r="B1286" s="189"/>
      <c r="C1286" s="184" t="s">
        <v>3049</v>
      </c>
      <c r="E1286" s="79"/>
      <c r="F1286" s="80"/>
      <c r="G1286" s="80"/>
      <c r="H1286" s="240"/>
    </row>
    <row r="1287" ht="12.75" customHeight="1" outlineLevel="2">
      <c r="B1287" s="189"/>
      <c r="C1287" s="208"/>
      <c r="E1287" s="79"/>
      <c r="F1287" s="80"/>
      <c r="G1287" s="80"/>
      <c r="H1287" s="240"/>
    </row>
    <row r="1288" ht="12.75" customHeight="1" outlineLevel="2">
      <c r="B1288" s="324">
        <v>17.17</v>
      </c>
      <c r="C1288" s="323" t="s">
        <v>3008</v>
      </c>
      <c r="E1288" s="79"/>
      <c r="F1288" s="80"/>
      <c r="G1288" s="80"/>
      <c r="H1288" s="240"/>
    </row>
    <row r="1289" ht="12.75" customHeight="1" outlineLevel="2">
      <c r="B1289" s="189"/>
      <c r="C1289" s="208"/>
      <c r="E1289" s="79"/>
      <c r="F1289" s="80"/>
      <c r="G1289" s="80"/>
      <c r="H1289" s="240"/>
    </row>
    <row r="1290" ht="12.75" customHeight="1" outlineLevel="2">
      <c r="B1290" s="301" t="s">
        <v>3050</v>
      </c>
      <c r="C1290" s="315" t="s">
        <v>3051</v>
      </c>
      <c r="D1290" s="203" t="s">
        <v>161</v>
      </c>
      <c r="E1290" s="214">
        <v>984.0</v>
      </c>
      <c r="F1290" s="205">
        <v>2.0</v>
      </c>
      <c r="G1290" s="206">
        <f t="shared" ref="G1290:G1292" si="61">F1290*E1290</f>
        <v>1968</v>
      </c>
      <c r="H1290" s="219"/>
    </row>
    <row r="1291" ht="12.75" customHeight="1" outlineLevel="2">
      <c r="B1291" s="301" t="s">
        <v>3052</v>
      </c>
      <c r="C1291" s="315" t="s">
        <v>3053</v>
      </c>
      <c r="D1291" s="203" t="s">
        <v>161</v>
      </c>
      <c r="E1291" s="214">
        <v>1527.0</v>
      </c>
      <c r="F1291" s="205">
        <v>2.0</v>
      </c>
      <c r="G1291" s="206">
        <f t="shared" si="61"/>
        <v>3054</v>
      </c>
      <c r="H1291" s="219"/>
    </row>
    <row r="1292" ht="12.75" customHeight="1" outlineLevel="2">
      <c r="B1292" s="301" t="s">
        <v>3054</v>
      </c>
      <c r="C1292" s="315" t="s">
        <v>3055</v>
      </c>
      <c r="D1292" s="203" t="s">
        <v>161</v>
      </c>
      <c r="E1292" s="214">
        <v>355.0</v>
      </c>
      <c r="F1292" s="205">
        <v>3.0</v>
      </c>
      <c r="G1292" s="206">
        <f t="shared" si="61"/>
        <v>1065</v>
      </c>
      <c r="H1292" s="219"/>
    </row>
    <row r="1293" ht="12.75" customHeight="1" outlineLevel="2">
      <c r="B1293" s="189"/>
      <c r="C1293" s="208"/>
      <c r="E1293" s="79"/>
      <c r="F1293" s="80"/>
      <c r="G1293" s="80"/>
      <c r="H1293" s="240"/>
    </row>
    <row r="1294" ht="12.75" customHeight="1" outlineLevel="2">
      <c r="B1294" s="324">
        <v>17.18</v>
      </c>
      <c r="C1294" s="323" t="s">
        <v>3017</v>
      </c>
      <c r="E1294" s="79"/>
      <c r="F1294" s="80"/>
      <c r="G1294" s="80"/>
      <c r="H1294" s="240"/>
    </row>
    <row r="1295" ht="12.75" customHeight="1" outlineLevel="2">
      <c r="B1295" s="189"/>
      <c r="C1295" s="208"/>
      <c r="E1295" s="79"/>
      <c r="F1295" s="80"/>
      <c r="G1295" s="80"/>
      <c r="H1295" s="240"/>
    </row>
    <row r="1296" ht="12.75" customHeight="1" outlineLevel="2">
      <c r="B1296" s="301" t="s">
        <v>3056</v>
      </c>
      <c r="C1296" s="315" t="s">
        <v>3057</v>
      </c>
      <c r="D1296" s="203" t="s">
        <v>161</v>
      </c>
      <c r="E1296" s="214">
        <v>2865.0</v>
      </c>
      <c r="F1296" s="205">
        <v>2.0</v>
      </c>
      <c r="G1296" s="206">
        <f>F1296*E1296</f>
        <v>5730</v>
      </c>
      <c r="H1296" s="219"/>
    </row>
    <row r="1297" ht="12.75" customHeight="1" outlineLevel="2">
      <c r="B1297" s="189"/>
      <c r="C1297" s="208"/>
      <c r="E1297" s="79"/>
      <c r="F1297" s="80"/>
      <c r="G1297" s="80"/>
      <c r="H1297" s="240"/>
    </row>
    <row r="1298" ht="12.75" customHeight="1" outlineLevel="2">
      <c r="B1298" s="322">
        <v>17.19</v>
      </c>
      <c r="C1298" s="323" t="s">
        <v>3020</v>
      </c>
      <c r="E1298" s="79"/>
      <c r="F1298" s="80"/>
      <c r="G1298" s="80"/>
      <c r="H1298" s="240"/>
    </row>
    <row r="1299" ht="12.75" customHeight="1" outlineLevel="2">
      <c r="B1299" s="189"/>
      <c r="C1299" s="208"/>
      <c r="E1299" s="79"/>
      <c r="F1299" s="80"/>
      <c r="G1299" s="80"/>
      <c r="H1299" s="240"/>
    </row>
    <row r="1300" ht="12.75" customHeight="1" outlineLevel="2">
      <c r="B1300" s="301" t="s">
        <v>3058</v>
      </c>
      <c r="C1300" s="315" t="s">
        <v>3059</v>
      </c>
      <c r="D1300" s="203" t="s">
        <v>75</v>
      </c>
      <c r="E1300" s="214">
        <v>199.0</v>
      </c>
      <c r="F1300" s="205">
        <v>14.0</v>
      </c>
      <c r="G1300" s="206">
        <f t="shared" ref="G1300:G1303" si="62">F1300*E1300</f>
        <v>2786</v>
      </c>
      <c r="H1300" s="219"/>
    </row>
    <row r="1301" ht="12.75" customHeight="1" outlineLevel="2">
      <c r="B1301" s="301" t="s">
        <v>3060</v>
      </c>
      <c r="C1301" s="315" t="s">
        <v>3061</v>
      </c>
      <c r="D1301" s="203" t="s">
        <v>75</v>
      </c>
      <c r="E1301" s="214">
        <v>15.0</v>
      </c>
      <c r="F1301" s="205">
        <v>85.0</v>
      </c>
      <c r="G1301" s="206">
        <f t="shared" si="62"/>
        <v>1275</v>
      </c>
      <c r="H1301" s="219"/>
    </row>
    <row r="1302" ht="12.75" customHeight="1" outlineLevel="2">
      <c r="B1302" s="301" t="s">
        <v>3062</v>
      </c>
      <c r="C1302" s="315" t="s">
        <v>3063</v>
      </c>
      <c r="D1302" s="203" t="s">
        <v>75</v>
      </c>
      <c r="E1302" s="214">
        <v>16.0</v>
      </c>
      <c r="F1302" s="205">
        <v>1.0</v>
      </c>
      <c r="G1302" s="206">
        <f t="shared" si="62"/>
        <v>16</v>
      </c>
      <c r="H1302" s="219"/>
    </row>
    <row r="1303" ht="12.75" customHeight="1" outlineLevel="2">
      <c r="B1303" s="301" t="s">
        <v>3064</v>
      </c>
      <c r="C1303" s="315" t="s">
        <v>3065</v>
      </c>
      <c r="D1303" s="203" t="s">
        <v>75</v>
      </c>
      <c r="E1303" s="214">
        <v>10.0</v>
      </c>
      <c r="F1303" s="205">
        <v>62.0</v>
      </c>
      <c r="G1303" s="206">
        <f t="shared" si="62"/>
        <v>620</v>
      </c>
      <c r="H1303" s="219"/>
    </row>
    <row r="1304" ht="12.75" customHeight="1" outlineLevel="2">
      <c r="B1304" s="189"/>
      <c r="C1304" s="208"/>
      <c r="E1304" s="79"/>
      <c r="F1304" s="80"/>
      <c r="G1304" s="80"/>
      <c r="H1304" s="240"/>
    </row>
    <row r="1305" ht="12.75" customHeight="1" outlineLevel="2">
      <c r="B1305" s="327" t="s">
        <v>3066</v>
      </c>
      <c r="C1305" s="323" t="s">
        <v>3067</v>
      </c>
      <c r="E1305" s="79"/>
      <c r="F1305" s="80"/>
      <c r="G1305" s="80"/>
      <c r="H1305" s="320" t="s">
        <v>3068</v>
      </c>
    </row>
    <row r="1306" ht="12.75" customHeight="1" outlineLevel="2">
      <c r="B1306" s="189"/>
      <c r="C1306" s="208"/>
      <c r="E1306" s="79"/>
      <c r="F1306" s="80"/>
      <c r="G1306" s="80"/>
      <c r="H1306" s="240"/>
    </row>
    <row r="1307" ht="12.75" customHeight="1" outlineLevel="2">
      <c r="B1307" s="322" t="s">
        <v>3069</v>
      </c>
      <c r="C1307" s="323" t="s">
        <v>3070</v>
      </c>
      <c r="E1307" s="79"/>
      <c r="F1307" s="80"/>
      <c r="G1307" s="80"/>
      <c r="H1307" s="240"/>
    </row>
    <row r="1308" ht="12.75" customHeight="1" outlineLevel="2">
      <c r="B1308" s="189"/>
      <c r="C1308" s="208"/>
      <c r="E1308" s="79"/>
      <c r="F1308" s="80"/>
      <c r="G1308" s="80"/>
      <c r="H1308" s="240"/>
    </row>
    <row r="1309" ht="12.75" customHeight="1" outlineLevel="2">
      <c r="B1309" s="301" t="s">
        <v>3071</v>
      </c>
      <c r="C1309" s="315" t="s">
        <v>3072</v>
      </c>
      <c r="D1309" s="203" t="s">
        <v>75</v>
      </c>
      <c r="E1309" s="214">
        <v>9.0</v>
      </c>
      <c r="F1309" s="205">
        <v>10.0</v>
      </c>
      <c r="G1309" s="206">
        <f t="shared" ref="G1309:G1323" si="63">F1309*E1309</f>
        <v>90</v>
      </c>
      <c r="H1309" s="219"/>
    </row>
    <row r="1310" ht="12.75" customHeight="1" outlineLevel="2">
      <c r="B1310" s="301" t="s">
        <v>3073</v>
      </c>
      <c r="C1310" s="315" t="s">
        <v>3074</v>
      </c>
      <c r="D1310" s="203" t="s">
        <v>75</v>
      </c>
      <c r="E1310" s="214">
        <v>11.0</v>
      </c>
      <c r="F1310" s="205">
        <v>10.0</v>
      </c>
      <c r="G1310" s="206">
        <f t="shared" si="63"/>
        <v>110</v>
      </c>
      <c r="H1310" s="219"/>
    </row>
    <row r="1311" ht="12.75" customHeight="1" outlineLevel="2">
      <c r="B1311" s="301" t="s">
        <v>3075</v>
      </c>
      <c r="C1311" s="315" t="s">
        <v>3076</v>
      </c>
      <c r="D1311" s="203" t="s">
        <v>75</v>
      </c>
      <c r="E1311" s="214">
        <v>7.0</v>
      </c>
      <c r="F1311" s="205">
        <v>10.0</v>
      </c>
      <c r="G1311" s="206">
        <f t="shared" si="63"/>
        <v>70</v>
      </c>
      <c r="H1311" s="219"/>
    </row>
    <row r="1312" ht="12.75" customHeight="1" outlineLevel="2">
      <c r="B1312" s="301" t="s">
        <v>3077</v>
      </c>
      <c r="C1312" s="315" t="s">
        <v>3078</v>
      </c>
      <c r="D1312" s="203" t="s">
        <v>75</v>
      </c>
      <c r="E1312" s="214">
        <v>2.0</v>
      </c>
      <c r="F1312" s="205">
        <v>10.0</v>
      </c>
      <c r="G1312" s="206">
        <f t="shared" si="63"/>
        <v>20</v>
      </c>
      <c r="H1312" s="219"/>
    </row>
    <row r="1313" ht="12.75" customHeight="1" outlineLevel="2">
      <c r="B1313" s="301" t="s">
        <v>3079</v>
      </c>
      <c r="C1313" s="315" t="s">
        <v>3080</v>
      </c>
      <c r="D1313" s="203" t="s">
        <v>75</v>
      </c>
      <c r="E1313" s="214">
        <v>8.0</v>
      </c>
      <c r="F1313" s="205">
        <v>10.0</v>
      </c>
      <c r="G1313" s="206">
        <f t="shared" si="63"/>
        <v>80</v>
      </c>
      <c r="H1313" s="219"/>
    </row>
    <row r="1314" ht="12.75" customHeight="1" outlineLevel="2">
      <c r="B1314" s="301" t="s">
        <v>3081</v>
      </c>
      <c r="C1314" s="315" t="s">
        <v>3082</v>
      </c>
      <c r="D1314" s="203" t="s">
        <v>1374</v>
      </c>
      <c r="E1314" s="214">
        <v>2.0</v>
      </c>
      <c r="F1314" s="205">
        <v>10.0</v>
      </c>
      <c r="G1314" s="206">
        <f t="shared" si="63"/>
        <v>20</v>
      </c>
      <c r="H1314" s="219"/>
    </row>
    <row r="1315" ht="12.75" customHeight="1" outlineLevel="2">
      <c r="B1315" s="301" t="s">
        <v>3083</v>
      </c>
      <c r="C1315" s="315" t="s">
        <v>3084</v>
      </c>
      <c r="D1315" s="203" t="s">
        <v>75</v>
      </c>
      <c r="E1315" s="214">
        <v>1.0</v>
      </c>
      <c r="F1315" s="205">
        <v>10.0</v>
      </c>
      <c r="G1315" s="206">
        <f t="shared" si="63"/>
        <v>10</v>
      </c>
      <c r="H1315" s="219"/>
    </row>
    <row r="1316" ht="12.75" customHeight="1" outlineLevel="2">
      <c r="B1316" s="301" t="s">
        <v>3085</v>
      </c>
      <c r="C1316" s="315" t="s">
        <v>3086</v>
      </c>
      <c r="D1316" s="203" t="s">
        <v>75</v>
      </c>
      <c r="E1316" s="214">
        <v>3.0</v>
      </c>
      <c r="F1316" s="205">
        <v>10.0</v>
      </c>
      <c r="G1316" s="206">
        <f t="shared" si="63"/>
        <v>30</v>
      </c>
      <c r="H1316" s="219"/>
    </row>
    <row r="1317" ht="12.75" customHeight="1" outlineLevel="2">
      <c r="B1317" s="301" t="s">
        <v>3087</v>
      </c>
      <c r="C1317" s="315" t="s">
        <v>3088</v>
      </c>
      <c r="D1317" s="203" t="s">
        <v>75</v>
      </c>
      <c r="E1317" s="214">
        <v>2.0</v>
      </c>
      <c r="F1317" s="205">
        <v>10.0</v>
      </c>
      <c r="G1317" s="206">
        <f t="shared" si="63"/>
        <v>20</v>
      </c>
      <c r="H1317" s="219"/>
    </row>
    <row r="1318" ht="12.75" customHeight="1" outlineLevel="2">
      <c r="B1318" s="301" t="s">
        <v>3089</v>
      </c>
      <c r="C1318" s="315" t="s">
        <v>3090</v>
      </c>
      <c r="D1318" s="203" t="s">
        <v>75</v>
      </c>
      <c r="E1318" s="214">
        <v>1.0</v>
      </c>
      <c r="F1318" s="205">
        <v>10.0</v>
      </c>
      <c r="G1318" s="206">
        <f t="shared" si="63"/>
        <v>10</v>
      </c>
      <c r="H1318" s="219"/>
    </row>
    <row r="1319" ht="12.75" customHeight="1" outlineLevel="2">
      <c r="B1319" s="301" t="s">
        <v>3091</v>
      </c>
      <c r="C1319" s="315" t="s">
        <v>3092</v>
      </c>
      <c r="D1319" s="203" t="s">
        <v>75</v>
      </c>
      <c r="E1319" s="214">
        <v>1.0</v>
      </c>
      <c r="F1319" s="205">
        <v>10.0</v>
      </c>
      <c r="G1319" s="206">
        <f t="shared" si="63"/>
        <v>10</v>
      </c>
      <c r="H1319" s="219"/>
    </row>
    <row r="1320" ht="12.75" customHeight="1" outlineLevel="2">
      <c r="B1320" s="301" t="s">
        <v>3093</v>
      </c>
      <c r="C1320" s="315" t="s">
        <v>3094</v>
      </c>
      <c r="D1320" s="203" t="s">
        <v>75</v>
      </c>
      <c r="E1320" s="214">
        <v>1.0</v>
      </c>
      <c r="F1320" s="205">
        <v>10.0</v>
      </c>
      <c r="G1320" s="206">
        <f t="shared" si="63"/>
        <v>10</v>
      </c>
      <c r="H1320" s="219"/>
    </row>
    <row r="1321" ht="12.75" customHeight="1" outlineLevel="2">
      <c r="B1321" s="301" t="s">
        <v>3095</v>
      </c>
      <c r="C1321" s="315" t="s">
        <v>3096</v>
      </c>
      <c r="D1321" s="203" t="s">
        <v>75</v>
      </c>
      <c r="E1321" s="214">
        <v>1.0</v>
      </c>
      <c r="F1321" s="205">
        <v>70.0</v>
      </c>
      <c r="G1321" s="206">
        <f t="shared" si="63"/>
        <v>70</v>
      </c>
      <c r="H1321" s="219"/>
    </row>
    <row r="1322" ht="12.75" customHeight="1" outlineLevel="2">
      <c r="B1322" s="301" t="s">
        <v>3097</v>
      </c>
      <c r="C1322" s="315" t="s">
        <v>3098</v>
      </c>
      <c r="D1322" s="203" t="s">
        <v>75</v>
      </c>
      <c r="E1322" s="214">
        <v>3.0</v>
      </c>
      <c r="F1322" s="205">
        <v>23.0</v>
      </c>
      <c r="G1322" s="206">
        <f t="shared" si="63"/>
        <v>69</v>
      </c>
      <c r="H1322" s="219"/>
    </row>
    <row r="1323" ht="12.75" customHeight="1" outlineLevel="2">
      <c r="B1323" s="301" t="s">
        <v>3099</v>
      </c>
      <c r="C1323" s="315" t="s">
        <v>3100</v>
      </c>
      <c r="D1323" s="203" t="s">
        <v>75</v>
      </c>
      <c r="E1323" s="214">
        <v>6.0</v>
      </c>
      <c r="F1323" s="205">
        <v>115.0</v>
      </c>
      <c r="G1323" s="206">
        <f t="shared" si="63"/>
        <v>690</v>
      </c>
      <c r="H1323" s="219"/>
    </row>
    <row r="1324" ht="12.75" customHeight="1" outlineLevel="2">
      <c r="B1324" s="189"/>
      <c r="C1324" s="208"/>
      <c r="E1324" s="79"/>
      <c r="F1324" s="80"/>
      <c r="G1324" s="80"/>
      <c r="H1324" s="240"/>
    </row>
    <row r="1325" ht="12.75" customHeight="1" outlineLevel="2">
      <c r="B1325" s="322" t="s">
        <v>3101</v>
      </c>
      <c r="C1325" s="323" t="s">
        <v>3102</v>
      </c>
      <c r="E1325" s="79"/>
      <c r="F1325" s="80"/>
      <c r="G1325" s="80"/>
      <c r="H1325" s="240"/>
    </row>
    <row r="1326" ht="12.75" customHeight="1" outlineLevel="2">
      <c r="B1326" s="189"/>
      <c r="C1326" s="208"/>
      <c r="E1326" s="79"/>
      <c r="F1326" s="80"/>
      <c r="G1326" s="80"/>
      <c r="H1326" s="240"/>
    </row>
    <row r="1327" ht="12.75" customHeight="1" outlineLevel="2">
      <c r="B1327" s="322" t="s">
        <v>3103</v>
      </c>
      <c r="C1327" s="315" t="s">
        <v>3074</v>
      </c>
      <c r="D1327" s="203" t="s">
        <v>75</v>
      </c>
      <c r="E1327" s="214">
        <v>27.0</v>
      </c>
      <c r="F1327" s="205">
        <v>10.0</v>
      </c>
      <c r="G1327" s="206">
        <f t="shared" ref="G1327:G1362" si="64">F1327*E1327</f>
        <v>270</v>
      </c>
      <c r="H1327" s="219"/>
    </row>
    <row r="1328" ht="12.75" customHeight="1" outlineLevel="2">
      <c r="B1328" s="322" t="s">
        <v>3104</v>
      </c>
      <c r="C1328" s="315" t="s">
        <v>3080</v>
      </c>
      <c r="D1328" s="203" t="s">
        <v>75</v>
      </c>
      <c r="E1328" s="214">
        <v>40.0</v>
      </c>
      <c r="F1328" s="205">
        <v>10.0</v>
      </c>
      <c r="G1328" s="206">
        <f t="shared" si="64"/>
        <v>400</v>
      </c>
      <c r="H1328" s="219"/>
    </row>
    <row r="1329" ht="12.75" customHeight="1" outlineLevel="2">
      <c r="B1329" s="322" t="s">
        <v>3105</v>
      </c>
      <c r="C1329" s="315" t="s">
        <v>3106</v>
      </c>
      <c r="D1329" s="203" t="s">
        <v>75</v>
      </c>
      <c r="E1329" s="214">
        <v>5.0</v>
      </c>
      <c r="F1329" s="205">
        <v>10.0</v>
      </c>
      <c r="G1329" s="206">
        <f t="shared" si="64"/>
        <v>50</v>
      </c>
      <c r="H1329" s="219"/>
    </row>
    <row r="1330" ht="12.75" customHeight="1" outlineLevel="2">
      <c r="B1330" s="322" t="s">
        <v>3107</v>
      </c>
      <c r="C1330" s="315" t="s">
        <v>3084</v>
      </c>
      <c r="D1330" s="203" t="s">
        <v>75</v>
      </c>
      <c r="E1330" s="214">
        <v>14.0</v>
      </c>
      <c r="F1330" s="205">
        <v>10.0</v>
      </c>
      <c r="G1330" s="206">
        <f t="shared" si="64"/>
        <v>140</v>
      </c>
      <c r="H1330" s="219"/>
    </row>
    <row r="1331" ht="12.75" customHeight="1" outlineLevel="2">
      <c r="B1331" s="322" t="s">
        <v>3108</v>
      </c>
      <c r="C1331" s="315" t="s">
        <v>3109</v>
      </c>
      <c r="D1331" s="203" t="s">
        <v>75</v>
      </c>
      <c r="E1331" s="214">
        <v>52.0</v>
      </c>
      <c r="F1331" s="205">
        <v>10.0</v>
      </c>
      <c r="G1331" s="206">
        <f t="shared" si="64"/>
        <v>520</v>
      </c>
      <c r="H1331" s="219"/>
    </row>
    <row r="1332" ht="12.75" customHeight="1" outlineLevel="2">
      <c r="B1332" s="322" t="s">
        <v>3110</v>
      </c>
      <c r="C1332" s="315" t="s">
        <v>3111</v>
      </c>
      <c r="D1332" s="203" t="s">
        <v>75</v>
      </c>
      <c r="E1332" s="214">
        <v>3.0</v>
      </c>
      <c r="F1332" s="205">
        <v>10.0</v>
      </c>
      <c r="G1332" s="206">
        <f t="shared" si="64"/>
        <v>30</v>
      </c>
      <c r="H1332" s="219"/>
    </row>
    <row r="1333" ht="12.75" customHeight="1" outlineLevel="2">
      <c r="B1333" s="322" t="s">
        <v>3112</v>
      </c>
      <c r="C1333" s="315" t="s">
        <v>3082</v>
      </c>
      <c r="D1333" s="203" t="s">
        <v>1374</v>
      </c>
      <c r="E1333" s="214">
        <v>1.0</v>
      </c>
      <c r="F1333" s="205">
        <v>10.0</v>
      </c>
      <c r="G1333" s="206">
        <f t="shared" si="64"/>
        <v>10</v>
      </c>
      <c r="H1333" s="219"/>
    </row>
    <row r="1334" ht="12.75" customHeight="1" outlineLevel="2">
      <c r="B1334" s="322" t="s">
        <v>3113</v>
      </c>
      <c r="C1334" s="315" t="s">
        <v>3114</v>
      </c>
      <c r="D1334" s="203" t="s">
        <v>75</v>
      </c>
      <c r="E1334" s="214">
        <v>4.0</v>
      </c>
      <c r="F1334" s="205">
        <v>10.0</v>
      </c>
      <c r="G1334" s="206">
        <f t="shared" si="64"/>
        <v>40</v>
      </c>
      <c r="H1334" s="219"/>
    </row>
    <row r="1335" ht="12.75" customHeight="1" outlineLevel="2">
      <c r="B1335" s="322" t="s">
        <v>3115</v>
      </c>
      <c r="C1335" s="315" t="s">
        <v>3116</v>
      </c>
      <c r="D1335" s="203" t="s">
        <v>75</v>
      </c>
      <c r="E1335" s="214">
        <v>22.0</v>
      </c>
      <c r="F1335" s="205">
        <v>10.0</v>
      </c>
      <c r="G1335" s="206">
        <f t="shared" si="64"/>
        <v>220</v>
      </c>
      <c r="H1335" s="219"/>
    </row>
    <row r="1336" ht="12.75" customHeight="1" outlineLevel="2">
      <c r="B1336" s="322" t="s">
        <v>3117</v>
      </c>
      <c r="C1336" s="315" t="s">
        <v>3118</v>
      </c>
      <c r="D1336" s="203" t="s">
        <v>75</v>
      </c>
      <c r="E1336" s="214">
        <v>1.0</v>
      </c>
      <c r="F1336" s="205">
        <v>10.0</v>
      </c>
      <c r="G1336" s="206">
        <f t="shared" si="64"/>
        <v>10</v>
      </c>
      <c r="H1336" s="219"/>
    </row>
    <row r="1337" ht="12.75" customHeight="1" outlineLevel="2">
      <c r="B1337" s="322" t="s">
        <v>3119</v>
      </c>
      <c r="C1337" s="315" t="s">
        <v>3120</v>
      </c>
      <c r="D1337" s="203" t="s">
        <v>75</v>
      </c>
      <c r="E1337" s="214">
        <v>1.0</v>
      </c>
      <c r="F1337" s="205">
        <v>10.0</v>
      </c>
      <c r="G1337" s="206">
        <f t="shared" si="64"/>
        <v>10</v>
      </c>
      <c r="H1337" s="219"/>
    </row>
    <row r="1338" ht="12.75" customHeight="1" outlineLevel="2">
      <c r="B1338" s="322" t="s">
        <v>3121</v>
      </c>
      <c r="C1338" s="315" t="s">
        <v>3122</v>
      </c>
      <c r="D1338" s="203" t="s">
        <v>75</v>
      </c>
      <c r="E1338" s="214">
        <v>1.0</v>
      </c>
      <c r="F1338" s="205">
        <v>10.0</v>
      </c>
      <c r="G1338" s="206">
        <f t="shared" si="64"/>
        <v>10</v>
      </c>
      <c r="H1338" s="219"/>
    </row>
    <row r="1339" ht="12.75" customHeight="1" outlineLevel="2">
      <c r="B1339" s="322" t="s">
        <v>3123</v>
      </c>
      <c r="C1339" s="315" t="s">
        <v>3124</v>
      </c>
      <c r="D1339" s="203" t="s">
        <v>75</v>
      </c>
      <c r="E1339" s="214">
        <v>1.0</v>
      </c>
      <c r="F1339" s="205">
        <v>10.0</v>
      </c>
      <c r="G1339" s="206">
        <f t="shared" si="64"/>
        <v>10</v>
      </c>
      <c r="H1339" s="219"/>
    </row>
    <row r="1340" ht="12.75" customHeight="1" outlineLevel="2">
      <c r="B1340" s="322" t="s">
        <v>3125</v>
      </c>
      <c r="C1340" s="315" t="s">
        <v>3126</v>
      </c>
      <c r="D1340" s="203" t="s">
        <v>75</v>
      </c>
      <c r="E1340" s="214">
        <v>1.0</v>
      </c>
      <c r="F1340" s="205">
        <v>10.0</v>
      </c>
      <c r="G1340" s="206">
        <f t="shared" si="64"/>
        <v>10</v>
      </c>
      <c r="H1340" s="219"/>
    </row>
    <row r="1341" ht="12.75" customHeight="1" outlineLevel="2">
      <c r="B1341" s="322" t="s">
        <v>3127</v>
      </c>
      <c r="C1341" s="315" t="s">
        <v>3128</v>
      </c>
      <c r="D1341" s="203" t="s">
        <v>75</v>
      </c>
      <c r="E1341" s="214">
        <v>1.0</v>
      </c>
      <c r="F1341" s="205">
        <v>10.0</v>
      </c>
      <c r="G1341" s="206">
        <f t="shared" si="64"/>
        <v>10</v>
      </c>
      <c r="H1341" s="219"/>
    </row>
    <row r="1342" ht="12.75" customHeight="1" outlineLevel="2">
      <c r="B1342" s="322" t="s">
        <v>3129</v>
      </c>
      <c r="C1342" s="315" t="s">
        <v>3130</v>
      </c>
      <c r="D1342" s="203" t="s">
        <v>1374</v>
      </c>
      <c r="E1342" s="214">
        <v>1.0</v>
      </c>
      <c r="F1342" s="205">
        <v>10.0</v>
      </c>
      <c r="G1342" s="206">
        <f t="shared" si="64"/>
        <v>10</v>
      </c>
      <c r="H1342" s="219"/>
    </row>
    <row r="1343" ht="12.75" customHeight="1" outlineLevel="2">
      <c r="B1343" s="322" t="s">
        <v>3131</v>
      </c>
      <c r="C1343" s="315" t="s">
        <v>3132</v>
      </c>
      <c r="D1343" s="203" t="s">
        <v>75</v>
      </c>
      <c r="E1343" s="214">
        <v>1.0</v>
      </c>
      <c r="F1343" s="205">
        <v>10.0</v>
      </c>
      <c r="G1343" s="206">
        <f t="shared" si="64"/>
        <v>10</v>
      </c>
      <c r="H1343" s="219"/>
    </row>
    <row r="1344" ht="12.75" customHeight="1" outlineLevel="2">
      <c r="B1344" s="322" t="s">
        <v>3133</v>
      </c>
      <c r="C1344" s="315" t="s">
        <v>3134</v>
      </c>
      <c r="D1344" s="203" t="s">
        <v>75</v>
      </c>
      <c r="E1344" s="214">
        <v>5.0</v>
      </c>
      <c r="F1344" s="205">
        <v>10.0</v>
      </c>
      <c r="G1344" s="206">
        <f t="shared" si="64"/>
        <v>50</v>
      </c>
      <c r="H1344" s="219"/>
    </row>
    <row r="1345" ht="12.75" customHeight="1" outlineLevel="2">
      <c r="B1345" s="322" t="s">
        <v>3135</v>
      </c>
      <c r="C1345" s="315" t="s">
        <v>3094</v>
      </c>
      <c r="D1345" s="203" t="s">
        <v>75</v>
      </c>
      <c r="E1345" s="214">
        <v>2.0</v>
      </c>
      <c r="F1345" s="205">
        <v>10.0</v>
      </c>
      <c r="G1345" s="206">
        <f t="shared" si="64"/>
        <v>20</v>
      </c>
      <c r="H1345" s="219"/>
    </row>
    <row r="1346" ht="12.75" customHeight="1" outlineLevel="2">
      <c r="B1346" s="322" t="s">
        <v>3136</v>
      </c>
      <c r="C1346" s="315" t="s">
        <v>3137</v>
      </c>
      <c r="D1346" s="203" t="s">
        <v>75</v>
      </c>
      <c r="E1346" s="214">
        <v>1.0</v>
      </c>
      <c r="F1346" s="205">
        <v>10.0</v>
      </c>
      <c r="G1346" s="206">
        <f t="shared" si="64"/>
        <v>10</v>
      </c>
      <c r="H1346" s="219"/>
    </row>
    <row r="1347" ht="12.75" customHeight="1" outlineLevel="2">
      <c r="B1347" s="322" t="s">
        <v>3138</v>
      </c>
      <c r="C1347" s="315" t="s">
        <v>3139</v>
      </c>
      <c r="D1347" s="203" t="s">
        <v>75</v>
      </c>
      <c r="E1347" s="214">
        <v>1.0</v>
      </c>
      <c r="F1347" s="205">
        <v>10.0</v>
      </c>
      <c r="G1347" s="206">
        <f t="shared" si="64"/>
        <v>10</v>
      </c>
      <c r="H1347" s="219"/>
    </row>
    <row r="1348" ht="12.75" customHeight="1" outlineLevel="2">
      <c r="B1348" s="322" t="s">
        <v>3140</v>
      </c>
      <c r="C1348" s="315" t="s">
        <v>3141</v>
      </c>
      <c r="D1348" s="203" t="s">
        <v>75</v>
      </c>
      <c r="E1348" s="214">
        <v>1.0</v>
      </c>
      <c r="F1348" s="205">
        <v>10.0</v>
      </c>
      <c r="G1348" s="206">
        <f t="shared" si="64"/>
        <v>10</v>
      </c>
      <c r="H1348" s="219"/>
    </row>
    <row r="1349" ht="12.75" customHeight="1" outlineLevel="2">
      <c r="B1349" s="322" t="s">
        <v>3142</v>
      </c>
      <c r="C1349" s="315" t="s">
        <v>3143</v>
      </c>
      <c r="D1349" s="203" t="s">
        <v>75</v>
      </c>
      <c r="E1349" s="214">
        <v>1.0</v>
      </c>
      <c r="F1349" s="205">
        <v>10.0</v>
      </c>
      <c r="G1349" s="206">
        <f t="shared" si="64"/>
        <v>10</v>
      </c>
      <c r="H1349" s="219"/>
    </row>
    <row r="1350" ht="12.75" customHeight="1" outlineLevel="2">
      <c r="B1350" s="322" t="s">
        <v>3144</v>
      </c>
      <c r="C1350" s="315" t="s">
        <v>3145</v>
      </c>
      <c r="D1350" s="203" t="s">
        <v>75</v>
      </c>
      <c r="E1350" s="214">
        <v>1.0</v>
      </c>
      <c r="F1350" s="205">
        <v>10.0</v>
      </c>
      <c r="G1350" s="206">
        <f t="shared" si="64"/>
        <v>10</v>
      </c>
      <c r="H1350" s="219"/>
    </row>
    <row r="1351" ht="12.75" customHeight="1" outlineLevel="2">
      <c r="B1351" s="322" t="s">
        <v>3146</v>
      </c>
      <c r="C1351" s="315" t="s">
        <v>3147</v>
      </c>
      <c r="D1351" s="203" t="s">
        <v>75</v>
      </c>
      <c r="E1351" s="214">
        <v>1.0</v>
      </c>
      <c r="F1351" s="205">
        <v>10.0</v>
      </c>
      <c r="G1351" s="206">
        <f t="shared" si="64"/>
        <v>10</v>
      </c>
      <c r="H1351" s="219"/>
    </row>
    <row r="1352" ht="12.75" customHeight="1" outlineLevel="2">
      <c r="B1352" s="322" t="s">
        <v>3148</v>
      </c>
      <c r="C1352" s="315" t="s">
        <v>3149</v>
      </c>
      <c r="D1352" s="203" t="s">
        <v>75</v>
      </c>
      <c r="E1352" s="214">
        <v>1.0</v>
      </c>
      <c r="F1352" s="205">
        <v>10.0</v>
      </c>
      <c r="G1352" s="206">
        <f t="shared" si="64"/>
        <v>10</v>
      </c>
      <c r="H1352" s="219"/>
    </row>
    <row r="1353" ht="12.75" customHeight="1" outlineLevel="2">
      <c r="B1353" s="322" t="s">
        <v>3150</v>
      </c>
      <c r="C1353" s="315" t="s">
        <v>3151</v>
      </c>
      <c r="D1353" s="203" t="s">
        <v>75</v>
      </c>
      <c r="E1353" s="214">
        <v>1.0</v>
      </c>
      <c r="F1353" s="205">
        <v>10.0</v>
      </c>
      <c r="G1353" s="206">
        <f t="shared" si="64"/>
        <v>10</v>
      </c>
      <c r="H1353" s="219"/>
    </row>
    <row r="1354" ht="12.75" customHeight="1" outlineLevel="2">
      <c r="B1354" s="322" t="s">
        <v>3152</v>
      </c>
      <c r="C1354" s="315" t="s">
        <v>3153</v>
      </c>
      <c r="D1354" s="203" t="s">
        <v>75</v>
      </c>
      <c r="E1354" s="214">
        <v>1.0</v>
      </c>
      <c r="F1354" s="205">
        <v>10.0</v>
      </c>
      <c r="G1354" s="206">
        <f t="shared" si="64"/>
        <v>10</v>
      </c>
      <c r="H1354" s="219"/>
    </row>
    <row r="1355" ht="12.75" customHeight="1" outlineLevel="2">
      <c r="B1355" s="322" t="s">
        <v>3154</v>
      </c>
      <c r="C1355" s="315" t="s">
        <v>3155</v>
      </c>
      <c r="D1355" s="203" t="s">
        <v>75</v>
      </c>
      <c r="E1355" s="214">
        <v>1.0</v>
      </c>
      <c r="F1355" s="205">
        <v>10.0</v>
      </c>
      <c r="G1355" s="206">
        <f t="shared" si="64"/>
        <v>10</v>
      </c>
      <c r="H1355" s="219"/>
    </row>
    <row r="1356" ht="12.75" customHeight="1" outlineLevel="2">
      <c r="B1356" s="322" t="s">
        <v>3156</v>
      </c>
      <c r="C1356" s="315" t="s">
        <v>3157</v>
      </c>
      <c r="D1356" s="203" t="s">
        <v>75</v>
      </c>
      <c r="E1356" s="214">
        <v>1.0</v>
      </c>
      <c r="F1356" s="205">
        <v>10.0</v>
      </c>
      <c r="G1356" s="206">
        <f t="shared" si="64"/>
        <v>10</v>
      </c>
      <c r="H1356" s="219"/>
    </row>
    <row r="1357" ht="12.75" customHeight="1" outlineLevel="2">
      <c r="B1357" s="322" t="s">
        <v>3158</v>
      </c>
      <c r="C1357" s="315" t="s">
        <v>3159</v>
      </c>
      <c r="D1357" s="203" t="s">
        <v>75</v>
      </c>
      <c r="E1357" s="214">
        <v>1.0</v>
      </c>
      <c r="F1357" s="205">
        <v>10.0</v>
      </c>
      <c r="G1357" s="206">
        <f t="shared" si="64"/>
        <v>10</v>
      </c>
      <c r="H1357" s="219"/>
    </row>
    <row r="1358" ht="12.75" customHeight="1" outlineLevel="2">
      <c r="B1358" s="322" t="s">
        <v>3160</v>
      </c>
      <c r="C1358" s="315" t="s">
        <v>3086</v>
      </c>
      <c r="D1358" s="203" t="s">
        <v>75</v>
      </c>
      <c r="E1358" s="214">
        <v>6.0</v>
      </c>
      <c r="F1358" s="205">
        <v>3.0</v>
      </c>
      <c r="G1358" s="206">
        <f t="shared" si="64"/>
        <v>18</v>
      </c>
      <c r="H1358" s="219"/>
    </row>
    <row r="1359" ht="12.75" customHeight="1" outlineLevel="2">
      <c r="B1359" s="322" t="s">
        <v>3161</v>
      </c>
      <c r="C1359" s="315" t="s">
        <v>3162</v>
      </c>
      <c r="D1359" s="203" t="s">
        <v>75</v>
      </c>
      <c r="E1359" s="214">
        <v>8.0</v>
      </c>
      <c r="F1359" s="205">
        <v>50.0</v>
      </c>
      <c r="G1359" s="206">
        <f t="shared" si="64"/>
        <v>400</v>
      </c>
      <c r="H1359" s="219"/>
    </row>
    <row r="1360" ht="12.75" customHeight="1" outlineLevel="2">
      <c r="B1360" s="322" t="s">
        <v>3163</v>
      </c>
      <c r="C1360" s="315" t="s">
        <v>3072</v>
      </c>
      <c r="D1360" s="203" t="s">
        <v>75</v>
      </c>
      <c r="E1360" s="214">
        <v>1.0</v>
      </c>
      <c r="F1360" s="205">
        <v>10.0</v>
      </c>
      <c r="G1360" s="206">
        <f t="shared" si="64"/>
        <v>10</v>
      </c>
      <c r="H1360" s="219"/>
    </row>
    <row r="1361" ht="12.75" customHeight="1" outlineLevel="2">
      <c r="B1361" s="322" t="s">
        <v>3164</v>
      </c>
      <c r="C1361" s="315" t="s">
        <v>3100</v>
      </c>
      <c r="D1361" s="203" t="s">
        <v>75</v>
      </c>
      <c r="E1361" s="214">
        <v>2.0</v>
      </c>
      <c r="F1361" s="205">
        <v>110.0</v>
      </c>
      <c r="G1361" s="206">
        <f t="shared" si="64"/>
        <v>220</v>
      </c>
      <c r="H1361" s="219"/>
    </row>
    <row r="1362" ht="12.75" customHeight="1" outlineLevel="2">
      <c r="B1362" s="322" t="s">
        <v>3165</v>
      </c>
      <c r="C1362" s="315" t="s">
        <v>3096</v>
      </c>
      <c r="D1362" s="203" t="s">
        <v>75</v>
      </c>
      <c r="E1362" s="214">
        <v>1.0</v>
      </c>
      <c r="F1362" s="205">
        <v>70.0</v>
      </c>
      <c r="G1362" s="206">
        <f t="shared" si="64"/>
        <v>70</v>
      </c>
      <c r="H1362" s="219"/>
    </row>
    <row r="1363" ht="12.75" customHeight="1" outlineLevel="2">
      <c r="B1363" s="189"/>
      <c r="C1363" s="208"/>
      <c r="E1363" s="79"/>
      <c r="F1363" s="80"/>
      <c r="G1363" s="80"/>
      <c r="H1363" s="240"/>
    </row>
    <row r="1364" ht="12.75" customHeight="1" outlineLevel="2">
      <c r="B1364" s="322" t="s">
        <v>3166</v>
      </c>
      <c r="C1364" s="323" t="s">
        <v>3167</v>
      </c>
      <c r="E1364" s="79"/>
      <c r="F1364" s="80"/>
      <c r="G1364" s="80"/>
      <c r="H1364" s="240"/>
    </row>
    <row r="1365" ht="12.75" customHeight="1" outlineLevel="2">
      <c r="B1365" s="189"/>
      <c r="C1365" s="208"/>
      <c r="E1365" s="79"/>
      <c r="F1365" s="80"/>
      <c r="G1365" s="80"/>
      <c r="H1365" s="240"/>
    </row>
    <row r="1366" ht="12.75" customHeight="1" outlineLevel="2">
      <c r="B1366" s="301" t="s">
        <v>3168</v>
      </c>
      <c r="C1366" s="315" t="s">
        <v>3169</v>
      </c>
      <c r="D1366" s="203" t="s">
        <v>75</v>
      </c>
      <c r="E1366" s="214">
        <v>51.0</v>
      </c>
      <c r="F1366" s="205">
        <v>10.0</v>
      </c>
      <c r="G1366" s="206">
        <f t="shared" ref="G1366:G1387" si="65">F1366*E1366</f>
        <v>510</v>
      </c>
      <c r="H1366" s="219"/>
    </row>
    <row r="1367" ht="12.75" customHeight="1" outlineLevel="2">
      <c r="B1367" s="301" t="s">
        <v>3170</v>
      </c>
      <c r="C1367" s="315" t="s">
        <v>3088</v>
      </c>
      <c r="D1367" s="203" t="s">
        <v>75</v>
      </c>
      <c r="E1367" s="214">
        <v>6.0</v>
      </c>
      <c r="F1367" s="205">
        <v>10.0</v>
      </c>
      <c r="G1367" s="206">
        <f t="shared" si="65"/>
        <v>60</v>
      </c>
      <c r="H1367" s="219"/>
    </row>
    <row r="1368" ht="12.75" customHeight="1" outlineLevel="2">
      <c r="B1368" s="301" t="s">
        <v>3171</v>
      </c>
      <c r="C1368" s="315" t="s">
        <v>3084</v>
      </c>
      <c r="D1368" s="203" t="s">
        <v>75</v>
      </c>
      <c r="E1368" s="214">
        <v>11.0</v>
      </c>
      <c r="F1368" s="205">
        <v>10.0</v>
      </c>
      <c r="G1368" s="206">
        <f t="shared" si="65"/>
        <v>110</v>
      </c>
      <c r="H1368" s="219"/>
    </row>
    <row r="1369" ht="12.75" customHeight="1" outlineLevel="2">
      <c r="B1369" s="301" t="s">
        <v>3172</v>
      </c>
      <c r="C1369" s="315" t="s">
        <v>3082</v>
      </c>
      <c r="D1369" s="203" t="s">
        <v>1374</v>
      </c>
      <c r="E1369" s="214">
        <v>4.0</v>
      </c>
      <c r="F1369" s="205">
        <v>10.0</v>
      </c>
      <c r="G1369" s="206">
        <f t="shared" si="65"/>
        <v>40</v>
      </c>
      <c r="H1369" s="219"/>
    </row>
    <row r="1370" ht="12.75" customHeight="1" outlineLevel="2">
      <c r="B1370" s="301" t="s">
        <v>3173</v>
      </c>
      <c r="C1370" s="315" t="s">
        <v>3174</v>
      </c>
      <c r="D1370" s="203" t="s">
        <v>75</v>
      </c>
      <c r="E1370" s="214">
        <v>1.0</v>
      </c>
      <c r="F1370" s="205">
        <v>10.0</v>
      </c>
      <c r="G1370" s="206">
        <f t="shared" si="65"/>
        <v>10</v>
      </c>
      <c r="H1370" s="219"/>
    </row>
    <row r="1371" ht="12.75" customHeight="1" outlineLevel="2">
      <c r="B1371" s="301" t="s">
        <v>3175</v>
      </c>
      <c r="C1371" s="315" t="s">
        <v>3074</v>
      </c>
      <c r="D1371" s="203" t="s">
        <v>75</v>
      </c>
      <c r="E1371" s="214">
        <v>9.0</v>
      </c>
      <c r="F1371" s="205">
        <v>10.0</v>
      </c>
      <c r="G1371" s="206">
        <f t="shared" si="65"/>
        <v>90</v>
      </c>
      <c r="H1371" s="219"/>
    </row>
    <row r="1372" ht="12.75" customHeight="1" outlineLevel="2">
      <c r="B1372" s="301" t="s">
        <v>3176</v>
      </c>
      <c r="C1372" s="315" t="s">
        <v>3116</v>
      </c>
      <c r="D1372" s="203" t="s">
        <v>75</v>
      </c>
      <c r="E1372" s="214">
        <v>4.0</v>
      </c>
      <c r="F1372" s="205">
        <v>10.0</v>
      </c>
      <c r="G1372" s="206">
        <f t="shared" si="65"/>
        <v>40</v>
      </c>
      <c r="H1372" s="219"/>
    </row>
    <row r="1373" ht="12.75" customHeight="1" outlineLevel="2">
      <c r="B1373" s="301" t="s">
        <v>3177</v>
      </c>
      <c r="C1373" s="315" t="s">
        <v>3114</v>
      </c>
      <c r="D1373" s="203" t="s">
        <v>75</v>
      </c>
      <c r="E1373" s="214">
        <v>4.0</v>
      </c>
      <c r="F1373" s="205">
        <v>10.0</v>
      </c>
      <c r="G1373" s="206">
        <f t="shared" si="65"/>
        <v>40</v>
      </c>
      <c r="H1373" s="219"/>
    </row>
    <row r="1374" ht="12.75" customHeight="1" outlineLevel="2">
      <c r="B1374" s="301" t="s">
        <v>3178</v>
      </c>
      <c r="C1374" s="315" t="s">
        <v>3086</v>
      </c>
      <c r="D1374" s="203" t="s">
        <v>75</v>
      </c>
      <c r="E1374" s="214">
        <v>4.0</v>
      </c>
      <c r="F1374" s="205">
        <v>2.0</v>
      </c>
      <c r="G1374" s="206">
        <f t="shared" si="65"/>
        <v>8</v>
      </c>
      <c r="H1374" s="219"/>
    </row>
    <row r="1375" ht="12.75" customHeight="1" outlineLevel="2">
      <c r="B1375" s="301" t="s">
        <v>3179</v>
      </c>
      <c r="C1375" s="315" t="s">
        <v>3180</v>
      </c>
      <c r="D1375" s="203" t="s">
        <v>75</v>
      </c>
      <c r="E1375" s="214">
        <v>1.0</v>
      </c>
      <c r="F1375" s="205">
        <v>10.0</v>
      </c>
      <c r="G1375" s="206">
        <f t="shared" si="65"/>
        <v>10</v>
      </c>
      <c r="H1375" s="219"/>
    </row>
    <row r="1376" ht="12.75" customHeight="1" outlineLevel="2">
      <c r="B1376" s="301" t="s">
        <v>3181</v>
      </c>
      <c r="C1376" s="315" t="s">
        <v>3182</v>
      </c>
      <c r="D1376" s="203" t="s">
        <v>75</v>
      </c>
      <c r="E1376" s="214">
        <v>1.0</v>
      </c>
      <c r="F1376" s="205">
        <v>10.0</v>
      </c>
      <c r="G1376" s="206">
        <f t="shared" si="65"/>
        <v>10</v>
      </c>
      <c r="H1376" s="219"/>
    </row>
    <row r="1377" ht="12.75" customHeight="1" outlineLevel="2">
      <c r="B1377" s="301" t="s">
        <v>3183</v>
      </c>
      <c r="C1377" s="315" t="s">
        <v>3184</v>
      </c>
      <c r="D1377" s="203" t="s">
        <v>75</v>
      </c>
      <c r="E1377" s="214">
        <v>1.0</v>
      </c>
      <c r="F1377" s="205">
        <v>10.0</v>
      </c>
      <c r="G1377" s="206">
        <f t="shared" si="65"/>
        <v>10</v>
      </c>
      <c r="H1377" s="219"/>
    </row>
    <row r="1378" ht="12.75" customHeight="1" outlineLevel="2">
      <c r="B1378" s="301" t="s">
        <v>3185</v>
      </c>
      <c r="C1378" s="315" t="s">
        <v>3186</v>
      </c>
      <c r="D1378" s="203" t="s">
        <v>75</v>
      </c>
      <c r="E1378" s="214">
        <v>1.0</v>
      </c>
      <c r="F1378" s="205">
        <v>10.0</v>
      </c>
      <c r="G1378" s="206">
        <f t="shared" si="65"/>
        <v>10</v>
      </c>
      <c r="H1378" s="219"/>
    </row>
    <row r="1379" ht="12.75" customHeight="1" outlineLevel="2">
      <c r="B1379" s="301" t="s">
        <v>3187</v>
      </c>
      <c r="C1379" s="315" t="s">
        <v>3188</v>
      </c>
      <c r="D1379" s="203" t="s">
        <v>75</v>
      </c>
      <c r="E1379" s="214">
        <v>1.0</v>
      </c>
      <c r="F1379" s="205">
        <v>10.0</v>
      </c>
      <c r="G1379" s="206">
        <f t="shared" si="65"/>
        <v>10</v>
      </c>
      <c r="H1379" s="219"/>
    </row>
    <row r="1380" ht="12.75" customHeight="1" outlineLevel="2">
      <c r="B1380" s="301" t="s">
        <v>3189</v>
      </c>
      <c r="C1380" s="315" t="s">
        <v>3190</v>
      </c>
      <c r="D1380" s="203" t="s">
        <v>75</v>
      </c>
      <c r="E1380" s="214">
        <v>1.0</v>
      </c>
      <c r="F1380" s="205">
        <v>10.0</v>
      </c>
      <c r="G1380" s="206">
        <f t="shared" si="65"/>
        <v>10</v>
      </c>
      <c r="H1380" s="219"/>
    </row>
    <row r="1381" ht="12.75" customHeight="1" outlineLevel="2">
      <c r="B1381" s="301" t="s">
        <v>3191</v>
      </c>
      <c r="C1381" s="315" t="s">
        <v>3192</v>
      </c>
      <c r="D1381" s="203" t="s">
        <v>75</v>
      </c>
      <c r="E1381" s="214">
        <v>1.0</v>
      </c>
      <c r="F1381" s="205">
        <v>10.0</v>
      </c>
      <c r="G1381" s="206">
        <f t="shared" si="65"/>
        <v>10</v>
      </c>
      <c r="H1381" s="219"/>
    </row>
    <row r="1382" ht="12.75" customHeight="1" outlineLevel="2">
      <c r="B1382" s="301" t="s">
        <v>3193</v>
      </c>
      <c r="C1382" s="315" t="s">
        <v>3194</v>
      </c>
      <c r="D1382" s="203" t="s">
        <v>75</v>
      </c>
      <c r="E1382" s="214">
        <v>1.0</v>
      </c>
      <c r="F1382" s="205">
        <v>10.0</v>
      </c>
      <c r="G1382" s="206">
        <f t="shared" si="65"/>
        <v>10</v>
      </c>
      <c r="H1382" s="219"/>
    </row>
    <row r="1383" ht="12.75" customHeight="1" outlineLevel="2">
      <c r="B1383" s="301" t="s">
        <v>3195</v>
      </c>
      <c r="C1383" s="315" t="s">
        <v>3196</v>
      </c>
      <c r="D1383" s="203" t="s">
        <v>1374</v>
      </c>
      <c r="E1383" s="214">
        <v>1.0</v>
      </c>
      <c r="F1383" s="205">
        <v>10.0</v>
      </c>
      <c r="G1383" s="206">
        <f t="shared" si="65"/>
        <v>10</v>
      </c>
      <c r="H1383" s="219"/>
    </row>
    <row r="1384" ht="12.75" customHeight="1" outlineLevel="2">
      <c r="B1384" s="301" t="s">
        <v>3197</v>
      </c>
      <c r="C1384" s="315" t="s">
        <v>3130</v>
      </c>
      <c r="D1384" s="203" t="s">
        <v>1374</v>
      </c>
      <c r="E1384" s="214">
        <v>1.0</v>
      </c>
      <c r="F1384" s="205">
        <v>10.0</v>
      </c>
      <c r="G1384" s="206">
        <f t="shared" si="65"/>
        <v>10</v>
      </c>
      <c r="H1384" s="219"/>
    </row>
    <row r="1385" ht="12.75" customHeight="1" outlineLevel="2">
      <c r="B1385" s="301" t="s">
        <v>3198</v>
      </c>
      <c r="C1385" s="315" t="s">
        <v>3199</v>
      </c>
      <c r="D1385" s="203" t="s">
        <v>75</v>
      </c>
      <c r="E1385" s="214">
        <v>1.0</v>
      </c>
      <c r="F1385" s="205">
        <v>10.0</v>
      </c>
      <c r="G1385" s="206">
        <f t="shared" si="65"/>
        <v>10</v>
      </c>
      <c r="H1385" s="219"/>
    </row>
    <row r="1386" ht="12.75" customHeight="1" outlineLevel="2">
      <c r="B1386" s="301" t="s">
        <v>3200</v>
      </c>
      <c r="C1386" s="315" t="s">
        <v>3100</v>
      </c>
      <c r="D1386" s="203" t="s">
        <v>75</v>
      </c>
      <c r="E1386" s="214">
        <v>14.0</v>
      </c>
      <c r="F1386" s="205">
        <v>110.0</v>
      </c>
      <c r="G1386" s="206">
        <f t="shared" si="65"/>
        <v>1540</v>
      </c>
      <c r="H1386" s="219"/>
    </row>
    <row r="1387" ht="12.75" customHeight="1" outlineLevel="2">
      <c r="B1387" s="301" t="s">
        <v>3201</v>
      </c>
      <c r="C1387" s="316" t="s">
        <v>3202</v>
      </c>
      <c r="D1387" s="302" t="s">
        <v>75</v>
      </c>
      <c r="E1387" s="303">
        <v>3.0</v>
      </c>
      <c r="F1387" s="304">
        <v>49.14</v>
      </c>
      <c r="G1387" s="206">
        <f t="shared" si="65"/>
        <v>147.42</v>
      </c>
      <c r="H1387" s="219"/>
    </row>
    <row r="1388" ht="12.75" customHeight="1" outlineLevel="2">
      <c r="B1388" s="328"/>
      <c r="C1388" s="329"/>
      <c r="D1388" s="130"/>
      <c r="E1388" s="170"/>
      <c r="F1388" s="239"/>
      <c r="G1388" s="239"/>
      <c r="H1388" s="240"/>
    </row>
    <row r="1389" ht="12.75" customHeight="1" outlineLevel="2">
      <c r="B1389" s="319" t="s">
        <v>3203</v>
      </c>
      <c r="C1389" s="316" t="s">
        <v>3204</v>
      </c>
      <c r="D1389" s="302" t="s">
        <v>33</v>
      </c>
      <c r="E1389" s="303">
        <v>1.0</v>
      </c>
      <c r="F1389" s="304">
        <v>21000.0</v>
      </c>
      <c r="G1389" s="206">
        <f>F1389*E1389</f>
        <v>21000</v>
      </c>
      <c r="H1389" s="219" t="s">
        <v>3205</v>
      </c>
    </row>
    <row r="1390" ht="12.75" customHeight="1" outlineLevel="2">
      <c r="B1390" s="189"/>
      <c r="C1390" s="208"/>
      <c r="E1390" s="79"/>
      <c r="F1390" s="80"/>
      <c r="G1390" s="80"/>
      <c r="H1390" s="240"/>
    </row>
    <row r="1391" ht="12.75" customHeight="1" outlineLevel="2">
      <c r="B1391" s="301" t="s">
        <v>3206</v>
      </c>
      <c r="C1391" s="315" t="s">
        <v>3207</v>
      </c>
      <c r="D1391" s="203" t="s">
        <v>33</v>
      </c>
      <c r="E1391" s="214">
        <v>1.0</v>
      </c>
      <c r="F1391" s="205">
        <v>0.0</v>
      </c>
      <c r="G1391" s="206">
        <f>F1391*E1391</f>
        <v>0</v>
      </c>
      <c r="H1391" s="206" t="s">
        <v>619</v>
      </c>
    </row>
    <row r="1392" ht="12.75" customHeight="1" outlineLevel="2">
      <c r="B1392" s="189"/>
      <c r="C1392" s="208"/>
      <c r="E1392" s="79"/>
      <c r="F1392" s="80"/>
      <c r="G1392" s="80"/>
      <c r="H1392" s="240"/>
    </row>
    <row r="1393" ht="12.75" customHeight="1" outlineLevel="1">
      <c r="A1393" s="89" t="s">
        <v>1429</v>
      </c>
      <c r="B1393" s="189"/>
      <c r="C1393" s="184" t="s">
        <v>3208</v>
      </c>
      <c r="E1393" s="79"/>
      <c r="F1393" s="80"/>
      <c r="G1393" s="80"/>
      <c r="H1393" s="240"/>
    </row>
    <row r="1394" ht="12.75" customHeight="1" outlineLevel="2">
      <c r="B1394" s="189"/>
      <c r="C1394" s="208"/>
      <c r="E1394" s="79"/>
      <c r="F1394" s="80"/>
      <c r="G1394" s="80"/>
      <c r="H1394" s="240"/>
    </row>
    <row r="1395" ht="12.75" customHeight="1" outlineLevel="2">
      <c r="B1395" s="301" t="s">
        <v>3209</v>
      </c>
      <c r="C1395" s="315" t="s">
        <v>2709</v>
      </c>
      <c r="D1395" s="203" t="s">
        <v>33</v>
      </c>
      <c r="E1395" s="214">
        <v>1.0</v>
      </c>
      <c r="F1395" s="205">
        <v>0.0</v>
      </c>
      <c r="G1395" s="206">
        <f>F1395*E1395</f>
        <v>0</v>
      </c>
      <c r="H1395" s="206" t="s">
        <v>619</v>
      </c>
    </row>
    <row r="1396" ht="12.75" customHeight="1" outlineLevel="2">
      <c r="B1396" s="189"/>
      <c r="C1396" s="208"/>
      <c r="E1396" s="79"/>
      <c r="F1396" s="80"/>
      <c r="G1396" s="80"/>
      <c r="H1396" s="240"/>
    </row>
    <row r="1397" ht="12.75" customHeight="1" outlineLevel="2">
      <c r="B1397" s="301" t="s">
        <v>3210</v>
      </c>
      <c r="C1397" s="315" t="s">
        <v>3211</v>
      </c>
      <c r="D1397" s="203" t="s">
        <v>33</v>
      </c>
      <c r="E1397" s="214">
        <v>1.0</v>
      </c>
      <c r="F1397" s="205">
        <v>0.0</v>
      </c>
      <c r="G1397" s="206">
        <f>F1397*E1397</f>
        <v>0</v>
      </c>
      <c r="H1397" s="206" t="s">
        <v>619</v>
      </c>
    </row>
    <row r="1398" ht="12.75" customHeight="1" outlineLevel="2">
      <c r="B1398" s="189"/>
      <c r="C1398" s="208"/>
      <c r="E1398" s="79"/>
      <c r="F1398" s="80"/>
      <c r="G1398" s="80"/>
      <c r="H1398" s="240"/>
    </row>
    <row r="1399" ht="12.75" customHeight="1" outlineLevel="1">
      <c r="A1399" s="89" t="s">
        <v>1432</v>
      </c>
      <c r="B1399" s="189"/>
      <c r="C1399" s="330" t="s">
        <v>3212</v>
      </c>
      <c r="E1399" s="79"/>
      <c r="F1399" s="80"/>
      <c r="G1399" s="80"/>
      <c r="H1399" s="240"/>
    </row>
    <row r="1400" ht="12.75" customHeight="1" outlineLevel="2">
      <c r="B1400" s="189"/>
      <c r="C1400" s="208"/>
      <c r="E1400" s="79"/>
      <c r="F1400" s="80"/>
      <c r="G1400" s="80"/>
      <c r="H1400" s="240"/>
    </row>
    <row r="1401" ht="12.75" customHeight="1" outlineLevel="2">
      <c r="A1401" s="160"/>
      <c r="B1401" s="301" t="s">
        <v>3213</v>
      </c>
      <c r="C1401" s="315" t="s">
        <v>3214</v>
      </c>
      <c r="D1401" s="203" t="s">
        <v>33</v>
      </c>
      <c r="E1401" s="214">
        <v>1.0</v>
      </c>
      <c r="F1401" s="205">
        <v>58958.71</v>
      </c>
      <c r="G1401" s="206">
        <v>55000.0</v>
      </c>
      <c r="H1401" s="219"/>
    </row>
    <row r="1402" ht="12.75" customHeight="1" outlineLevel="2">
      <c r="B1402" s="189"/>
      <c r="C1402" s="208"/>
      <c r="E1402" s="79"/>
      <c r="F1402" s="80"/>
      <c r="G1402" s="80"/>
      <c r="H1402" s="240"/>
    </row>
    <row r="1403" ht="12.75" customHeight="1" outlineLevel="2">
      <c r="A1403" s="89" t="s">
        <v>1436</v>
      </c>
      <c r="B1403" s="189"/>
      <c r="C1403" s="330" t="s">
        <v>3215</v>
      </c>
      <c r="E1403" s="79"/>
      <c r="F1403" s="80"/>
      <c r="G1403" s="80"/>
      <c r="H1403" s="240"/>
    </row>
    <row r="1404" ht="12.75" customHeight="1" outlineLevel="2">
      <c r="B1404" s="189"/>
      <c r="C1404" s="208"/>
      <c r="E1404" s="79"/>
      <c r="F1404" s="80"/>
      <c r="G1404" s="80"/>
      <c r="H1404" s="240"/>
    </row>
    <row r="1405" ht="12.75" customHeight="1" outlineLevel="2">
      <c r="B1405" s="189"/>
      <c r="C1405" s="320" t="s">
        <v>3216</v>
      </c>
      <c r="E1405" s="79"/>
      <c r="F1405" s="80"/>
      <c r="G1405" s="80"/>
      <c r="H1405" s="240"/>
    </row>
    <row r="1406" ht="12.75" customHeight="1" outlineLevel="2">
      <c r="B1406" s="189"/>
      <c r="C1406" s="208"/>
      <c r="E1406" s="79"/>
      <c r="F1406" s="80"/>
      <c r="G1406" s="80"/>
      <c r="H1406" s="240"/>
    </row>
    <row r="1407" ht="12.75" customHeight="1" outlineLevel="2">
      <c r="B1407" s="324">
        <v>17.26</v>
      </c>
      <c r="C1407" s="323" t="s">
        <v>3217</v>
      </c>
      <c r="E1407" s="79"/>
      <c r="F1407" s="80"/>
      <c r="G1407" s="80"/>
      <c r="H1407" s="240"/>
    </row>
    <row r="1408" ht="12.75" customHeight="1" outlineLevel="2">
      <c r="B1408" s="189"/>
      <c r="C1408" s="208"/>
      <c r="E1408" s="79"/>
      <c r="F1408" s="80"/>
      <c r="G1408" s="80"/>
      <c r="H1408" s="240"/>
    </row>
    <row r="1409" ht="12.75" customHeight="1" outlineLevel="2">
      <c r="B1409" s="301" t="s">
        <v>3218</v>
      </c>
      <c r="C1409" s="315" t="s">
        <v>3219</v>
      </c>
      <c r="D1409" s="203" t="s">
        <v>75</v>
      </c>
      <c r="E1409" s="214">
        <v>28.0</v>
      </c>
      <c r="F1409" s="205">
        <v>0.0</v>
      </c>
      <c r="G1409" s="206">
        <f t="shared" ref="G1409:G1411" si="66">F1409*E1409</f>
        <v>0</v>
      </c>
      <c r="H1409" s="206" t="s">
        <v>619</v>
      </c>
    </row>
    <row r="1410" ht="12.75" customHeight="1" outlineLevel="2">
      <c r="B1410" s="301" t="s">
        <v>3220</v>
      </c>
      <c r="C1410" s="315" t="s">
        <v>3221</v>
      </c>
      <c r="D1410" s="203" t="s">
        <v>75</v>
      </c>
      <c r="E1410" s="214">
        <v>6.0</v>
      </c>
      <c r="F1410" s="205">
        <v>0.0</v>
      </c>
      <c r="G1410" s="206">
        <f t="shared" si="66"/>
        <v>0</v>
      </c>
      <c r="H1410" s="206" t="s">
        <v>619</v>
      </c>
    </row>
    <row r="1411" ht="12.75" customHeight="1" outlineLevel="2">
      <c r="B1411" s="301" t="s">
        <v>3222</v>
      </c>
      <c r="C1411" s="315" t="s">
        <v>3223</v>
      </c>
      <c r="D1411" s="203" t="s">
        <v>75</v>
      </c>
      <c r="E1411" s="214">
        <v>1.0</v>
      </c>
      <c r="F1411" s="205">
        <v>0.0</v>
      </c>
      <c r="G1411" s="206">
        <f t="shared" si="66"/>
        <v>0</v>
      </c>
      <c r="H1411" s="206" t="s">
        <v>619</v>
      </c>
    </row>
    <row r="1412" ht="12.75" customHeight="1" outlineLevel="2">
      <c r="B1412" s="189"/>
      <c r="C1412" s="208"/>
      <c r="E1412" s="79"/>
      <c r="F1412" s="80"/>
      <c r="G1412" s="80"/>
      <c r="H1412" s="80"/>
    </row>
    <row r="1413" ht="12.75" customHeight="1" outlineLevel="2">
      <c r="B1413" s="324">
        <v>17.27</v>
      </c>
      <c r="C1413" s="323" t="s">
        <v>3224</v>
      </c>
      <c r="E1413" s="79"/>
      <c r="F1413" s="80"/>
      <c r="G1413" s="80"/>
      <c r="H1413" s="80"/>
    </row>
    <row r="1414" ht="12.75" customHeight="1" outlineLevel="2">
      <c r="B1414" s="189"/>
      <c r="C1414" s="208"/>
      <c r="E1414" s="79"/>
      <c r="F1414" s="80"/>
      <c r="G1414" s="80"/>
      <c r="H1414" s="80"/>
    </row>
    <row r="1415" ht="12.75" customHeight="1" outlineLevel="2">
      <c r="B1415" s="301" t="s">
        <v>3225</v>
      </c>
      <c r="C1415" s="315" t="s">
        <v>3226</v>
      </c>
      <c r="D1415" s="203" t="s">
        <v>75</v>
      </c>
      <c r="E1415" s="214">
        <v>7.0</v>
      </c>
      <c r="F1415" s="205">
        <v>0.0</v>
      </c>
      <c r="G1415" s="206">
        <f t="shared" ref="G1415:G1416" si="67">F1415*E1415</f>
        <v>0</v>
      </c>
      <c r="H1415" s="206" t="s">
        <v>619</v>
      </c>
    </row>
    <row r="1416" ht="12.75" customHeight="1" outlineLevel="2">
      <c r="B1416" s="301" t="s">
        <v>3227</v>
      </c>
      <c r="C1416" s="315" t="s">
        <v>3228</v>
      </c>
      <c r="D1416" s="203" t="s">
        <v>75</v>
      </c>
      <c r="E1416" s="214">
        <v>8.0</v>
      </c>
      <c r="F1416" s="205">
        <v>0.0</v>
      </c>
      <c r="G1416" s="206">
        <f t="shared" si="67"/>
        <v>0</v>
      </c>
      <c r="H1416" s="206" t="s">
        <v>619</v>
      </c>
    </row>
    <row r="1417" ht="12.75" customHeight="1" outlineLevel="2">
      <c r="B1417" s="189"/>
      <c r="C1417" s="208"/>
      <c r="E1417" s="79"/>
      <c r="F1417" s="80"/>
      <c r="G1417" s="80"/>
      <c r="H1417" s="80"/>
    </row>
    <row r="1418" ht="12.75" customHeight="1" outlineLevel="2">
      <c r="B1418" s="322">
        <v>17.28</v>
      </c>
      <c r="C1418" s="323" t="s">
        <v>3229</v>
      </c>
      <c r="E1418" s="79"/>
      <c r="F1418" s="80"/>
      <c r="G1418" s="80"/>
      <c r="H1418" s="80"/>
    </row>
    <row r="1419" ht="12.75" customHeight="1" outlineLevel="2">
      <c r="B1419" s="189"/>
      <c r="C1419" s="208"/>
      <c r="E1419" s="79"/>
      <c r="F1419" s="80"/>
      <c r="G1419" s="80"/>
      <c r="H1419" s="80"/>
    </row>
    <row r="1420" ht="12.75" customHeight="1" outlineLevel="2">
      <c r="B1420" s="301" t="s">
        <v>3230</v>
      </c>
      <c r="C1420" s="315" t="s">
        <v>3231</v>
      </c>
      <c r="D1420" s="203" t="s">
        <v>161</v>
      </c>
      <c r="E1420" s="214">
        <v>488.0</v>
      </c>
      <c r="F1420" s="205">
        <v>0.0</v>
      </c>
      <c r="G1420" s="206">
        <f>F1420*E1420</f>
        <v>0</v>
      </c>
      <c r="H1420" s="206" t="s">
        <v>619</v>
      </c>
    </row>
    <row r="1421" ht="12.75" customHeight="1" outlineLevel="2">
      <c r="B1421" s="189"/>
      <c r="C1421" s="208"/>
      <c r="E1421" s="79"/>
      <c r="F1421" s="80"/>
      <c r="G1421" s="80"/>
      <c r="H1421" s="240"/>
    </row>
    <row r="1422" ht="12.75" customHeight="1" outlineLevel="2">
      <c r="B1422" s="322">
        <v>17.29</v>
      </c>
      <c r="C1422" s="323" t="s">
        <v>3017</v>
      </c>
      <c r="E1422" s="79"/>
      <c r="F1422" s="80"/>
      <c r="G1422" s="80"/>
      <c r="H1422" s="240"/>
    </row>
    <row r="1423" ht="12.75" customHeight="1" outlineLevel="2">
      <c r="B1423" s="189"/>
      <c r="C1423" s="208"/>
      <c r="E1423" s="79"/>
      <c r="F1423" s="80"/>
      <c r="G1423" s="80"/>
      <c r="H1423" s="240"/>
    </row>
    <row r="1424" ht="12.75" customHeight="1" outlineLevel="2">
      <c r="B1424" s="301" t="s">
        <v>3232</v>
      </c>
      <c r="C1424" s="315" t="s">
        <v>3001</v>
      </c>
      <c r="D1424" s="203" t="s">
        <v>161</v>
      </c>
      <c r="E1424" s="214">
        <v>457.0</v>
      </c>
      <c r="F1424" s="205">
        <v>1.5</v>
      </c>
      <c r="G1424" s="206">
        <f t="shared" ref="G1424:G1425" si="68">F1424*E1424</f>
        <v>685.5</v>
      </c>
      <c r="H1424" s="219"/>
    </row>
    <row r="1425" ht="12.75" customHeight="1" outlineLevel="2">
      <c r="B1425" s="301" t="s">
        <v>3233</v>
      </c>
      <c r="C1425" s="315" t="s">
        <v>3234</v>
      </c>
      <c r="D1425" s="203" t="s">
        <v>161</v>
      </c>
      <c r="E1425" s="214">
        <v>32.0</v>
      </c>
      <c r="F1425" s="205">
        <v>2.0</v>
      </c>
      <c r="G1425" s="206">
        <f t="shared" si="68"/>
        <v>64</v>
      </c>
      <c r="H1425" s="219"/>
    </row>
    <row r="1426" ht="12.75" customHeight="1" outlineLevel="2">
      <c r="B1426" s="189"/>
      <c r="C1426" s="208"/>
      <c r="E1426" s="79"/>
      <c r="F1426" s="80"/>
      <c r="G1426" s="80"/>
      <c r="H1426" s="240"/>
    </row>
    <row r="1427" ht="12.75" customHeight="1" outlineLevel="2">
      <c r="B1427" s="327" t="s">
        <v>3235</v>
      </c>
      <c r="C1427" s="323" t="s">
        <v>3020</v>
      </c>
      <c r="E1427" s="79"/>
      <c r="F1427" s="80"/>
      <c r="G1427" s="80"/>
      <c r="H1427" s="240"/>
    </row>
    <row r="1428" ht="12.75" customHeight="1" outlineLevel="2">
      <c r="B1428" s="189"/>
      <c r="C1428" s="208"/>
      <c r="E1428" s="79"/>
      <c r="F1428" s="80"/>
      <c r="G1428" s="80"/>
      <c r="H1428" s="240"/>
    </row>
    <row r="1429" ht="12.75" customHeight="1" outlineLevel="2">
      <c r="B1429" s="301" t="s">
        <v>3236</v>
      </c>
      <c r="C1429" s="315" t="s">
        <v>3237</v>
      </c>
      <c r="D1429" s="203" t="s">
        <v>75</v>
      </c>
      <c r="E1429" s="214">
        <v>50.0</v>
      </c>
      <c r="F1429" s="205">
        <v>2.0</v>
      </c>
      <c r="G1429" s="206">
        <f t="shared" ref="G1429:G1430" si="69">F1429*E1429</f>
        <v>100</v>
      </c>
      <c r="H1429" s="219"/>
    </row>
    <row r="1430" ht="12.75" customHeight="1" outlineLevel="2">
      <c r="B1430" s="331" t="s">
        <v>3238</v>
      </c>
      <c r="C1430" s="332" t="s">
        <v>1450</v>
      </c>
      <c r="D1430" s="333" t="s">
        <v>75</v>
      </c>
      <c r="E1430" s="334">
        <v>2.0</v>
      </c>
      <c r="F1430" s="335">
        <v>22.0</v>
      </c>
      <c r="G1430" s="206">
        <f t="shared" si="69"/>
        <v>44</v>
      </c>
      <c r="H1430" s="336"/>
    </row>
    <row r="1431" ht="12.75" customHeight="1" outlineLevel="2">
      <c r="B1431" s="189"/>
      <c r="C1431" s="208"/>
      <c r="E1431" s="79"/>
      <c r="F1431" s="80"/>
      <c r="G1431" s="80"/>
      <c r="H1431" s="240"/>
    </row>
    <row r="1432" ht="12.75" customHeight="1" outlineLevel="2">
      <c r="A1432" s="89" t="s">
        <v>1451</v>
      </c>
      <c r="B1432" s="189"/>
      <c r="C1432" s="330" t="s">
        <v>3239</v>
      </c>
      <c r="H1432" s="240"/>
    </row>
    <row r="1433" ht="12.75" customHeight="1" outlineLevel="2">
      <c r="B1433" s="189"/>
      <c r="C1433" s="208"/>
      <c r="E1433" s="79"/>
      <c r="F1433" s="80"/>
      <c r="G1433" s="80"/>
      <c r="H1433" s="240"/>
    </row>
    <row r="1434" ht="12.75" customHeight="1" outlineLevel="2">
      <c r="B1434" s="189"/>
      <c r="C1434" s="320" t="s">
        <v>3240</v>
      </c>
      <c r="D1434" s="89"/>
      <c r="E1434" s="91"/>
      <c r="F1434" s="92"/>
      <c r="G1434" s="239"/>
      <c r="H1434" s="240"/>
    </row>
    <row r="1435" ht="12.75" customHeight="1" outlineLevel="2">
      <c r="B1435" s="189"/>
      <c r="C1435" s="208"/>
      <c r="E1435" s="79"/>
      <c r="F1435" s="80"/>
      <c r="G1435" s="80"/>
      <c r="H1435" s="240"/>
    </row>
    <row r="1436" ht="12.75" customHeight="1" outlineLevel="2">
      <c r="B1436" s="322">
        <v>17.31</v>
      </c>
      <c r="C1436" s="337" t="s">
        <v>3241</v>
      </c>
      <c r="D1436" s="338" t="s">
        <v>1435</v>
      </c>
      <c r="E1436" s="339">
        <v>1.0</v>
      </c>
      <c r="F1436" s="340">
        <v>3400.0</v>
      </c>
      <c r="G1436" s="304">
        <f>F1436*E1436</f>
        <v>3400</v>
      </c>
      <c r="H1436" s="240"/>
    </row>
    <row r="1437" ht="12.75" customHeight="1" outlineLevel="2">
      <c r="B1437" s="189"/>
      <c r="C1437" s="208"/>
      <c r="E1437" s="79"/>
      <c r="F1437" s="80"/>
      <c r="G1437" s="80"/>
      <c r="H1437" s="240"/>
    </row>
    <row r="1438" ht="12.75" customHeight="1" outlineLevel="2">
      <c r="B1438" s="331" t="s">
        <v>3242</v>
      </c>
      <c r="C1438" s="332" t="s">
        <v>3243</v>
      </c>
      <c r="D1438" s="333" t="s">
        <v>75</v>
      </c>
      <c r="E1438" s="334">
        <v>10.0</v>
      </c>
      <c r="F1438" s="335">
        <v>0.0</v>
      </c>
      <c r="G1438" s="341">
        <f t="shared" ref="G1438:G1451" si="70">F1438*E1438</f>
        <v>0</v>
      </c>
      <c r="H1438" s="341" t="s">
        <v>619</v>
      </c>
    </row>
    <row r="1439" ht="12.75" customHeight="1" outlineLevel="2">
      <c r="B1439" s="331" t="s">
        <v>3244</v>
      </c>
      <c r="C1439" s="332" t="s">
        <v>3245</v>
      </c>
      <c r="D1439" s="333" t="s">
        <v>75</v>
      </c>
      <c r="E1439" s="334">
        <v>1.0</v>
      </c>
      <c r="F1439" s="335">
        <v>0.0</v>
      </c>
      <c r="G1439" s="341">
        <f t="shared" si="70"/>
        <v>0</v>
      </c>
      <c r="H1439" s="341" t="s">
        <v>619</v>
      </c>
    </row>
    <row r="1440" ht="12.75" customHeight="1" outlineLevel="2">
      <c r="B1440" s="331" t="s">
        <v>3246</v>
      </c>
      <c r="C1440" s="332" t="s">
        <v>3247</v>
      </c>
      <c r="D1440" s="333" t="s">
        <v>75</v>
      </c>
      <c r="E1440" s="334">
        <v>11.0</v>
      </c>
      <c r="F1440" s="335">
        <v>0.0</v>
      </c>
      <c r="G1440" s="341">
        <f t="shared" si="70"/>
        <v>0</v>
      </c>
      <c r="H1440" s="341" t="s">
        <v>619</v>
      </c>
    </row>
    <row r="1441" ht="12.75" customHeight="1" outlineLevel="2">
      <c r="B1441" s="331" t="s">
        <v>3248</v>
      </c>
      <c r="C1441" s="332" t="s">
        <v>3249</v>
      </c>
      <c r="D1441" s="333"/>
      <c r="E1441" s="334"/>
      <c r="F1441" s="335">
        <v>0.0</v>
      </c>
      <c r="G1441" s="341">
        <f t="shared" si="70"/>
        <v>0</v>
      </c>
      <c r="H1441" s="341"/>
    </row>
    <row r="1442" ht="12.75" customHeight="1" outlineLevel="2">
      <c r="B1442" s="331" t="s">
        <v>3250</v>
      </c>
      <c r="C1442" s="332" t="s">
        <v>3251</v>
      </c>
      <c r="D1442" s="333" t="s">
        <v>75</v>
      </c>
      <c r="E1442" s="334">
        <v>1.0</v>
      </c>
      <c r="F1442" s="335">
        <v>0.0</v>
      </c>
      <c r="G1442" s="341">
        <f t="shared" si="70"/>
        <v>0</v>
      </c>
      <c r="H1442" s="341" t="s">
        <v>619</v>
      </c>
    </row>
    <row r="1443" ht="12.75" customHeight="1" outlineLevel="2">
      <c r="B1443" s="331" t="s">
        <v>3252</v>
      </c>
      <c r="C1443" s="332" t="s">
        <v>3253</v>
      </c>
      <c r="D1443" s="333" t="s">
        <v>75</v>
      </c>
      <c r="E1443" s="334">
        <v>1.0</v>
      </c>
      <c r="F1443" s="335">
        <v>0.0</v>
      </c>
      <c r="G1443" s="341">
        <f t="shared" si="70"/>
        <v>0</v>
      </c>
      <c r="H1443" s="341" t="s">
        <v>619</v>
      </c>
    </row>
    <row r="1444" ht="12.75" customHeight="1" outlineLevel="2">
      <c r="B1444" s="331" t="s">
        <v>3254</v>
      </c>
      <c r="C1444" s="332" t="s">
        <v>3255</v>
      </c>
      <c r="D1444" s="333" t="s">
        <v>75</v>
      </c>
      <c r="E1444" s="334">
        <v>1.0</v>
      </c>
      <c r="F1444" s="335">
        <v>0.0</v>
      </c>
      <c r="G1444" s="341">
        <f t="shared" si="70"/>
        <v>0</v>
      </c>
      <c r="H1444" s="341" t="s">
        <v>619</v>
      </c>
    </row>
    <row r="1445" ht="12.75" customHeight="1" outlineLevel="2">
      <c r="B1445" s="331" t="s">
        <v>3256</v>
      </c>
      <c r="C1445" s="332" t="s">
        <v>3257</v>
      </c>
      <c r="D1445" s="333" t="s">
        <v>75</v>
      </c>
      <c r="E1445" s="334">
        <v>1.0</v>
      </c>
      <c r="F1445" s="335">
        <v>0.0</v>
      </c>
      <c r="G1445" s="341">
        <f t="shared" si="70"/>
        <v>0</v>
      </c>
      <c r="H1445" s="341" t="s">
        <v>619</v>
      </c>
    </row>
    <row r="1446" ht="12.75" customHeight="1" outlineLevel="2">
      <c r="B1446" s="331" t="s">
        <v>3258</v>
      </c>
      <c r="C1446" s="332" t="s">
        <v>3259</v>
      </c>
      <c r="D1446" s="333" t="s">
        <v>75</v>
      </c>
      <c r="E1446" s="334">
        <v>1.0</v>
      </c>
      <c r="F1446" s="335">
        <v>0.0</v>
      </c>
      <c r="G1446" s="341">
        <f t="shared" si="70"/>
        <v>0</v>
      </c>
      <c r="H1446" s="341" t="s">
        <v>619</v>
      </c>
    </row>
    <row r="1447" ht="12.75" customHeight="1" outlineLevel="2">
      <c r="B1447" s="331" t="s">
        <v>3260</v>
      </c>
      <c r="C1447" s="332" t="s">
        <v>3261</v>
      </c>
      <c r="D1447" s="333" t="s">
        <v>161</v>
      </c>
      <c r="E1447" s="334">
        <v>303.0</v>
      </c>
      <c r="F1447" s="335">
        <v>0.0</v>
      </c>
      <c r="G1447" s="341">
        <f t="shared" si="70"/>
        <v>0</v>
      </c>
      <c r="H1447" s="341" t="s">
        <v>619</v>
      </c>
    </row>
    <row r="1448" ht="12.75" customHeight="1" outlineLevel="2">
      <c r="B1448" s="331" t="s">
        <v>3262</v>
      </c>
      <c r="C1448" s="332" t="s">
        <v>3263</v>
      </c>
      <c r="D1448" s="333" t="s">
        <v>75</v>
      </c>
      <c r="E1448" s="334">
        <v>11.0</v>
      </c>
      <c r="F1448" s="335"/>
      <c r="G1448" s="341">
        <f t="shared" si="70"/>
        <v>0</v>
      </c>
      <c r="H1448" s="341" t="s">
        <v>619</v>
      </c>
    </row>
    <row r="1449" ht="12.75" customHeight="1" outlineLevel="2">
      <c r="B1449" s="331" t="s">
        <v>3264</v>
      </c>
      <c r="C1449" s="332" t="s">
        <v>3265</v>
      </c>
      <c r="D1449" s="333" t="s">
        <v>161</v>
      </c>
      <c r="E1449" s="334">
        <v>183.0</v>
      </c>
      <c r="F1449" s="335">
        <v>2.0</v>
      </c>
      <c r="G1449" s="341">
        <f t="shared" si="70"/>
        <v>366</v>
      </c>
      <c r="H1449" s="336"/>
    </row>
    <row r="1450" ht="12.75" customHeight="1" outlineLevel="2">
      <c r="B1450" s="331" t="s">
        <v>3266</v>
      </c>
      <c r="C1450" s="332" t="s">
        <v>3267</v>
      </c>
      <c r="D1450" s="333" t="s">
        <v>161</v>
      </c>
      <c r="E1450" s="334">
        <v>19.0</v>
      </c>
      <c r="F1450" s="335">
        <v>3.0</v>
      </c>
      <c r="G1450" s="341">
        <f t="shared" si="70"/>
        <v>57</v>
      </c>
      <c r="H1450" s="336"/>
    </row>
    <row r="1451" ht="12.75" customHeight="1" outlineLevel="2">
      <c r="B1451" s="331" t="s">
        <v>3268</v>
      </c>
      <c r="C1451" s="332" t="s">
        <v>3269</v>
      </c>
      <c r="D1451" s="333" t="s">
        <v>75</v>
      </c>
      <c r="E1451" s="334">
        <v>2.0</v>
      </c>
      <c r="F1451" s="335">
        <v>61.0</v>
      </c>
      <c r="G1451" s="341">
        <f t="shared" si="70"/>
        <v>122</v>
      </c>
      <c r="H1451" s="336"/>
    </row>
    <row r="1452" ht="12.75" customHeight="1" outlineLevel="2">
      <c r="B1452" s="189"/>
      <c r="C1452" s="208"/>
      <c r="E1452" s="79"/>
      <c r="F1452" s="80"/>
      <c r="G1452" s="80"/>
      <c r="H1452" s="240"/>
    </row>
    <row r="1453" ht="12.75" customHeight="1" outlineLevel="2">
      <c r="A1453" s="89" t="s">
        <v>1469</v>
      </c>
      <c r="B1453" s="189"/>
      <c r="C1453" s="330" t="s">
        <v>3270</v>
      </c>
      <c r="D1453" s="89" t="s">
        <v>1435</v>
      </c>
      <c r="E1453" s="91">
        <v>0.0</v>
      </c>
      <c r="F1453" s="80"/>
      <c r="G1453" s="92">
        <v>0.0</v>
      </c>
      <c r="H1453" s="240"/>
    </row>
    <row r="1454" ht="12.75" customHeight="1" outlineLevel="2">
      <c r="B1454" s="189"/>
      <c r="C1454" s="208"/>
      <c r="E1454" s="79"/>
      <c r="F1454" s="80"/>
      <c r="G1454" s="80"/>
      <c r="H1454" s="240"/>
    </row>
    <row r="1455" ht="12.75" customHeight="1" outlineLevel="2">
      <c r="A1455" s="151" t="s">
        <v>1471</v>
      </c>
      <c r="B1455" s="342">
        <v>17.32</v>
      </c>
      <c r="C1455" s="237" t="s">
        <v>3271</v>
      </c>
      <c r="D1455" s="343" t="s">
        <v>1435</v>
      </c>
      <c r="E1455" s="344">
        <v>1.0</v>
      </c>
      <c r="F1455" s="345">
        <v>20000.0</v>
      </c>
      <c r="G1455" s="206">
        <f>F1455*E1455</f>
        <v>20000</v>
      </c>
      <c r="H1455" s="240"/>
    </row>
    <row r="1456" ht="12.75" customHeight="1" outlineLevel="2">
      <c r="B1456" s="189"/>
      <c r="C1456" s="208"/>
      <c r="E1456" s="79"/>
      <c r="F1456" s="80"/>
      <c r="G1456" s="80"/>
      <c r="H1456" s="240"/>
    </row>
    <row r="1457" ht="12.75" customHeight="1" outlineLevel="2">
      <c r="B1457" s="302" t="s">
        <v>3272</v>
      </c>
      <c r="C1457" s="346" t="s">
        <v>3273</v>
      </c>
      <c r="D1457" s="302" t="s">
        <v>161</v>
      </c>
      <c r="E1457" s="347">
        <v>98.0</v>
      </c>
      <c r="F1457" s="348">
        <v>0.0</v>
      </c>
      <c r="G1457" s="206">
        <f>F1457*E1457</f>
        <v>0</v>
      </c>
      <c r="H1457" s="348" t="s">
        <v>619</v>
      </c>
    </row>
    <row r="1458" ht="12.75" customHeight="1" outlineLevel="2">
      <c r="B1458" s="189"/>
      <c r="C1458" s="208"/>
      <c r="E1458" s="79"/>
      <c r="F1458" s="80"/>
      <c r="G1458" s="80"/>
      <c r="H1458" s="80"/>
    </row>
    <row r="1459" ht="12.75" customHeight="1" outlineLevel="2">
      <c r="B1459" s="322">
        <v>17.33</v>
      </c>
      <c r="C1459" s="323" t="s">
        <v>2981</v>
      </c>
      <c r="E1459" s="79"/>
      <c r="F1459" s="80"/>
      <c r="G1459" s="80"/>
      <c r="H1459" s="80"/>
    </row>
    <row r="1460" ht="12.75" customHeight="1" outlineLevel="2">
      <c r="B1460" s="189"/>
      <c r="C1460" s="208"/>
      <c r="E1460" s="79"/>
      <c r="F1460" s="80"/>
      <c r="G1460" s="80"/>
      <c r="H1460" s="80"/>
    </row>
    <row r="1461" ht="12.75" customHeight="1" outlineLevel="2">
      <c r="B1461" s="349" t="s">
        <v>3274</v>
      </c>
      <c r="C1461" s="332" t="s">
        <v>3275</v>
      </c>
      <c r="D1461" s="333" t="s">
        <v>75</v>
      </c>
      <c r="E1461" s="334">
        <v>1.0</v>
      </c>
      <c r="F1461" s="335">
        <v>0.0</v>
      </c>
      <c r="G1461" s="206">
        <f t="shared" ref="G1461:G1463" si="71">F1461*E1461</f>
        <v>0</v>
      </c>
      <c r="H1461" s="341" t="s">
        <v>619</v>
      </c>
    </row>
    <row r="1462" ht="12.75" customHeight="1" outlineLevel="2">
      <c r="B1462" s="349" t="s">
        <v>3276</v>
      </c>
      <c r="C1462" s="332" t="s">
        <v>3277</v>
      </c>
      <c r="D1462" s="333" t="s">
        <v>75</v>
      </c>
      <c r="E1462" s="334">
        <v>1.0</v>
      </c>
      <c r="F1462" s="335">
        <v>0.0</v>
      </c>
      <c r="G1462" s="206">
        <f t="shared" si="71"/>
        <v>0</v>
      </c>
      <c r="H1462" s="341" t="s">
        <v>619</v>
      </c>
    </row>
    <row r="1463" ht="12.75" customHeight="1" outlineLevel="2">
      <c r="B1463" s="349" t="s">
        <v>3278</v>
      </c>
      <c r="C1463" s="332" t="s">
        <v>3263</v>
      </c>
      <c r="D1463" s="333" t="s">
        <v>75</v>
      </c>
      <c r="E1463" s="334">
        <v>1.0</v>
      </c>
      <c r="F1463" s="335">
        <v>0.0</v>
      </c>
      <c r="G1463" s="206">
        <f t="shared" si="71"/>
        <v>0</v>
      </c>
      <c r="H1463" s="341" t="s">
        <v>619</v>
      </c>
    </row>
    <row r="1464" ht="12.75" customHeight="1" outlineLevel="2">
      <c r="B1464" s="189"/>
      <c r="C1464" s="208"/>
      <c r="E1464" s="79"/>
      <c r="F1464" s="80"/>
      <c r="G1464" s="80"/>
      <c r="H1464" s="240"/>
    </row>
    <row r="1465" ht="12.75" customHeight="1" outlineLevel="2">
      <c r="B1465" s="322">
        <v>17.34</v>
      </c>
      <c r="C1465" s="326" t="s">
        <v>2981</v>
      </c>
      <c r="E1465" s="79"/>
      <c r="F1465" s="80"/>
      <c r="G1465" s="80"/>
      <c r="H1465" s="240"/>
    </row>
    <row r="1466" ht="12.75" customHeight="1" outlineLevel="2">
      <c r="B1466" s="189"/>
      <c r="C1466" s="208"/>
      <c r="E1466" s="79"/>
      <c r="F1466" s="80"/>
      <c r="G1466" s="80"/>
      <c r="H1466" s="240"/>
    </row>
    <row r="1467" ht="12.75" customHeight="1" outlineLevel="2">
      <c r="B1467" s="331" t="s">
        <v>3279</v>
      </c>
      <c r="C1467" s="332" t="s">
        <v>3265</v>
      </c>
      <c r="D1467" s="333" t="s">
        <v>161</v>
      </c>
      <c r="E1467" s="334">
        <v>50.0</v>
      </c>
      <c r="F1467" s="335">
        <v>2.0</v>
      </c>
      <c r="G1467" s="206">
        <f t="shared" ref="G1467:G1468" si="72">F1467*E1467</f>
        <v>100</v>
      </c>
      <c r="H1467" s="336"/>
    </row>
    <row r="1468" ht="12.75" customHeight="1" outlineLevel="2">
      <c r="B1468" s="331" t="s">
        <v>3280</v>
      </c>
      <c r="C1468" s="332" t="s">
        <v>3281</v>
      </c>
      <c r="D1468" s="333" t="s">
        <v>75</v>
      </c>
      <c r="E1468" s="334">
        <v>1.0</v>
      </c>
      <c r="F1468" s="335">
        <v>21.0</v>
      </c>
      <c r="G1468" s="206">
        <f t="shared" si="72"/>
        <v>21</v>
      </c>
      <c r="H1468" s="336"/>
    </row>
    <row r="1469" ht="12.75" customHeight="1" outlineLevel="2">
      <c r="B1469" s="189"/>
      <c r="C1469" s="208"/>
      <c r="E1469" s="79"/>
      <c r="F1469" s="80"/>
      <c r="G1469" s="80"/>
      <c r="H1469" s="240"/>
    </row>
    <row r="1470" ht="12.75" customHeight="1" outlineLevel="2">
      <c r="A1470" s="89" t="s">
        <v>1477</v>
      </c>
      <c r="B1470" s="189"/>
      <c r="C1470" s="330" t="s">
        <v>3282</v>
      </c>
      <c r="E1470" s="79"/>
      <c r="F1470" s="80"/>
      <c r="G1470" s="80"/>
      <c r="H1470" s="240"/>
    </row>
    <row r="1471" ht="12.75" customHeight="1" outlineLevel="2">
      <c r="B1471" s="189"/>
      <c r="C1471" s="208"/>
      <c r="E1471" s="79"/>
      <c r="F1471" s="80"/>
      <c r="G1471" s="80"/>
      <c r="H1471" s="240"/>
    </row>
    <row r="1472" ht="12.75" customHeight="1" outlineLevel="2">
      <c r="B1472" s="350" t="s">
        <v>3283</v>
      </c>
      <c r="C1472" s="332" t="s">
        <v>3284</v>
      </c>
      <c r="D1472" s="302" t="s">
        <v>75</v>
      </c>
      <c r="E1472" s="347">
        <v>1.0</v>
      </c>
      <c r="F1472" s="348">
        <v>0.0</v>
      </c>
      <c r="G1472" s="206">
        <f>F1472*E1472</f>
        <v>0</v>
      </c>
      <c r="H1472" s="348" t="s">
        <v>619</v>
      </c>
    </row>
    <row r="1473" ht="12.75" customHeight="1" outlineLevel="2">
      <c r="B1473" s="189"/>
      <c r="C1473" s="208"/>
      <c r="E1473" s="79"/>
      <c r="F1473" s="80"/>
      <c r="G1473" s="80"/>
      <c r="H1473" s="80"/>
    </row>
    <row r="1474" ht="12.75" customHeight="1" outlineLevel="2">
      <c r="B1474" s="350" t="s">
        <v>3285</v>
      </c>
      <c r="C1474" s="332" t="s">
        <v>3286</v>
      </c>
      <c r="D1474" s="302" t="s">
        <v>75</v>
      </c>
      <c r="E1474" s="347">
        <v>1.0</v>
      </c>
      <c r="F1474" s="348">
        <v>0.0</v>
      </c>
      <c r="G1474" s="206">
        <f>F1474*E1474</f>
        <v>0</v>
      </c>
      <c r="H1474" s="348" t="s">
        <v>619</v>
      </c>
    </row>
    <row r="1475" ht="12.75" customHeight="1" outlineLevel="2">
      <c r="B1475" s="189"/>
      <c r="C1475" s="208"/>
      <c r="E1475" s="79"/>
      <c r="F1475" s="80"/>
      <c r="G1475" s="80"/>
      <c r="H1475" s="80"/>
    </row>
    <row r="1476" ht="12.75" customHeight="1" outlineLevel="2">
      <c r="B1476" s="350" t="s">
        <v>3287</v>
      </c>
      <c r="C1476" s="332" t="s">
        <v>3288</v>
      </c>
      <c r="D1476" s="302" t="s">
        <v>75</v>
      </c>
      <c r="E1476" s="347">
        <v>3.0</v>
      </c>
      <c r="F1476" s="348">
        <v>0.0</v>
      </c>
      <c r="G1476" s="206">
        <f>F1476*E1476</f>
        <v>0</v>
      </c>
      <c r="H1476" s="348" t="s">
        <v>619</v>
      </c>
    </row>
    <row r="1477" ht="12.75" customHeight="1" outlineLevel="2">
      <c r="B1477" s="189"/>
      <c r="C1477" s="208"/>
      <c r="E1477" s="79"/>
      <c r="F1477" s="80"/>
      <c r="G1477" s="80"/>
      <c r="H1477" s="80"/>
    </row>
    <row r="1478" ht="12.75" customHeight="1" outlineLevel="2">
      <c r="B1478" s="350" t="s">
        <v>3289</v>
      </c>
      <c r="C1478" s="332" t="s">
        <v>3290</v>
      </c>
      <c r="D1478" s="302" t="s">
        <v>75</v>
      </c>
      <c r="E1478" s="347">
        <v>1.0</v>
      </c>
      <c r="F1478" s="348">
        <v>0.0</v>
      </c>
      <c r="G1478" s="206">
        <f>F1478*E1478</f>
        <v>0</v>
      </c>
      <c r="H1478" s="348" t="s">
        <v>619</v>
      </c>
    </row>
    <row r="1479" ht="12.75" customHeight="1" outlineLevel="2">
      <c r="B1479" s="189"/>
      <c r="C1479" s="208"/>
      <c r="E1479" s="79"/>
      <c r="F1479" s="80"/>
      <c r="G1479" s="80"/>
      <c r="H1479" s="240"/>
    </row>
    <row r="1480" ht="12.75" customHeight="1" outlineLevel="2">
      <c r="A1480" s="89" t="s">
        <v>1483</v>
      </c>
      <c r="B1480" s="189"/>
      <c r="C1480" s="330" t="s">
        <v>3291</v>
      </c>
      <c r="D1480" s="89" t="s">
        <v>1485</v>
      </c>
      <c r="E1480" s="91"/>
      <c r="F1480" s="80"/>
      <c r="G1480" s="92"/>
      <c r="H1480" s="240"/>
    </row>
    <row r="1481" ht="12.75" customHeight="1" outlineLevel="2">
      <c r="B1481" s="189"/>
      <c r="C1481" s="208"/>
      <c r="E1481" s="79"/>
      <c r="F1481" s="80"/>
      <c r="G1481" s="80"/>
      <c r="H1481" s="240"/>
    </row>
    <row r="1482" ht="12.75" customHeight="1" outlineLevel="2">
      <c r="A1482" s="89" t="s">
        <v>1486</v>
      </c>
      <c r="B1482" s="189"/>
      <c r="C1482" s="330" t="s">
        <v>3292</v>
      </c>
      <c r="H1482" s="240"/>
    </row>
    <row r="1483" ht="12.75" customHeight="1" outlineLevel="2">
      <c r="B1483" s="189"/>
      <c r="C1483" s="208"/>
      <c r="E1483" s="79"/>
      <c r="F1483" s="80"/>
      <c r="G1483" s="80"/>
      <c r="H1483" s="240"/>
    </row>
    <row r="1484" ht="12.75" customHeight="1" outlineLevel="2">
      <c r="B1484" s="189"/>
      <c r="C1484" s="320" t="s">
        <v>3293</v>
      </c>
      <c r="H1484" s="240"/>
    </row>
    <row r="1485" ht="12.75" customHeight="1" outlineLevel="2">
      <c r="B1485" s="189"/>
      <c r="C1485" s="208"/>
      <c r="E1485" s="79"/>
      <c r="F1485" s="80"/>
      <c r="G1485" s="80"/>
      <c r="H1485" s="240"/>
    </row>
    <row r="1486" ht="12.75" customHeight="1" outlineLevel="2">
      <c r="B1486" s="322">
        <v>17.39</v>
      </c>
      <c r="C1486" s="323" t="s">
        <v>3294</v>
      </c>
      <c r="D1486" s="351" t="s">
        <v>1435</v>
      </c>
      <c r="E1486" s="352">
        <v>1.0</v>
      </c>
      <c r="F1486" s="353">
        <v>6366.06</v>
      </c>
      <c r="G1486" s="206">
        <f>F1486*E1486</f>
        <v>6366.06</v>
      </c>
      <c r="H1486" s="240"/>
    </row>
    <row r="1487" ht="12.75" customHeight="1" outlineLevel="2">
      <c r="B1487" s="189"/>
      <c r="C1487" s="208"/>
      <c r="E1487" s="79"/>
      <c r="F1487" s="80"/>
      <c r="G1487" s="80"/>
      <c r="H1487" s="240"/>
    </row>
    <row r="1488" ht="12.75" customHeight="1" outlineLevel="2">
      <c r="B1488" s="331" t="s">
        <v>3295</v>
      </c>
      <c r="C1488" s="354" t="s">
        <v>3296</v>
      </c>
      <c r="D1488" s="333" t="s">
        <v>33</v>
      </c>
      <c r="E1488" s="334">
        <v>1.0</v>
      </c>
      <c r="F1488" s="355">
        <v>0.0</v>
      </c>
      <c r="G1488" s="205">
        <f t="shared" ref="G1488:G1505" si="73">F1488*E1488</f>
        <v>0</v>
      </c>
      <c r="H1488" s="341" t="s">
        <v>619</v>
      </c>
    </row>
    <row r="1489" ht="12.75" customHeight="1" outlineLevel="2">
      <c r="B1489" s="331" t="s">
        <v>3297</v>
      </c>
      <c r="C1489" s="354" t="s">
        <v>3298</v>
      </c>
      <c r="D1489" s="333" t="s">
        <v>75</v>
      </c>
      <c r="E1489" s="334">
        <v>1.0</v>
      </c>
      <c r="F1489" s="355">
        <v>0.0</v>
      </c>
      <c r="G1489" s="205">
        <f t="shared" si="73"/>
        <v>0</v>
      </c>
      <c r="H1489" s="341" t="s">
        <v>619</v>
      </c>
    </row>
    <row r="1490" ht="12.75" customHeight="1" outlineLevel="2">
      <c r="B1490" s="331" t="s">
        <v>3299</v>
      </c>
      <c r="C1490" s="354" t="s">
        <v>3300</v>
      </c>
      <c r="D1490" s="333" t="s">
        <v>161</v>
      </c>
      <c r="E1490" s="334">
        <v>654.0</v>
      </c>
      <c r="F1490" s="355">
        <v>0.0</v>
      </c>
      <c r="G1490" s="205">
        <f t="shared" si="73"/>
        <v>0</v>
      </c>
      <c r="H1490" s="341" t="s">
        <v>619</v>
      </c>
    </row>
    <row r="1491" ht="12.75" customHeight="1" outlineLevel="2">
      <c r="B1491" s="331" t="s">
        <v>3301</v>
      </c>
      <c r="C1491" s="354" t="s">
        <v>3302</v>
      </c>
      <c r="D1491" s="333" t="s">
        <v>75</v>
      </c>
      <c r="E1491" s="334">
        <v>1.0</v>
      </c>
      <c r="F1491" s="355">
        <v>0.0</v>
      </c>
      <c r="G1491" s="205">
        <f t="shared" si="73"/>
        <v>0</v>
      </c>
      <c r="H1491" s="341" t="s">
        <v>619</v>
      </c>
    </row>
    <row r="1492" ht="12.75" customHeight="1" outlineLevel="2">
      <c r="B1492" s="331" t="s">
        <v>3303</v>
      </c>
      <c r="C1492" s="354" t="s">
        <v>3304</v>
      </c>
      <c r="D1492" s="333" t="s">
        <v>75</v>
      </c>
      <c r="E1492" s="334">
        <v>1.0</v>
      </c>
      <c r="F1492" s="355">
        <v>0.0</v>
      </c>
      <c r="G1492" s="205">
        <f t="shared" si="73"/>
        <v>0</v>
      </c>
      <c r="H1492" s="341" t="s">
        <v>619</v>
      </c>
    </row>
    <row r="1493" ht="12.75" customHeight="1" outlineLevel="2">
      <c r="B1493" s="331" t="s">
        <v>3305</v>
      </c>
      <c r="C1493" s="354" t="s">
        <v>3306</v>
      </c>
      <c r="D1493" s="333" t="s">
        <v>75</v>
      </c>
      <c r="E1493" s="334">
        <v>1.0</v>
      </c>
      <c r="F1493" s="355">
        <v>0.0</v>
      </c>
      <c r="G1493" s="205">
        <f t="shared" si="73"/>
        <v>0</v>
      </c>
      <c r="H1493" s="341" t="s">
        <v>619</v>
      </c>
    </row>
    <row r="1494" ht="12.75" customHeight="1" outlineLevel="2">
      <c r="B1494" s="331" t="s">
        <v>3307</v>
      </c>
      <c r="C1494" s="354" t="s">
        <v>3308</v>
      </c>
      <c r="D1494" s="333" t="s">
        <v>75</v>
      </c>
      <c r="E1494" s="334">
        <v>1.0</v>
      </c>
      <c r="F1494" s="355">
        <v>0.0</v>
      </c>
      <c r="G1494" s="205">
        <f t="shared" si="73"/>
        <v>0</v>
      </c>
      <c r="H1494" s="341" t="s">
        <v>619</v>
      </c>
    </row>
    <row r="1495" ht="12.75" customHeight="1" outlineLevel="2">
      <c r="B1495" s="331" t="s">
        <v>3309</v>
      </c>
      <c r="C1495" s="354" t="s">
        <v>3310</v>
      </c>
      <c r="D1495" s="333" t="s">
        <v>75</v>
      </c>
      <c r="E1495" s="334">
        <v>5.0</v>
      </c>
      <c r="F1495" s="355">
        <v>0.0</v>
      </c>
      <c r="G1495" s="205">
        <f t="shared" si="73"/>
        <v>0</v>
      </c>
      <c r="H1495" s="341" t="s">
        <v>619</v>
      </c>
    </row>
    <row r="1496" ht="12.75" customHeight="1" outlineLevel="2">
      <c r="B1496" s="331" t="s">
        <v>3311</v>
      </c>
      <c r="C1496" s="354" t="s">
        <v>3312</v>
      </c>
      <c r="D1496" s="333" t="s">
        <v>75</v>
      </c>
      <c r="E1496" s="334">
        <v>19.0</v>
      </c>
      <c r="F1496" s="355">
        <v>0.0</v>
      </c>
      <c r="G1496" s="205">
        <f t="shared" si="73"/>
        <v>0</v>
      </c>
      <c r="H1496" s="341" t="s">
        <v>619</v>
      </c>
    </row>
    <row r="1497" ht="12.75" customHeight="1" outlineLevel="2">
      <c r="B1497" s="331" t="s">
        <v>3313</v>
      </c>
      <c r="C1497" s="354" t="s">
        <v>3314</v>
      </c>
      <c r="D1497" s="333" t="s">
        <v>75</v>
      </c>
      <c r="E1497" s="334">
        <v>4.0</v>
      </c>
      <c r="F1497" s="355">
        <v>0.0</v>
      </c>
      <c r="G1497" s="205">
        <f t="shared" si="73"/>
        <v>0</v>
      </c>
      <c r="H1497" s="341" t="s">
        <v>619</v>
      </c>
    </row>
    <row r="1498" ht="12.75" customHeight="1" outlineLevel="2">
      <c r="B1498" s="331" t="s">
        <v>3315</v>
      </c>
      <c r="C1498" s="354" t="s">
        <v>3316</v>
      </c>
      <c r="D1498" s="333" t="s">
        <v>75</v>
      </c>
      <c r="E1498" s="334">
        <v>9.0</v>
      </c>
      <c r="F1498" s="355">
        <v>0.0</v>
      </c>
      <c r="G1498" s="205">
        <f t="shared" si="73"/>
        <v>0</v>
      </c>
      <c r="H1498" s="341" t="s">
        <v>619</v>
      </c>
    </row>
    <row r="1499" ht="12.75" customHeight="1" outlineLevel="2">
      <c r="B1499" s="331" t="s">
        <v>3317</v>
      </c>
      <c r="C1499" s="354" t="s">
        <v>3318</v>
      </c>
      <c r="D1499" s="333" t="s">
        <v>75</v>
      </c>
      <c r="E1499" s="334">
        <v>1.0</v>
      </c>
      <c r="F1499" s="355">
        <v>0.0</v>
      </c>
      <c r="G1499" s="205">
        <f t="shared" si="73"/>
        <v>0</v>
      </c>
      <c r="H1499" s="341" t="s">
        <v>619</v>
      </c>
    </row>
    <row r="1500" ht="12.75" customHeight="1" outlineLevel="2">
      <c r="B1500" s="331" t="s">
        <v>3319</v>
      </c>
      <c r="C1500" s="354" t="s">
        <v>3320</v>
      </c>
      <c r="D1500" s="333" t="s">
        <v>75</v>
      </c>
      <c r="E1500" s="334">
        <v>2.0</v>
      </c>
      <c r="F1500" s="355">
        <v>0.0</v>
      </c>
      <c r="G1500" s="205">
        <f t="shared" si="73"/>
        <v>0</v>
      </c>
      <c r="H1500" s="341" t="s">
        <v>619</v>
      </c>
    </row>
    <row r="1501" ht="12.75" customHeight="1" outlineLevel="2">
      <c r="B1501" s="331" t="s">
        <v>3321</v>
      </c>
      <c r="C1501" s="354" t="s">
        <v>3322</v>
      </c>
      <c r="D1501" s="333" t="s">
        <v>75</v>
      </c>
      <c r="E1501" s="334">
        <v>1.0</v>
      </c>
      <c r="F1501" s="355">
        <v>0.0</v>
      </c>
      <c r="G1501" s="205">
        <f t="shared" si="73"/>
        <v>0</v>
      </c>
      <c r="H1501" s="341" t="s">
        <v>619</v>
      </c>
    </row>
    <row r="1502" ht="12.75" customHeight="1" outlineLevel="2">
      <c r="B1502" s="331" t="s">
        <v>3323</v>
      </c>
      <c r="C1502" s="354" t="s">
        <v>3324</v>
      </c>
      <c r="D1502" s="333" t="s">
        <v>161</v>
      </c>
      <c r="E1502" s="334">
        <v>628.0</v>
      </c>
      <c r="F1502" s="335">
        <v>1.5</v>
      </c>
      <c r="G1502" s="205">
        <f t="shared" si="73"/>
        <v>942</v>
      </c>
      <c r="H1502" s="356"/>
    </row>
    <row r="1503" ht="12.75" customHeight="1" outlineLevel="2">
      <c r="B1503" s="331" t="s">
        <v>3325</v>
      </c>
      <c r="C1503" s="354" t="s">
        <v>3326</v>
      </c>
      <c r="D1503" s="333" t="s">
        <v>161</v>
      </c>
      <c r="E1503" s="334">
        <v>25.0</v>
      </c>
      <c r="F1503" s="335">
        <v>2.0</v>
      </c>
      <c r="G1503" s="205">
        <f t="shared" si="73"/>
        <v>50</v>
      </c>
      <c r="H1503" s="356"/>
    </row>
    <row r="1504" ht="12.75" customHeight="1" outlineLevel="2">
      <c r="B1504" s="331" t="s">
        <v>3327</v>
      </c>
      <c r="C1504" s="354" t="s">
        <v>3269</v>
      </c>
      <c r="D1504" s="333" t="s">
        <v>75</v>
      </c>
      <c r="E1504" s="334">
        <v>2.0</v>
      </c>
      <c r="F1504" s="335">
        <v>60.0</v>
      </c>
      <c r="G1504" s="205">
        <f t="shared" si="73"/>
        <v>120</v>
      </c>
      <c r="H1504" s="356"/>
    </row>
    <row r="1505" ht="12.75" customHeight="1" outlineLevel="2">
      <c r="B1505" s="331" t="s">
        <v>3328</v>
      </c>
      <c r="C1505" s="354" t="s">
        <v>3329</v>
      </c>
      <c r="D1505" s="333" t="s">
        <v>75</v>
      </c>
      <c r="E1505" s="334">
        <v>1.0</v>
      </c>
      <c r="F1505" s="335">
        <v>78.0</v>
      </c>
      <c r="G1505" s="205">
        <f t="shared" si="73"/>
        <v>78</v>
      </c>
      <c r="H1505" s="356"/>
    </row>
    <row r="1506" ht="12.75" customHeight="1" outlineLevel="2">
      <c r="B1506" s="189"/>
      <c r="C1506" s="208"/>
      <c r="E1506" s="79"/>
      <c r="F1506" s="80"/>
      <c r="G1506" s="80"/>
      <c r="H1506" s="240"/>
    </row>
    <row r="1507" ht="12.75" customHeight="1" outlineLevel="2">
      <c r="A1507" s="89" t="s">
        <v>1507</v>
      </c>
      <c r="B1507" s="189"/>
      <c r="C1507" s="330" t="s">
        <v>3330</v>
      </c>
      <c r="D1507" s="89"/>
      <c r="E1507" s="91"/>
      <c r="F1507" s="92"/>
      <c r="G1507" s="92"/>
      <c r="H1507" s="240"/>
    </row>
    <row r="1508" ht="12.75" customHeight="1" outlineLevel="2">
      <c r="B1508" s="189"/>
      <c r="C1508" s="208"/>
      <c r="E1508" s="79"/>
      <c r="F1508" s="80"/>
      <c r="G1508" s="80"/>
      <c r="H1508" s="240"/>
    </row>
    <row r="1509" ht="12.75" customHeight="1" outlineLevel="2">
      <c r="B1509" s="189"/>
      <c r="C1509" s="320" t="s">
        <v>3331</v>
      </c>
      <c r="E1509" s="79"/>
      <c r="F1509" s="80"/>
      <c r="G1509" s="80"/>
      <c r="H1509" s="240"/>
    </row>
    <row r="1510" ht="12.75" customHeight="1" outlineLevel="2">
      <c r="B1510" s="189"/>
      <c r="C1510" s="208"/>
      <c r="E1510" s="79"/>
      <c r="F1510" s="80"/>
      <c r="G1510" s="80"/>
      <c r="H1510" s="240"/>
    </row>
    <row r="1511" ht="12.75" customHeight="1" outlineLevel="2">
      <c r="B1511" s="327" t="s">
        <v>3332</v>
      </c>
      <c r="C1511" s="357" t="s">
        <v>3333</v>
      </c>
      <c r="D1511" s="358" t="s">
        <v>1435</v>
      </c>
      <c r="E1511" s="359">
        <v>1.0</v>
      </c>
      <c r="F1511" s="360">
        <v>7800.0</v>
      </c>
      <c r="G1511" s="206">
        <f>F1511*E1511</f>
        <v>7800</v>
      </c>
      <c r="H1511" s="219"/>
    </row>
    <row r="1512" ht="12.75" customHeight="1" outlineLevel="2">
      <c r="B1512" s="189"/>
      <c r="C1512" s="208"/>
      <c r="E1512" s="79"/>
      <c r="F1512" s="80"/>
      <c r="G1512" s="80"/>
      <c r="H1512" s="240"/>
    </row>
    <row r="1513" ht="12.75" customHeight="1" outlineLevel="2">
      <c r="B1513" s="350" t="s">
        <v>3334</v>
      </c>
      <c r="C1513" s="332" t="s">
        <v>3335</v>
      </c>
      <c r="D1513" s="333" t="s">
        <v>75</v>
      </c>
      <c r="E1513" s="334">
        <v>1.0</v>
      </c>
      <c r="F1513" s="355">
        <v>0.0</v>
      </c>
      <c r="G1513" s="206">
        <f t="shared" ref="G1513:G1522" si="74">F1513*E1513</f>
        <v>0</v>
      </c>
      <c r="H1513" s="341" t="s">
        <v>619</v>
      </c>
    </row>
    <row r="1514" ht="12.75" customHeight="1" outlineLevel="2">
      <c r="B1514" s="350" t="s">
        <v>3336</v>
      </c>
      <c r="C1514" s="332" t="s">
        <v>3337</v>
      </c>
      <c r="D1514" s="333" t="s">
        <v>75</v>
      </c>
      <c r="E1514" s="334">
        <v>1.0</v>
      </c>
      <c r="F1514" s="355">
        <v>0.0</v>
      </c>
      <c r="G1514" s="206">
        <f t="shared" si="74"/>
        <v>0</v>
      </c>
      <c r="H1514" s="341" t="s">
        <v>619</v>
      </c>
    </row>
    <row r="1515" ht="12.75" customHeight="1" outlineLevel="2">
      <c r="B1515" s="350" t="s">
        <v>3338</v>
      </c>
      <c r="C1515" s="332" t="s">
        <v>3339</v>
      </c>
      <c r="D1515" s="333" t="s">
        <v>75</v>
      </c>
      <c r="E1515" s="334">
        <v>1.0</v>
      </c>
      <c r="F1515" s="355">
        <v>0.0</v>
      </c>
      <c r="G1515" s="206">
        <f t="shared" si="74"/>
        <v>0</v>
      </c>
      <c r="H1515" s="341" t="s">
        <v>619</v>
      </c>
    </row>
    <row r="1516" ht="12.75" customHeight="1" outlineLevel="2">
      <c r="B1516" s="350" t="s">
        <v>3340</v>
      </c>
      <c r="C1516" s="332" t="s">
        <v>3341</v>
      </c>
      <c r="D1516" s="333" t="s">
        <v>75</v>
      </c>
      <c r="E1516" s="334">
        <v>1.0</v>
      </c>
      <c r="F1516" s="355">
        <v>0.0</v>
      </c>
      <c r="G1516" s="206">
        <f t="shared" si="74"/>
        <v>0</v>
      </c>
      <c r="H1516" s="341" t="s">
        <v>619</v>
      </c>
    </row>
    <row r="1517" ht="12.75" customHeight="1" outlineLevel="2">
      <c r="B1517" s="350" t="s">
        <v>3342</v>
      </c>
      <c r="C1517" s="332" t="s">
        <v>3343</v>
      </c>
      <c r="D1517" s="333" t="s">
        <v>161</v>
      </c>
      <c r="E1517" s="334">
        <v>398.0</v>
      </c>
      <c r="F1517" s="355">
        <v>0.0</v>
      </c>
      <c r="G1517" s="206">
        <f t="shared" si="74"/>
        <v>0</v>
      </c>
      <c r="H1517" s="341" t="s">
        <v>619</v>
      </c>
    </row>
    <row r="1518" ht="12.75" customHeight="1" outlineLevel="2">
      <c r="B1518" s="350" t="s">
        <v>3344</v>
      </c>
      <c r="C1518" s="332" t="s">
        <v>3345</v>
      </c>
      <c r="D1518" s="333" t="s">
        <v>75</v>
      </c>
      <c r="E1518" s="334">
        <v>9.0</v>
      </c>
      <c r="F1518" s="355">
        <v>0.0</v>
      </c>
      <c r="G1518" s="206">
        <f t="shared" si="74"/>
        <v>0</v>
      </c>
      <c r="H1518" s="341" t="s">
        <v>619</v>
      </c>
    </row>
    <row r="1519" ht="12.75" customHeight="1" outlineLevel="2">
      <c r="B1519" s="350" t="s">
        <v>3346</v>
      </c>
      <c r="C1519" s="332" t="s">
        <v>3347</v>
      </c>
      <c r="D1519" s="333" t="s">
        <v>75</v>
      </c>
      <c r="E1519" s="334">
        <v>4.0</v>
      </c>
      <c r="F1519" s="355">
        <v>0.0</v>
      </c>
      <c r="G1519" s="206">
        <f t="shared" si="74"/>
        <v>0</v>
      </c>
      <c r="H1519" s="341" t="s">
        <v>619</v>
      </c>
    </row>
    <row r="1520" ht="12.75" customHeight="1" outlineLevel="2">
      <c r="B1520" s="350" t="s">
        <v>3348</v>
      </c>
      <c r="C1520" s="332" t="s">
        <v>3263</v>
      </c>
      <c r="D1520" s="333" t="s">
        <v>75</v>
      </c>
      <c r="E1520" s="334">
        <v>1.0</v>
      </c>
      <c r="F1520" s="355">
        <v>0.0</v>
      </c>
      <c r="G1520" s="206">
        <f t="shared" si="74"/>
        <v>0</v>
      </c>
      <c r="H1520" s="341" t="s">
        <v>619</v>
      </c>
    </row>
    <row r="1521" ht="12.75" customHeight="1" outlineLevel="2">
      <c r="B1521" s="350" t="s">
        <v>3349</v>
      </c>
      <c r="C1521" s="332" t="s">
        <v>3350</v>
      </c>
      <c r="D1521" s="333" t="s">
        <v>161</v>
      </c>
      <c r="E1521" s="334">
        <v>369.0</v>
      </c>
      <c r="F1521" s="335">
        <v>1.5</v>
      </c>
      <c r="G1521" s="206">
        <f t="shared" si="74"/>
        <v>553.5</v>
      </c>
      <c r="H1521" s="336"/>
    </row>
    <row r="1522" ht="12.75" customHeight="1" outlineLevel="2">
      <c r="B1522" s="350" t="s">
        <v>3351</v>
      </c>
      <c r="C1522" s="332" t="s">
        <v>3352</v>
      </c>
      <c r="D1522" s="333" t="s">
        <v>161</v>
      </c>
      <c r="E1522" s="334">
        <v>13.0</v>
      </c>
      <c r="F1522" s="335">
        <v>2.0</v>
      </c>
      <c r="G1522" s="206">
        <f t="shared" si="74"/>
        <v>26</v>
      </c>
      <c r="H1522" s="336"/>
    </row>
    <row r="1523" ht="12.75" customHeight="1" outlineLevel="2">
      <c r="B1523" s="189"/>
      <c r="C1523" s="208"/>
      <c r="E1523" s="79"/>
      <c r="F1523" s="80"/>
      <c r="G1523" s="80"/>
      <c r="H1523" s="240"/>
    </row>
    <row r="1524" ht="12.75" customHeight="1" outlineLevel="2">
      <c r="A1524" s="89" t="s">
        <v>1521</v>
      </c>
      <c r="B1524" s="189"/>
      <c r="C1524" s="330" t="s">
        <v>2884</v>
      </c>
      <c r="E1524" s="79"/>
      <c r="F1524" s="80"/>
      <c r="G1524" s="80"/>
      <c r="H1524" s="240"/>
    </row>
    <row r="1525" ht="12.75" customHeight="1" outlineLevel="2">
      <c r="B1525" s="189"/>
      <c r="C1525" s="208"/>
      <c r="E1525" s="79"/>
      <c r="F1525" s="80"/>
      <c r="G1525" s="80"/>
      <c r="H1525" s="240"/>
    </row>
    <row r="1526" ht="12.75" customHeight="1" outlineLevel="2">
      <c r="B1526" s="350" t="s">
        <v>3353</v>
      </c>
      <c r="C1526" s="332" t="s">
        <v>2709</v>
      </c>
      <c r="D1526" s="203" t="s">
        <v>33</v>
      </c>
      <c r="E1526" s="361">
        <v>1.0</v>
      </c>
      <c r="F1526" s="362">
        <v>0.0</v>
      </c>
      <c r="G1526" s="206">
        <f>F1526*E1526</f>
        <v>0</v>
      </c>
      <c r="H1526" s="341" t="s">
        <v>619</v>
      </c>
    </row>
    <row r="1527" ht="12.75" customHeight="1" outlineLevel="2">
      <c r="B1527" s="189"/>
      <c r="C1527" s="208"/>
      <c r="D1527" s="130"/>
      <c r="E1527" s="363"/>
      <c r="F1527" s="82"/>
      <c r="G1527" s="82"/>
      <c r="H1527" s="240"/>
    </row>
    <row r="1528" ht="12.75" customHeight="1" outlineLevel="2">
      <c r="B1528" s="350" t="s">
        <v>3354</v>
      </c>
      <c r="C1528" s="332" t="s">
        <v>3211</v>
      </c>
      <c r="D1528" s="203" t="s">
        <v>33</v>
      </c>
      <c r="E1528" s="361">
        <v>1.0</v>
      </c>
      <c r="F1528" s="362">
        <v>0.0</v>
      </c>
      <c r="G1528" s="206">
        <f>F1528*E1528</f>
        <v>0</v>
      </c>
      <c r="H1528" s="341" t="s">
        <v>619</v>
      </c>
    </row>
    <row r="1529" ht="12.75" customHeight="1" outlineLevel="2">
      <c r="B1529" s="189"/>
      <c r="C1529" s="208"/>
      <c r="E1529" s="79"/>
      <c r="F1529" s="80"/>
      <c r="G1529" s="80"/>
      <c r="H1529" s="240"/>
    </row>
    <row r="1530" ht="12.75" customHeight="1" outlineLevel="1">
      <c r="B1530" s="189"/>
      <c r="E1530" s="79"/>
      <c r="F1530" s="80"/>
      <c r="G1530" s="80"/>
      <c r="H1530" s="240"/>
    </row>
    <row r="1531" ht="12.75" customHeight="1">
      <c r="A1531" s="192"/>
      <c r="B1531" s="84">
        <v>18.0</v>
      </c>
      <c r="C1531" s="306" t="s">
        <v>3355</v>
      </c>
      <c r="D1531" s="193"/>
      <c r="E1531" s="194"/>
      <c r="F1531" s="195"/>
      <c r="G1531" s="364">
        <f>SUM(G1539:G1583)</f>
        <v>9077</v>
      </c>
      <c r="H1531" s="197">
        <f>G1531-Resumo!J46</f>
        <v>-5141.6</v>
      </c>
    </row>
    <row r="1532" ht="12.75" customHeight="1" outlineLevel="1">
      <c r="A1532" s="89"/>
      <c r="B1532" s="189"/>
      <c r="C1532" s="90"/>
      <c r="D1532" s="89"/>
      <c r="E1532" s="91"/>
      <c r="F1532" s="92"/>
      <c r="G1532" s="239"/>
      <c r="H1532" s="240"/>
    </row>
    <row r="1533" ht="12.75" customHeight="1" outlineLevel="1">
      <c r="A1533" s="89"/>
      <c r="B1533" s="189"/>
      <c r="C1533" s="184" t="s">
        <v>3356</v>
      </c>
      <c r="E1533" s="79"/>
      <c r="F1533" s="80"/>
      <c r="G1533" s="80"/>
      <c r="H1533" s="240"/>
    </row>
    <row r="1534" ht="12.75" customHeight="1" outlineLevel="2">
      <c r="A1534" s="89"/>
      <c r="B1534" s="130"/>
      <c r="C1534" s="90"/>
      <c r="E1534" s="79"/>
      <c r="F1534" s="80"/>
      <c r="G1534" s="80"/>
      <c r="H1534" s="240"/>
    </row>
    <row r="1535" ht="12.75" customHeight="1" outlineLevel="2">
      <c r="A1535" s="89"/>
      <c r="B1535" s="130"/>
      <c r="C1535" s="90" t="s">
        <v>3357</v>
      </c>
      <c r="E1535" s="79"/>
      <c r="F1535" s="80"/>
      <c r="G1535" s="80"/>
      <c r="H1535" s="240"/>
    </row>
    <row r="1536" ht="12.75" customHeight="1" outlineLevel="2">
      <c r="A1536" s="89"/>
      <c r="B1536" s="130"/>
      <c r="E1536" s="79"/>
      <c r="F1536" s="80"/>
      <c r="G1536" s="80"/>
      <c r="H1536" s="240"/>
    </row>
    <row r="1537" ht="12.75" customHeight="1" outlineLevel="2">
      <c r="A1537" s="89"/>
      <c r="B1537" s="319" t="s">
        <v>3358</v>
      </c>
      <c r="C1537" s="365" t="s">
        <v>3359</v>
      </c>
      <c r="D1537" s="189"/>
      <c r="E1537" s="366"/>
      <c r="F1537" s="367"/>
      <c r="G1537" s="367"/>
      <c r="H1537" s="116"/>
    </row>
    <row r="1538" ht="12.75" customHeight="1" outlineLevel="2">
      <c r="A1538" s="89"/>
      <c r="B1538" s="130"/>
      <c r="E1538" s="79"/>
      <c r="F1538" s="80"/>
      <c r="G1538" s="80"/>
      <c r="H1538" s="240"/>
    </row>
    <row r="1539" ht="12.75" customHeight="1" outlineLevel="2">
      <c r="A1539" s="89"/>
      <c r="B1539" s="301" t="s">
        <v>3360</v>
      </c>
      <c r="C1539" s="332" t="s">
        <v>1527</v>
      </c>
      <c r="D1539" s="333" t="s">
        <v>161</v>
      </c>
      <c r="E1539" s="334">
        <v>369.0</v>
      </c>
      <c r="F1539" s="335">
        <v>3.0</v>
      </c>
      <c r="G1539" s="206">
        <f t="shared" ref="G1539:G1541" si="75">F1539*E1539</f>
        <v>1107</v>
      </c>
      <c r="H1539" s="336"/>
    </row>
    <row r="1540" ht="12.75" customHeight="1" outlineLevel="2">
      <c r="A1540" s="89"/>
      <c r="B1540" s="301" t="s">
        <v>3361</v>
      </c>
      <c r="C1540" s="332" t="s">
        <v>1528</v>
      </c>
      <c r="D1540" s="333" t="s">
        <v>161</v>
      </c>
      <c r="E1540" s="334">
        <v>44.0</v>
      </c>
      <c r="F1540" s="335">
        <v>5.0</v>
      </c>
      <c r="G1540" s="206">
        <f t="shared" si="75"/>
        <v>220</v>
      </c>
      <c r="H1540" s="336"/>
    </row>
    <row r="1541" ht="12.75" customHeight="1" outlineLevel="2">
      <c r="A1541" s="89"/>
      <c r="B1541" s="301" t="s">
        <v>3362</v>
      </c>
      <c r="C1541" s="332" t="s">
        <v>1529</v>
      </c>
      <c r="D1541" s="333" t="s">
        <v>161</v>
      </c>
      <c r="E1541" s="334">
        <v>10.0</v>
      </c>
      <c r="F1541" s="335">
        <v>9.0</v>
      </c>
      <c r="G1541" s="206">
        <f t="shared" si="75"/>
        <v>90</v>
      </c>
      <c r="H1541" s="336"/>
    </row>
    <row r="1542" ht="12.75" customHeight="1" outlineLevel="2">
      <c r="A1542" s="89"/>
      <c r="B1542" s="130"/>
      <c r="E1542" s="79"/>
      <c r="F1542" s="80"/>
      <c r="G1542" s="80"/>
      <c r="H1542" s="240"/>
    </row>
    <row r="1543" ht="12.75" customHeight="1" outlineLevel="2">
      <c r="A1543" s="89"/>
      <c r="B1543" s="319" t="s">
        <v>3363</v>
      </c>
      <c r="C1543" s="365" t="s">
        <v>3364</v>
      </c>
      <c r="D1543" s="189"/>
      <c r="E1543" s="366"/>
      <c r="F1543" s="367"/>
      <c r="G1543" s="367"/>
      <c r="H1543" s="116"/>
    </row>
    <row r="1544" ht="12.75" customHeight="1" outlineLevel="2">
      <c r="A1544" s="89"/>
      <c r="B1544" s="130"/>
      <c r="E1544" s="79"/>
      <c r="F1544" s="80"/>
      <c r="G1544" s="80"/>
      <c r="H1544" s="240"/>
    </row>
    <row r="1545" ht="12.75" customHeight="1" outlineLevel="2">
      <c r="A1545" s="89"/>
      <c r="B1545" s="301" t="s">
        <v>3365</v>
      </c>
      <c r="C1545" s="332" t="s">
        <v>1532</v>
      </c>
      <c r="D1545" s="333" t="s">
        <v>75</v>
      </c>
      <c r="E1545" s="334">
        <v>1.0</v>
      </c>
      <c r="F1545" s="335">
        <v>200.0</v>
      </c>
      <c r="G1545" s="206">
        <f t="shared" ref="G1545:G1546" si="76">F1545*E1545</f>
        <v>200</v>
      </c>
      <c r="H1545" s="336"/>
    </row>
    <row r="1546" ht="12.75" customHeight="1" outlineLevel="2">
      <c r="A1546" s="89"/>
      <c r="B1546" s="301" t="s">
        <v>3366</v>
      </c>
      <c r="C1546" s="332" t="s">
        <v>3367</v>
      </c>
      <c r="D1546" s="333" t="s">
        <v>75</v>
      </c>
      <c r="E1546" s="334">
        <v>1.0</v>
      </c>
      <c r="F1546" s="335">
        <v>250.0</v>
      </c>
      <c r="G1546" s="206">
        <f t="shared" si="76"/>
        <v>250</v>
      </c>
      <c r="H1546" s="336"/>
    </row>
    <row r="1547" ht="12.75" customHeight="1" outlineLevel="2">
      <c r="A1547" s="89"/>
      <c r="B1547" s="130"/>
      <c r="E1547" s="79"/>
      <c r="F1547" s="80"/>
      <c r="G1547" s="80"/>
      <c r="H1547" s="240"/>
    </row>
    <row r="1548" ht="12.75" customHeight="1" outlineLevel="2">
      <c r="A1548" s="89"/>
      <c r="B1548" s="302">
        <v>18.3</v>
      </c>
      <c r="C1548" s="368" t="s">
        <v>3368</v>
      </c>
      <c r="E1548" s="79"/>
      <c r="F1548" s="80"/>
      <c r="G1548" s="80"/>
      <c r="H1548" s="240"/>
    </row>
    <row r="1549" ht="12.75" customHeight="1" outlineLevel="2">
      <c r="A1549" s="89"/>
      <c r="B1549" s="130"/>
      <c r="E1549" s="79"/>
      <c r="F1549" s="80"/>
      <c r="G1549" s="80"/>
      <c r="H1549" s="240"/>
    </row>
    <row r="1550" ht="12.75" customHeight="1" outlineLevel="2">
      <c r="A1550" s="89"/>
      <c r="B1550" s="301" t="s">
        <v>3369</v>
      </c>
      <c r="C1550" s="332" t="s">
        <v>3370</v>
      </c>
      <c r="D1550" s="203" t="s">
        <v>33</v>
      </c>
      <c r="E1550" s="361">
        <v>1.0</v>
      </c>
      <c r="F1550" s="362">
        <v>600.0</v>
      </c>
      <c r="G1550" s="206">
        <f>F1550*E1550</f>
        <v>600</v>
      </c>
      <c r="H1550" s="336"/>
    </row>
    <row r="1551" ht="12.75" customHeight="1" outlineLevel="2">
      <c r="A1551" s="89"/>
      <c r="B1551" s="130"/>
      <c r="E1551" s="79"/>
      <c r="F1551" s="80"/>
      <c r="G1551" s="80"/>
      <c r="H1551" s="240"/>
    </row>
    <row r="1552" ht="12.75" customHeight="1" outlineLevel="2">
      <c r="A1552" s="89"/>
      <c r="B1552" s="302">
        <v>18.4</v>
      </c>
      <c r="C1552" s="368" t="s">
        <v>3371</v>
      </c>
      <c r="E1552" s="79"/>
      <c r="F1552" s="80"/>
      <c r="G1552" s="80"/>
      <c r="H1552" s="240"/>
    </row>
    <row r="1553" ht="12.75" customHeight="1" outlineLevel="2">
      <c r="A1553" s="89"/>
      <c r="B1553" s="130"/>
      <c r="E1553" s="79"/>
      <c r="F1553" s="80"/>
      <c r="G1553" s="80"/>
      <c r="H1553" s="240"/>
    </row>
    <row r="1554" ht="12.75" customHeight="1" outlineLevel="2">
      <c r="A1554" s="89"/>
      <c r="B1554" s="301" t="s">
        <v>3372</v>
      </c>
      <c r="C1554" s="332" t="s">
        <v>3373</v>
      </c>
      <c r="D1554" s="203" t="s">
        <v>75</v>
      </c>
      <c r="E1554" s="361">
        <v>23.0</v>
      </c>
      <c r="F1554" s="362">
        <v>3.0</v>
      </c>
      <c r="G1554" s="206">
        <f t="shared" ref="G1554:G1555" si="77">F1554*E1554</f>
        <v>69</v>
      </c>
      <c r="H1554" s="336"/>
    </row>
    <row r="1555" ht="12.75" customHeight="1" outlineLevel="2">
      <c r="A1555" s="89"/>
      <c r="B1555" s="301" t="s">
        <v>3374</v>
      </c>
      <c r="C1555" s="332" t="s">
        <v>3375</v>
      </c>
      <c r="D1555" s="203" t="s">
        <v>75</v>
      </c>
      <c r="E1555" s="361">
        <v>3.0</v>
      </c>
      <c r="F1555" s="362">
        <v>62.0</v>
      </c>
      <c r="G1555" s="206">
        <f t="shared" si="77"/>
        <v>186</v>
      </c>
      <c r="H1555" s="336"/>
    </row>
    <row r="1556" ht="12.75" customHeight="1" outlineLevel="2">
      <c r="A1556" s="89"/>
      <c r="B1556" s="130"/>
      <c r="E1556" s="79"/>
      <c r="F1556" s="80"/>
      <c r="G1556" s="80"/>
      <c r="H1556" s="240"/>
    </row>
    <row r="1557" ht="12.75" customHeight="1" outlineLevel="2">
      <c r="A1557" s="89"/>
      <c r="B1557" s="301">
        <v>18.5</v>
      </c>
      <c r="C1557" s="332" t="s">
        <v>3376</v>
      </c>
      <c r="D1557" s="203"/>
      <c r="E1557" s="361"/>
      <c r="F1557" s="362"/>
      <c r="G1557" s="206"/>
      <c r="H1557" s="336"/>
    </row>
    <row r="1558" ht="12.75" customHeight="1" outlineLevel="2">
      <c r="A1558" s="89"/>
      <c r="B1558" s="130"/>
      <c r="E1558" s="79"/>
      <c r="F1558" s="80"/>
      <c r="G1558" s="80"/>
      <c r="H1558" s="240"/>
    </row>
    <row r="1559" ht="12.75" customHeight="1" outlineLevel="2">
      <c r="A1559" s="89"/>
      <c r="B1559" s="301" t="s">
        <v>3377</v>
      </c>
      <c r="C1559" s="369" t="s">
        <v>3378</v>
      </c>
      <c r="D1559" s="203" t="s">
        <v>75</v>
      </c>
      <c r="E1559" s="361">
        <v>10.0</v>
      </c>
      <c r="F1559" s="362">
        <v>38.0</v>
      </c>
      <c r="G1559" s="206">
        <f t="shared" ref="G1559:G1561" si="78">F1559*E1559</f>
        <v>380</v>
      </c>
      <c r="H1559" s="370"/>
    </row>
    <row r="1560" ht="12.75" customHeight="1" outlineLevel="2">
      <c r="A1560" s="89"/>
      <c r="B1560" s="301" t="s">
        <v>3379</v>
      </c>
      <c r="C1560" s="369" t="s">
        <v>3380</v>
      </c>
      <c r="D1560" s="203" t="s">
        <v>75</v>
      </c>
      <c r="E1560" s="361">
        <v>12.0</v>
      </c>
      <c r="F1560" s="362">
        <v>36.0</v>
      </c>
      <c r="G1560" s="206">
        <f t="shared" si="78"/>
        <v>432</v>
      </c>
      <c r="H1560" s="370"/>
    </row>
    <row r="1561" ht="12.75" customHeight="1" outlineLevel="2">
      <c r="A1561" s="89"/>
      <c r="B1561" s="301" t="s">
        <v>3381</v>
      </c>
      <c r="C1561" s="369" t="s">
        <v>3382</v>
      </c>
      <c r="D1561" s="203" t="s">
        <v>75</v>
      </c>
      <c r="E1561" s="361">
        <v>1.0</v>
      </c>
      <c r="F1561" s="362">
        <v>58.0</v>
      </c>
      <c r="G1561" s="206">
        <f t="shared" si="78"/>
        <v>58</v>
      </c>
      <c r="H1561" s="370"/>
    </row>
    <row r="1562" ht="12.75" customHeight="1" outlineLevel="2">
      <c r="A1562" s="89"/>
      <c r="B1562" s="130"/>
      <c r="E1562" s="79"/>
      <c r="F1562" s="80"/>
      <c r="G1562" s="80"/>
      <c r="H1562" s="240"/>
    </row>
    <row r="1563" ht="12.75" customHeight="1" outlineLevel="2">
      <c r="A1563" s="89"/>
      <c r="B1563" s="302">
        <v>18.6</v>
      </c>
      <c r="C1563" s="368" t="s">
        <v>3383</v>
      </c>
      <c r="E1563" s="79"/>
      <c r="F1563" s="80"/>
      <c r="G1563" s="80"/>
      <c r="H1563" s="240"/>
    </row>
    <row r="1564" ht="12.75" customHeight="1" outlineLevel="2">
      <c r="A1564" s="89"/>
      <c r="B1564" s="130"/>
      <c r="E1564" s="79"/>
      <c r="F1564" s="80"/>
      <c r="G1564" s="80"/>
      <c r="H1564" s="240"/>
    </row>
    <row r="1565" ht="12.75" customHeight="1" outlineLevel="2">
      <c r="A1565" s="89"/>
      <c r="B1565" s="301" t="s">
        <v>3384</v>
      </c>
      <c r="C1565" s="369" t="s">
        <v>3385</v>
      </c>
      <c r="D1565" s="203" t="s">
        <v>75</v>
      </c>
      <c r="E1565" s="361">
        <v>1.0</v>
      </c>
      <c r="F1565" s="362">
        <v>775.0</v>
      </c>
      <c r="G1565" s="206">
        <f t="shared" ref="G1565:G1566" si="79">F1565*E1565</f>
        <v>775</v>
      </c>
      <c r="H1565" s="370"/>
    </row>
    <row r="1566" ht="12.75" customHeight="1" outlineLevel="2">
      <c r="A1566" s="89"/>
      <c r="B1566" s="301" t="s">
        <v>3386</v>
      </c>
      <c r="C1566" s="369" t="s">
        <v>3387</v>
      </c>
      <c r="D1566" s="203" t="s">
        <v>75</v>
      </c>
      <c r="E1566" s="361">
        <v>1.0</v>
      </c>
      <c r="F1566" s="362">
        <v>110.0</v>
      </c>
      <c r="G1566" s="206">
        <f t="shared" si="79"/>
        <v>110</v>
      </c>
      <c r="H1566" s="370"/>
    </row>
    <row r="1567" ht="12.75" customHeight="1" outlineLevel="2">
      <c r="A1567" s="89"/>
      <c r="B1567" s="130"/>
      <c r="E1567" s="79"/>
      <c r="F1567" s="80"/>
      <c r="G1567" s="80"/>
      <c r="H1567" s="240"/>
    </row>
    <row r="1568" ht="12.75" customHeight="1" outlineLevel="2">
      <c r="A1568" s="89"/>
      <c r="B1568" s="302">
        <v>18.7</v>
      </c>
      <c r="C1568" s="368" t="s">
        <v>3388</v>
      </c>
      <c r="E1568" s="79"/>
      <c r="F1568" s="80"/>
      <c r="G1568" s="80"/>
      <c r="H1568" s="240"/>
    </row>
    <row r="1569" ht="12.75" customHeight="1" outlineLevel="2">
      <c r="A1569" s="89"/>
      <c r="B1569" s="130"/>
      <c r="E1569" s="79"/>
      <c r="F1569" s="80"/>
      <c r="G1569" s="80"/>
      <c r="H1569" s="240"/>
    </row>
    <row r="1570" ht="12.75" customHeight="1" outlineLevel="2">
      <c r="A1570" s="89"/>
      <c r="B1570" s="301" t="s">
        <v>3389</v>
      </c>
      <c r="C1570" s="369" t="s">
        <v>3390</v>
      </c>
      <c r="D1570" s="203" t="s">
        <v>161</v>
      </c>
      <c r="E1570" s="361">
        <v>532.0</v>
      </c>
      <c r="F1570" s="362">
        <v>3.0</v>
      </c>
      <c r="G1570" s="206">
        <f t="shared" ref="G1570:G1572" si="80">F1570*E1570</f>
        <v>1596</v>
      </c>
      <c r="H1570" s="370"/>
    </row>
    <row r="1571" ht="12.75" customHeight="1" outlineLevel="2">
      <c r="A1571" s="89"/>
      <c r="B1571" s="301" t="s">
        <v>3391</v>
      </c>
      <c r="C1571" s="369" t="s">
        <v>3392</v>
      </c>
      <c r="D1571" s="203" t="s">
        <v>161</v>
      </c>
      <c r="E1571" s="361">
        <v>557.0</v>
      </c>
      <c r="F1571" s="362">
        <v>3.0</v>
      </c>
      <c r="G1571" s="206">
        <f t="shared" si="80"/>
        <v>1671</v>
      </c>
      <c r="H1571" s="370"/>
    </row>
    <row r="1572" ht="12.75" customHeight="1" outlineLevel="2">
      <c r="A1572" s="89"/>
      <c r="B1572" s="301" t="s">
        <v>3393</v>
      </c>
      <c r="C1572" s="369" t="s">
        <v>3394</v>
      </c>
      <c r="D1572" s="203" t="s">
        <v>161</v>
      </c>
      <c r="E1572" s="361">
        <v>25.0</v>
      </c>
      <c r="F1572" s="362">
        <v>6.0</v>
      </c>
      <c r="G1572" s="206">
        <f t="shared" si="80"/>
        <v>150</v>
      </c>
      <c r="H1572" s="370"/>
    </row>
    <row r="1573" ht="12.75" customHeight="1" outlineLevel="2">
      <c r="A1573" s="89"/>
      <c r="B1573" s="130"/>
      <c r="E1573" s="79"/>
      <c r="F1573" s="80"/>
      <c r="G1573" s="80"/>
      <c r="H1573" s="240"/>
    </row>
    <row r="1574" ht="12.75" customHeight="1" outlineLevel="2">
      <c r="A1574" s="89"/>
      <c r="B1574" s="302">
        <v>18.8</v>
      </c>
      <c r="C1574" s="368" t="s">
        <v>2132</v>
      </c>
      <c r="E1574" s="79"/>
      <c r="F1574" s="80"/>
      <c r="G1574" s="80"/>
      <c r="H1574" s="240"/>
    </row>
    <row r="1575" ht="12.75" customHeight="1" outlineLevel="2">
      <c r="A1575" s="89"/>
      <c r="B1575" s="130"/>
      <c r="E1575" s="79"/>
      <c r="F1575" s="80"/>
      <c r="G1575" s="80"/>
      <c r="H1575" s="240"/>
    </row>
    <row r="1576" ht="12.75" customHeight="1" outlineLevel="2">
      <c r="A1576" s="89"/>
      <c r="B1576" s="301" t="s">
        <v>3395</v>
      </c>
      <c r="C1576" s="369" t="s">
        <v>1556</v>
      </c>
      <c r="D1576" s="203" t="s">
        <v>161</v>
      </c>
      <c r="E1576" s="361">
        <v>13.0</v>
      </c>
      <c r="F1576" s="362">
        <v>2.0</v>
      </c>
      <c r="G1576" s="206">
        <f t="shared" ref="G1576:G1577" si="81">F1576*E1576</f>
        <v>26</v>
      </c>
      <c r="H1576" s="370"/>
    </row>
    <row r="1577" ht="12.75" customHeight="1" outlineLevel="2">
      <c r="A1577" s="89"/>
      <c r="B1577" s="301" t="s">
        <v>3396</v>
      </c>
      <c r="C1577" s="369" t="s">
        <v>1557</v>
      </c>
      <c r="D1577" s="203" t="s">
        <v>161</v>
      </c>
      <c r="E1577" s="361">
        <v>19.0</v>
      </c>
      <c r="F1577" s="362">
        <v>4.0</v>
      </c>
      <c r="G1577" s="206">
        <f t="shared" si="81"/>
        <v>76</v>
      </c>
      <c r="H1577" s="370"/>
    </row>
    <row r="1578" ht="12.75" customHeight="1" outlineLevel="2">
      <c r="A1578" s="89"/>
      <c r="B1578" s="130"/>
      <c r="E1578" s="79"/>
      <c r="F1578" s="80"/>
      <c r="G1578" s="80"/>
      <c r="H1578" s="240"/>
    </row>
    <row r="1579" ht="12.75" customHeight="1" outlineLevel="2">
      <c r="A1579" s="89"/>
      <c r="B1579" s="302">
        <v>18.9</v>
      </c>
      <c r="C1579" s="368" t="s">
        <v>2884</v>
      </c>
      <c r="E1579" s="79"/>
      <c r="F1579" s="80"/>
      <c r="G1579" s="80"/>
      <c r="H1579" s="240"/>
    </row>
    <row r="1580" ht="12.75" customHeight="1" outlineLevel="2">
      <c r="A1580" s="89"/>
      <c r="B1580" s="130"/>
      <c r="E1580" s="79"/>
      <c r="F1580" s="80"/>
      <c r="G1580" s="80"/>
      <c r="H1580" s="240"/>
    </row>
    <row r="1581" ht="12.75" customHeight="1" outlineLevel="2">
      <c r="A1581" s="89"/>
      <c r="B1581" s="301" t="s">
        <v>3397</v>
      </c>
      <c r="C1581" s="369" t="s">
        <v>2709</v>
      </c>
      <c r="D1581" s="203" t="s">
        <v>33</v>
      </c>
      <c r="E1581" s="361">
        <v>1.0</v>
      </c>
      <c r="F1581" s="362">
        <v>581.0</v>
      </c>
      <c r="G1581" s="206">
        <f>F1581*E1581</f>
        <v>581</v>
      </c>
      <c r="H1581" s="370"/>
    </row>
    <row r="1582" ht="12.75" customHeight="1" outlineLevel="2">
      <c r="A1582" s="89"/>
      <c r="B1582" s="130"/>
      <c r="E1582" s="79"/>
      <c r="F1582" s="80"/>
      <c r="G1582" s="80"/>
      <c r="H1582" s="240"/>
    </row>
    <row r="1583" ht="12.75" customHeight="1" outlineLevel="2">
      <c r="A1583" s="89"/>
      <c r="B1583" s="301" t="s">
        <v>3398</v>
      </c>
      <c r="C1583" s="369" t="s">
        <v>3211</v>
      </c>
      <c r="D1583" s="203" t="s">
        <v>33</v>
      </c>
      <c r="E1583" s="361">
        <v>1.0</v>
      </c>
      <c r="F1583" s="362">
        <v>500.0</v>
      </c>
      <c r="G1583" s="206">
        <f>F1583*E1583</f>
        <v>500</v>
      </c>
      <c r="H1583" s="370"/>
    </row>
    <row r="1584" ht="12.75" customHeight="1" outlineLevel="1">
      <c r="A1584" s="89"/>
      <c r="B1584" s="130"/>
      <c r="C1584" s="90"/>
      <c r="D1584" s="89"/>
      <c r="E1584" s="91"/>
      <c r="F1584" s="92"/>
      <c r="G1584" s="239"/>
      <c r="H1584" s="240"/>
    </row>
    <row r="1585" ht="12.75" customHeight="1">
      <c r="A1585" s="192"/>
      <c r="B1585" s="84">
        <v>19.0</v>
      </c>
      <c r="C1585" s="306" t="s">
        <v>3399</v>
      </c>
      <c r="D1585" s="193"/>
      <c r="E1585" s="194"/>
      <c r="F1585" s="195"/>
      <c r="G1585" s="364">
        <f>SUM(G1593:G1615)</f>
        <v>38085</v>
      </c>
      <c r="H1585" s="197">
        <f>G1585-Resumo!J49</f>
        <v>-19.7</v>
      </c>
    </row>
    <row r="1586" ht="12.75" customHeight="1" outlineLevel="1">
      <c r="A1586" s="89"/>
      <c r="B1586" s="130"/>
      <c r="C1586" s="90"/>
      <c r="D1586" s="89"/>
      <c r="E1586" s="91"/>
      <c r="F1586" s="92"/>
      <c r="G1586" s="239"/>
      <c r="H1586" s="240"/>
    </row>
    <row r="1587" ht="12.75" customHeight="1" outlineLevel="1">
      <c r="A1587" s="89"/>
      <c r="B1587" s="130"/>
      <c r="C1587" s="184" t="s">
        <v>3400</v>
      </c>
      <c r="E1587" s="79"/>
      <c r="F1587" s="80"/>
      <c r="G1587" s="80"/>
      <c r="H1587" s="240"/>
    </row>
    <row r="1588" ht="12.75" customHeight="1" outlineLevel="2">
      <c r="A1588" s="89"/>
      <c r="B1588" s="130"/>
      <c r="C1588" s="90"/>
      <c r="E1588" s="79"/>
      <c r="F1588" s="80"/>
      <c r="G1588" s="80"/>
      <c r="H1588" s="240"/>
    </row>
    <row r="1589" ht="12.75" customHeight="1" outlineLevel="2">
      <c r="A1589" s="89"/>
      <c r="B1589" s="130"/>
      <c r="C1589" s="90" t="s">
        <v>3401</v>
      </c>
      <c r="E1589" s="79"/>
      <c r="F1589" s="80"/>
      <c r="G1589" s="80"/>
      <c r="H1589" s="240"/>
    </row>
    <row r="1590" ht="12.75" customHeight="1" outlineLevel="2">
      <c r="A1590" s="89"/>
      <c r="B1590" s="130"/>
      <c r="E1590" s="79"/>
      <c r="F1590" s="80"/>
      <c r="G1590" s="80"/>
      <c r="H1590" s="240"/>
    </row>
    <row r="1591" ht="12.75" customHeight="1" outlineLevel="2">
      <c r="A1591" s="89" t="s">
        <v>1591</v>
      </c>
      <c r="B1591" s="302">
        <v>19.1</v>
      </c>
      <c r="C1591" s="371" t="s">
        <v>3402</v>
      </c>
      <c r="E1591" s="79"/>
      <c r="F1591" s="80"/>
      <c r="G1591" s="80"/>
      <c r="H1591" s="240"/>
    </row>
    <row r="1592" ht="12.75" customHeight="1" outlineLevel="2">
      <c r="B1592" s="130"/>
      <c r="E1592" s="79"/>
      <c r="F1592" s="80"/>
      <c r="G1592" s="80"/>
      <c r="H1592" s="240"/>
    </row>
    <row r="1593" ht="12.75" customHeight="1" outlineLevel="2">
      <c r="A1593" s="89" t="s">
        <v>1593</v>
      </c>
      <c r="B1593" s="301" t="s">
        <v>3403</v>
      </c>
      <c r="C1593" s="332" t="s">
        <v>3404</v>
      </c>
      <c r="D1593" s="203" t="s">
        <v>40</v>
      </c>
      <c r="E1593" s="361">
        <v>180.0</v>
      </c>
      <c r="F1593" s="362">
        <v>62.0</v>
      </c>
      <c r="G1593" s="206">
        <f>F1593*E1593</f>
        <v>11160</v>
      </c>
      <c r="H1593" s="336"/>
    </row>
    <row r="1594" ht="12.75" customHeight="1" outlineLevel="2">
      <c r="B1594" s="130"/>
      <c r="E1594" s="79"/>
      <c r="F1594" s="80"/>
      <c r="G1594" s="80"/>
      <c r="H1594" s="240"/>
    </row>
    <row r="1595" ht="12.75" customHeight="1" outlineLevel="2">
      <c r="A1595" s="89" t="s">
        <v>1595</v>
      </c>
      <c r="B1595" s="301" t="s">
        <v>3405</v>
      </c>
      <c r="C1595" s="369" t="s">
        <v>3406</v>
      </c>
      <c r="D1595" s="203" t="s">
        <v>933</v>
      </c>
      <c r="E1595" s="361">
        <v>10.0</v>
      </c>
      <c r="F1595" s="362">
        <v>109.0</v>
      </c>
      <c r="G1595" s="206">
        <f>F1595*E1595</f>
        <v>1090</v>
      </c>
      <c r="H1595" s="370"/>
    </row>
    <row r="1596" ht="12.75" customHeight="1" outlineLevel="2">
      <c r="B1596" s="130"/>
      <c r="E1596" s="79"/>
      <c r="F1596" s="80"/>
      <c r="G1596" s="80"/>
      <c r="H1596" s="240"/>
    </row>
    <row r="1597" ht="12.75" customHeight="1" outlineLevel="2">
      <c r="A1597" s="89" t="s">
        <v>1597</v>
      </c>
      <c r="B1597" s="302">
        <v>19.2</v>
      </c>
      <c r="C1597" s="371" t="s">
        <v>3407</v>
      </c>
      <c r="E1597" s="79"/>
      <c r="F1597" s="80"/>
      <c r="G1597" s="80"/>
      <c r="H1597" s="240"/>
    </row>
    <row r="1598" ht="12.75" customHeight="1" outlineLevel="2">
      <c r="B1598" s="130"/>
      <c r="E1598" s="79"/>
      <c r="F1598" s="80"/>
      <c r="G1598" s="80"/>
      <c r="H1598" s="240"/>
    </row>
    <row r="1599" ht="12.75" customHeight="1" outlineLevel="2">
      <c r="A1599" s="89" t="s">
        <v>1599</v>
      </c>
      <c r="B1599" s="301" t="s">
        <v>3408</v>
      </c>
      <c r="C1599" s="369" t="s">
        <v>3409</v>
      </c>
      <c r="D1599" s="203" t="s">
        <v>40</v>
      </c>
      <c r="E1599" s="361">
        <v>20.0</v>
      </c>
      <c r="F1599" s="362">
        <v>31.0</v>
      </c>
      <c r="G1599" s="206">
        <f>F1599*E1599</f>
        <v>620</v>
      </c>
      <c r="H1599" s="370"/>
    </row>
    <row r="1600" ht="12.75" customHeight="1" outlineLevel="2">
      <c r="B1600" s="130"/>
      <c r="E1600" s="79"/>
      <c r="F1600" s="80"/>
      <c r="G1600" s="80"/>
      <c r="H1600" s="240"/>
    </row>
    <row r="1601" ht="12.75" customHeight="1" outlineLevel="2">
      <c r="A1601" s="89" t="s">
        <v>1601</v>
      </c>
      <c r="B1601" s="302">
        <v>19.3</v>
      </c>
      <c r="C1601" s="371" t="s">
        <v>3410</v>
      </c>
      <c r="E1601" s="79"/>
      <c r="F1601" s="80"/>
      <c r="G1601" s="80"/>
      <c r="H1601" s="240"/>
    </row>
    <row r="1602" ht="12.75" customHeight="1" outlineLevel="2">
      <c r="B1602" s="130"/>
      <c r="E1602" s="79"/>
      <c r="F1602" s="80"/>
      <c r="G1602" s="80"/>
      <c r="H1602" s="240"/>
    </row>
    <row r="1603" ht="12.75" customHeight="1" outlineLevel="2">
      <c r="A1603" s="89" t="s">
        <v>1603</v>
      </c>
      <c r="B1603" s="301" t="s">
        <v>3411</v>
      </c>
      <c r="C1603" s="369" t="s">
        <v>3412</v>
      </c>
      <c r="D1603" s="203" t="s">
        <v>40</v>
      </c>
      <c r="E1603" s="361">
        <v>6.0</v>
      </c>
      <c r="F1603" s="362">
        <v>225.0</v>
      </c>
      <c r="G1603" s="206">
        <f>F1603*E1603</f>
        <v>1350</v>
      </c>
      <c r="H1603" s="370"/>
    </row>
    <row r="1604" ht="12.75" customHeight="1" outlineLevel="2">
      <c r="B1604" s="130"/>
      <c r="E1604" s="79"/>
      <c r="F1604" s="80"/>
      <c r="G1604" s="80"/>
      <c r="H1604" s="240"/>
    </row>
    <row r="1605" ht="12.75" customHeight="1" outlineLevel="2">
      <c r="A1605" s="89" t="s">
        <v>1605</v>
      </c>
      <c r="B1605" s="302">
        <v>19.4</v>
      </c>
      <c r="C1605" s="371" t="s">
        <v>3413</v>
      </c>
      <c r="E1605" s="79"/>
      <c r="F1605" s="80"/>
      <c r="G1605" s="80"/>
      <c r="H1605" s="240"/>
    </row>
    <row r="1606" ht="12.75" customHeight="1" outlineLevel="2">
      <c r="B1606" s="130"/>
      <c r="E1606" s="79"/>
      <c r="F1606" s="80"/>
      <c r="G1606" s="80"/>
      <c r="H1606" s="240"/>
    </row>
    <row r="1607" ht="12.75" customHeight="1" outlineLevel="2">
      <c r="A1607" s="89" t="s">
        <v>1607</v>
      </c>
      <c r="B1607" s="301" t="s">
        <v>3414</v>
      </c>
      <c r="C1607" s="369" t="s">
        <v>3415</v>
      </c>
      <c r="D1607" s="203" t="s">
        <v>40</v>
      </c>
      <c r="E1607" s="361">
        <v>45.0</v>
      </c>
      <c r="F1607" s="362">
        <v>185.0</v>
      </c>
      <c r="G1607" s="206">
        <f>F1607*E1607</f>
        <v>8325</v>
      </c>
      <c r="H1607" s="370" t="s">
        <v>3416</v>
      </c>
    </row>
    <row r="1608" ht="12.75" customHeight="1" outlineLevel="2">
      <c r="B1608" s="130"/>
      <c r="E1608" s="79"/>
      <c r="F1608" s="80"/>
      <c r="G1608" s="80"/>
      <c r="H1608" s="240"/>
    </row>
    <row r="1609" ht="12.75" customHeight="1" outlineLevel="2">
      <c r="A1609" s="89" t="s">
        <v>1609</v>
      </c>
      <c r="B1609" s="302">
        <v>19.5</v>
      </c>
      <c r="C1609" s="371" t="s">
        <v>3417</v>
      </c>
      <c r="E1609" s="79"/>
      <c r="F1609" s="80"/>
      <c r="G1609" s="80"/>
      <c r="H1609" s="240"/>
    </row>
    <row r="1610" ht="12.75" customHeight="1" outlineLevel="2">
      <c r="B1610" s="130"/>
      <c r="E1610" s="79"/>
      <c r="F1610" s="80"/>
      <c r="G1610" s="80"/>
      <c r="H1610" s="240"/>
    </row>
    <row r="1611" ht="12.75" customHeight="1" outlineLevel="2">
      <c r="A1611" s="89" t="s">
        <v>1611</v>
      </c>
      <c r="B1611" s="301" t="s">
        <v>3418</v>
      </c>
      <c r="C1611" s="369" t="s">
        <v>3419</v>
      </c>
      <c r="D1611" s="203" t="s">
        <v>40</v>
      </c>
      <c r="E1611" s="361">
        <v>140.0</v>
      </c>
      <c r="F1611" s="362">
        <v>71.0</v>
      </c>
      <c r="G1611" s="206">
        <f>F1611*E1611</f>
        <v>9940</v>
      </c>
      <c r="H1611" s="370" t="s">
        <v>3416</v>
      </c>
    </row>
    <row r="1612" ht="12.75" customHeight="1" outlineLevel="2">
      <c r="B1612" s="130"/>
      <c r="E1612" s="79"/>
      <c r="F1612" s="80"/>
      <c r="G1612" s="80"/>
      <c r="H1612" s="240"/>
    </row>
    <row r="1613" ht="12.75" customHeight="1" outlineLevel="2">
      <c r="A1613" s="89" t="s">
        <v>1613</v>
      </c>
      <c r="B1613" s="302">
        <v>19.6</v>
      </c>
      <c r="C1613" s="371" t="s">
        <v>3420</v>
      </c>
      <c r="E1613" s="79"/>
      <c r="F1613" s="80"/>
      <c r="G1613" s="80"/>
      <c r="H1613" s="240"/>
    </row>
    <row r="1614" ht="12.75" customHeight="1" outlineLevel="2">
      <c r="B1614" s="130"/>
      <c r="E1614" s="79"/>
      <c r="F1614" s="80"/>
      <c r="G1614" s="80"/>
      <c r="H1614" s="240"/>
    </row>
    <row r="1615" ht="12.75" customHeight="1" outlineLevel="2">
      <c r="A1615" s="89" t="s">
        <v>1615</v>
      </c>
      <c r="B1615" s="301" t="s">
        <v>3421</v>
      </c>
      <c r="C1615" s="369" t="s">
        <v>3422</v>
      </c>
      <c r="D1615" s="203" t="s">
        <v>161</v>
      </c>
      <c r="E1615" s="361">
        <v>32.0</v>
      </c>
      <c r="F1615" s="362">
        <v>175.0</v>
      </c>
      <c r="G1615" s="206">
        <f>F1615*E1615</f>
        <v>5600</v>
      </c>
      <c r="H1615" s="370" t="s">
        <v>3416</v>
      </c>
    </row>
    <row r="1616" ht="12.75" customHeight="1" outlineLevel="1">
      <c r="A1616" s="89"/>
      <c r="B1616" s="130"/>
      <c r="C1616" s="90"/>
      <c r="D1616" s="89"/>
      <c r="E1616" s="91"/>
      <c r="F1616" s="92"/>
      <c r="G1616" s="239"/>
      <c r="H1616" s="240"/>
    </row>
    <row r="1617" ht="12.75" customHeight="1">
      <c r="A1617" s="192"/>
      <c r="B1617" s="84">
        <v>20.0</v>
      </c>
      <c r="C1617" s="306" t="s">
        <v>3423</v>
      </c>
      <c r="D1617" s="193"/>
      <c r="E1617" s="194"/>
      <c r="F1617" s="195"/>
      <c r="G1617" s="364">
        <f>SUM(G1623:G1636)</f>
        <v>0</v>
      </c>
      <c r="H1617" s="197">
        <f>G1617</f>
        <v>0</v>
      </c>
    </row>
    <row r="1618" ht="12.75" customHeight="1" outlineLevel="1">
      <c r="A1618" s="89"/>
      <c r="B1618" s="130"/>
      <c r="E1618" s="79"/>
      <c r="F1618" s="80"/>
      <c r="G1618" s="80"/>
      <c r="H1618" s="240"/>
    </row>
    <row r="1619" ht="12.75" customHeight="1" outlineLevel="1">
      <c r="A1619" s="89"/>
      <c r="B1619" s="130"/>
      <c r="C1619" s="90" t="s">
        <v>3424</v>
      </c>
      <c r="E1619" s="79"/>
      <c r="F1619" s="80"/>
      <c r="G1619" s="80"/>
      <c r="H1619" s="240"/>
    </row>
    <row r="1620" ht="12.75" customHeight="1" outlineLevel="1">
      <c r="A1620" s="89"/>
      <c r="B1620" s="130"/>
      <c r="E1620" s="79"/>
      <c r="F1620" s="80"/>
      <c r="G1620" s="80"/>
      <c r="H1620" s="240"/>
    </row>
    <row r="1621" ht="12.75" customHeight="1" outlineLevel="1">
      <c r="A1621" s="89" t="s">
        <v>781</v>
      </c>
      <c r="B1621" s="130"/>
      <c r="C1621" s="306" t="s">
        <v>3425</v>
      </c>
      <c r="E1621" s="79"/>
      <c r="F1621" s="80"/>
      <c r="G1621" s="80"/>
      <c r="H1621" s="240"/>
    </row>
    <row r="1622" ht="12.75" customHeight="1" outlineLevel="2">
      <c r="B1622" s="130"/>
      <c r="E1622" s="79"/>
      <c r="F1622" s="80"/>
      <c r="G1622" s="80"/>
      <c r="H1622" s="240"/>
    </row>
    <row r="1623" ht="12.75" customHeight="1" outlineLevel="2">
      <c r="A1623" s="89" t="s">
        <v>1620</v>
      </c>
      <c r="B1623" s="301" t="s">
        <v>3426</v>
      </c>
      <c r="C1623" s="369" t="s">
        <v>3427</v>
      </c>
      <c r="D1623" s="203" t="s">
        <v>75</v>
      </c>
      <c r="E1623" s="361">
        <v>8.0</v>
      </c>
      <c r="F1623" s="362">
        <v>0.0</v>
      </c>
      <c r="G1623" s="372">
        <f>F1623*E1623</f>
        <v>0</v>
      </c>
      <c r="H1623" s="370" t="s">
        <v>619</v>
      </c>
    </row>
    <row r="1624" ht="12.75" customHeight="1" outlineLevel="2">
      <c r="B1624" s="130"/>
      <c r="E1624" s="79"/>
      <c r="F1624" s="80"/>
      <c r="G1624" s="80"/>
      <c r="H1624" s="240"/>
    </row>
    <row r="1625" ht="12.75" customHeight="1" outlineLevel="2">
      <c r="A1625" s="89" t="s">
        <v>1622</v>
      </c>
      <c r="B1625" s="301" t="s">
        <v>3428</v>
      </c>
      <c r="C1625" s="369" t="s">
        <v>3429</v>
      </c>
      <c r="D1625" s="203" t="s">
        <v>75</v>
      </c>
      <c r="E1625" s="361">
        <v>10.0</v>
      </c>
      <c r="F1625" s="362">
        <v>0.0</v>
      </c>
      <c r="G1625" s="372">
        <f>F1625*E1625</f>
        <v>0</v>
      </c>
      <c r="H1625" s="370" t="s">
        <v>619</v>
      </c>
    </row>
    <row r="1626" ht="12.75" customHeight="1" outlineLevel="2">
      <c r="B1626" s="130"/>
      <c r="E1626" s="79"/>
      <c r="F1626" s="80"/>
      <c r="G1626" s="80"/>
      <c r="H1626" s="240"/>
    </row>
    <row r="1627" ht="12.75" customHeight="1" outlineLevel="1">
      <c r="A1627" s="89" t="s">
        <v>1624</v>
      </c>
      <c r="B1627" s="130"/>
      <c r="C1627" s="306" t="s">
        <v>3430</v>
      </c>
      <c r="E1627" s="79"/>
      <c r="F1627" s="80"/>
      <c r="G1627" s="80"/>
      <c r="H1627" s="240"/>
    </row>
    <row r="1628" ht="12.75" customHeight="1" outlineLevel="2">
      <c r="B1628" s="130"/>
      <c r="E1628" s="79"/>
      <c r="F1628" s="80"/>
      <c r="G1628" s="80"/>
      <c r="H1628" s="240"/>
    </row>
    <row r="1629" ht="12.75" customHeight="1" outlineLevel="2">
      <c r="A1629" s="89" t="s">
        <v>1626</v>
      </c>
      <c r="B1629" s="301" t="s">
        <v>3431</v>
      </c>
      <c r="C1629" s="369" t="s">
        <v>3432</v>
      </c>
      <c r="D1629" s="203" t="s">
        <v>75</v>
      </c>
      <c r="E1629" s="361">
        <v>4.0</v>
      </c>
      <c r="F1629" s="362">
        <v>0.0</v>
      </c>
      <c r="G1629" s="372">
        <f>F1629*E1629</f>
        <v>0</v>
      </c>
      <c r="H1629" s="370" t="s">
        <v>619</v>
      </c>
    </row>
    <row r="1630" ht="12.75" customHeight="1" outlineLevel="2">
      <c r="B1630" s="130"/>
      <c r="E1630" s="79"/>
      <c r="F1630" s="80"/>
      <c r="G1630" s="80"/>
      <c r="H1630" s="240"/>
    </row>
    <row r="1631" ht="12.75" customHeight="1" outlineLevel="1">
      <c r="A1631" s="89" t="s">
        <v>1628</v>
      </c>
      <c r="B1631" s="130"/>
      <c r="C1631" s="306" t="s">
        <v>3433</v>
      </c>
      <c r="E1631" s="79"/>
      <c r="F1631" s="80"/>
      <c r="G1631" s="80"/>
      <c r="H1631" s="240"/>
    </row>
    <row r="1632" ht="12.75" customHeight="1" outlineLevel="2">
      <c r="B1632" s="130"/>
      <c r="E1632" s="79"/>
      <c r="F1632" s="80"/>
      <c r="G1632" s="80"/>
      <c r="H1632" s="240"/>
    </row>
    <row r="1633" ht="12.75" customHeight="1" outlineLevel="2">
      <c r="A1633" s="89" t="s">
        <v>1630</v>
      </c>
      <c r="B1633" s="301" t="s">
        <v>3434</v>
      </c>
      <c r="C1633" s="369" t="s">
        <v>3435</v>
      </c>
      <c r="D1633" s="203"/>
      <c r="E1633" s="361"/>
      <c r="F1633" s="362">
        <v>0.0</v>
      </c>
      <c r="G1633" s="372">
        <f>F1633*E1633</f>
        <v>0</v>
      </c>
      <c r="H1633" s="370" t="s">
        <v>619</v>
      </c>
    </row>
    <row r="1634" ht="12.75" customHeight="1" outlineLevel="2">
      <c r="B1634" s="130"/>
      <c r="E1634" s="79"/>
      <c r="F1634" s="80"/>
      <c r="G1634" s="80"/>
      <c r="H1634" s="240"/>
    </row>
    <row r="1635" ht="12.75" customHeight="1" outlineLevel="2">
      <c r="A1635" s="89" t="s">
        <v>1632</v>
      </c>
      <c r="B1635" s="301" t="s">
        <v>3436</v>
      </c>
      <c r="C1635" s="369" t="s">
        <v>3437</v>
      </c>
      <c r="D1635" s="203" t="s">
        <v>75</v>
      </c>
      <c r="E1635" s="361">
        <v>4.0</v>
      </c>
      <c r="F1635" s="362">
        <v>0.0</v>
      </c>
      <c r="G1635" s="372">
        <f t="shared" ref="G1635:G1636" si="82">F1635*E1635</f>
        <v>0</v>
      </c>
      <c r="H1635" s="370" t="s">
        <v>619</v>
      </c>
    </row>
    <row r="1636" ht="12.75" customHeight="1" outlineLevel="2">
      <c r="A1636" s="89" t="s">
        <v>1634</v>
      </c>
      <c r="B1636" s="301" t="s">
        <v>3438</v>
      </c>
      <c r="C1636" s="369" t="s">
        <v>3439</v>
      </c>
      <c r="D1636" s="203" t="s">
        <v>75</v>
      </c>
      <c r="E1636" s="361">
        <v>2.0</v>
      </c>
      <c r="F1636" s="362">
        <v>0.0</v>
      </c>
      <c r="G1636" s="372">
        <f t="shared" si="82"/>
        <v>0</v>
      </c>
      <c r="H1636" s="370" t="s">
        <v>619</v>
      </c>
    </row>
    <row r="1637" ht="12.75" customHeight="1" outlineLevel="1">
      <c r="A1637" s="89"/>
      <c r="B1637" s="312"/>
      <c r="C1637" s="90"/>
      <c r="D1637" s="89"/>
      <c r="E1637" s="91"/>
      <c r="F1637" s="80"/>
      <c r="G1637" s="135"/>
      <c r="H1637" s="240"/>
    </row>
    <row r="1638" ht="12.75" customHeight="1">
      <c r="A1638" s="192"/>
      <c r="B1638" s="373">
        <v>21.0</v>
      </c>
      <c r="C1638" s="306" t="s">
        <v>2563</v>
      </c>
      <c r="D1638" s="193"/>
      <c r="E1638" s="194"/>
      <c r="F1638" s="195"/>
      <c r="G1638" s="364">
        <f>SUM(G1642:G1648)</f>
        <v>10648</v>
      </c>
      <c r="H1638" s="197">
        <f>G1638-'Orcamento RU'!C2283</f>
        <v>100</v>
      </c>
    </row>
    <row r="1639" ht="12.75" customHeight="1" outlineLevel="1">
      <c r="A1639" s="89"/>
      <c r="B1639" s="312"/>
      <c r="C1639" s="90"/>
      <c r="E1639" s="79"/>
      <c r="F1639" s="80"/>
      <c r="G1639" s="80"/>
      <c r="H1639" s="240"/>
    </row>
    <row r="1640" ht="12.75" customHeight="1" outlineLevel="1">
      <c r="A1640" s="89" t="s">
        <v>1636</v>
      </c>
      <c r="B1640" s="189"/>
      <c r="C1640" s="184" t="s">
        <v>3440</v>
      </c>
      <c r="E1640" s="79"/>
      <c r="F1640" s="80"/>
      <c r="G1640" s="80"/>
      <c r="H1640" s="240"/>
    </row>
    <row r="1641" ht="12.75" customHeight="1" outlineLevel="2">
      <c r="B1641" s="189"/>
      <c r="E1641" s="79"/>
      <c r="F1641" s="80"/>
      <c r="G1641" s="80"/>
      <c r="H1641" s="240"/>
    </row>
    <row r="1642" ht="12.75" customHeight="1" outlineLevel="2">
      <c r="A1642" s="89" t="s">
        <v>1638</v>
      </c>
      <c r="B1642" s="301" t="s">
        <v>3441</v>
      </c>
      <c r="C1642" s="369" t="s">
        <v>3442</v>
      </c>
      <c r="D1642" s="203" t="s">
        <v>75</v>
      </c>
      <c r="E1642" s="361">
        <v>1.0</v>
      </c>
      <c r="F1642" s="362">
        <v>1500.0</v>
      </c>
      <c r="G1642" s="206">
        <f>F1642*E1642</f>
        <v>1500</v>
      </c>
      <c r="H1642" s="370"/>
    </row>
    <row r="1643" ht="12.75" customHeight="1" outlineLevel="2">
      <c r="B1643" s="189"/>
      <c r="E1643" s="79"/>
      <c r="F1643" s="80"/>
      <c r="G1643" s="80"/>
      <c r="H1643" s="240"/>
    </row>
    <row r="1644" ht="12.75" customHeight="1" outlineLevel="2">
      <c r="A1644" s="89" t="s">
        <v>1640</v>
      </c>
      <c r="B1644" s="301" t="s">
        <v>3443</v>
      </c>
      <c r="C1644" s="369" t="s">
        <v>3444</v>
      </c>
      <c r="D1644" s="203" t="s">
        <v>75</v>
      </c>
      <c r="E1644" s="361">
        <v>1.0</v>
      </c>
      <c r="F1644" s="362">
        <v>1100.0</v>
      </c>
      <c r="G1644" s="372">
        <v>1098.0</v>
      </c>
      <c r="H1644" s="370"/>
    </row>
    <row r="1645" ht="12.75" customHeight="1" outlineLevel="2">
      <c r="B1645" s="189"/>
      <c r="E1645" s="79"/>
      <c r="F1645" s="80"/>
      <c r="G1645" s="80"/>
      <c r="H1645" s="240"/>
    </row>
    <row r="1646" ht="12.75" customHeight="1" outlineLevel="2">
      <c r="A1646" s="89" t="s">
        <v>1642</v>
      </c>
      <c r="B1646" s="301" t="s">
        <v>3445</v>
      </c>
      <c r="C1646" s="369" t="s">
        <v>3446</v>
      </c>
      <c r="D1646" s="203" t="s">
        <v>75</v>
      </c>
      <c r="E1646" s="361">
        <v>1.0</v>
      </c>
      <c r="F1646" s="362">
        <v>750.0</v>
      </c>
      <c r="G1646" s="206">
        <f>F1646*E1646</f>
        <v>750</v>
      </c>
      <c r="H1646" s="370"/>
    </row>
    <row r="1647" ht="12.75" customHeight="1" outlineLevel="2">
      <c r="B1647" s="189"/>
      <c r="E1647" s="79"/>
      <c r="F1647" s="80"/>
      <c r="G1647" s="80"/>
      <c r="H1647" s="240"/>
    </row>
    <row r="1648" ht="12.75" customHeight="1" outlineLevel="2">
      <c r="A1648" s="89" t="s">
        <v>1644</v>
      </c>
      <c r="B1648" s="301" t="s">
        <v>3447</v>
      </c>
      <c r="C1648" s="369" t="s">
        <v>3448</v>
      </c>
      <c r="D1648" s="203" t="s">
        <v>75</v>
      </c>
      <c r="E1648" s="361">
        <v>1.0</v>
      </c>
      <c r="F1648" s="362">
        <v>7300.0</v>
      </c>
      <c r="G1648" s="206">
        <f>F1648*E1648</f>
        <v>7300</v>
      </c>
      <c r="H1648" s="370"/>
    </row>
    <row r="1649" ht="12.75" customHeight="1" outlineLevel="1">
      <c r="A1649" s="89"/>
      <c r="B1649" s="312"/>
      <c r="C1649" s="90"/>
      <c r="D1649" s="89"/>
      <c r="E1649" s="91"/>
      <c r="F1649" s="80"/>
      <c r="G1649" s="135"/>
      <c r="H1649" s="240"/>
    </row>
    <row r="1650" ht="12.75" customHeight="1">
      <c r="A1650" s="192"/>
      <c r="B1650" s="84">
        <v>22.0</v>
      </c>
      <c r="C1650" s="306" t="s">
        <v>3449</v>
      </c>
      <c r="D1650" s="193"/>
      <c r="E1650" s="194"/>
      <c r="F1650" s="195"/>
      <c r="G1650" s="364">
        <f>SUM(G1656:G1739)</f>
        <v>84235</v>
      </c>
      <c r="H1650" s="197">
        <f>G1650-Resumo!J52</f>
        <v>10874.31</v>
      </c>
    </row>
    <row r="1651" ht="12.75" customHeight="1" outlineLevel="1">
      <c r="A1651" s="89"/>
      <c r="B1651" s="312"/>
      <c r="C1651" s="90"/>
      <c r="E1651" s="79"/>
      <c r="F1651" s="80"/>
      <c r="G1651" s="80"/>
      <c r="H1651" s="240"/>
    </row>
    <row r="1652" ht="12.75" customHeight="1" outlineLevel="1">
      <c r="A1652" s="89" t="s">
        <v>1648</v>
      </c>
      <c r="B1652" s="130"/>
      <c r="C1652" s="184" t="s">
        <v>3450</v>
      </c>
      <c r="E1652" s="79"/>
      <c r="F1652" s="80"/>
      <c r="G1652" s="80"/>
      <c r="H1652" s="240"/>
    </row>
    <row r="1653" ht="12.75" customHeight="1" outlineLevel="2">
      <c r="B1653" s="130"/>
      <c r="E1653" s="79"/>
      <c r="F1653" s="80"/>
      <c r="G1653" s="80"/>
      <c r="H1653" s="240"/>
    </row>
    <row r="1654" ht="12.75" customHeight="1" outlineLevel="2">
      <c r="A1654" s="89" t="s">
        <v>1650</v>
      </c>
      <c r="B1654" s="374">
        <v>22.1</v>
      </c>
      <c r="C1654" s="371" t="s">
        <v>3451</v>
      </c>
      <c r="E1654" s="79"/>
      <c r="F1654" s="80"/>
      <c r="G1654" s="80"/>
      <c r="H1654" s="240"/>
    </row>
    <row r="1655" ht="12.75" customHeight="1" outlineLevel="2">
      <c r="B1655" s="130"/>
      <c r="E1655" s="79"/>
      <c r="F1655" s="80"/>
      <c r="G1655" s="80"/>
      <c r="H1655" s="240"/>
    </row>
    <row r="1656" ht="12.75" customHeight="1" outlineLevel="2">
      <c r="A1656" s="89" t="s">
        <v>1652</v>
      </c>
      <c r="B1656" s="301" t="s">
        <v>3452</v>
      </c>
      <c r="C1656" s="369" t="s">
        <v>3453</v>
      </c>
      <c r="D1656" s="203" t="s">
        <v>40</v>
      </c>
      <c r="E1656" s="361">
        <v>2000.0</v>
      </c>
      <c r="F1656" s="362">
        <v>3.0</v>
      </c>
      <c r="G1656" s="206">
        <f>F1656*E1656</f>
        <v>6000</v>
      </c>
      <c r="H1656" s="370"/>
    </row>
    <row r="1657" ht="12.75" customHeight="1" outlineLevel="2">
      <c r="B1657" s="130"/>
      <c r="E1657" s="79"/>
      <c r="F1657" s="80"/>
      <c r="G1657" s="80"/>
      <c r="H1657" s="240"/>
    </row>
    <row r="1658" ht="12.75" customHeight="1" outlineLevel="2">
      <c r="A1658" s="89" t="s">
        <v>1654</v>
      </c>
      <c r="B1658" s="374">
        <v>22.2</v>
      </c>
      <c r="C1658" s="371" t="s">
        <v>3454</v>
      </c>
      <c r="E1658" s="79"/>
      <c r="F1658" s="80"/>
      <c r="G1658" s="80"/>
      <c r="H1658" s="240"/>
    </row>
    <row r="1659" ht="12.75" customHeight="1" outlineLevel="2">
      <c r="B1659" s="130"/>
      <c r="E1659" s="79"/>
      <c r="F1659" s="80"/>
      <c r="G1659" s="80"/>
      <c r="H1659" s="240"/>
    </row>
    <row r="1660" ht="12.75" customHeight="1" outlineLevel="2">
      <c r="A1660" s="89" t="s">
        <v>1656</v>
      </c>
      <c r="B1660" s="301" t="s">
        <v>3455</v>
      </c>
      <c r="C1660" s="369" t="s">
        <v>3456</v>
      </c>
      <c r="D1660" s="203" t="s">
        <v>933</v>
      </c>
      <c r="E1660" s="361">
        <v>70.0</v>
      </c>
      <c r="F1660" s="362">
        <v>11.0</v>
      </c>
      <c r="G1660" s="206">
        <f>F1660*E1660</f>
        <v>770</v>
      </c>
      <c r="H1660" s="370"/>
    </row>
    <row r="1661" ht="12.75" customHeight="1" outlineLevel="2">
      <c r="B1661" s="130"/>
      <c r="E1661" s="79"/>
      <c r="F1661" s="80"/>
      <c r="G1661" s="80"/>
      <c r="H1661" s="240"/>
    </row>
    <row r="1662" ht="12.75" customHeight="1" outlineLevel="2">
      <c r="A1662" s="89" t="s">
        <v>1658</v>
      </c>
      <c r="B1662" s="301" t="s">
        <v>3457</v>
      </c>
      <c r="C1662" s="369" t="s">
        <v>3458</v>
      </c>
      <c r="D1662" s="203" t="s">
        <v>933</v>
      </c>
      <c r="E1662" s="361">
        <v>177.0</v>
      </c>
      <c r="F1662" s="362">
        <v>11.0</v>
      </c>
      <c r="G1662" s="206">
        <f>F1662*E1662</f>
        <v>1947</v>
      </c>
      <c r="H1662" s="370"/>
    </row>
    <row r="1663" ht="12.75" customHeight="1" outlineLevel="2">
      <c r="B1663" s="130"/>
      <c r="E1663" s="79"/>
      <c r="F1663" s="80"/>
      <c r="G1663" s="80"/>
      <c r="H1663" s="240"/>
    </row>
    <row r="1664" ht="12.75" customHeight="1" outlineLevel="2">
      <c r="A1664" s="89" t="s">
        <v>1660</v>
      </c>
      <c r="B1664" s="301" t="s">
        <v>3459</v>
      </c>
      <c r="C1664" s="369" t="s">
        <v>3460</v>
      </c>
      <c r="D1664" s="203" t="s">
        <v>933</v>
      </c>
      <c r="E1664" s="361">
        <v>134.0</v>
      </c>
      <c r="F1664" s="362">
        <v>11.0</v>
      </c>
      <c r="G1664" s="206">
        <f>F1664*E1664</f>
        <v>1474</v>
      </c>
      <c r="H1664" s="370"/>
    </row>
    <row r="1665" ht="12.75" customHeight="1" outlineLevel="2">
      <c r="B1665" s="130"/>
      <c r="E1665" s="79"/>
      <c r="F1665" s="80"/>
      <c r="G1665" s="80"/>
      <c r="H1665" s="240"/>
    </row>
    <row r="1666" ht="12.75" customHeight="1" outlineLevel="2">
      <c r="A1666" s="89" t="s">
        <v>1662</v>
      </c>
      <c r="B1666" s="374"/>
      <c r="C1666" s="371" t="s">
        <v>3461</v>
      </c>
      <c r="E1666" s="79"/>
      <c r="F1666" s="80"/>
      <c r="G1666" s="80"/>
      <c r="H1666" s="240"/>
    </row>
    <row r="1667" ht="12.75" customHeight="1" outlineLevel="2">
      <c r="B1667" s="130"/>
      <c r="E1667" s="79"/>
      <c r="F1667" s="80"/>
      <c r="G1667" s="80"/>
      <c r="H1667" s="240"/>
    </row>
    <row r="1668" ht="12.75" customHeight="1" outlineLevel="2">
      <c r="A1668" s="89" t="s">
        <v>1664</v>
      </c>
      <c r="B1668" s="302">
        <v>22.3</v>
      </c>
      <c r="C1668" s="368" t="s">
        <v>3462</v>
      </c>
      <c r="E1668" s="79"/>
      <c r="F1668" s="80"/>
      <c r="G1668" s="80"/>
      <c r="H1668" s="240"/>
    </row>
    <row r="1669" ht="12.75" customHeight="1" outlineLevel="2">
      <c r="B1669" s="130"/>
      <c r="E1669" s="79"/>
      <c r="F1669" s="80"/>
      <c r="G1669" s="80"/>
      <c r="H1669" s="240"/>
    </row>
    <row r="1670" ht="12.75" customHeight="1" outlineLevel="2">
      <c r="A1670" s="89" t="s">
        <v>1666</v>
      </c>
      <c r="B1670" s="301" t="s">
        <v>3463</v>
      </c>
      <c r="C1670" s="369" t="s">
        <v>3464</v>
      </c>
      <c r="D1670" s="203" t="s">
        <v>933</v>
      </c>
      <c r="E1670" s="361">
        <v>72.5</v>
      </c>
      <c r="F1670" s="362">
        <v>58.0</v>
      </c>
      <c r="G1670" s="206">
        <f t="shared" ref="G1670:G1673" si="83">F1670*E1670</f>
        <v>4205</v>
      </c>
      <c r="H1670" s="370"/>
    </row>
    <row r="1671" ht="12.75" customHeight="1" outlineLevel="2">
      <c r="A1671" s="89" t="s">
        <v>1668</v>
      </c>
      <c r="B1671" s="301" t="s">
        <v>3465</v>
      </c>
      <c r="C1671" s="369" t="s">
        <v>3466</v>
      </c>
      <c r="D1671" s="203" t="s">
        <v>933</v>
      </c>
      <c r="E1671" s="361">
        <v>177.0</v>
      </c>
      <c r="F1671" s="362">
        <v>58.0</v>
      </c>
      <c r="G1671" s="206">
        <f t="shared" si="83"/>
        <v>10266</v>
      </c>
      <c r="H1671" s="370"/>
    </row>
    <row r="1672" ht="12.75" customHeight="1" outlineLevel="2">
      <c r="A1672" s="89" t="s">
        <v>1670</v>
      </c>
      <c r="B1672" s="301" t="s">
        <v>3467</v>
      </c>
      <c r="C1672" s="369" t="s">
        <v>3468</v>
      </c>
      <c r="D1672" s="203" t="s">
        <v>933</v>
      </c>
      <c r="E1672" s="361">
        <v>134.0</v>
      </c>
      <c r="F1672" s="362">
        <v>58.0</v>
      </c>
      <c r="G1672" s="206">
        <f t="shared" si="83"/>
        <v>7772</v>
      </c>
      <c r="H1672" s="370"/>
    </row>
    <row r="1673" ht="12.75" customHeight="1" outlineLevel="2">
      <c r="A1673" s="89" t="s">
        <v>1672</v>
      </c>
      <c r="B1673" s="301" t="s">
        <v>3469</v>
      </c>
      <c r="C1673" s="369" t="s">
        <v>3470</v>
      </c>
      <c r="D1673" s="203" t="s">
        <v>933</v>
      </c>
      <c r="E1673" s="361">
        <v>70.0</v>
      </c>
      <c r="F1673" s="362">
        <v>59.0</v>
      </c>
      <c r="G1673" s="206">
        <f t="shared" si="83"/>
        <v>4130</v>
      </c>
      <c r="H1673" s="370"/>
    </row>
    <row r="1674" ht="12.75" customHeight="1" outlineLevel="2">
      <c r="A1674" s="89"/>
      <c r="B1674" s="130"/>
      <c r="E1674" s="79"/>
      <c r="F1674" s="80"/>
      <c r="G1674" s="80"/>
      <c r="H1674" s="240"/>
    </row>
    <row r="1675" ht="12.75" customHeight="1" outlineLevel="1">
      <c r="A1675" s="89" t="s">
        <v>1674</v>
      </c>
      <c r="B1675" s="130"/>
      <c r="C1675" s="184" t="s">
        <v>3471</v>
      </c>
      <c r="E1675" s="79"/>
      <c r="F1675" s="80"/>
      <c r="G1675" s="80"/>
      <c r="H1675" s="240"/>
    </row>
    <row r="1676" ht="12.75" customHeight="1" outlineLevel="2">
      <c r="B1676" s="130"/>
      <c r="E1676" s="79"/>
      <c r="F1676" s="80"/>
      <c r="G1676" s="80"/>
      <c r="H1676" s="240"/>
    </row>
    <row r="1677" ht="12.75" customHeight="1" outlineLevel="2">
      <c r="A1677" s="89" t="s">
        <v>1676</v>
      </c>
      <c r="B1677" s="302">
        <v>22.4</v>
      </c>
      <c r="C1677" s="368" t="s">
        <v>3472</v>
      </c>
      <c r="E1677" s="79"/>
      <c r="F1677" s="80"/>
      <c r="G1677" s="80"/>
      <c r="H1677" s="240"/>
    </row>
    <row r="1678" ht="12.75" customHeight="1" outlineLevel="2">
      <c r="B1678" s="130"/>
      <c r="E1678" s="79"/>
      <c r="F1678" s="80"/>
      <c r="G1678" s="80"/>
      <c r="H1678" s="240"/>
    </row>
    <row r="1679" ht="12.75" customHeight="1" outlineLevel="2">
      <c r="A1679" s="89" t="s">
        <v>1680</v>
      </c>
      <c r="B1679" s="301" t="s">
        <v>3473</v>
      </c>
      <c r="C1679" s="369" t="s">
        <v>3474</v>
      </c>
      <c r="D1679" s="203" t="s">
        <v>75</v>
      </c>
      <c r="E1679" s="361">
        <v>3.0</v>
      </c>
      <c r="F1679" s="362">
        <v>70.0</v>
      </c>
      <c r="G1679" s="206">
        <f t="shared" ref="G1679:G1688" si="84">F1679*E1679</f>
        <v>210</v>
      </c>
      <c r="H1679" s="370"/>
    </row>
    <row r="1680" ht="12.75" customHeight="1" outlineLevel="2">
      <c r="A1680" s="89" t="s">
        <v>1682</v>
      </c>
      <c r="B1680" s="301" t="s">
        <v>3475</v>
      </c>
      <c r="C1680" s="369" t="s">
        <v>3476</v>
      </c>
      <c r="D1680" s="203" t="s">
        <v>75</v>
      </c>
      <c r="E1680" s="361">
        <v>3.0</v>
      </c>
      <c r="F1680" s="362">
        <v>70.0</v>
      </c>
      <c r="G1680" s="206">
        <f t="shared" si="84"/>
        <v>210</v>
      </c>
      <c r="H1680" s="370"/>
    </row>
    <row r="1681" ht="12.75" customHeight="1" outlineLevel="2">
      <c r="A1681" s="89" t="s">
        <v>1684</v>
      </c>
      <c r="B1681" s="301" t="s">
        <v>3477</v>
      </c>
      <c r="C1681" s="369" t="s">
        <v>3478</v>
      </c>
      <c r="D1681" s="203" t="s">
        <v>75</v>
      </c>
      <c r="E1681" s="361">
        <v>5.0</v>
      </c>
      <c r="F1681" s="362">
        <v>211.0</v>
      </c>
      <c r="G1681" s="206">
        <f t="shared" si="84"/>
        <v>1055</v>
      </c>
      <c r="H1681" s="370"/>
    </row>
    <row r="1682" ht="12.75" customHeight="1" outlineLevel="2">
      <c r="A1682" s="89" t="s">
        <v>1686</v>
      </c>
      <c r="B1682" s="301" t="s">
        <v>3479</v>
      </c>
      <c r="C1682" s="369" t="s">
        <v>3480</v>
      </c>
      <c r="D1682" s="203" t="s">
        <v>75</v>
      </c>
      <c r="E1682" s="361">
        <v>6.0</v>
      </c>
      <c r="F1682" s="362">
        <v>166.0</v>
      </c>
      <c r="G1682" s="206">
        <f t="shared" si="84"/>
        <v>996</v>
      </c>
      <c r="H1682" s="370"/>
    </row>
    <row r="1683" ht="12.75" customHeight="1" outlineLevel="2">
      <c r="A1683" s="89" t="s">
        <v>1688</v>
      </c>
      <c r="B1683" s="301" t="s">
        <v>3481</v>
      </c>
      <c r="C1683" s="369" t="s">
        <v>3482</v>
      </c>
      <c r="D1683" s="203" t="s">
        <v>75</v>
      </c>
      <c r="E1683" s="361">
        <v>6.0</v>
      </c>
      <c r="F1683" s="362">
        <v>150.0</v>
      </c>
      <c r="G1683" s="206">
        <f t="shared" si="84"/>
        <v>900</v>
      </c>
      <c r="H1683" s="370"/>
    </row>
    <row r="1684" ht="12.75" customHeight="1" outlineLevel="2">
      <c r="A1684" s="89" t="s">
        <v>1690</v>
      </c>
      <c r="B1684" s="301" t="s">
        <v>3483</v>
      </c>
      <c r="C1684" s="369" t="s">
        <v>3484</v>
      </c>
      <c r="D1684" s="203" t="s">
        <v>75</v>
      </c>
      <c r="E1684" s="361">
        <v>2.0</v>
      </c>
      <c r="F1684" s="362">
        <v>91.0</v>
      </c>
      <c r="G1684" s="206">
        <f t="shared" si="84"/>
        <v>182</v>
      </c>
      <c r="H1684" s="370"/>
    </row>
    <row r="1685" ht="12.75" customHeight="1" outlineLevel="2">
      <c r="A1685" s="89" t="s">
        <v>1692</v>
      </c>
      <c r="B1685" s="301" t="s">
        <v>3485</v>
      </c>
      <c r="C1685" s="369" t="s">
        <v>3486</v>
      </c>
      <c r="D1685" s="203" t="s">
        <v>75</v>
      </c>
      <c r="E1685" s="361">
        <v>4.0</v>
      </c>
      <c r="F1685" s="362">
        <v>353.0</v>
      </c>
      <c r="G1685" s="206">
        <f t="shared" si="84"/>
        <v>1412</v>
      </c>
      <c r="H1685" s="370"/>
    </row>
    <row r="1686" ht="12.75" customHeight="1" outlineLevel="2">
      <c r="A1686" s="89" t="s">
        <v>1694</v>
      </c>
      <c r="B1686" s="301" t="s">
        <v>3487</v>
      </c>
      <c r="C1686" s="369" t="s">
        <v>3488</v>
      </c>
      <c r="D1686" s="203" t="s">
        <v>75</v>
      </c>
      <c r="E1686" s="361">
        <v>5.0</v>
      </c>
      <c r="F1686" s="362">
        <v>291.0</v>
      </c>
      <c r="G1686" s="206">
        <f t="shared" si="84"/>
        <v>1455</v>
      </c>
      <c r="H1686" s="370"/>
    </row>
    <row r="1687" ht="12.75" customHeight="1" outlineLevel="2">
      <c r="A1687" s="89" t="s">
        <v>1696</v>
      </c>
      <c r="B1687" s="301" t="s">
        <v>3489</v>
      </c>
      <c r="C1687" s="369" t="s">
        <v>3490</v>
      </c>
      <c r="D1687" s="203" t="s">
        <v>75</v>
      </c>
      <c r="E1687" s="361">
        <v>6.0</v>
      </c>
      <c r="F1687" s="362">
        <v>391.0</v>
      </c>
      <c r="G1687" s="206">
        <f t="shared" si="84"/>
        <v>2346</v>
      </c>
      <c r="H1687" s="370"/>
    </row>
    <row r="1688" ht="12.75" customHeight="1" outlineLevel="2">
      <c r="A1688" s="89" t="s">
        <v>1698</v>
      </c>
      <c r="B1688" s="301" t="s">
        <v>3491</v>
      </c>
      <c r="C1688" s="369" t="s">
        <v>3492</v>
      </c>
      <c r="D1688" s="203" t="s">
        <v>75</v>
      </c>
      <c r="E1688" s="361">
        <v>12.0</v>
      </c>
      <c r="F1688" s="362">
        <v>99.0</v>
      </c>
      <c r="G1688" s="206">
        <f t="shared" si="84"/>
        <v>1188</v>
      </c>
      <c r="H1688" s="370"/>
    </row>
    <row r="1689" ht="12.75" customHeight="1" outlineLevel="2">
      <c r="B1689" s="130"/>
      <c r="E1689" s="79"/>
      <c r="F1689" s="80"/>
      <c r="G1689" s="80"/>
      <c r="H1689" s="240"/>
    </row>
    <row r="1690" ht="12.75" customHeight="1" outlineLevel="2">
      <c r="A1690" s="89" t="s">
        <v>1702</v>
      </c>
      <c r="B1690" s="302">
        <v>22.5</v>
      </c>
      <c r="C1690" s="371" t="s">
        <v>3493</v>
      </c>
      <c r="E1690" s="79"/>
      <c r="F1690" s="80"/>
      <c r="G1690" s="80"/>
      <c r="H1690" s="240"/>
    </row>
    <row r="1691" ht="12.75" customHeight="1" outlineLevel="2">
      <c r="B1691" s="130"/>
      <c r="E1691" s="79"/>
      <c r="F1691" s="80"/>
      <c r="G1691" s="80"/>
      <c r="H1691" s="240"/>
    </row>
    <row r="1692" ht="12.75" customHeight="1" outlineLevel="2">
      <c r="A1692" s="89" t="s">
        <v>1704</v>
      </c>
      <c r="B1692" s="301" t="s">
        <v>3494</v>
      </c>
      <c r="C1692" s="369" t="s">
        <v>3495</v>
      </c>
      <c r="D1692" s="203" t="s">
        <v>75</v>
      </c>
      <c r="E1692" s="361">
        <v>9.0</v>
      </c>
      <c r="F1692" s="362">
        <v>30.0</v>
      </c>
      <c r="G1692" s="206">
        <f t="shared" ref="G1692:G1701" si="85">F1692*E1692</f>
        <v>270</v>
      </c>
      <c r="H1692" s="370"/>
    </row>
    <row r="1693" ht="12.75" customHeight="1" outlineLevel="2">
      <c r="A1693" s="89" t="s">
        <v>1706</v>
      </c>
      <c r="B1693" s="301" t="s">
        <v>3496</v>
      </c>
      <c r="C1693" s="369" t="s">
        <v>3497</v>
      </c>
      <c r="D1693" s="203" t="s">
        <v>75</v>
      </c>
      <c r="E1693" s="361">
        <v>8.0</v>
      </c>
      <c r="F1693" s="362">
        <v>66.0</v>
      </c>
      <c r="G1693" s="206">
        <f t="shared" si="85"/>
        <v>528</v>
      </c>
      <c r="H1693" s="370"/>
    </row>
    <row r="1694" ht="12.75" customHeight="1" outlineLevel="2">
      <c r="A1694" s="89" t="s">
        <v>1708</v>
      </c>
      <c r="B1694" s="301" t="s">
        <v>3498</v>
      </c>
      <c r="C1694" s="369" t="s">
        <v>3499</v>
      </c>
      <c r="D1694" s="203" t="s">
        <v>75</v>
      </c>
      <c r="E1694" s="361">
        <v>42.0</v>
      </c>
      <c r="F1694" s="362">
        <v>10.0</v>
      </c>
      <c r="G1694" s="206">
        <f t="shared" si="85"/>
        <v>420</v>
      </c>
      <c r="H1694" s="370"/>
    </row>
    <row r="1695" ht="12.75" customHeight="1" outlineLevel="2">
      <c r="A1695" s="89" t="s">
        <v>1710</v>
      </c>
      <c r="B1695" s="301" t="s">
        <v>3500</v>
      </c>
      <c r="C1695" s="369" t="s">
        <v>3501</v>
      </c>
      <c r="D1695" s="203" t="s">
        <v>75</v>
      </c>
      <c r="E1695" s="361">
        <v>76.0</v>
      </c>
      <c r="F1695" s="362">
        <v>40.0</v>
      </c>
      <c r="G1695" s="206">
        <f t="shared" si="85"/>
        <v>3040</v>
      </c>
      <c r="H1695" s="370"/>
    </row>
    <row r="1696" ht="12.75" customHeight="1" outlineLevel="2">
      <c r="A1696" s="89" t="s">
        <v>1712</v>
      </c>
      <c r="B1696" s="301" t="s">
        <v>3502</v>
      </c>
      <c r="C1696" s="369" t="s">
        <v>3503</v>
      </c>
      <c r="D1696" s="203" t="s">
        <v>75</v>
      </c>
      <c r="E1696" s="361">
        <v>62.0</v>
      </c>
      <c r="F1696" s="362">
        <v>43.0</v>
      </c>
      <c r="G1696" s="206">
        <f t="shared" si="85"/>
        <v>2666</v>
      </c>
      <c r="H1696" s="370"/>
    </row>
    <row r="1697" ht="12.75" customHeight="1" outlineLevel="2">
      <c r="A1697" s="89" t="s">
        <v>1714</v>
      </c>
      <c r="B1697" s="301" t="s">
        <v>3504</v>
      </c>
      <c r="C1697" s="369" t="s">
        <v>3505</v>
      </c>
      <c r="D1697" s="203" t="s">
        <v>75</v>
      </c>
      <c r="E1697" s="361">
        <v>20.0</v>
      </c>
      <c r="F1697" s="362">
        <v>18.0</v>
      </c>
      <c r="G1697" s="206">
        <f t="shared" si="85"/>
        <v>360</v>
      </c>
      <c r="H1697" s="370"/>
    </row>
    <row r="1698" ht="12.75" customHeight="1" outlineLevel="2">
      <c r="A1698" s="89" t="s">
        <v>1716</v>
      </c>
      <c r="B1698" s="301" t="s">
        <v>3506</v>
      </c>
      <c r="C1698" s="369" t="s">
        <v>3507</v>
      </c>
      <c r="D1698" s="203" t="s">
        <v>75</v>
      </c>
      <c r="E1698" s="361">
        <v>118.0</v>
      </c>
      <c r="F1698" s="362">
        <v>9.0</v>
      </c>
      <c r="G1698" s="206">
        <f t="shared" si="85"/>
        <v>1062</v>
      </c>
      <c r="H1698" s="370"/>
    </row>
    <row r="1699" ht="12.75" customHeight="1" outlineLevel="2">
      <c r="A1699" s="89" t="s">
        <v>1718</v>
      </c>
      <c r="B1699" s="301" t="s">
        <v>3508</v>
      </c>
      <c r="C1699" s="369" t="s">
        <v>3509</v>
      </c>
      <c r="D1699" s="203" t="s">
        <v>75</v>
      </c>
      <c r="E1699" s="361">
        <v>14.0</v>
      </c>
      <c r="F1699" s="362">
        <v>20.0</v>
      </c>
      <c r="G1699" s="206">
        <f t="shared" si="85"/>
        <v>280</v>
      </c>
      <c r="H1699" s="370"/>
    </row>
    <row r="1700" ht="12.75" customHeight="1" outlineLevel="2">
      <c r="A1700" s="89" t="s">
        <v>1720</v>
      </c>
      <c r="B1700" s="301" t="s">
        <v>3510</v>
      </c>
      <c r="C1700" s="369" t="s">
        <v>3511</v>
      </c>
      <c r="D1700" s="203" t="s">
        <v>75</v>
      </c>
      <c r="E1700" s="361">
        <v>17.0</v>
      </c>
      <c r="F1700" s="362">
        <v>15.0</v>
      </c>
      <c r="G1700" s="206">
        <f t="shared" si="85"/>
        <v>255</v>
      </c>
      <c r="H1700" s="370"/>
    </row>
    <row r="1701" ht="12.75" customHeight="1" outlineLevel="2">
      <c r="A1701" s="89" t="s">
        <v>1722</v>
      </c>
      <c r="B1701" s="301" t="s">
        <v>3512</v>
      </c>
      <c r="C1701" s="369" t="s">
        <v>3513</v>
      </c>
      <c r="D1701" s="203" t="s">
        <v>75</v>
      </c>
      <c r="E1701" s="361">
        <v>40.0</v>
      </c>
      <c r="F1701" s="362">
        <v>10.0</v>
      </c>
      <c r="G1701" s="206">
        <f t="shared" si="85"/>
        <v>400</v>
      </c>
      <c r="H1701" s="370"/>
    </row>
    <row r="1702" ht="12.75" customHeight="1" outlineLevel="2">
      <c r="B1702" s="130"/>
      <c r="E1702" s="79"/>
      <c r="F1702" s="80"/>
      <c r="G1702" s="80"/>
      <c r="H1702" s="240"/>
    </row>
    <row r="1703" ht="12.75" customHeight="1" outlineLevel="2">
      <c r="A1703" s="89" t="s">
        <v>1724</v>
      </c>
      <c r="B1703" s="130"/>
      <c r="C1703" s="184" t="s">
        <v>3514</v>
      </c>
      <c r="E1703" s="79"/>
      <c r="F1703" s="80"/>
      <c r="G1703" s="80"/>
      <c r="H1703" s="240"/>
    </row>
    <row r="1704" ht="12.75" customHeight="1" outlineLevel="2">
      <c r="B1704" s="130"/>
      <c r="E1704" s="79"/>
      <c r="F1704" s="80"/>
      <c r="G1704" s="80"/>
      <c r="H1704" s="240"/>
    </row>
    <row r="1705" ht="12.75" customHeight="1" outlineLevel="2">
      <c r="A1705" s="89" t="s">
        <v>1726</v>
      </c>
      <c r="B1705" s="302">
        <v>22.6</v>
      </c>
      <c r="C1705" s="368" t="s">
        <v>3515</v>
      </c>
      <c r="E1705" s="79"/>
      <c r="F1705" s="80"/>
      <c r="G1705" s="80"/>
      <c r="H1705" s="240"/>
    </row>
    <row r="1706" ht="12.75" customHeight="1" outlineLevel="2">
      <c r="B1706" s="130"/>
      <c r="E1706" s="79"/>
      <c r="F1706" s="80"/>
      <c r="G1706" s="80"/>
      <c r="H1706" s="240"/>
    </row>
    <row r="1707" ht="12.75" customHeight="1" outlineLevel="2">
      <c r="A1707" s="89" t="s">
        <v>1728</v>
      </c>
      <c r="B1707" s="302" t="s">
        <v>3516</v>
      </c>
      <c r="C1707" s="369" t="s">
        <v>3517</v>
      </c>
      <c r="D1707" s="203" t="s">
        <v>75</v>
      </c>
      <c r="E1707" s="361">
        <v>5.0</v>
      </c>
      <c r="F1707" s="362">
        <v>143.0</v>
      </c>
      <c r="G1707" s="206">
        <f t="shared" ref="G1707:G1708" si="86">F1707*E1707</f>
        <v>715</v>
      </c>
      <c r="H1707" s="370"/>
    </row>
    <row r="1708" ht="12.75" customHeight="1" outlineLevel="2">
      <c r="A1708" s="89" t="s">
        <v>1730</v>
      </c>
      <c r="B1708" s="302" t="s">
        <v>3518</v>
      </c>
      <c r="C1708" s="369" t="s">
        <v>3519</v>
      </c>
      <c r="D1708" s="203" t="s">
        <v>75</v>
      </c>
      <c r="E1708" s="361">
        <v>3.0</v>
      </c>
      <c r="F1708" s="362">
        <v>126.0</v>
      </c>
      <c r="G1708" s="206">
        <f t="shared" si="86"/>
        <v>378</v>
      </c>
      <c r="H1708" s="370"/>
    </row>
    <row r="1709" ht="12.75" customHeight="1" outlineLevel="2">
      <c r="B1709" s="130"/>
      <c r="E1709" s="79"/>
      <c r="F1709" s="80"/>
      <c r="G1709" s="80"/>
      <c r="H1709" s="240"/>
    </row>
    <row r="1710" ht="12.75" customHeight="1" outlineLevel="2">
      <c r="A1710" s="89" t="s">
        <v>1732</v>
      </c>
      <c r="B1710" s="130"/>
      <c r="C1710" s="184" t="s">
        <v>3520</v>
      </c>
      <c r="E1710" s="79"/>
      <c r="F1710" s="80"/>
      <c r="G1710" s="80"/>
      <c r="H1710" s="240"/>
    </row>
    <row r="1711" ht="12.75" customHeight="1" outlineLevel="2">
      <c r="B1711" s="130"/>
      <c r="E1711" s="79"/>
      <c r="F1711" s="80"/>
      <c r="G1711" s="80"/>
      <c r="H1711" s="240"/>
    </row>
    <row r="1712" ht="12.75" customHeight="1" outlineLevel="2">
      <c r="A1712" s="89" t="s">
        <v>1734</v>
      </c>
      <c r="B1712" s="302">
        <v>22.7</v>
      </c>
      <c r="C1712" s="368" t="s">
        <v>3521</v>
      </c>
      <c r="E1712" s="79"/>
      <c r="F1712" s="80"/>
      <c r="G1712" s="80"/>
      <c r="H1712" s="240"/>
    </row>
    <row r="1713" ht="12.75" customHeight="1" outlineLevel="2">
      <c r="B1713" s="130"/>
      <c r="E1713" s="79"/>
      <c r="F1713" s="80"/>
      <c r="G1713" s="80"/>
      <c r="H1713" s="240"/>
    </row>
    <row r="1714" ht="12.75" customHeight="1" outlineLevel="2">
      <c r="A1714" s="89" t="s">
        <v>1736</v>
      </c>
      <c r="B1714" s="301" t="s">
        <v>3522</v>
      </c>
      <c r="C1714" s="369" t="s">
        <v>3523</v>
      </c>
      <c r="D1714" s="203" t="s">
        <v>75</v>
      </c>
      <c r="E1714" s="361">
        <v>170.0</v>
      </c>
      <c r="F1714" s="362">
        <v>4.0</v>
      </c>
      <c r="G1714" s="206">
        <f t="shared" ref="G1714:G1720" si="87">F1714*E1714</f>
        <v>680</v>
      </c>
      <c r="H1714" s="370"/>
    </row>
    <row r="1715" ht="12.75" customHeight="1" outlineLevel="2">
      <c r="A1715" s="89" t="s">
        <v>1738</v>
      </c>
      <c r="B1715" s="301" t="s">
        <v>3524</v>
      </c>
      <c r="C1715" s="369" t="s">
        <v>3525</v>
      </c>
      <c r="D1715" s="203" t="s">
        <v>75</v>
      </c>
      <c r="E1715" s="361">
        <v>250.0</v>
      </c>
      <c r="F1715" s="362">
        <v>4.0</v>
      </c>
      <c r="G1715" s="206">
        <f t="shared" si="87"/>
        <v>1000</v>
      </c>
      <c r="H1715" s="370"/>
    </row>
    <row r="1716" ht="12.75" customHeight="1" outlineLevel="2">
      <c r="A1716" s="89" t="s">
        <v>1740</v>
      </c>
      <c r="B1716" s="301" t="s">
        <v>3526</v>
      </c>
      <c r="C1716" s="369" t="s">
        <v>3527</v>
      </c>
      <c r="D1716" s="203" t="s">
        <v>75</v>
      </c>
      <c r="E1716" s="361">
        <v>250.0</v>
      </c>
      <c r="F1716" s="362">
        <v>9.0</v>
      </c>
      <c r="G1716" s="206">
        <f t="shared" si="87"/>
        <v>2250</v>
      </c>
      <c r="H1716" s="370"/>
    </row>
    <row r="1717" ht="12.75" customHeight="1" outlineLevel="2">
      <c r="A1717" s="89" t="s">
        <v>1742</v>
      </c>
      <c r="B1717" s="301" t="s">
        <v>3528</v>
      </c>
      <c r="C1717" s="369" t="s">
        <v>3529</v>
      </c>
      <c r="D1717" s="203" t="s">
        <v>75</v>
      </c>
      <c r="E1717" s="361">
        <v>250.0</v>
      </c>
      <c r="F1717" s="362">
        <v>8.0</v>
      </c>
      <c r="G1717" s="206">
        <f t="shared" si="87"/>
        <v>2000</v>
      </c>
      <c r="H1717" s="370"/>
    </row>
    <row r="1718" ht="12.75" customHeight="1" outlineLevel="2">
      <c r="A1718" s="89" t="s">
        <v>1744</v>
      </c>
      <c r="B1718" s="301" t="s">
        <v>3530</v>
      </c>
      <c r="C1718" s="369" t="s">
        <v>3531</v>
      </c>
      <c r="D1718" s="203" t="s">
        <v>75</v>
      </c>
      <c r="E1718" s="361">
        <v>250.0</v>
      </c>
      <c r="F1718" s="362">
        <v>7.0</v>
      </c>
      <c r="G1718" s="206">
        <f t="shared" si="87"/>
        <v>1750</v>
      </c>
      <c r="H1718" s="370"/>
    </row>
    <row r="1719" ht="12.75" customHeight="1" outlineLevel="2">
      <c r="A1719" s="89" t="s">
        <v>1746</v>
      </c>
      <c r="B1719" s="301" t="s">
        <v>3532</v>
      </c>
      <c r="C1719" s="369" t="s">
        <v>3533</v>
      </c>
      <c r="D1719" s="203" t="s">
        <v>75</v>
      </c>
      <c r="E1719" s="361">
        <v>300.0</v>
      </c>
      <c r="F1719" s="362">
        <v>6.0</v>
      </c>
      <c r="G1719" s="206">
        <f t="shared" si="87"/>
        <v>1800</v>
      </c>
      <c r="H1719" s="370"/>
    </row>
    <row r="1720" ht="12.75" customHeight="1" outlineLevel="2">
      <c r="A1720" s="89" t="s">
        <v>1748</v>
      </c>
      <c r="B1720" s="301" t="s">
        <v>3534</v>
      </c>
      <c r="C1720" s="369" t="s">
        <v>3535</v>
      </c>
      <c r="D1720" s="203" t="s">
        <v>75</v>
      </c>
      <c r="E1720" s="361">
        <v>150.0</v>
      </c>
      <c r="F1720" s="362">
        <v>4.0</v>
      </c>
      <c r="G1720" s="206">
        <f t="shared" si="87"/>
        <v>600</v>
      </c>
      <c r="H1720" s="370"/>
    </row>
    <row r="1721" ht="12.75" customHeight="1" outlineLevel="2">
      <c r="B1721" s="130"/>
      <c r="E1721" s="79"/>
      <c r="F1721" s="80"/>
      <c r="G1721" s="80"/>
      <c r="H1721" s="240"/>
    </row>
    <row r="1722" ht="12.75" customHeight="1" outlineLevel="2">
      <c r="A1722" s="89" t="s">
        <v>1750</v>
      </c>
      <c r="B1722" s="130"/>
      <c r="C1722" s="184" t="s">
        <v>3536</v>
      </c>
      <c r="E1722" s="79"/>
      <c r="F1722" s="80"/>
      <c r="G1722" s="80"/>
      <c r="H1722" s="240"/>
    </row>
    <row r="1723" ht="12.75" customHeight="1" outlineLevel="2">
      <c r="B1723" s="130"/>
      <c r="E1723" s="79"/>
      <c r="F1723" s="80"/>
      <c r="G1723" s="80"/>
      <c r="H1723" s="240"/>
    </row>
    <row r="1724" ht="12.75" customHeight="1" outlineLevel="2">
      <c r="A1724" s="89" t="s">
        <v>1752</v>
      </c>
      <c r="B1724" s="301" t="s">
        <v>3537</v>
      </c>
      <c r="C1724" s="369" t="s">
        <v>3538</v>
      </c>
      <c r="D1724" s="203" t="s">
        <v>40</v>
      </c>
      <c r="E1724" s="361">
        <v>725.0</v>
      </c>
      <c r="F1724" s="362">
        <v>6.0</v>
      </c>
      <c r="G1724" s="206">
        <f>F1724*E1724</f>
        <v>4350</v>
      </c>
      <c r="H1724" s="370"/>
    </row>
    <row r="1725" ht="12.75" customHeight="1" outlineLevel="2">
      <c r="B1725" s="130"/>
      <c r="E1725" s="79"/>
      <c r="F1725" s="80"/>
      <c r="G1725" s="80"/>
      <c r="H1725" s="240"/>
    </row>
    <row r="1726" ht="12.75" customHeight="1" outlineLevel="2">
      <c r="B1726" s="130"/>
      <c r="E1726" s="79"/>
      <c r="F1726" s="80"/>
      <c r="G1726" s="80"/>
      <c r="H1726" s="240"/>
    </row>
    <row r="1727" ht="12.75" customHeight="1" outlineLevel="2">
      <c r="A1727" s="89" t="s">
        <v>1755</v>
      </c>
      <c r="B1727" s="130"/>
      <c r="C1727" s="184" t="s">
        <v>3539</v>
      </c>
      <c r="E1727" s="79"/>
      <c r="F1727" s="80"/>
      <c r="G1727" s="80"/>
      <c r="H1727" s="240"/>
    </row>
    <row r="1728" ht="12.75" customHeight="1" outlineLevel="2">
      <c r="B1728" s="130"/>
      <c r="E1728" s="79"/>
      <c r="F1728" s="80"/>
      <c r="G1728" s="80"/>
      <c r="H1728" s="240"/>
    </row>
    <row r="1729" ht="12.75" customHeight="1" outlineLevel="2">
      <c r="A1729" s="89" t="s">
        <v>1757</v>
      </c>
      <c r="B1729" s="301" t="s">
        <v>3540</v>
      </c>
      <c r="C1729" s="369" t="s">
        <v>3541</v>
      </c>
      <c r="D1729" s="203" t="s">
        <v>40</v>
      </c>
      <c r="E1729" s="361">
        <v>886.0</v>
      </c>
      <c r="F1729" s="362">
        <v>4.0</v>
      </c>
      <c r="G1729" s="206">
        <f>F1729*E1729</f>
        <v>3544</v>
      </c>
      <c r="H1729" s="370"/>
    </row>
    <row r="1730" ht="12.75" customHeight="1" outlineLevel="2">
      <c r="B1730" s="130"/>
      <c r="E1730" s="79"/>
      <c r="F1730" s="80"/>
      <c r="G1730" s="80"/>
      <c r="H1730" s="240"/>
    </row>
    <row r="1731" ht="12.75" customHeight="1" outlineLevel="2">
      <c r="B1731" s="130"/>
      <c r="C1731" s="90"/>
      <c r="E1731" s="79"/>
      <c r="F1731" s="80"/>
      <c r="G1731" s="80"/>
      <c r="H1731" s="240"/>
    </row>
    <row r="1732" ht="12.75" customHeight="1" outlineLevel="2">
      <c r="B1732" s="130"/>
      <c r="E1732" s="79"/>
      <c r="F1732" s="80"/>
      <c r="G1732" s="80"/>
      <c r="H1732" s="240"/>
    </row>
    <row r="1733" ht="12.75" customHeight="1" outlineLevel="2">
      <c r="A1733" s="89" t="s">
        <v>1760</v>
      </c>
      <c r="B1733" s="375"/>
      <c r="C1733" s="184" t="s">
        <v>3542</v>
      </c>
      <c r="E1733" s="79"/>
      <c r="F1733" s="80"/>
      <c r="G1733" s="80"/>
      <c r="H1733" s="240"/>
    </row>
    <row r="1734" ht="12.75" customHeight="1" outlineLevel="2">
      <c r="B1734" s="130"/>
      <c r="E1734" s="79"/>
      <c r="F1734" s="80"/>
      <c r="G1734" s="80"/>
      <c r="H1734" s="240"/>
    </row>
    <row r="1735" ht="12.75" customHeight="1" outlineLevel="2">
      <c r="A1735" s="89" t="s">
        <v>1762</v>
      </c>
      <c r="B1735" s="301" t="s">
        <v>3543</v>
      </c>
      <c r="C1735" s="369" t="s">
        <v>3544</v>
      </c>
      <c r="D1735" s="203" t="s">
        <v>75</v>
      </c>
      <c r="E1735" s="361">
        <v>52.0</v>
      </c>
      <c r="F1735" s="362">
        <v>32.0</v>
      </c>
      <c r="G1735" s="206">
        <f>F1735*E1735</f>
        <v>1664</v>
      </c>
      <c r="H1735" s="370"/>
    </row>
    <row r="1736" ht="12.75" customHeight="1" outlineLevel="2">
      <c r="B1736" s="130"/>
      <c r="E1736" s="79"/>
      <c r="F1736" s="80"/>
      <c r="G1736" s="80"/>
      <c r="H1736" s="240"/>
    </row>
    <row r="1737" ht="12.75" customHeight="1" outlineLevel="2">
      <c r="A1737" s="89" t="s">
        <v>1764</v>
      </c>
      <c r="B1737" s="130"/>
      <c r="C1737" s="184" t="s">
        <v>3545</v>
      </c>
      <c r="E1737" s="79"/>
      <c r="F1737" s="80"/>
      <c r="G1737" s="80"/>
      <c r="H1737" s="240"/>
    </row>
    <row r="1738" ht="12.75" customHeight="1" outlineLevel="2">
      <c r="B1738" s="130"/>
      <c r="E1738" s="79"/>
      <c r="F1738" s="80"/>
      <c r="G1738" s="80"/>
      <c r="H1738" s="240"/>
    </row>
    <row r="1739" ht="12.75" customHeight="1" outlineLevel="2">
      <c r="A1739" s="89" t="s">
        <v>1766</v>
      </c>
      <c r="B1739" s="301" t="s">
        <v>3546</v>
      </c>
      <c r="C1739" s="369" t="s">
        <v>3547</v>
      </c>
      <c r="D1739" s="203" t="s">
        <v>40</v>
      </c>
      <c r="E1739" s="361">
        <v>335.0</v>
      </c>
      <c r="F1739" s="362">
        <v>23.0</v>
      </c>
      <c r="G1739" s="206">
        <f>F1739*E1739</f>
        <v>7705</v>
      </c>
      <c r="H1739" s="370"/>
    </row>
    <row r="1740" ht="12.75" customHeight="1" outlineLevel="1">
      <c r="A1740" s="89"/>
      <c r="B1740" s="130"/>
      <c r="C1740" s="90"/>
      <c r="D1740" s="89"/>
      <c r="E1740" s="91"/>
      <c r="F1740" s="92"/>
      <c r="G1740" s="92"/>
      <c r="H1740" s="240"/>
    </row>
    <row r="1741" ht="12.75" customHeight="1">
      <c r="A1741" s="192"/>
      <c r="B1741" s="84">
        <v>23.0</v>
      </c>
      <c r="C1741" s="306" t="s">
        <v>3548</v>
      </c>
      <c r="D1741" s="193"/>
      <c r="E1741" s="194"/>
      <c r="F1741" s="195"/>
      <c r="G1741" s="364">
        <f>SUM(G1746:G1810)</f>
        <v>34796.64</v>
      </c>
      <c r="H1741" s="197">
        <f>G1741-Resumo!J53</f>
        <v>1130.7</v>
      </c>
    </row>
    <row r="1742" ht="12.75" customHeight="1" outlineLevel="1">
      <c r="A1742" s="89"/>
      <c r="B1742" s="312"/>
      <c r="C1742" s="90"/>
      <c r="E1742" s="79"/>
      <c r="F1742" s="80"/>
      <c r="G1742" s="80"/>
      <c r="H1742" s="240"/>
    </row>
    <row r="1743" ht="12.75" customHeight="1" outlineLevel="1">
      <c r="A1743" s="89"/>
      <c r="B1743" s="189"/>
      <c r="E1743" s="79"/>
      <c r="F1743" s="80"/>
      <c r="G1743" s="80"/>
      <c r="H1743" s="240"/>
    </row>
    <row r="1744" ht="12.75" customHeight="1" outlineLevel="1">
      <c r="A1744" s="89" t="s">
        <v>1773</v>
      </c>
      <c r="B1744" s="189"/>
      <c r="C1744" s="306" t="s">
        <v>3549</v>
      </c>
      <c r="E1744" s="79"/>
      <c r="F1744" s="80"/>
      <c r="G1744" s="80"/>
      <c r="H1744" s="240"/>
    </row>
    <row r="1745" ht="12.75" customHeight="1" outlineLevel="2">
      <c r="B1745" s="189"/>
      <c r="E1745" s="79"/>
      <c r="F1745" s="80"/>
      <c r="G1745" s="80"/>
      <c r="H1745" s="240"/>
    </row>
    <row r="1746" ht="12.75" customHeight="1" outlineLevel="2">
      <c r="A1746" s="89" t="s">
        <v>1775</v>
      </c>
      <c r="B1746" s="301" t="s">
        <v>3550</v>
      </c>
      <c r="C1746" s="369" t="s">
        <v>3551</v>
      </c>
      <c r="D1746" s="203" t="s">
        <v>933</v>
      </c>
      <c r="E1746" s="361">
        <v>232.0</v>
      </c>
      <c r="F1746" s="362">
        <v>4.0</v>
      </c>
      <c r="G1746" s="206">
        <f>F1746*E1746</f>
        <v>928</v>
      </c>
      <c r="H1746" s="370"/>
    </row>
    <row r="1747" ht="12.75" customHeight="1" outlineLevel="2">
      <c r="B1747" s="130"/>
      <c r="E1747" s="79"/>
      <c r="F1747" s="80"/>
      <c r="G1747" s="80"/>
      <c r="H1747" s="240"/>
    </row>
    <row r="1748" ht="12.75" customHeight="1" outlineLevel="2">
      <c r="A1748" s="89" t="s">
        <v>1777</v>
      </c>
      <c r="B1748" s="301" t="s">
        <v>3552</v>
      </c>
      <c r="C1748" s="369" t="s">
        <v>3553</v>
      </c>
      <c r="D1748" s="203" t="s">
        <v>933</v>
      </c>
      <c r="E1748" s="361">
        <v>92.8</v>
      </c>
      <c r="F1748" s="362">
        <v>41.0</v>
      </c>
      <c r="G1748" s="206">
        <f>F1748*E1748</f>
        <v>3804.8</v>
      </c>
      <c r="H1748" s="370"/>
    </row>
    <row r="1749" ht="12.75" customHeight="1" outlineLevel="2">
      <c r="B1749" s="130"/>
      <c r="E1749" s="79"/>
      <c r="F1749" s="80"/>
      <c r="G1749" s="80"/>
      <c r="H1749" s="240"/>
    </row>
    <row r="1750" ht="12.75" customHeight="1" outlineLevel="2">
      <c r="A1750" s="89" t="s">
        <v>1779</v>
      </c>
      <c r="B1750" s="301" t="s">
        <v>3554</v>
      </c>
      <c r="C1750" s="369" t="s">
        <v>3555</v>
      </c>
      <c r="D1750" s="203" t="s">
        <v>933</v>
      </c>
      <c r="E1750" s="361">
        <v>111.36</v>
      </c>
      <c r="F1750" s="362">
        <v>19.0</v>
      </c>
      <c r="G1750" s="206">
        <f>F1750*E1750</f>
        <v>2115.84</v>
      </c>
      <c r="H1750" s="370"/>
    </row>
    <row r="1751" ht="12.75" customHeight="1" outlineLevel="2">
      <c r="A1751" s="89"/>
      <c r="B1751" s="130"/>
      <c r="E1751" s="79"/>
      <c r="F1751" s="80"/>
      <c r="G1751" s="80"/>
      <c r="H1751" s="240"/>
    </row>
    <row r="1752" ht="12.75" customHeight="1" outlineLevel="1">
      <c r="A1752" s="89" t="s">
        <v>1781</v>
      </c>
      <c r="B1752" s="130"/>
      <c r="C1752" s="306" t="s">
        <v>3556</v>
      </c>
      <c r="E1752" s="79"/>
      <c r="F1752" s="80"/>
      <c r="G1752" s="80"/>
      <c r="H1752" s="240"/>
    </row>
    <row r="1753" ht="12.75" customHeight="1" outlineLevel="2">
      <c r="B1753" s="130"/>
      <c r="E1753" s="79"/>
      <c r="F1753" s="80"/>
      <c r="G1753" s="80"/>
      <c r="H1753" s="240"/>
    </row>
    <row r="1754" ht="12.75" customHeight="1" outlineLevel="2">
      <c r="A1754" s="89" t="s">
        <v>1783</v>
      </c>
      <c r="B1754" s="302">
        <v>23.4</v>
      </c>
      <c r="C1754" s="368" t="s">
        <v>3557</v>
      </c>
      <c r="E1754" s="79"/>
      <c r="F1754" s="80"/>
      <c r="G1754" s="80"/>
      <c r="H1754" s="240"/>
    </row>
    <row r="1755" ht="12.75" customHeight="1" outlineLevel="2">
      <c r="B1755" s="130"/>
      <c r="E1755" s="79"/>
      <c r="F1755" s="80"/>
      <c r="G1755" s="80"/>
      <c r="H1755" s="240"/>
    </row>
    <row r="1756" ht="12.75" customHeight="1" outlineLevel="2">
      <c r="A1756" s="89" t="s">
        <v>1785</v>
      </c>
      <c r="B1756" s="301" t="s">
        <v>3558</v>
      </c>
      <c r="C1756" s="369" t="s">
        <v>3559</v>
      </c>
      <c r="D1756" s="203" t="s">
        <v>877</v>
      </c>
      <c r="E1756" s="361">
        <v>380.0</v>
      </c>
      <c r="F1756" s="362">
        <v>3.0</v>
      </c>
      <c r="G1756" s="206">
        <f t="shared" ref="G1756:G1758" si="88">F1756*E1756</f>
        <v>1140</v>
      </c>
      <c r="H1756" s="370"/>
    </row>
    <row r="1757" ht="12.75" customHeight="1" outlineLevel="2">
      <c r="A1757" s="89" t="s">
        <v>1787</v>
      </c>
      <c r="B1757" s="301" t="s">
        <v>3560</v>
      </c>
      <c r="C1757" s="369" t="s">
        <v>3561</v>
      </c>
      <c r="D1757" s="203" t="s">
        <v>877</v>
      </c>
      <c r="E1757" s="361">
        <v>65.0</v>
      </c>
      <c r="F1757" s="362">
        <v>4.0</v>
      </c>
      <c r="G1757" s="206">
        <f t="shared" si="88"/>
        <v>260</v>
      </c>
      <c r="H1757" s="370"/>
    </row>
    <row r="1758" ht="12.75" customHeight="1" outlineLevel="2">
      <c r="A1758" s="89" t="s">
        <v>1789</v>
      </c>
      <c r="B1758" s="301" t="s">
        <v>3562</v>
      </c>
      <c r="C1758" s="369" t="s">
        <v>3563</v>
      </c>
      <c r="D1758" s="203" t="s">
        <v>877</v>
      </c>
      <c r="E1758" s="361">
        <v>80.0</v>
      </c>
      <c r="F1758" s="362">
        <v>5.0</v>
      </c>
      <c r="G1758" s="206">
        <f t="shared" si="88"/>
        <v>400</v>
      </c>
      <c r="H1758" s="370"/>
    </row>
    <row r="1759" ht="12.75" customHeight="1" outlineLevel="2">
      <c r="B1759" s="130"/>
      <c r="E1759" s="79"/>
      <c r="F1759" s="80"/>
      <c r="G1759" s="80"/>
      <c r="H1759" s="240"/>
    </row>
    <row r="1760" ht="12.75" customHeight="1" outlineLevel="2">
      <c r="A1760" s="89" t="s">
        <v>1791</v>
      </c>
      <c r="B1760" s="302">
        <v>23.5</v>
      </c>
      <c r="C1760" s="368" t="s">
        <v>3564</v>
      </c>
      <c r="E1760" s="79"/>
      <c r="F1760" s="80"/>
      <c r="G1760" s="80"/>
      <c r="H1760" s="240"/>
    </row>
    <row r="1761" ht="12.75" customHeight="1" outlineLevel="2">
      <c r="B1761" s="130"/>
      <c r="E1761" s="79"/>
      <c r="F1761" s="80"/>
      <c r="G1761" s="80"/>
      <c r="H1761" s="240"/>
    </row>
    <row r="1762" ht="12.75" customHeight="1" outlineLevel="2">
      <c r="A1762" s="89" t="s">
        <v>1793</v>
      </c>
      <c r="B1762" s="301" t="s">
        <v>3565</v>
      </c>
      <c r="C1762" s="369" t="s">
        <v>3566</v>
      </c>
      <c r="D1762" s="203" t="s">
        <v>877</v>
      </c>
      <c r="E1762" s="361">
        <v>20.0</v>
      </c>
      <c r="F1762" s="362">
        <v>65.0</v>
      </c>
      <c r="G1762" s="206">
        <f>F1762*E1762</f>
        <v>1300</v>
      </c>
      <c r="H1762" s="370"/>
    </row>
    <row r="1763" ht="12.75" customHeight="1" outlineLevel="2">
      <c r="B1763" s="130"/>
      <c r="E1763" s="79"/>
      <c r="F1763" s="80"/>
      <c r="G1763" s="80"/>
      <c r="H1763" s="240"/>
    </row>
    <row r="1764" ht="12.75" customHeight="1" outlineLevel="1">
      <c r="A1764" s="89" t="s">
        <v>1795</v>
      </c>
      <c r="B1764" s="130"/>
      <c r="C1764" s="306" t="s">
        <v>3567</v>
      </c>
      <c r="E1764" s="79"/>
      <c r="F1764" s="80"/>
      <c r="G1764" s="80"/>
      <c r="H1764" s="240"/>
    </row>
    <row r="1765" ht="12.75" customHeight="1" outlineLevel="2">
      <c r="B1765" s="130"/>
      <c r="E1765" s="79"/>
      <c r="F1765" s="80"/>
      <c r="G1765" s="80"/>
      <c r="H1765" s="240"/>
    </row>
    <row r="1766" ht="12.75" customHeight="1" outlineLevel="2">
      <c r="A1766" s="89" t="s">
        <v>1797</v>
      </c>
      <c r="B1766" s="301" t="s">
        <v>3568</v>
      </c>
      <c r="C1766" s="369" t="s">
        <v>3569</v>
      </c>
      <c r="D1766" s="203" t="s">
        <v>40</v>
      </c>
      <c r="E1766" s="361">
        <v>335.0</v>
      </c>
      <c r="F1766" s="362">
        <v>25.0</v>
      </c>
      <c r="G1766" s="206">
        <f>F1766*E1766</f>
        <v>8375</v>
      </c>
      <c r="H1766" s="370"/>
    </row>
    <row r="1767" ht="12.75" customHeight="1" outlineLevel="2">
      <c r="B1767" s="130"/>
      <c r="E1767" s="79"/>
      <c r="F1767" s="80"/>
      <c r="G1767" s="80"/>
      <c r="H1767" s="240"/>
    </row>
    <row r="1768" ht="12.75" customHeight="1" outlineLevel="2">
      <c r="A1768" s="89" t="s">
        <v>1799</v>
      </c>
      <c r="B1768" s="302">
        <v>23.7</v>
      </c>
      <c r="C1768" s="368" t="s">
        <v>3570</v>
      </c>
      <c r="E1768" s="79"/>
      <c r="F1768" s="80"/>
      <c r="G1768" s="80"/>
      <c r="H1768" s="240"/>
    </row>
    <row r="1769" ht="12.75" customHeight="1" outlineLevel="2">
      <c r="B1769" s="130"/>
      <c r="E1769" s="79"/>
      <c r="F1769" s="80"/>
      <c r="G1769" s="80"/>
      <c r="H1769" s="240"/>
    </row>
    <row r="1770" ht="12.75" customHeight="1" outlineLevel="2">
      <c r="A1770" s="89" t="s">
        <v>1801</v>
      </c>
      <c r="B1770" s="301" t="s">
        <v>3571</v>
      </c>
      <c r="C1770" s="369" t="s">
        <v>3572</v>
      </c>
      <c r="D1770" s="203" t="s">
        <v>75</v>
      </c>
      <c r="E1770" s="361">
        <v>56.0</v>
      </c>
      <c r="F1770" s="362">
        <v>10.0</v>
      </c>
      <c r="G1770" s="206">
        <f>F1770*E1770</f>
        <v>560</v>
      </c>
      <c r="H1770" s="370"/>
    </row>
    <row r="1771" ht="12.75" customHeight="1" outlineLevel="2">
      <c r="B1771" s="130"/>
      <c r="E1771" s="79"/>
      <c r="F1771" s="80"/>
      <c r="G1771" s="80"/>
      <c r="H1771" s="240"/>
    </row>
    <row r="1772" ht="12.75" customHeight="1" outlineLevel="2">
      <c r="A1772" s="89" t="s">
        <v>1799</v>
      </c>
      <c r="B1772" s="301" t="s">
        <v>3573</v>
      </c>
      <c r="C1772" s="369" t="s">
        <v>3574</v>
      </c>
      <c r="D1772" s="203" t="s">
        <v>75</v>
      </c>
      <c r="E1772" s="361">
        <v>2.0</v>
      </c>
      <c r="F1772" s="362">
        <v>118.0</v>
      </c>
      <c r="G1772" s="206">
        <f>F1772*E1772</f>
        <v>236</v>
      </c>
      <c r="H1772" s="370"/>
    </row>
    <row r="1773" ht="12.75" customHeight="1" outlineLevel="2">
      <c r="B1773" s="130"/>
      <c r="E1773" s="79"/>
      <c r="F1773" s="80"/>
      <c r="G1773" s="80"/>
      <c r="H1773" s="240"/>
    </row>
    <row r="1774" ht="12.75" customHeight="1" outlineLevel="1">
      <c r="A1774" s="89" t="s">
        <v>1804</v>
      </c>
      <c r="B1774" s="130"/>
      <c r="C1774" s="306" t="s">
        <v>3575</v>
      </c>
      <c r="E1774" s="79"/>
      <c r="F1774" s="80"/>
      <c r="G1774" s="80"/>
      <c r="H1774" s="240"/>
    </row>
    <row r="1775" ht="12.75" customHeight="1" outlineLevel="2">
      <c r="B1775" s="130"/>
      <c r="E1775" s="79"/>
      <c r="F1775" s="80"/>
      <c r="G1775" s="80"/>
      <c r="H1775" s="240"/>
    </row>
    <row r="1776" ht="12.75" customHeight="1" outlineLevel="2">
      <c r="A1776" s="89" t="s">
        <v>1806</v>
      </c>
      <c r="B1776" s="302">
        <v>23.9</v>
      </c>
      <c r="C1776" s="368" t="s">
        <v>3576</v>
      </c>
      <c r="E1776" s="79"/>
      <c r="F1776" s="80"/>
      <c r="G1776" s="80"/>
      <c r="H1776" s="240"/>
    </row>
    <row r="1777" ht="12.75" customHeight="1" outlineLevel="2">
      <c r="B1777" s="130"/>
      <c r="E1777" s="79"/>
      <c r="F1777" s="80"/>
      <c r="G1777" s="80"/>
      <c r="H1777" s="240"/>
    </row>
    <row r="1778" ht="12.75" customHeight="1" outlineLevel="2">
      <c r="A1778" s="89" t="s">
        <v>1808</v>
      </c>
      <c r="B1778" s="301" t="s">
        <v>3577</v>
      </c>
      <c r="C1778" s="369" t="s">
        <v>1809</v>
      </c>
      <c r="D1778" s="203" t="s">
        <v>75</v>
      </c>
      <c r="E1778" s="361">
        <v>8.0</v>
      </c>
      <c r="F1778" s="362">
        <v>190.0</v>
      </c>
      <c r="G1778" s="206">
        <f>F1778*E1778</f>
        <v>1520</v>
      </c>
      <c r="H1778" s="370"/>
    </row>
    <row r="1779" ht="12.75" customHeight="1" outlineLevel="2">
      <c r="B1779" s="130"/>
      <c r="E1779" s="79"/>
      <c r="F1779" s="80"/>
      <c r="G1779" s="80"/>
      <c r="H1779" s="240"/>
    </row>
    <row r="1780" ht="12.75" customHeight="1" outlineLevel="2">
      <c r="A1780" s="89" t="s">
        <v>1810</v>
      </c>
      <c r="B1780" s="301" t="s">
        <v>3578</v>
      </c>
      <c r="C1780" s="369" t="s">
        <v>3579</v>
      </c>
      <c r="D1780" s="203" t="s">
        <v>75</v>
      </c>
      <c r="E1780" s="361">
        <v>8.0</v>
      </c>
      <c r="F1780" s="362">
        <v>138.0</v>
      </c>
      <c r="G1780" s="206">
        <f>F1780*E1780</f>
        <v>1104</v>
      </c>
      <c r="H1780" s="370"/>
    </row>
    <row r="1781" ht="12.75" customHeight="1" outlineLevel="2">
      <c r="B1781" s="130"/>
      <c r="E1781" s="79"/>
      <c r="F1781" s="80"/>
      <c r="G1781" s="80"/>
      <c r="H1781" s="240"/>
    </row>
    <row r="1782" ht="12.75" customHeight="1" outlineLevel="1">
      <c r="A1782" s="89" t="s">
        <v>1812</v>
      </c>
      <c r="B1782" s="130"/>
      <c r="C1782" s="306" t="s">
        <v>3580</v>
      </c>
      <c r="E1782" s="79"/>
      <c r="F1782" s="80"/>
      <c r="G1782" s="80"/>
      <c r="H1782" s="240"/>
    </row>
    <row r="1783" ht="12.75" customHeight="1" outlineLevel="2">
      <c r="B1783" s="130"/>
      <c r="E1783" s="79"/>
      <c r="F1783" s="80"/>
      <c r="G1783" s="80"/>
      <c r="H1783" s="240"/>
    </row>
    <row r="1784" ht="12.75" customHeight="1" outlineLevel="2">
      <c r="A1784" s="89" t="s">
        <v>1814</v>
      </c>
      <c r="B1784" s="301" t="s">
        <v>3581</v>
      </c>
      <c r="C1784" s="369" t="s">
        <v>3582</v>
      </c>
      <c r="D1784" s="203" t="s">
        <v>75</v>
      </c>
      <c r="E1784" s="361">
        <v>1.0</v>
      </c>
      <c r="F1784" s="362">
        <v>486.0</v>
      </c>
      <c r="G1784" s="206">
        <f>F1784*E1784</f>
        <v>486</v>
      </c>
      <c r="H1784" s="370"/>
    </row>
    <row r="1785" ht="12.75" customHeight="1" outlineLevel="2">
      <c r="B1785" s="130"/>
      <c r="E1785" s="79"/>
      <c r="F1785" s="80"/>
      <c r="G1785" s="80"/>
      <c r="H1785" s="240"/>
    </row>
    <row r="1786" ht="12.75" customHeight="1" outlineLevel="2">
      <c r="A1786" s="89" t="s">
        <v>1816</v>
      </c>
      <c r="B1786" s="302">
        <v>23.12</v>
      </c>
      <c r="C1786" s="368" t="s">
        <v>3583</v>
      </c>
      <c r="E1786" s="79"/>
      <c r="F1786" s="80"/>
      <c r="G1786" s="80"/>
      <c r="H1786" s="240"/>
    </row>
    <row r="1787" ht="12.75" customHeight="1" outlineLevel="2">
      <c r="B1787" s="130"/>
      <c r="E1787" s="79"/>
      <c r="F1787" s="80"/>
      <c r="G1787" s="80"/>
      <c r="H1787" s="240"/>
    </row>
    <row r="1788" ht="12.75" customHeight="1" outlineLevel="2">
      <c r="A1788" s="89" t="s">
        <v>1818</v>
      </c>
      <c r="B1788" s="301" t="s">
        <v>3584</v>
      </c>
      <c r="C1788" s="369" t="s">
        <v>3585</v>
      </c>
      <c r="D1788" s="203" t="s">
        <v>161</v>
      </c>
      <c r="E1788" s="361">
        <v>100.0</v>
      </c>
      <c r="F1788" s="362">
        <v>55.0</v>
      </c>
      <c r="G1788" s="206">
        <f>F1788*E1788</f>
        <v>5500</v>
      </c>
      <c r="H1788" s="370"/>
    </row>
    <row r="1789" ht="12.75" customHeight="1" outlineLevel="2">
      <c r="B1789" s="130"/>
      <c r="E1789" s="79"/>
      <c r="F1789" s="80"/>
      <c r="G1789" s="80"/>
      <c r="H1789" s="240"/>
    </row>
    <row r="1790" ht="12.75" customHeight="1" outlineLevel="1">
      <c r="A1790" s="89" t="s">
        <v>1820</v>
      </c>
      <c r="B1790" s="130"/>
      <c r="C1790" s="306" t="s">
        <v>3586</v>
      </c>
      <c r="E1790" s="79"/>
      <c r="F1790" s="80"/>
      <c r="G1790" s="80"/>
      <c r="H1790" s="240"/>
    </row>
    <row r="1791" ht="12.75" customHeight="1" outlineLevel="2">
      <c r="B1791" s="130"/>
      <c r="E1791" s="79"/>
      <c r="F1791" s="80"/>
      <c r="G1791" s="80"/>
      <c r="H1791" s="240"/>
    </row>
    <row r="1792" ht="12.75" customHeight="1" outlineLevel="2">
      <c r="A1792" s="89" t="s">
        <v>1822</v>
      </c>
      <c r="B1792" s="301" t="s">
        <v>3587</v>
      </c>
      <c r="C1792" s="369" t="s">
        <v>3588</v>
      </c>
      <c r="D1792" s="203" t="s">
        <v>75</v>
      </c>
      <c r="E1792" s="361">
        <v>1.0</v>
      </c>
      <c r="F1792" s="362">
        <v>32.0</v>
      </c>
      <c r="G1792" s="206">
        <f>F1792*E1792</f>
        <v>32</v>
      </c>
      <c r="H1792" s="370"/>
    </row>
    <row r="1793" ht="12.75" customHeight="1" outlineLevel="2">
      <c r="B1793" s="130"/>
      <c r="E1793" s="79"/>
      <c r="F1793" s="80"/>
      <c r="G1793" s="80"/>
      <c r="H1793" s="240"/>
    </row>
    <row r="1794" ht="12.75" customHeight="1" outlineLevel="2">
      <c r="A1794" s="89" t="s">
        <v>1824</v>
      </c>
      <c r="B1794" s="302">
        <v>23.14</v>
      </c>
      <c r="C1794" s="368" t="s">
        <v>3589</v>
      </c>
      <c r="E1794" s="79"/>
      <c r="F1794" s="80"/>
      <c r="G1794" s="80"/>
      <c r="H1794" s="240"/>
    </row>
    <row r="1795" ht="12.75" customHeight="1" outlineLevel="2">
      <c r="B1795" s="130"/>
      <c r="E1795" s="79"/>
      <c r="F1795" s="80"/>
      <c r="G1795" s="80"/>
      <c r="H1795" s="240"/>
    </row>
    <row r="1796" ht="12.75" customHeight="1" outlineLevel="2">
      <c r="A1796" s="89" t="s">
        <v>1826</v>
      </c>
      <c r="B1796" s="301" t="s">
        <v>3590</v>
      </c>
      <c r="C1796" s="369" t="s">
        <v>3591</v>
      </c>
      <c r="D1796" s="203" t="s">
        <v>75</v>
      </c>
      <c r="E1796" s="361">
        <v>8.0</v>
      </c>
      <c r="F1796" s="362">
        <v>54.0</v>
      </c>
      <c r="G1796" s="206">
        <f>F1796*E1796</f>
        <v>432</v>
      </c>
      <c r="H1796" s="370"/>
    </row>
    <row r="1797" ht="12.75" customHeight="1" outlineLevel="2">
      <c r="B1797" s="130"/>
      <c r="E1797" s="79"/>
      <c r="F1797" s="80"/>
      <c r="G1797" s="80"/>
      <c r="H1797" s="240"/>
    </row>
    <row r="1798" ht="12.75" customHeight="1" outlineLevel="2">
      <c r="A1798" s="89" t="s">
        <v>1828</v>
      </c>
      <c r="B1798" s="301" t="s">
        <v>3592</v>
      </c>
      <c r="C1798" s="369" t="s">
        <v>3593</v>
      </c>
      <c r="D1798" s="203" t="s">
        <v>75</v>
      </c>
      <c r="E1798" s="361">
        <v>2.0</v>
      </c>
      <c r="F1798" s="362">
        <v>67.0</v>
      </c>
      <c r="G1798" s="206">
        <f>F1798*E1798</f>
        <v>134</v>
      </c>
      <c r="H1798" s="370"/>
    </row>
    <row r="1799" ht="12.75" customHeight="1" outlineLevel="2">
      <c r="B1799" s="130"/>
      <c r="E1799" s="79"/>
      <c r="F1799" s="80"/>
      <c r="G1799" s="80"/>
      <c r="H1799" s="240"/>
    </row>
    <row r="1800" ht="12.75" customHeight="1" outlineLevel="2">
      <c r="A1800" s="89" t="s">
        <v>1830</v>
      </c>
      <c r="B1800" s="302">
        <v>23.15</v>
      </c>
      <c r="C1800" s="368" t="s">
        <v>3594</v>
      </c>
      <c r="E1800" s="79"/>
      <c r="F1800" s="80"/>
      <c r="G1800" s="80"/>
      <c r="H1800" s="240"/>
    </row>
    <row r="1801" ht="12.75" customHeight="1" outlineLevel="2">
      <c r="B1801" s="130"/>
      <c r="E1801" s="79"/>
      <c r="F1801" s="80"/>
      <c r="G1801" s="80"/>
      <c r="H1801" s="240"/>
    </row>
    <row r="1802" ht="12.75" customHeight="1" outlineLevel="2">
      <c r="A1802" s="89" t="s">
        <v>1832</v>
      </c>
      <c r="B1802" s="301" t="s">
        <v>3595</v>
      </c>
      <c r="C1802" s="369" t="s">
        <v>3596</v>
      </c>
      <c r="D1802" s="203" t="s">
        <v>75</v>
      </c>
      <c r="E1802" s="361">
        <v>1.0</v>
      </c>
      <c r="F1802" s="362">
        <v>15.0</v>
      </c>
      <c r="G1802" s="206">
        <f>F1802*E1802</f>
        <v>15</v>
      </c>
      <c r="H1802" s="370"/>
    </row>
    <row r="1803" ht="12.75" customHeight="1" outlineLevel="2">
      <c r="B1803" s="130"/>
      <c r="E1803" s="79"/>
      <c r="F1803" s="80"/>
      <c r="G1803" s="80"/>
      <c r="H1803" s="240"/>
    </row>
    <row r="1804" ht="12.75" customHeight="1" outlineLevel="1">
      <c r="A1804" s="89" t="s">
        <v>1834</v>
      </c>
      <c r="B1804" s="130"/>
      <c r="C1804" s="306" t="s">
        <v>3597</v>
      </c>
      <c r="E1804" s="79"/>
      <c r="F1804" s="80"/>
      <c r="G1804" s="80"/>
      <c r="H1804" s="240"/>
    </row>
    <row r="1805" ht="12.75" customHeight="1" outlineLevel="2">
      <c r="B1805" s="130"/>
      <c r="E1805" s="79"/>
      <c r="F1805" s="80"/>
      <c r="G1805" s="80"/>
      <c r="H1805" s="240"/>
    </row>
    <row r="1806" ht="12.75" customHeight="1" outlineLevel="2">
      <c r="A1806" s="89" t="s">
        <v>1836</v>
      </c>
      <c r="B1806" s="301" t="s">
        <v>3598</v>
      </c>
      <c r="C1806" s="369" t="s">
        <v>3599</v>
      </c>
      <c r="D1806" s="203" t="s">
        <v>75</v>
      </c>
      <c r="E1806" s="361">
        <v>1.0</v>
      </c>
      <c r="F1806" s="362">
        <v>4954.0</v>
      </c>
      <c r="G1806" s="206">
        <f>F1806*E1806</f>
        <v>4954</v>
      </c>
      <c r="H1806" s="370"/>
    </row>
    <row r="1807" ht="12.75" customHeight="1" outlineLevel="2">
      <c r="B1807" s="130"/>
      <c r="E1807" s="79"/>
      <c r="F1807" s="80"/>
      <c r="G1807" s="80"/>
      <c r="H1807" s="240"/>
    </row>
    <row r="1808" ht="12.75" customHeight="1" outlineLevel="1">
      <c r="A1808" s="89" t="s">
        <v>1838</v>
      </c>
      <c r="B1808" s="130"/>
      <c r="C1808" s="306" t="s">
        <v>3600</v>
      </c>
      <c r="E1808" s="79"/>
      <c r="F1808" s="80"/>
      <c r="G1808" s="80"/>
      <c r="H1808" s="240"/>
    </row>
    <row r="1809" ht="12.75" customHeight="1" outlineLevel="2">
      <c r="B1809" s="130"/>
      <c r="E1809" s="79"/>
      <c r="F1809" s="80"/>
      <c r="G1809" s="80"/>
      <c r="H1809" s="240"/>
    </row>
    <row r="1810" ht="12.75" customHeight="1" outlineLevel="2">
      <c r="A1810" s="89" t="s">
        <v>1840</v>
      </c>
      <c r="B1810" s="301" t="s">
        <v>3601</v>
      </c>
      <c r="C1810" s="369" t="s">
        <v>3602</v>
      </c>
      <c r="D1810" s="203" t="s">
        <v>75</v>
      </c>
      <c r="E1810" s="361">
        <v>1.0</v>
      </c>
      <c r="F1810" s="362">
        <v>1500.0</v>
      </c>
      <c r="G1810" s="206">
        <f>F1810*E1810</f>
        <v>1500</v>
      </c>
      <c r="H1810" s="370"/>
    </row>
    <row r="1811" ht="12.75" customHeight="1" outlineLevel="1">
      <c r="A1811" s="89"/>
      <c r="B1811" s="312"/>
      <c r="C1811" s="90"/>
      <c r="D1811" s="89"/>
      <c r="E1811" s="91"/>
      <c r="F1811" s="92"/>
      <c r="G1811" s="92"/>
      <c r="H1811" s="240"/>
    </row>
    <row r="1812" ht="21.0" customHeight="1">
      <c r="A1812" s="192"/>
      <c r="B1812" s="84">
        <v>24.0</v>
      </c>
      <c r="C1812" s="306" t="s">
        <v>3603</v>
      </c>
      <c r="D1812" s="193"/>
      <c r="E1812" s="194"/>
      <c r="F1812" s="195"/>
      <c r="G1812" s="364">
        <f>G1814</f>
        <v>0</v>
      </c>
      <c r="H1812" s="197">
        <f>G1812-Resumo!J54</f>
        <v>-9600</v>
      </c>
    </row>
    <row r="1813" ht="12.75" customHeight="1" outlineLevel="1">
      <c r="A1813" s="89"/>
      <c r="B1813" s="189"/>
      <c r="E1813" s="79"/>
      <c r="F1813" s="80"/>
      <c r="G1813" s="80"/>
      <c r="H1813" s="240"/>
    </row>
    <row r="1814" ht="12.75" customHeight="1" outlineLevel="1">
      <c r="A1814" s="89" t="s">
        <v>1844</v>
      </c>
      <c r="B1814" s="301" t="s">
        <v>3604</v>
      </c>
      <c r="C1814" s="369" t="s">
        <v>3605</v>
      </c>
      <c r="D1814" s="203" t="s">
        <v>1846</v>
      </c>
      <c r="E1814" s="361">
        <v>12.0</v>
      </c>
      <c r="F1814" s="362">
        <v>0.0</v>
      </c>
      <c r="G1814" s="206">
        <f>F1814*E1814</f>
        <v>0</v>
      </c>
      <c r="H1814" s="370" t="s">
        <v>619</v>
      </c>
    </row>
    <row r="1815" ht="12.75" customHeight="1" outlineLevel="1">
      <c r="A1815" s="89"/>
      <c r="B1815" s="312"/>
      <c r="C1815" s="90"/>
      <c r="D1815" s="89"/>
      <c r="E1815" s="91"/>
      <c r="F1815" s="92"/>
      <c r="G1815" s="92"/>
      <c r="H1815" s="240"/>
    </row>
    <row r="1816" ht="12.75" customHeight="1">
      <c r="A1816" s="192"/>
      <c r="B1816" s="83">
        <v>25.0</v>
      </c>
      <c r="C1816" s="306" t="s">
        <v>3606</v>
      </c>
      <c r="D1816" s="193"/>
      <c r="E1816" s="194"/>
      <c r="F1816" s="195"/>
      <c r="G1816" s="196">
        <f>SUM(G1820:G1860)</f>
        <v>40492.98</v>
      </c>
      <c r="H1816" s="197">
        <f>G1816-'Orcamento RU'!C698</f>
        <v>-35342.93</v>
      </c>
    </row>
    <row r="1817" ht="12.75" customHeight="1" outlineLevel="1">
      <c r="A1817" s="89"/>
      <c r="B1817" s="312"/>
      <c r="C1817" s="90"/>
      <c r="D1817" s="89"/>
      <c r="E1817" s="91"/>
      <c r="F1817" s="92"/>
      <c r="G1817" s="92"/>
      <c r="H1817" s="240"/>
    </row>
    <row r="1818" ht="12.75" customHeight="1" outlineLevel="1">
      <c r="A1818" s="89" t="s">
        <v>726</v>
      </c>
      <c r="B1818" s="189"/>
      <c r="C1818" s="306" t="s">
        <v>3607</v>
      </c>
      <c r="E1818" s="79"/>
      <c r="F1818" s="80"/>
      <c r="G1818" s="80"/>
      <c r="H1818" s="240"/>
    </row>
    <row r="1819" ht="12.75" customHeight="1" outlineLevel="2">
      <c r="B1819" s="189"/>
      <c r="E1819" s="79"/>
      <c r="F1819" s="80"/>
      <c r="G1819" s="80"/>
      <c r="H1819" s="240"/>
    </row>
    <row r="1820" ht="12.75" customHeight="1" outlineLevel="2">
      <c r="A1820" s="89" t="s">
        <v>728</v>
      </c>
      <c r="B1820" s="198">
        <v>25.1</v>
      </c>
      <c r="C1820" s="202" t="s">
        <v>3608</v>
      </c>
      <c r="D1820" s="203" t="s">
        <v>40</v>
      </c>
      <c r="E1820" s="214">
        <v>77.14</v>
      </c>
      <c r="F1820" s="205">
        <v>80.0</v>
      </c>
      <c r="G1820" s="206">
        <f>F1820*E1820</f>
        <v>6171.2</v>
      </c>
      <c r="H1820" s="219"/>
    </row>
    <row r="1821" ht="12.75" customHeight="1" outlineLevel="2">
      <c r="B1821" s="189"/>
      <c r="E1821" s="79"/>
      <c r="F1821" s="80"/>
      <c r="G1821" s="80"/>
      <c r="H1821" s="240"/>
    </row>
    <row r="1822" ht="12.75" customHeight="1" outlineLevel="2">
      <c r="A1822" s="89" t="s">
        <v>730</v>
      </c>
      <c r="B1822" s="198">
        <v>25.2</v>
      </c>
      <c r="C1822" s="202" t="s">
        <v>3609</v>
      </c>
      <c r="D1822" s="203" t="s">
        <v>40</v>
      </c>
      <c r="E1822" s="214">
        <v>168.06</v>
      </c>
      <c r="F1822" s="205">
        <v>21.0</v>
      </c>
      <c r="G1822" s="206">
        <f>F1822*E1822</f>
        <v>3529.26</v>
      </c>
      <c r="H1822" s="219"/>
    </row>
    <row r="1823" ht="12.75" customHeight="1" outlineLevel="2">
      <c r="B1823" s="189"/>
      <c r="E1823" s="79"/>
      <c r="F1823" s="80"/>
      <c r="G1823" s="80"/>
      <c r="H1823" s="240"/>
    </row>
    <row r="1824" ht="12.75" customHeight="1" outlineLevel="2">
      <c r="A1824" s="89" t="s">
        <v>732</v>
      </c>
      <c r="B1824" s="198">
        <v>25.3</v>
      </c>
      <c r="C1824" s="202" t="s">
        <v>3610</v>
      </c>
      <c r="D1824" s="203" t="s">
        <v>40</v>
      </c>
      <c r="E1824" s="214">
        <v>168.06</v>
      </c>
      <c r="F1824" s="205">
        <v>14.0</v>
      </c>
      <c r="G1824" s="206">
        <f>F1824*E1824</f>
        <v>2352.84</v>
      </c>
      <c r="H1824" s="219"/>
    </row>
    <row r="1825" ht="12.75" customHeight="1" outlineLevel="2">
      <c r="B1825" s="189"/>
      <c r="E1825" s="79"/>
      <c r="F1825" s="80"/>
      <c r="G1825" s="80"/>
      <c r="H1825" s="240"/>
    </row>
    <row r="1826" ht="12.75" customHeight="1" outlineLevel="2">
      <c r="A1826" s="89" t="s">
        <v>734</v>
      </c>
      <c r="B1826" s="198">
        <v>25.4</v>
      </c>
      <c r="C1826" s="202" t="s">
        <v>3611</v>
      </c>
      <c r="D1826" s="203" t="s">
        <v>161</v>
      </c>
      <c r="E1826" s="214">
        <v>153.59</v>
      </c>
      <c r="F1826" s="205">
        <v>45.0</v>
      </c>
      <c r="G1826" s="206">
        <f>F1826*E1826</f>
        <v>6911.55</v>
      </c>
      <c r="H1826" s="219"/>
    </row>
    <row r="1827" ht="12.75" customHeight="1" outlineLevel="2">
      <c r="B1827" s="189"/>
      <c r="E1827" s="79"/>
      <c r="F1827" s="80"/>
      <c r="G1827" s="80"/>
      <c r="H1827" s="240"/>
    </row>
    <row r="1828" ht="12.75" customHeight="1" outlineLevel="1">
      <c r="A1828" s="89" t="s">
        <v>736</v>
      </c>
      <c r="B1828" s="189"/>
      <c r="C1828" s="306" t="s">
        <v>3612</v>
      </c>
      <c r="E1828" s="79"/>
      <c r="F1828" s="80"/>
      <c r="G1828" s="80"/>
      <c r="H1828" s="240"/>
    </row>
    <row r="1829" ht="12.75" customHeight="1" outlineLevel="2">
      <c r="B1829" s="189"/>
      <c r="E1829" s="79"/>
      <c r="F1829" s="80"/>
      <c r="G1829" s="80"/>
      <c r="H1829" s="240"/>
    </row>
    <row r="1830" ht="12.75" customHeight="1" outlineLevel="2">
      <c r="A1830" s="89" t="s">
        <v>738</v>
      </c>
      <c r="B1830" s="198">
        <v>25.5</v>
      </c>
      <c r="C1830" s="376" t="s">
        <v>3613</v>
      </c>
      <c r="E1830" s="79"/>
      <c r="F1830" s="80"/>
      <c r="G1830" s="80"/>
      <c r="H1830" s="240"/>
    </row>
    <row r="1831" ht="12.75" customHeight="1" outlineLevel="2">
      <c r="B1831" s="189"/>
      <c r="E1831" s="79"/>
      <c r="F1831" s="80"/>
      <c r="G1831" s="80"/>
      <c r="H1831" s="240"/>
    </row>
    <row r="1832" ht="12.75" customHeight="1" outlineLevel="2">
      <c r="A1832" s="89" t="s">
        <v>740</v>
      </c>
      <c r="B1832" s="377" t="s">
        <v>3614</v>
      </c>
      <c r="C1832" s="378" t="s">
        <v>3615</v>
      </c>
      <c r="D1832" s="379" t="s">
        <v>75</v>
      </c>
      <c r="E1832" s="380">
        <v>90.98</v>
      </c>
      <c r="F1832" s="381">
        <v>23.0</v>
      </c>
      <c r="G1832" s="382">
        <f t="shared" ref="G1832:G1833" si="89">F1832*E1832</f>
        <v>2092.54</v>
      </c>
      <c r="H1832" s="240"/>
    </row>
    <row r="1833" ht="12.75" customHeight="1" outlineLevel="2">
      <c r="A1833" s="89" t="s">
        <v>743</v>
      </c>
      <c r="B1833" s="377" t="s">
        <v>3616</v>
      </c>
      <c r="C1833" s="378" t="s">
        <v>3617</v>
      </c>
      <c r="D1833" s="379" t="s">
        <v>75</v>
      </c>
      <c r="E1833" s="380">
        <v>27.29</v>
      </c>
      <c r="F1833" s="381">
        <v>21.0</v>
      </c>
      <c r="G1833" s="382">
        <f t="shared" si="89"/>
        <v>573.09</v>
      </c>
      <c r="H1833" s="240"/>
    </row>
    <row r="1834" ht="12.75" customHeight="1" outlineLevel="2">
      <c r="B1834" s="189"/>
      <c r="E1834" s="79"/>
      <c r="F1834" s="80"/>
      <c r="G1834" s="80"/>
      <c r="H1834" s="240"/>
    </row>
    <row r="1835" ht="12.75" customHeight="1" outlineLevel="1">
      <c r="A1835" s="89" t="s">
        <v>745</v>
      </c>
      <c r="B1835" s="189"/>
      <c r="C1835" s="306" t="s">
        <v>3618</v>
      </c>
      <c r="E1835" s="79"/>
      <c r="F1835" s="80"/>
      <c r="G1835" s="80"/>
      <c r="H1835" s="240"/>
    </row>
    <row r="1836" ht="12.75" customHeight="1" outlineLevel="2">
      <c r="B1836" s="189"/>
      <c r="E1836" s="79"/>
      <c r="F1836" s="80"/>
      <c r="G1836" s="80"/>
      <c r="H1836" s="240"/>
    </row>
    <row r="1837" ht="12.75" customHeight="1" outlineLevel="2">
      <c r="A1837" s="89" t="s">
        <v>747</v>
      </c>
      <c r="B1837" s="198">
        <v>25.6</v>
      </c>
      <c r="C1837" s="202" t="s">
        <v>3619</v>
      </c>
      <c r="D1837" s="203" t="s">
        <v>40</v>
      </c>
      <c r="E1837" s="214">
        <v>31.0</v>
      </c>
      <c r="F1837" s="205">
        <v>32.0</v>
      </c>
      <c r="G1837" s="206">
        <f>F1837*E1837</f>
        <v>992</v>
      </c>
      <c r="H1837" s="219"/>
    </row>
    <row r="1838" ht="12.75" customHeight="1" outlineLevel="2">
      <c r="B1838" s="130"/>
      <c r="E1838" s="79"/>
      <c r="F1838" s="80"/>
      <c r="G1838" s="80"/>
      <c r="H1838" s="240"/>
    </row>
    <row r="1839" ht="12.75" customHeight="1" outlineLevel="2">
      <c r="A1839" s="89" t="s">
        <v>749</v>
      </c>
      <c r="B1839" s="198">
        <v>25.7</v>
      </c>
      <c r="C1839" s="202" t="s">
        <v>3609</v>
      </c>
      <c r="D1839" s="203" t="s">
        <v>40</v>
      </c>
      <c r="E1839" s="214">
        <v>62.0</v>
      </c>
      <c r="F1839" s="205">
        <v>21.0</v>
      </c>
      <c r="G1839" s="206">
        <f>F1839*E1839</f>
        <v>1302</v>
      </c>
      <c r="H1839" s="219"/>
    </row>
    <row r="1840" ht="12.75" customHeight="1" outlineLevel="2">
      <c r="B1840" s="130"/>
      <c r="E1840" s="79"/>
      <c r="F1840" s="80"/>
      <c r="G1840" s="80"/>
      <c r="H1840" s="240"/>
    </row>
    <row r="1841" ht="12.75" customHeight="1" outlineLevel="2">
      <c r="A1841" s="89" t="s">
        <v>750</v>
      </c>
      <c r="B1841" s="198">
        <v>25.8</v>
      </c>
      <c r="C1841" s="202" t="s">
        <v>3610</v>
      </c>
      <c r="D1841" s="203" t="s">
        <v>40</v>
      </c>
      <c r="E1841" s="214">
        <v>62.0</v>
      </c>
      <c r="F1841" s="205">
        <v>14.0</v>
      </c>
      <c r="G1841" s="206">
        <f>F1841*E1841</f>
        <v>868</v>
      </c>
      <c r="H1841" s="219"/>
    </row>
    <row r="1842" ht="12.75" customHeight="1" outlineLevel="2">
      <c r="B1842" s="130"/>
      <c r="E1842" s="79"/>
      <c r="F1842" s="80"/>
      <c r="G1842" s="80"/>
      <c r="H1842" s="240"/>
    </row>
    <row r="1843" ht="12.75" customHeight="1" outlineLevel="2">
      <c r="A1843" s="89" t="s">
        <v>751</v>
      </c>
      <c r="B1843" s="198">
        <v>25.9</v>
      </c>
      <c r="C1843" s="202" t="s">
        <v>3620</v>
      </c>
      <c r="D1843" s="203" t="s">
        <v>40</v>
      </c>
      <c r="E1843" s="214">
        <v>17.11</v>
      </c>
      <c r="F1843" s="205">
        <v>50.0</v>
      </c>
      <c r="G1843" s="206">
        <f>F1843*E1843</f>
        <v>855.5</v>
      </c>
      <c r="H1843" s="219"/>
    </row>
    <row r="1844" ht="12.75" customHeight="1" outlineLevel="2">
      <c r="B1844" s="130"/>
      <c r="E1844" s="79"/>
      <c r="F1844" s="80"/>
      <c r="G1844" s="80"/>
      <c r="H1844" s="240"/>
    </row>
    <row r="1845" ht="12.75" customHeight="1" outlineLevel="2">
      <c r="A1845" s="89" t="s">
        <v>753</v>
      </c>
      <c r="B1845" s="282">
        <v>25.1</v>
      </c>
      <c r="C1845" s="202" t="s">
        <v>3621</v>
      </c>
      <c r="D1845" s="203" t="s">
        <v>40</v>
      </c>
      <c r="E1845" s="214">
        <v>7.38</v>
      </c>
      <c r="F1845" s="205">
        <v>300.0</v>
      </c>
      <c r="G1845" s="206">
        <f>F1845*E1845</f>
        <v>2214</v>
      </c>
      <c r="H1845" s="219"/>
    </row>
    <row r="1846" ht="12.75" customHeight="1" outlineLevel="2">
      <c r="B1846" s="130"/>
      <c r="E1846" s="79"/>
      <c r="F1846" s="80"/>
      <c r="G1846" s="80"/>
      <c r="H1846" s="240"/>
    </row>
    <row r="1847" ht="12.75" customHeight="1" outlineLevel="2">
      <c r="A1847" s="89" t="s">
        <v>755</v>
      </c>
      <c r="B1847" s="383">
        <v>25.11</v>
      </c>
      <c r="C1847" s="376" t="s">
        <v>3622</v>
      </c>
      <c r="E1847" s="79"/>
      <c r="F1847" s="80"/>
      <c r="G1847" s="80"/>
      <c r="H1847" s="240"/>
    </row>
    <row r="1848" ht="12.75" customHeight="1" outlineLevel="2">
      <c r="B1848" s="130"/>
      <c r="E1848" s="79"/>
      <c r="F1848" s="80"/>
      <c r="G1848" s="80"/>
      <c r="H1848" s="240"/>
    </row>
    <row r="1849" ht="12.75" customHeight="1" outlineLevel="2">
      <c r="A1849" s="89" t="s">
        <v>757</v>
      </c>
      <c r="B1849" s="198" t="s">
        <v>3623</v>
      </c>
      <c r="C1849" s="202" t="s">
        <v>3624</v>
      </c>
      <c r="D1849" s="203" t="s">
        <v>75</v>
      </c>
      <c r="E1849" s="214">
        <v>1.0</v>
      </c>
      <c r="F1849" s="205">
        <v>2200.0</v>
      </c>
      <c r="G1849" s="206">
        <f>F1849*E1849</f>
        <v>2200</v>
      </c>
      <c r="H1849" s="240"/>
    </row>
    <row r="1850" ht="12.75" customHeight="1" outlineLevel="2">
      <c r="B1850" s="130"/>
      <c r="E1850" s="79"/>
      <c r="F1850" s="80"/>
      <c r="G1850" s="80"/>
      <c r="H1850" s="240"/>
    </row>
    <row r="1851" ht="12.75" customHeight="1" outlineLevel="2">
      <c r="A1851" s="89" t="s">
        <v>759</v>
      </c>
      <c r="B1851" s="383">
        <v>25.12</v>
      </c>
      <c r="C1851" s="376" t="s">
        <v>3625</v>
      </c>
      <c r="E1851" s="79"/>
      <c r="F1851" s="80"/>
      <c r="G1851" s="80"/>
      <c r="H1851" s="240"/>
    </row>
    <row r="1852" ht="12.75" customHeight="1" outlineLevel="2">
      <c r="B1852" s="130"/>
      <c r="E1852" s="79"/>
      <c r="F1852" s="80"/>
      <c r="G1852" s="80"/>
      <c r="H1852" s="240"/>
    </row>
    <row r="1853" ht="12.75" customHeight="1" outlineLevel="2">
      <c r="A1853" s="89" t="s">
        <v>761</v>
      </c>
      <c r="B1853" s="198" t="s">
        <v>3626</v>
      </c>
      <c r="C1853" s="202" t="s">
        <v>3627</v>
      </c>
      <c r="D1853" s="203" t="s">
        <v>75</v>
      </c>
      <c r="E1853" s="214">
        <v>1.0</v>
      </c>
      <c r="F1853" s="205">
        <v>5800.0</v>
      </c>
      <c r="G1853" s="206">
        <f>F1853*E1853</f>
        <v>5800</v>
      </c>
      <c r="H1853" s="240"/>
    </row>
    <row r="1854" ht="12.75" customHeight="1" outlineLevel="2">
      <c r="B1854" s="130"/>
      <c r="E1854" s="79"/>
      <c r="F1854" s="80"/>
      <c r="G1854" s="80"/>
      <c r="H1854" s="240"/>
    </row>
    <row r="1855" ht="12.75" customHeight="1" outlineLevel="2">
      <c r="A1855" s="89" t="s">
        <v>763</v>
      </c>
      <c r="B1855" s="383">
        <v>25.13</v>
      </c>
      <c r="C1855" s="376" t="s">
        <v>3628</v>
      </c>
      <c r="E1855" s="79"/>
      <c r="F1855" s="80"/>
      <c r="G1855" s="80"/>
      <c r="H1855" s="240"/>
    </row>
    <row r="1856" ht="12.75" customHeight="1" outlineLevel="2">
      <c r="B1856" s="130"/>
      <c r="E1856" s="79"/>
      <c r="F1856" s="80"/>
      <c r="G1856" s="80"/>
      <c r="H1856" s="240"/>
    </row>
    <row r="1857" ht="12.75" customHeight="1" outlineLevel="2">
      <c r="A1857" s="89" t="s">
        <v>765</v>
      </c>
      <c r="B1857" s="383" t="s">
        <v>3629</v>
      </c>
      <c r="C1857" s="202" t="s">
        <v>3630</v>
      </c>
      <c r="D1857" s="203" t="s">
        <v>75</v>
      </c>
      <c r="E1857" s="214">
        <v>1.0</v>
      </c>
      <c r="F1857" s="205">
        <v>2200.0</v>
      </c>
      <c r="G1857" s="206">
        <f t="shared" ref="G1857:G1858" si="90">F1857*E1857</f>
        <v>2200</v>
      </c>
      <c r="H1857" s="240"/>
    </row>
    <row r="1858" ht="12.75" customHeight="1" outlineLevel="2">
      <c r="A1858" s="89" t="s">
        <v>767</v>
      </c>
      <c r="B1858" s="383" t="s">
        <v>3631</v>
      </c>
      <c r="C1858" s="202" t="s">
        <v>3632</v>
      </c>
      <c r="D1858" s="203" t="s">
        <v>75</v>
      </c>
      <c r="E1858" s="214">
        <v>1.0</v>
      </c>
      <c r="F1858" s="205">
        <v>2200.0</v>
      </c>
      <c r="G1858" s="206">
        <f t="shared" si="90"/>
        <v>2200</v>
      </c>
      <c r="H1858" s="240"/>
    </row>
    <row r="1859" ht="12.75" customHeight="1" outlineLevel="2">
      <c r="B1859" s="130"/>
      <c r="E1859" s="79"/>
      <c r="F1859" s="80"/>
      <c r="G1859" s="80"/>
      <c r="H1859" s="240"/>
    </row>
    <row r="1860" ht="12.75" customHeight="1" outlineLevel="2">
      <c r="A1860" s="89" t="s">
        <v>769</v>
      </c>
      <c r="B1860" s="383">
        <v>25.14</v>
      </c>
      <c r="C1860" s="202" t="s">
        <v>3633</v>
      </c>
      <c r="D1860" s="203" t="s">
        <v>161</v>
      </c>
      <c r="E1860" s="214">
        <v>2.1</v>
      </c>
      <c r="F1860" s="205">
        <v>110.0</v>
      </c>
      <c r="G1860" s="206">
        <f>F1860*E1860</f>
        <v>231</v>
      </c>
      <c r="H1860" s="219"/>
    </row>
    <row r="1861" ht="12.75" customHeight="1" outlineLevel="1">
      <c r="A1861" s="89"/>
      <c r="B1861" s="312"/>
      <c r="C1861" s="90"/>
      <c r="D1861" s="89"/>
      <c r="E1861" s="91"/>
      <c r="F1861" s="92"/>
      <c r="G1861" s="92"/>
      <c r="H1861" s="240"/>
    </row>
    <row r="1862" ht="12.75" customHeight="1">
      <c r="A1862" s="192"/>
      <c r="B1862" s="83">
        <v>26.0</v>
      </c>
      <c r="C1862" s="306" t="s">
        <v>2884</v>
      </c>
      <c r="D1862" s="193"/>
      <c r="E1862" s="194"/>
      <c r="F1862" s="195"/>
      <c r="G1862" s="196">
        <f>SUM(G1866:G1904)</f>
        <v>50600</v>
      </c>
      <c r="H1862" s="197">
        <f>G1862-'Orcamento RU'!C638</f>
        <v>16531.31</v>
      </c>
    </row>
    <row r="1863" ht="12.75" customHeight="1" outlineLevel="1">
      <c r="A1863" s="89"/>
      <c r="B1863" s="312"/>
      <c r="C1863" s="90"/>
      <c r="D1863" s="89"/>
      <c r="E1863" s="91"/>
      <c r="F1863" s="92"/>
      <c r="G1863" s="92"/>
      <c r="H1863" s="240"/>
    </row>
    <row r="1864" ht="12.75" customHeight="1" outlineLevel="1">
      <c r="A1864" s="89" t="s">
        <v>666</v>
      </c>
      <c r="B1864" s="189"/>
      <c r="C1864" s="306" t="s">
        <v>3634</v>
      </c>
      <c r="E1864" s="79"/>
      <c r="F1864" s="80"/>
      <c r="G1864" s="80"/>
      <c r="H1864" s="240"/>
    </row>
    <row r="1865" ht="12.75" customHeight="1" outlineLevel="2">
      <c r="B1865" s="189"/>
      <c r="E1865" s="79"/>
      <c r="F1865" s="80"/>
      <c r="G1865" s="80"/>
      <c r="H1865" s="240"/>
    </row>
    <row r="1866" ht="12.75" customHeight="1" outlineLevel="2">
      <c r="A1866" s="89" t="s">
        <v>667</v>
      </c>
      <c r="B1866" s="383">
        <v>26.1</v>
      </c>
      <c r="C1866" s="202" t="s">
        <v>3635</v>
      </c>
      <c r="D1866" s="203" t="s">
        <v>75</v>
      </c>
      <c r="E1866" s="214">
        <v>1.0</v>
      </c>
      <c r="F1866" s="205">
        <v>2000.0</v>
      </c>
      <c r="G1866" s="206">
        <f>F1866*E1866</f>
        <v>2000</v>
      </c>
      <c r="H1866" s="219"/>
    </row>
    <row r="1867" ht="12.75" customHeight="1" outlineLevel="2">
      <c r="B1867" s="189"/>
      <c r="E1867" s="79"/>
      <c r="F1867" s="80"/>
      <c r="G1867" s="80"/>
      <c r="H1867" s="240"/>
    </row>
    <row r="1868" ht="12.75" customHeight="1" outlineLevel="2">
      <c r="A1868" s="89" t="s">
        <v>670</v>
      </c>
      <c r="B1868" s="383">
        <v>26.2</v>
      </c>
      <c r="C1868" s="202" t="s">
        <v>3636</v>
      </c>
      <c r="D1868" s="203" t="s">
        <v>75</v>
      </c>
      <c r="E1868" s="214">
        <v>1.0</v>
      </c>
      <c r="F1868" s="205">
        <v>6100.0</v>
      </c>
      <c r="G1868" s="206">
        <f>F1868*E1868</f>
        <v>6100</v>
      </c>
      <c r="H1868" s="219"/>
    </row>
    <row r="1869" ht="12.75" customHeight="1" outlineLevel="2">
      <c r="B1869" s="189"/>
      <c r="E1869" s="79"/>
      <c r="F1869" s="80"/>
      <c r="G1869" s="80"/>
      <c r="H1869" s="240"/>
    </row>
    <row r="1870" ht="12.75" customHeight="1" outlineLevel="1">
      <c r="A1870" s="89" t="s">
        <v>673</v>
      </c>
      <c r="B1870" s="189"/>
      <c r="C1870" s="306" t="s">
        <v>3637</v>
      </c>
      <c r="E1870" s="79"/>
      <c r="F1870" s="80"/>
      <c r="G1870" s="80"/>
      <c r="H1870" s="240"/>
    </row>
    <row r="1871" ht="12.75" customHeight="1" outlineLevel="2">
      <c r="B1871" s="189"/>
      <c r="E1871" s="79"/>
      <c r="F1871" s="80"/>
      <c r="G1871" s="80"/>
      <c r="H1871" s="240"/>
    </row>
    <row r="1872" ht="12.75" customHeight="1" outlineLevel="2">
      <c r="A1872" s="89" t="s">
        <v>675</v>
      </c>
      <c r="B1872" s="383">
        <v>26.3</v>
      </c>
      <c r="C1872" s="376" t="s">
        <v>3638</v>
      </c>
      <c r="E1872" s="79"/>
      <c r="F1872" s="80"/>
      <c r="G1872" s="80"/>
      <c r="H1872" s="240"/>
    </row>
    <row r="1873" ht="12.75" customHeight="1" outlineLevel="2">
      <c r="B1873" s="189"/>
      <c r="E1873" s="79"/>
      <c r="F1873" s="80"/>
      <c r="G1873" s="80"/>
      <c r="H1873" s="240"/>
    </row>
    <row r="1874" ht="12.75" customHeight="1" outlineLevel="2">
      <c r="A1874" s="89" t="s">
        <v>677</v>
      </c>
      <c r="B1874" s="383" t="s">
        <v>3639</v>
      </c>
      <c r="C1874" s="202" t="s">
        <v>3640</v>
      </c>
      <c r="D1874" s="203" t="s">
        <v>75</v>
      </c>
      <c r="E1874" s="214">
        <v>1.0</v>
      </c>
      <c r="F1874" s="381">
        <v>400.0</v>
      </c>
      <c r="G1874" s="206">
        <f t="shared" ref="G1874:G1890" si="91">F1874*E1874</f>
        <v>400</v>
      </c>
      <c r="H1874" s="240"/>
    </row>
    <row r="1875" ht="12.75" customHeight="1" outlineLevel="2">
      <c r="A1875" s="89" t="s">
        <v>679</v>
      </c>
      <c r="B1875" s="383" t="s">
        <v>3641</v>
      </c>
      <c r="C1875" s="202" t="s">
        <v>3642</v>
      </c>
      <c r="D1875" s="203" t="s">
        <v>75</v>
      </c>
      <c r="E1875" s="214">
        <v>1.0</v>
      </c>
      <c r="F1875" s="381">
        <v>2000.0</v>
      </c>
      <c r="G1875" s="206">
        <f t="shared" si="91"/>
        <v>2000</v>
      </c>
      <c r="H1875" s="240"/>
    </row>
    <row r="1876" ht="12.75" customHeight="1" outlineLevel="2">
      <c r="A1876" s="89" t="s">
        <v>681</v>
      </c>
      <c r="B1876" s="383" t="s">
        <v>3643</v>
      </c>
      <c r="C1876" s="202" t="s">
        <v>3644</v>
      </c>
      <c r="D1876" s="203" t="s">
        <v>75</v>
      </c>
      <c r="E1876" s="214">
        <v>1.0</v>
      </c>
      <c r="F1876" s="381">
        <v>2000.0</v>
      </c>
      <c r="G1876" s="206">
        <f t="shared" si="91"/>
        <v>2000</v>
      </c>
      <c r="H1876" s="240"/>
    </row>
    <row r="1877" ht="12.75" customHeight="1" outlineLevel="2">
      <c r="A1877" s="89" t="s">
        <v>683</v>
      </c>
      <c r="B1877" s="383" t="s">
        <v>3645</v>
      </c>
      <c r="C1877" s="202" t="s">
        <v>3646</v>
      </c>
      <c r="D1877" s="203" t="s">
        <v>75</v>
      </c>
      <c r="E1877" s="214">
        <v>1.0</v>
      </c>
      <c r="F1877" s="381">
        <v>1100.0</v>
      </c>
      <c r="G1877" s="206">
        <f t="shared" si="91"/>
        <v>1100</v>
      </c>
      <c r="H1877" s="240"/>
    </row>
    <row r="1878" ht="12.75" customHeight="1" outlineLevel="2">
      <c r="A1878" s="89" t="s">
        <v>685</v>
      </c>
      <c r="B1878" s="383" t="s">
        <v>3647</v>
      </c>
      <c r="C1878" s="202" t="s">
        <v>3648</v>
      </c>
      <c r="D1878" s="203" t="s">
        <v>75</v>
      </c>
      <c r="E1878" s="214">
        <v>1.0</v>
      </c>
      <c r="F1878" s="381">
        <v>2300.0</v>
      </c>
      <c r="G1878" s="206">
        <f t="shared" si="91"/>
        <v>2300</v>
      </c>
      <c r="H1878" s="240"/>
    </row>
    <row r="1879" ht="12.75" customHeight="1" outlineLevel="2">
      <c r="A1879" s="89" t="s">
        <v>687</v>
      </c>
      <c r="B1879" s="383" t="s">
        <v>3649</v>
      </c>
      <c r="C1879" s="202" t="s">
        <v>3650</v>
      </c>
      <c r="D1879" s="203" t="s">
        <v>75</v>
      </c>
      <c r="E1879" s="214">
        <v>1.0</v>
      </c>
      <c r="F1879" s="381">
        <v>2400.0</v>
      </c>
      <c r="G1879" s="206">
        <f t="shared" si="91"/>
        <v>2400</v>
      </c>
      <c r="H1879" s="240"/>
    </row>
    <row r="1880" ht="12.75" customHeight="1" outlineLevel="2">
      <c r="A1880" s="89" t="s">
        <v>689</v>
      </c>
      <c r="B1880" s="383" t="s">
        <v>3651</v>
      </c>
      <c r="C1880" s="202" t="s">
        <v>3652</v>
      </c>
      <c r="D1880" s="203" t="s">
        <v>75</v>
      </c>
      <c r="E1880" s="214">
        <v>1.0</v>
      </c>
      <c r="F1880" s="381">
        <v>1900.0</v>
      </c>
      <c r="G1880" s="206">
        <f t="shared" si="91"/>
        <v>1900</v>
      </c>
      <c r="H1880" s="240"/>
    </row>
    <row r="1881" ht="12.75" customHeight="1" outlineLevel="2">
      <c r="A1881" s="89" t="s">
        <v>691</v>
      </c>
      <c r="B1881" s="383" t="s">
        <v>3653</v>
      </c>
      <c r="C1881" s="202" t="s">
        <v>3654</v>
      </c>
      <c r="D1881" s="203" t="s">
        <v>75</v>
      </c>
      <c r="E1881" s="214">
        <v>1.0</v>
      </c>
      <c r="F1881" s="381">
        <v>2700.0</v>
      </c>
      <c r="G1881" s="206">
        <f t="shared" si="91"/>
        <v>2700</v>
      </c>
      <c r="H1881" s="240"/>
    </row>
    <row r="1882" ht="12.75" customHeight="1" outlineLevel="2">
      <c r="A1882" s="89" t="s">
        <v>693</v>
      </c>
      <c r="B1882" s="383" t="s">
        <v>3655</v>
      </c>
      <c r="C1882" s="202" t="s">
        <v>3656</v>
      </c>
      <c r="D1882" s="203" t="s">
        <v>75</v>
      </c>
      <c r="E1882" s="214">
        <v>1.0</v>
      </c>
      <c r="F1882" s="381">
        <v>2900.0</v>
      </c>
      <c r="G1882" s="206">
        <f t="shared" si="91"/>
        <v>2900</v>
      </c>
      <c r="H1882" s="240"/>
    </row>
    <row r="1883" ht="12.75" customHeight="1" outlineLevel="2">
      <c r="A1883" s="89" t="s">
        <v>695</v>
      </c>
      <c r="B1883" s="383" t="s">
        <v>3657</v>
      </c>
      <c r="C1883" s="202" t="s">
        <v>3658</v>
      </c>
      <c r="D1883" s="203" t="s">
        <v>75</v>
      </c>
      <c r="E1883" s="214">
        <v>1.0</v>
      </c>
      <c r="F1883" s="381">
        <v>1000.0</v>
      </c>
      <c r="G1883" s="206">
        <f t="shared" si="91"/>
        <v>1000</v>
      </c>
      <c r="H1883" s="240"/>
    </row>
    <row r="1884" ht="12.75" customHeight="1" outlineLevel="2">
      <c r="A1884" s="89" t="s">
        <v>697</v>
      </c>
      <c r="B1884" s="383" t="s">
        <v>3659</v>
      </c>
      <c r="C1884" s="202" t="s">
        <v>3660</v>
      </c>
      <c r="D1884" s="203" t="s">
        <v>75</v>
      </c>
      <c r="E1884" s="214">
        <v>1.0</v>
      </c>
      <c r="F1884" s="381">
        <v>7000.0</v>
      </c>
      <c r="G1884" s="206">
        <f t="shared" si="91"/>
        <v>7000</v>
      </c>
      <c r="H1884" s="240"/>
    </row>
    <row r="1885" ht="12.75" customHeight="1" outlineLevel="2">
      <c r="A1885" s="89" t="s">
        <v>699</v>
      </c>
      <c r="B1885" s="383" t="s">
        <v>3661</v>
      </c>
      <c r="C1885" s="202" t="s">
        <v>3662</v>
      </c>
      <c r="D1885" s="203" t="s">
        <v>75</v>
      </c>
      <c r="E1885" s="214">
        <v>1.0</v>
      </c>
      <c r="F1885" s="381">
        <v>2000.0</v>
      </c>
      <c r="G1885" s="206">
        <f t="shared" si="91"/>
        <v>2000</v>
      </c>
      <c r="H1885" s="240"/>
    </row>
    <row r="1886" ht="12.75" customHeight="1" outlineLevel="2">
      <c r="A1886" s="89" t="s">
        <v>701</v>
      </c>
      <c r="B1886" s="383" t="s">
        <v>3663</v>
      </c>
      <c r="C1886" s="202" t="s">
        <v>3664</v>
      </c>
      <c r="D1886" s="203" t="s">
        <v>75</v>
      </c>
      <c r="E1886" s="214">
        <v>1.0</v>
      </c>
      <c r="F1886" s="381">
        <v>900.0</v>
      </c>
      <c r="G1886" s="206">
        <f t="shared" si="91"/>
        <v>900</v>
      </c>
      <c r="H1886" s="240"/>
    </row>
    <row r="1887" ht="12.75" customHeight="1" outlineLevel="2">
      <c r="A1887" s="89" t="s">
        <v>703</v>
      </c>
      <c r="B1887" s="383" t="s">
        <v>3665</v>
      </c>
      <c r="C1887" s="202" t="s">
        <v>3666</v>
      </c>
      <c r="D1887" s="203" t="s">
        <v>75</v>
      </c>
      <c r="E1887" s="214">
        <v>1.0</v>
      </c>
      <c r="F1887" s="381">
        <v>1000.0</v>
      </c>
      <c r="G1887" s="206">
        <f t="shared" si="91"/>
        <v>1000</v>
      </c>
      <c r="H1887" s="240"/>
    </row>
    <row r="1888" ht="12.75" customHeight="1" outlineLevel="2">
      <c r="A1888" s="89" t="s">
        <v>705</v>
      </c>
      <c r="B1888" s="383" t="s">
        <v>3667</v>
      </c>
      <c r="C1888" s="202" t="s">
        <v>3668</v>
      </c>
      <c r="D1888" s="203" t="s">
        <v>75</v>
      </c>
      <c r="E1888" s="214">
        <v>1.0</v>
      </c>
      <c r="F1888" s="381">
        <v>1200.0</v>
      </c>
      <c r="G1888" s="206">
        <f t="shared" si="91"/>
        <v>1200</v>
      </c>
      <c r="H1888" s="240"/>
    </row>
    <row r="1889" ht="12.75" customHeight="1" outlineLevel="2">
      <c r="A1889" s="89" t="s">
        <v>707</v>
      </c>
      <c r="B1889" s="383" t="s">
        <v>3669</v>
      </c>
      <c r="C1889" s="202" t="s">
        <v>3670</v>
      </c>
      <c r="D1889" s="203" t="s">
        <v>75</v>
      </c>
      <c r="E1889" s="214">
        <v>1.0</v>
      </c>
      <c r="F1889" s="381">
        <v>1300.0</v>
      </c>
      <c r="G1889" s="206">
        <f t="shared" si="91"/>
        <v>1300</v>
      </c>
      <c r="H1889" s="240"/>
    </row>
    <row r="1890" ht="12.75" customHeight="1" outlineLevel="2">
      <c r="A1890" s="89" t="s">
        <v>709</v>
      </c>
      <c r="B1890" s="383" t="s">
        <v>3671</v>
      </c>
      <c r="C1890" s="202" t="s">
        <v>3672</v>
      </c>
      <c r="D1890" s="203" t="s">
        <v>75</v>
      </c>
      <c r="E1890" s="214">
        <v>1.0</v>
      </c>
      <c r="F1890" s="381">
        <v>600.0</v>
      </c>
      <c r="G1890" s="206">
        <f t="shared" si="91"/>
        <v>600</v>
      </c>
      <c r="H1890" s="240"/>
    </row>
    <row r="1891" ht="12.75" customHeight="1" outlineLevel="2">
      <c r="B1891" s="189"/>
      <c r="E1891" s="79"/>
      <c r="F1891" s="80"/>
      <c r="G1891" s="80"/>
      <c r="H1891" s="240"/>
    </row>
    <row r="1892" ht="12.75" customHeight="1" outlineLevel="1">
      <c r="A1892" s="89" t="s">
        <v>711</v>
      </c>
      <c r="B1892" s="189"/>
      <c r="C1892" s="306" t="s">
        <v>3673</v>
      </c>
      <c r="E1892" s="79"/>
      <c r="F1892" s="80"/>
      <c r="G1892" s="80"/>
      <c r="H1892" s="240"/>
    </row>
    <row r="1893" ht="12.75" customHeight="1" outlineLevel="2">
      <c r="B1893" s="189"/>
      <c r="E1893" s="79"/>
      <c r="F1893" s="80"/>
      <c r="G1893" s="80"/>
      <c r="H1893" s="240"/>
    </row>
    <row r="1894" ht="12.75" customHeight="1" outlineLevel="2">
      <c r="A1894" s="95" t="s">
        <v>713</v>
      </c>
      <c r="B1894" s="383">
        <v>26.4</v>
      </c>
      <c r="C1894" s="376" t="s">
        <v>3674</v>
      </c>
      <c r="D1894" s="102"/>
      <c r="E1894" s="103"/>
      <c r="F1894" s="104"/>
      <c r="G1894" s="104"/>
      <c r="H1894" s="240"/>
    </row>
    <row r="1895" ht="12.75" customHeight="1" outlineLevel="2">
      <c r="A1895" s="102"/>
      <c r="B1895" s="234"/>
      <c r="C1895" s="102"/>
      <c r="D1895" s="102"/>
      <c r="E1895" s="103"/>
      <c r="F1895" s="104"/>
      <c r="G1895" s="104"/>
      <c r="H1895" s="240"/>
    </row>
    <row r="1896" ht="12.75" customHeight="1" outlineLevel="2">
      <c r="A1896" s="95" t="s">
        <v>715</v>
      </c>
      <c r="B1896" s="384" t="s">
        <v>3675</v>
      </c>
      <c r="C1896" s="202" t="s">
        <v>3676</v>
      </c>
      <c r="D1896" s="203" t="s">
        <v>75</v>
      </c>
      <c r="E1896" s="214">
        <v>1.0</v>
      </c>
      <c r="F1896" s="205">
        <v>5000.0</v>
      </c>
      <c r="G1896" s="206">
        <f>F1896*E1896</f>
        <v>5000</v>
      </c>
      <c r="H1896" s="240"/>
    </row>
    <row r="1897" ht="12.75" customHeight="1" outlineLevel="2">
      <c r="A1897" s="102"/>
      <c r="B1897" s="234"/>
      <c r="C1897" s="102"/>
      <c r="D1897" s="102"/>
      <c r="E1897" s="103"/>
      <c r="F1897" s="104"/>
      <c r="G1897" s="104"/>
      <c r="H1897" s="240"/>
    </row>
    <row r="1898" ht="12.75" customHeight="1" outlineLevel="2">
      <c r="A1898" s="95" t="s">
        <v>717</v>
      </c>
      <c r="B1898" s="234"/>
      <c r="C1898" s="306" t="s">
        <v>3677</v>
      </c>
      <c r="D1898" s="102"/>
      <c r="E1898" s="103"/>
      <c r="F1898" s="104"/>
      <c r="G1898" s="104"/>
      <c r="H1898" s="240"/>
    </row>
    <row r="1899" ht="12.75" customHeight="1" outlineLevel="2">
      <c r="A1899" s="102"/>
      <c r="B1899" s="234"/>
      <c r="C1899" s="102"/>
      <c r="D1899" s="102"/>
      <c r="E1899" s="103"/>
      <c r="F1899" s="104"/>
      <c r="G1899" s="104"/>
      <c r="H1899" s="240"/>
    </row>
    <row r="1900" ht="12.75" customHeight="1" outlineLevel="2">
      <c r="A1900" s="95" t="s">
        <v>719</v>
      </c>
      <c r="B1900" s="383">
        <v>26.5</v>
      </c>
      <c r="C1900" s="202" t="s">
        <v>3678</v>
      </c>
      <c r="D1900" s="203" t="s">
        <v>161</v>
      </c>
      <c r="E1900" s="214">
        <v>1.0</v>
      </c>
      <c r="F1900" s="205">
        <v>2500.0</v>
      </c>
      <c r="G1900" s="206">
        <f>F1900*E1900</f>
        <v>2500</v>
      </c>
      <c r="H1900" s="219"/>
    </row>
    <row r="1901" ht="12.75" customHeight="1" outlineLevel="2">
      <c r="A1901" s="138"/>
      <c r="B1901" s="189"/>
      <c r="C1901" s="138"/>
      <c r="D1901" s="138"/>
      <c r="E1901" s="139"/>
      <c r="F1901" s="106"/>
      <c r="G1901" s="106"/>
      <c r="H1901" s="240"/>
    </row>
    <row r="1902" ht="12.75" customHeight="1" outlineLevel="1">
      <c r="A1902" s="95" t="s">
        <v>721</v>
      </c>
      <c r="B1902" s="189"/>
      <c r="C1902" s="306" t="s">
        <v>3679</v>
      </c>
      <c r="D1902" s="138"/>
      <c r="E1902" s="139"/>
      <c r="F1902" s="106"/>
      <c r="G1902" s="106"/>
      <c r="H1902" s="240"/>
    </row>
    <row r="1903" ht="12.75" customHeight="1" outlineLevel="2">
      <c r="A1903" s="102"/>
      <c r="B1903" s="189"/>
      <c r="C1903" s="138"/>
      <c r="D1903" s="138"/>
      <c r="E1903" s="139"/>
      <c r="F1903" s="106"/>
      <c r="G1903" s="106"/>
      <c r="H1903" s="240"/>
    </row>
    <row r="1904" ht="12.75" customHeight="1" outlineLevel="2">
      <c r="A1904" s="95" t="s">
        <v>723</v>
      </c>
      <c r="B1904" s="383">
        <v>26.6</v>
      </c>
      <c r="C1904" s="202" t="s">
        <v>3680</v>
      </c>
      <c r="D1904" s="203" t="s">
        <v>75</v>
      </c>
      <c r="E1904" s="214">
        <v>1.0</v>
      </c>
      <c r="F1904" s="205">
        <v>2300.0</v>
      </c>
      <c r="G1904" s="206">
        <f>F1904*E1904</f>
        <v>2300</v>
      </c>
      <c r="H1904" s="219"/>
    </row>
    <row r="1905" ht="12.75" customHeight="1" outlineLevel="1">
      <c r="A1905" s="89"/>
      <c r="B1905" s="312"/>
      <c r="C1905" s="90"/>
      <c r="D1905" s="89"/>
      <c r="E1905" s="91"/>
      <c r="F1905" s="92"/>
      <c r="G1905" s="92"/>
      <c r="H1905" s="240"/>
    </row>
  </sheetData>
  <printOptions/>
  <pageMargins bottom="0.41" footer="0.0" header="0.0" left="0.41" right="0.3" top="0.62"/>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8.88"/>
    <col customWidth="1" min="2" max="2" width="39.25"/>
    <col customWidth="1" min="3" max="3" width="7.0"/>
    <col customWidth="1" min="4" max="4" width="3.88"/>
    <col customWidth="1" min="5" max="5" width="9.75"/>
    <col customWidth="1" min="6" max="6" width="10.13"/>
    <col customWidth="1" min="7" max="11" width="11.75"/>
  </cols>
  <sheetData>
    <row r="1" ht="21.75" customHeight="1">
      <c r="E1" s="79"/>
      <c r="F1" s="80"/>
      <c r="G1" s="80"/>
      <c r="H1" s="81"/>
      <c r="I1" s="80"/>
      <c r="J1" s="80"/>
      <c r="K1" s="80"/>
    </row>
    <row r="2" ht="21.75" customHeight="1">
      <c r="E2" s="79"/>
      <c r="F2" s="80"/>
      <c r="G2" s="80"/>
      <c r="H2" s="81"/>
      <c r="I2" s="80"/>
      <c r="J2" s="80"/>
      <c r="K2" s="80"/>
    </row>
    <row r="3" ht="21.75" customHeight="1">
      <c r="E3" s="79"/>
      <c r="F3" s="80"/>
      <c r="G3" s="80"/>
      <c r="H3" s="81"/>
      <c r="I3" s="80"/>
      <c r="J3" s="80"/>
      <c r="K3" s="80"/>
    </row>
    <row r="4" ht="12.75" customHeight="1">
      <c r="A4" s="385" t="s">
        <v>3681</v>
      </c>
      <c r="B4" s="385" t="s">
        <v>3682</v>
      </c>
      <c r="C4" s="385"/>
      <c r="D4" s="385" t="s">
        <v>3683</v>
      </c>
      <c r="E4" s="386" t="s">
        <v>3684</v>
      </c>
      <c r="F4" s="387" t="s">
        <v>3685</v>
      </c>
      <c r="G4" s="388"/>
      <c r="H4" s="90"/>
    </row>
    <row r="5" ht="12.75" customHeight="1">
      <c r="A5" s="389"/>
      <c r="B5" s="390"/>
      <c r="C5" s="390"/>
      <c r="D5" s="390"/>
      <c r="E5" s="388"/>
      <c r="F5" s="391" t="s">
        <v>3686</v>
      </c>
      <c r="G5" s="391" t="s">
        <v>3687</v>
      </c>
      <c r="H5" s="392"/>
      <c r="I5" s="391"/>
      <c r="J5" s="391"/>
      <c r="K5" s="391"/>
    </row>
    <row r="6" ht="12.75" customHeight="1">
      <c r="A6" s="393"/>
      <c r="B6" s="393"/>
      <c r="C6" s="393"/>
      <c r="D6" s="393"/>
      <c r="E6" s="393"/>
      <c r="F6" s="394"/>
      <c r="G6" s="394"/>
      <c r="H6" s="395"/>
      <c r="I6" s="394"/>
      <c r="J6" s="394"/>
      <c r="K6" s="394"/>
    </row>
    <row r="7" ht="12.75" customHeight="1">
      <c r="A7" s="393"/>
      <c r="B7" s="393"/>
      <c r="C7" s="393"/>
      <c r="D7" s="393"/>
      <c r="E7" s="393"/>
      <c r="F7" s="394"/>
      <c r="G7" s="394"/>
      <c r="H7" s="395"/>
      <c r="I7" s="394"/>
      <c r="J7" s="394"/>
      <c r="K7" s="394"/>
    </row>
    <row r="8" ht="12.75" customHeight="1">
      <c r="A8" s="396"/>
      <c r="B8" s="396"/>
      <c r="C8" s="396"/>
      <c r="D8" s="396" t="s">
        <v>3688</v>
      </c>
      <c r="E8" s="396" t="s">
        <v>3689</v>
      </c>
      <c r="F8" s="73" t="s">
        <v>3690</v>
      </c>
      <c r="G8" s="73" t="s">
        <v>3691</v>
      </c>
      <c r="H8" s="72" t="s">
        <v>24</v>
      </c>
      <c r="I8" s="73" t="s">
        <v>25</v>
      </c>
      <c r="J8" s="73" t="s">
        <v>26</v>
      </c>
      <c r="K8" s="73"/>
    </row>
    <row r="9" ht="12.75" customHeight="1">
      <c r="A9" s="75"/>
      <c r="B9" s="75"/>
      <c r="C9" s="75"/>
      <c r="D9" s="75"/>
      <c r="E9" s="75"/>
      <c r="F9" s="76"/>
      <c r="G9" s="76"/>
      <c r="H9" s="77"/>
      <c r="I9" s="76"/>
      <c r="J9" s="76"/>
      <c r="K9" s="76"/>
    </row>
    <row r="10" ht="12.75" customHeight="1">
      <c r="B10" s="90" t="s">
        <v>3692</v>
      </c>
      <c r="C10" s="90"/>
      <c r="E10" s="79"/>
      <c r="F10" s="80"/>
      <c r="G10" s="80"/>
      <c r="H10" s="81"/>
      <c r="I10" s="80"/>
      <c r="J10" s="80"/>
      <c r="K10" s="80"/>
    </row>
    <row r="11" ht="12.75" customHeight="1">
      <c r="E11" s="79"/>
      <c r="F11" s="80"/>
      <c r="G11" s="80"/>
      <c r="H11" s="81"/>
      <c r="I11" s="80"/>
      <c r="J11" s="80"/>
      <c r="K11" s="80"/>
    </row>
    <row r="12" ht="12.75" customHeight="1">
      <c r="A12" s="89" t="s">
        <v>27</v>
      </c>
      <c r="B12" s="90" t="s">
        <v>3693</v>
      </c>
      <c r="C12" s="90"/>
      <c r="E12" s="79"/>
      <c r="F12" s="80"/>
      <c r="G12" s="80"/>
      <c r="H12" s="81"/>
      <c r="I12" s="80"/>
      <c r="J12" s="80"/>
      <c r="K12" s="80"/>
    </row>
    <row r="13" ht="12.75" customHeight="1">
      <c r="E13" s="79"/>
      <c r="F13" s="80"/>
      <c r="G13" s="80"/>
      <c r="H13" s="81"/>
      <c r="I13" s="80"/>
      <c r="J13" s="80"/>
      <c r="K13" s="80"/>
    </row>
    <row r="14" ht="12.75" customHeight="1">
      <c r="A14" s="89" t="s">
        <v>29</v>
      </c>
      <c r="B14" s="90" t="s">
        <v>3694</v>
      </c>
      <c r="C14" s="90"/>
      <c r="E14" s="79"/>
      <c r="F14" s="80"/>
      <c r="G14" s="80"/>
      <c r="H14" s="81"/>
      <c r="I14" s="80"/>
      <c r="J14" s="80"/>
      <c r="K14" s="80"/>
    </row>
    <row r="15" ht="12.75" customHeight="1">
      <c r="E15" s="79"/>
      <c r="F15" s="80"/>
      <c r="G15" s="80"/>
      <c r="H15" s="81"/>
      <c r="I15" s="80"/>
      <c r="J15" s="80"/>
      <c r="K15" s="80"/>
    </row>
    <row r="16" ht="12.75" customHeight="1">
      <c r="A16" s="89" t="s">
        <v>31</v>
      </c>
      <c r="B16" s="90" t="s">
        <v>3695</v>
      </c>
      <c r="C16" s="90"/>
      <c r="D16" s="89" t="s">
        <v>33</v>
      </c>
      <c r="E16" s="91">
        <v>1.0</v>
      </c>
      <c r="F16" s="92">
        <v>173610.4</v>
      </c>
      <c r="G16" s="92">
        <v>173610.4</v>
      </c>
      <c r="H16" s="93"/>
      <c r="I16" s="92"/>
      <c r="J16" s="92"/>
      <c r="K16" s="92"/>
    </row>
    <row r="17" ht="12.75" customHeight="1">
      <c r="E17" s="79"/>
      <c r="F17" s="80"/>
      <c r="G17" s="80"/>
      <c r="H17" s="81"/>
      <c r="I17" s="80"/>
      <c r="J17" s="80"/>
      <c r="K17" s="80"/>
    </row>
    <row r="18" ht="12.75" customHeight="1">
      <c r="A18" s="89" t="s">
        <v>29</v>
      </c>
      <c r="B18" s="90" t="s">
        <v>3694</v>
      </c>
      <c r="C18" s="90"/>
      <c r="E18" s="79"/>
      <c r="F18" s="80"/>
      <c r="G18" s="92">
        <v>173610.4</v>
      </c>
      <c r="H18" s="93"/>
      <c r="I18" s="92"/>
      <c r="J18" s="92"/>
      <c r="K18" s="92"/>
    </row>
    <row r="19" ht="12.75" customHeight="1">
      <c r="E19" s="79"/>
      <c r="F19" s="80"/>
      <c r="G19" s="80"/>
      <c r="H19" s="81"/>
      <c r="I19" s="80"/>
      <c r="J19" s="80"/>
      <c r="K19" s="80"/>
    </row>
    <row r="20" ht="12.75" customHeight="1">
      <c r="A20" s="89" t="s">
        <v>27</v>
      </c>
      <c r="B20" s="90" t="s">
        <v>3693</v>
      </c>
      <c r="C20" s="90"/>
      <c r="E20" s="79"/>
      <c r="F20" s="80"/>
      <c r="G20" s="92">
        <v>173610.4</v>
      </c>
      <c r="H20" s="93">
        <f>G20</f>
        <v>173610.4</v>
      </c>
      <c r="I20" s="92"/>
      <c r="J20" s="92"/>
      <c r="K20" s="92"/>
    </row>
    <row r="21" ht="12.75" customHeight="1">
      <c r="E21" s="79"/>
      <c r="F21" s="80"/>
      <c r="G21" s="80"/>
      <c r="H21" s="81"/>
      <c r="I21" s="80"/>
      <c r="J21" s="80"/>
      <c r="K21" s="80"/>
    </row>
    <row r="22" ht="12.75" customHeight="1">
      <c r="E22" s="79"/>
      <c r="F22" s="80"/>
      <c r="G22" s="80"/>
      <c r="H22" s="81"/>
      <c r="I22" s="80"/>
      <c r="J22" s="80"/>
      <c r="K22" s="80"/>
    </row>
    <row r="23" ht="12.75" customHeight="1">
      <c r="A23" s="89" t="s">
        <v>3696</v>
      </c>
      <c r="B23" s="90" t="s">
        <v>3697</v>
      </c>
      <c r="C23" s="90"/>
      <c r="E23" s="79"/>
      <c r="F23" s="80"/>
      <c r="G23" s="80"/>
      <c r="H23" s="81"/>
      <c r="I23" s="80"/>
      <c r="J23" s="80"/>
      <c r="K23" s="80"/>
    </row>
    <row r="24" ht="12.75" customHeight="1">
      <c r="E24" s="79"/>
      <c r="F24" s="80"/>
      <c r="G24" s="80"/>
      <c r="H24" s="81"/>
      <c r="I24" s="80"/>
      <c r="J24" s="80"/>
      <c r="K24" s="80"/>
    </row>
    <row r="25" ht="12.75" customHeight="1">
      <c r="A25" s="89" t="s">
        <v>34</v>
      </c>
      <c r="B25" s="90" t="s">
        <v>3698</v>
      </c>
      <c r="C25" s="90"/>
      <c r="E25" s="79"/>
      <c r="F25" s="80"/>
      <c r="G25" s="80"/>
      <c r="H25" s="81"/>
      <c r="I25" s="80"/>
      <c r="J25" s="80"/>
      <c r="K25" s="80"/>
    </row>
    <row r="26" ht="12.75" customHeight="1">
      <c r="E26" s="79"/>
      <c r="F26" s="80"/>
      <c r="G26" s="80"/>
      <c r="H26" s="81"/>
      <c r="I26" s="80"/>
      <c r="J26" s="80"/>
      <c r="K26" s="80"/>
    </row>
    <row r="27" ht="12.75" customHeight="1">
      <c r="A27" s="89" t="s">
        <v>36</v>
      </c>
      <c r="B27" s="90" t="s">
        <v>3699</v>
      </c>
      <c r="C27" s="90"/>
      <c r="E27" s="79"/>
      <c r="F27" s="80"/>
      <c r="G27" s="80"/>
      <c r="H27" s="81"/>
      <c r="I27" s="80"/>
      <c r="J27" s="80"/>
      <c r="K27" s="80"/>
    </row>
    <row r="28" ht="12.75" customHeight="1">
      <c r="E28" s="79"/>
      <c r="F28" s="80"/>
      <c r="G28" s="80"/>
      <c r="H28" s="81"/>
      <c r="I28" s="80"/>
      <c r="J28" s="80"/>
      <c r="K28" s="80"/>
    </row>
    <row r="29" ht="12.75" customHeight="1">
      <c r="A29" s="397" t="s">
        <v>38</v>
      </c>
      <c r="B29" s="398" t="s">
        <v>3700</v>
      </c>
      <c r="C29" s="398"/>
      <c r="D29" s="399" t="s">
        <v>40</v>
      </c>
      <c r="E29" s="400">
        <v>155.42</v>
      </c>
      <c r="F29" s="401">
        <v>50.66</v>
      </c>
      <c r="G29" s="401">
        <v>7873.58</v>
      </c>
      <c r="H29" s="402"/>
      <c r="I29" s="401"/>
      <c r="J29" s="401"/>
      <c r="K29" s="403"/>
    </row>
    <row r="30" ht="12.75" customHeight="1">
      <c r="A30" s="138"/>
      <c r="B30" s="138"/>
      <c r="C30" s="138"/>
      <c r="D30" s="138"/>
      <c r="E30" s="139"/>
      <c r="F30" s="106"/>
      <c r="G30" s="106"/>
      <c r="H30" s="105"/>
      <c r="I30" s="106"/>
      <c r="J30" s="106"/>
      <c r="K30" s="106"/>
    </row>
    <row r="31" ht="12.75" customHeight="1">
      <c r="A31" s="136" t="s">
        <v>41</v>
      </c>
      <c r="B31" s="137" t="s">
        <v>3701</v>
      </c>
      <c r="C31" s="137"/>
      <c r="D31" s="136" t="s">
        <v>40</v>
      </c>
      <c r="E31" s="140">
        <v>32.57</v>
      </c>
      <c r="F31" s="100">
        <v>32.0</v>
      </c>
      <c r="G31" s="100">
        <v>1042.24</v>
      </c>
      <c r="H31" s="99"/>
      <c r="I31" s="100"/>
      <c r="J31" s="100"/>
      <c r="K31" s="100"/>
    </row>
    <row r="32" ht="12.75" customHeight="1">
      <c r="A32" s="138"/>
      <c r="B32" s="138"/>
      <c r="C32" s="138"/>
      <c r="D32" s="138"/>
      <c r="E32" s="139"/>
      <c r="F32" s="106"/>
      <c r="G32" s="106"/>
      <c r="H32" s="105"/>
      <c r="I32" s="106"/>
      <c r="J32" s="106"/>
      <c r="K32" s="106"/>
    </row>
    <row r="33" ht="12.75" customHeight="1">
      <c r="A33" s="136" t="s">
        <v>43</v>
      </c>
      <c r="B33" s="137" t="s">
        <v>3702</v>
      </c>
      <c r="C33" s="137"/>
      <c r="D33" s="136" t="s">
        <v>40</v>
      </c>
      <c r="E33" s="140">
        <v>144.31</v>
      </c>
      <c r="F33" s="100">
        <v>28.06</v>
      </c>
      <c r="G33" s="100"/>
      <c r="H33" s="99"/>
      <c r="I33" s="100"/>
      <c r="J33" s="100"/>
      <c r="K33" s="100"/>
    </row>
    <row r="34" ht="12.75" customHeight="1">
      <c r="E34" s="79"/>
      <c r="F34" s="80"/>
      <c r="G34" s="80"/>
      <c r="H34" s="81"/>
      <c r="I34" s="80"/>
      <c r="J34" s="80"/>
      <c r="K34" s="80"/>
    </row>
    <row r="35" ht="12.75" customHeight="1">
      <c r="A35" s="89" t="s">
        <v>45</v>
      </c>
      <c r="B35" s="90" t="s">
        <v>3703</v>
      </c>
      <c r="C35" s="90"/>
      <c r="E35" s="79"/>
      <c r="F35" s="80"/>
      <c r="G35" s="80"/>
      <c r="H35" s="81"/>
      <c r="I35" s="80"/>
      <c r="J35" s="80"/>
      <c r="K35" s="80"/>
    </row>
    <row r="36" ht="12.75" customHeight="1">
      <c r="E36" s="79"/>
      <c r="F36" s="80"/>
      <c r="G36" s="80"/>
      <c r="H36" s="81"/>
      <c r="I36" s="80"/>
      <c r="J36" s="80"/>
      <c r="K36" s="80"/>
    </row>
    <row r="37" ht="12.75" customHeight="1">
      <c r="A37" s="89" t="s">
        <v>47</v>
      </c>
      <c r="B37" s="90" t="s">
        <v>3704</v>
      </c>
      <c r="C37" s="90"/>
      <c r="D37" s="89" t="s">
        <v>40</v>
      </c>
      <c r="E37" s="91">
        <v>152.25</v>
      </c>
      <c r="F37" s="92">
        <v>32.0</v>
      </c>
      <c r="G37" s="92">
        <v>4872.0</v>
      </c>
      <c r="H37" s="93"/>
      <c r="I37" s="92"/>
      <c r="J37" s="92"/>
      <c r="K37" s="92"/>
    </row>
    <row r="38" ht="12.75" customHeight="1">
      <c r="E38" s="79"/>
      <c r="F38" s="80"/>
      <c r="G38" s="80"/>
      <c r="H38" s="81"/>
      <c r="I38" s="80"/>
      <c r="J38" s="80"/>
      <c r="K38" s="80"/>
    </row>
    <row r="39" ht="12.75" customHeight="1">
      <c r="A39" s="89" t="s">
        <v>49</v>
      </c>
      <c r="B39" s="90" t="s">
        <v>3705</v>
      </c>
      <c r="C39" s="90"/>
      <c r="D39" s="89" t="s">
        <v>40</v>
      </c>
      <c r="E39" s="91">
        <v>14.64</v>
      </c>
      <c r="F39" s="92">
        <v>25.22</v>
      </c>
      <c r="G39" s="92">
        <v>369.22</v>
      </c>
      <c r="H39" s="93"/>
      <c r="I39" s="92"/>
      <c r="J39" s="92"/>
      <c r="K39" s="92"/>
    </row>
    <row r="40" ht="12.75" customHeight="1">
      <c r="E40" s="79"/>
      <c r="F40" s="80"/>
      <c r="G40" s="80"/>
      <c r="H40" s="81"/>
      <c r="I40" s="80"/>
      <c r="J40" s="80"/>
      <c r="K40" s="80"/>
    </row>
    <row r="41" ht="12.75" customHeight="1">
      <c r="A41" s="89" t="s">
        <v>51</v>
      </c>
      <c r="B41" s="90" t="s">
        <v>3706</v>
      </c>
      <c r="C41" s="90"/>
      <c r="D41" s="89" t="s">
        <v>40</v>
      </c>
      <c r="E41" s="91">
        <v>48.01</v>
      </c>
      <c r="F41" s="92">
        <v>56.13</v>
      </c>
      <c r="G41" s="92">
        <v>2694.8</v>
      </c>
      <c r="H41" s="93"/>
      <c r="I41" s="92"/>
      <c r="J41" s="92"/>
      <c r="K41" s="92"/>
    </row>
    <row r="42" ht="12.75" customHeight="1">
      <c r="E42" s="79"/>
      <c r="F42" s="80"/>
      <c r="G42" s="80"/>
      <c r="H42" s="81"/>
      <c r="I42" s="80"/>
      <c r="J42" s="80"/>
      <c r="K42" s="80"/>
    </row>
    <row r="43" ht="12.75" customHeight="1">
      <c r="A43" s="89" t="s">
        <v>53</v>
      </c>
      <c r="B43" s="90" t="s">
        <v>3707</v>
      </c>
      <c r="C43" s="90"/>
      <c r="E43" s="79"/>
      <c r="F43" s="80"/>
      <c r="G43" s="80"/>
      <c r="H43" s="81"/>
      <c r="I43" s="80"/>
      <c r="J43" s="80"/>
      <c r="K43" s="80"/>
    </row>
    <row r="44" ht="12.75" customHeight="1">
      <c r="E44" s="79"/>
      <c r="F44" s="80"/>
      <c r="G44" s="80"/>
      <c r="H44" s="81"/>
      <c r="I44" s="80"/>
      <c r="J44" s="80"/>
      <c r="K44" s="80"/>
    </row>
    <row r="45" ht="12.75" customHeight="1">
      <c r="A45" s="89" t="s">
        <v>55</v>
      </c>
      <c r="B45" s="90" t="s">
        <v>3708</v>
      </c>
      <c r="C45" s="90"/>
      <c r="D45" s="89" t="s">
        <v>40</v>
      </c>
      <c r="E45" s="91">
        <v>19.35</v>
      </c>
      <c r="F45" s="92">
        <v>54.18</v>
      </c>
      <c r="G45" s="92">
        <v>1048.38</v>
      </c>
      <c r="H45" s="93"/>
      <c r="I45" s="92"/>
      <c r="J45" s="92"/>
      <c r="K45" s="92"/>
    </row>
    <row r="46" ht="12.75" customHeight="1">
      <c r="E46" s="79"/>
      <c r="F46" s="80"/>
      <c r="G46" s="80"/>
      <c r="H46" s="81"/>
      <c r="I46" s="80"/>
      <c r="J46" s="80"/>
      <c r="K46" s="80"/>
    </row>
    <row r="47" ht="12.75" customHeight="1">
      <c r="A47" s="89" t="s">
        <v>57</v>
      </c>
      <c r="B47" s="90" t="s">
        <v>3709</v>
      </c>
      <c r="C47" s="90"/>
      <c r="D47" s="89" t="s">
        <v>40</v>
      </c>
      <c r="E47" s="91">
        <v>37.64</v>
      </c>
      <c r="F47" s="92">
        <v>52.76</v>
      </c>
      <c r="G47" s="92">
        <v>1985.89</v>
      </c>
      <c r="H47" s="93"/>
      <c r="I47" s="92"/>
      <c r="J47" s="92"/>
      <c r="K47" s="92"/>
    </row>
    <row r="48" ht="12.75" customHeight="1">
      <c r="E48" s="79"/>
      <c r="F48" s="80"/>
      <c r="G48" s="80"/>
      <c r="H48" s="81"/>
      <c r="I48" s="80"/>
      <c r="J48" s="80"/>
      <c r="K48" s="80"/>
    </row>
    <row r="49" ht="12.75" customHeight="1">
      <c r="A49" s="89" t="s">
        <v>59</v>
      </c>
      <c r="B49" s="90" t="s">
        <v>3710</v>
      </c>
      <c r="C49" s="90"/>
      <c r="D49" s="89" t="s">
        <v>40</v>
      </c>
      <c r="E49" s="91">
        <v>20.27</v>
      </c>
      <c r="F49" s="92">
        <v>62.72</v>
      </c>
      <c r="G49" s="92">
        <v>1271.33</v>
      </c>
      <c r="H49" s="93"/>
      <c r="I49" s="92"/>
      <c r="J49" s="92"/>
      <c r="K49" s="92"/>
    </row>
    <row r="50" ht="12.75" customHeight="1">
      <c r="E50" s="79"/>
      <c r="F50" s="80"/>
      <c r="G50" s="80"/>
      <c r="H50" s="81"/>
      <c r="I50" s="80"/>
      <c r="J50" s="80"/>
      <c r="K50" s="80"/>
    </row>
    <row r="51" ht="12.75" customHeight="1">
      <c r="A51" s="89" t="s">
        <v>61</v>
      </c>
      <c r="B51" s="90" t="s">
        <v>3711</v>
      </c>
      <c r="C51" s="90"/>
      <c r="D51" s="89" t="s">
        <v>40</v>
      </c>
      <c r="E51" s="91">
        <v>10.99</v>
      </c>
      <c r="F51" s="92">
        <v>60.65</v>
      </c>
      <c r="G51" s="92">
        <v>666.54</v>
      </c>
      <c r="H51" s="93"/>
      <c r="I51" s="92"/>
      <c r="J51" s="92"/>
      <c r="K51" s="92"/>
    </row>
    <row r="52" ht="12.75" customHeight="1">
      <c r="E52" s="79"/>
      <c r="F52" s="80"/>
      <c r="G52" s="80"/>
      <c r="H52" s="81"/>
      <c r="I52" s="80"/>
      <c r="J52" s="80"/>
      <c r="K52" s="80"/>
    </row>
    <row r="53" ht="12.75" customHeight="1">
      <c r="A53" s="89" t="s">
        <v>63</v>
      </c>
      <c r="B53" s="90" t="s">
        <v>3712</v>
      </c>
      <c r="C53" s="90"/>
      <c r="D53" s="89" t="s">
        <v>40</v>
      </c>
      <c r="E53" s="91">
        <v>17.94</v>
      </c>
      <c r="F53" s="92">
        <v>52.76</v>
      </c>
      <c r="G53" s="92">
        <v>946.51</v>
      </c>
      <c r="H53" s="93"/>
      <c r="I53" s="92"/>
      <c r="J53" s="92"/>
      <c r="K53" s="92"/>
    </row>
    <row r="54" ht="12.75" customHeight="1">
      <c r="E54" s="79"/>
      <c r="F54" s="80"/>
      <c r="G54" s="80"/>
      <c r="H54" s="81"/>
      <c r="I54" s="80"/>
      <c r="J54" s="80"/>
      <c r="K54" s="80"/>
    </row>
    <row r="55" ht="12.75" customHeight="1">
      <c r="A55" s="89" t="s">
        <v>65</v>
      </c>
      <c r="B55" s="90" t="s">
        <v>3713</v>
      </c>
      <c r="C55" s="90"/>
      <c r="D55" s="89" t="s">
        <v>40</v>
      </c>
      <c r="E55" s="91">
        <v>12.91</v>
      </c>
      <c r="F55" s="92">
        <v>71.12</v>
      </c>
      <c r="G55" s="92">
        <v>918.16</v>
      </c>
      <c r="H55" s="93"/>
      <c r="I55" s="92"/>
      <c r="J55" s="92"/>
      <c r="K55" s="92"/>
    </row>
    <row r="56" ht="12.75" customHeight="1">
      <c r="E56" s="79"/>
      <c r="F56" s="80"/>
      <c r="G56" s="80"/>
      <c r="H56" s="81"/>
      <c r="I56" s="80"/>
      <c r="J56" s="80"/>
      <c r="K56" s="80"/>
    </row>
    <row r="57" ht="12.75" customHeight="1">
      <c r="A57" s="89" t="s">
        <v>34</v>
      </c>
      <c r="B57" s="90" t="s">
        <v>3698</v>
      </c>
      <c r="C57" s="90"/>
      <c r="E57" s="79"/>
      <c r="F57" s="80"/>
      <c r="G57" s="92">
        <v>27737.99</v>
      </c>
      <c r="H57" s="93">
        <f>G57</f>
        <v>27737.99</v>
      </c>
      <c r="I57" s="92"/>
      <c r="J57" s="92"/>
      <c r="K57" s="92"/>
    </row>
    <row r="58" ht="12.75" customHeight="1">
      <c r="E58" s="79"/>
      <c r="F58" s="80"/>
      <c r="G58" s="80"/>
      <c r="H58" s="81"/>
      <c r="I58" s="80"/>
      <c r="J58" s="80"/>
      <c r="K58" s="80"/>
    </row>
    <row r="59" ht="12.75" customHeight="1">
      <c r="E59" s="79"/>
      <c r="F59" s="80"/>
      <c r="G59" s="80"/>
      <c r="H59" s="81"/>
      <c r="I59" s="80"/>
      <c r="J59" s="80"/>
      <c r="K59" s="80"/>
    </row>
    <row r="60" ht="12.75" customHeight="1">
      <c r="A60" s="89" t="s">
        <v>67</v>
      </c>
      <c r="B60" s="90" t="s">
        <v>3714</v>
      </c>
      <c r="C60" s="90"/>
      <c r="E60" s="79"/>
      <c r="F60" s="80"/>
      <c r="G60" s="80"/>
      <c r="H60" s="81"/>
      <c r="I60" s="80"/>
      <c r="J60" s="80"/>
      <c r="K60" s="80"/>
    </row>
    <row r="61" ht="12.75" customHeight="1">
      <c r="E61" s="79"/>
      <c r="F61" s="80"/>
      <c r="G61" s="80"/>
      <c r="H61" s="81"/>
      <c r="I61" s="80"/>
      <c r="J61" s="80"/>
      <c r="K61" s="80"/>
    </row>
    <row r="62" ht="12.75" customHeight="1">
      <c r="A62" s="89" t="s">
        <v>69</v>
      </c>
      <c r="B62" s="90" t="s">
        <v>3714</v>
      </c>
      <c r="C62" s="90"/>
      <c r="E62" s="79"/>
      <c r="F62" s="80"/>
      <c r="G62" s="80"/>
      <c r="H62" s="81"/>
      <c r="I62" s="80"/>
      <c r="J62" s="80"/>
      <c r="K62" s="80"/>
    </row>
    <row r="63" ht="12.75" customHeight="1">
      <c r="E63" s="79"/>
      <c r="F63" s="80"/>
      <c r="G63" s="80"/>
      <c r="H63" s="81"/>
      <c r="I63" s="80"/>
      <c r="J63" s="80"/>
      <c r="K63" s="80"/>
    </row>
    <row r="64" ht="12.75" customHeight="1">
      <c r="A64" s="89" t="s">
        <v>71</v>
      </c>
      <c r="B64" s="90" t="s">
        <v>3715</v>
      </c>
      <c r="C64" s="90"/>
      <c r="E64" s="79"/>
      <c r="F64" s="80"/>
      <c r="G64" s="80"/>
      <c r="H64" s="81"/>
      <c r="I64" s="80"/>
      <c r="J64" s="80"/>
      <c r="K64" s="80"/>
    </row>
    <row r="65" ht="12.75" customHeight="1">
      <c r="E65" s="79"/>
      <c r="F65" s="80"/>
      <c r="G65" s="80"/>
      <c r="H65" s="81"/>
      <c r="I65" s="80"/>
      <c r="J65" s="80"/>
      <c r="K65" s="80"/>
    </row>
    <row r="66" ht="12.75" customHeight="1">
      <c r="A66" s="89" t="s">
        <v>73</v>
      </c>
      <c r="B66" s="90" t="s">
        <v>3716</v>
      </c>
      <c r="C66" s="90"/>
      <c r="D66" s="89" t="s">
        <v>75</v>
      </c>
      <c r="E66" s="91">
        <v>1.0</v>
      </c>
      <c r="F66" s="92">
        <v>45.48</v>
      </c>
      <c r="G66" s="92">
        <v>45.48</v>
      </c>
      <c r="H66" s="93"/>
      <c r="I66" s="92"/>
      <c r="J66" s="92"/>
      <c r="K66" s="92"/>
    </row>
    <row r="67" ht="12.75" customHeight="1">
      <c r="E67" s="79"/>
      <c r="F67" s="80"/>
      <c r="G67" s="80"/>
      <c r="H67" s="81"/>
      <c r="I67" s="80"/>
      <c r="J67" s="80"/>
      <c r="K67" s="80"/>
    </row>
    <row r="68" ht="12.75" customHeight="1">
      <c r="A68" s="89" t="s">
        <v>76</v>
      </c>
      <c r="B68" s="90" t="s">
        <v>3717</v>
      </c>
      <c r="C68" s="90"/>
      <c r="D68" s="89" t="s">
        <v>75</v>
      </c>
      <c r="E68" s="91">
        <v>1.0</v>
      </c>
      <c r="F68" s="92">
        <v>193.49</v>
      </c>
      <c r="G68" s="92">
        <v>193.49</v>
      </c>
      <c r="H68" s="93"/>
      <c r="I68" s="92"/>
      <c r="J68" s="92"/>
      <c r="K68" s="92"/>
    </row>
    <row r="69" ht="12.75" customHeight="1">
      <c r="E69" s="79"/>
      <c r="F69" s="80"/>
      <c r="G69" s="80"/>
      <c r="H69" s="81"/>
      <c r="I69" s="80"/>
      <c r="J69" s="80"/>
      <c r="K69" s="80"/>
    </row>
    <row r="70" ht="12.75" customHeight="1">
      <c r="A70" s="89" t="s">
        <v>78</v>
      </c>
      <c r="B70" s="90" t="s">
        <v>3718</v>
      </c>
      <c r="C70" s="90"/>
      <c r="D70" s="89" t="s">
        <v>75</v>
      </c>
      <c r="E70" s="91">
        <v>1.0</v>
      </c>
      <c r="F70" s="92">
        <v>190.6</v>
      </c>
      <c r="G70" s="92">
        <v>190.6</v>
      </c>
      <c r="H70" s="93"/>
      <c r="I70" s="92"/>
      <c r="J70" s="92"/>
      <c r="K70" s="92"/>
    </row>
    <row r="71" ht="12.75" customHeight="1">
      <c r="E71" s="79"/>
      <c r="F71" s="80"/>
      <c r="G71" s="80"/>
      <c r="H71" s="81"/>
      <c r="I71" s="80"/>
      <c r="J71" s="80"/>
      <c r="K71" s="80"/>
    </row>
    <row r="72" ht="12.75" customHeight="1">
      <c r="A72" s="89" t="s">
        <v>80</v>
      </c>
      <c r="B72" s="90" t="s">
        <v>3719</v>
      </c>
      <c r="C72" s="90"/>
      <c r="D72" s="89" t="s">
        <v>75</v>
      </c>
      <c r="E72" s="91">
        <v>1.0</v>
      </c>
      <c r="F72" s="92">
        <v>125.69</v>
      </c>
      <c r="G72" s="92">
        <v>125.69</v>
      </c>
      <c r="H72" s="93"/>
      <c r="I72" s="92"/>
      <c r="J72" s="92"/>
      <c r="K72" s="92"/>
    </row>
    <row r="73" ht="12.75" customHeight="1">
      <c r="E73" s="79"/>
      <c r="F73" s="80"/>
      <c r="G73" s="80"/>
      <c r="H73" s="81"/>
      <c r="I73" s="80"/>
      <c r="J73" s="80"/>
      <c r="K73" s="80"/>
    </row>
    <row r="74" ht="12.75" customHeight="1">
      <c r="A74" s="89" t="s">
        <v>82</v>
      </c>
      <c r="B74" s="90" t="s">
        <v>3720</v>
      </c>
      <c r="C74" s="90"/>
      <c r="E74" s="79"/>
      <c r="F74" s="80"/>
      <c r="G74" s="80"/>
      <c r="H74" s="81"/>
      <c r="I74" s="80"/>
      <c r="J74" s="80"/>
      <c r="K74" s="80"/>
    </row>
    <row r="75" ht="12.75" customHeight="1">
      <c r="E75" s="79"/>
      <c r="F75" s="80"/>
      <c r="G75" s="80"/>
      <c r="H75" s="81"/>
      <c r="I75" s="80"/>
      <c r="J75" s="80"/>
      <c r="K75" s="80"/>
    </row>
    <row r="76" ht="12.75" customHeight="1">
      <c r="A76" s="89" t="s">
        <v>84</v>
      </c>
      <c r="B76" s="90" t="s">
        <v>3721</v>
      </c>
      <c r="C76" s="90"/>
      <c r="D76" s="89" t="s">
        <v>75</v>
      </c>
      <c r="E76" s="91">
        <v>1.0</v>
      </c>
      <c r="F76" s="92">
        <v>14.6</v>
      </c>
      <c r="G76" s="92">
        <v>14.6</v>
      </c>
      <c r="H76" s="93"/>
      <c r="I76" s="92"/>
      <c r="J76" s="92"/>
      <c r="K76" s="92"/>
    </row>
    <row r="77" ht="12.75" customHeight="1">
      <c r="E77" s="79"/>
      <c r="F77" s="80"/>
      <c r="G77" s="80"/>
      <c r="H77" s="81"/>
      <c r="I77" s="80"/>
      <c r="J77" s="80"/>
      <c r="K77" s="80"/>
    </row>
    <row r="78" ht="12.75" customHeight="1">
      <c r="A78" s="89" t="s">
        <v>86</v>
      </c>
      <c r="B78" s="90" t="s">
        <v>3722</v>
      </c>
      <c r="C78" s="90"/>
      <c r="D78" s="89" t="s">
        <v>75</v>
      </c>
      <c r="E78" s="91">
        <v>1.0</v>
      </c>
      <c r="F78" s="92">
        <v>144.54</v>
      </c>
      <c r="G78" s="92">
        <v>144.54</v>
      </c>
      <c r="H78" s="93"/>
      <c r="I78" s="92"/>
      <c r="J78" s="92"/>
      <c r="K78" s="92"/>
    </row>
    <row r="79" ht="12.75" customHeight="1">
      <c r="E79" s="79"/>
      <c r="F79" s="80"/>
      <c r="G79" s="80"/>
      <c r="H79" s="81"/>
      <c r="I79" s="80"/>
      <c r="J79" s="80"/>
      <c r="K79" s="80"/>
    </row>
    <row r="80" ht="12.75" customHeight="1">
      <c r="A80" s="89" t="s">
        <v>88</v>
      </c>
      <c r="B80" s="90" t="s">
        <v>3723</v>
      </c>
      <c r="C80" s="90"/>
      <c r="D80" s="89" t="s">
        <v>75</v>
      </c>
      <c r="E80" s="91">
        <v>1.0</v>
      </c>
      <c r="F80" s="92">
        <v>193.45</v>
      </c>
      <c r="G80" s="92">
        <v>193.45</v>
      </c>
      <c r="H80" s="93"/>
      <c r="I80" s="92"/>
      <c r="J80" s="92"/>
      <c r="K80" s="92"/>
    </row>
    <row r="81" ht="12.75" customHeight="1">
      <c r="E81" s="79"/>
      <c r="F81" s="80"/>
      <c r="G81" s="80"/>
      <c r="H81" s="81"/>
      <c r="I81" s="80"/>
      <c r="J81" s="80"/>
      <c r="K81" s="80"/>
    </row>
    <row r="82" ht="12.75" customHeight="1">
      <c r="A82" s="89" t="s">
        <v>90</v>
      </c>
      <c r="B82" s="90" t="s">
        <v>3724</v>
      </c>
      <c r="C82" s="90"/>
      <c r="D82" s="89" t="s">
        <v>75</v>
      </c>
      <c r="E82" s="91">
        <v>1.0</v>
      </c>
      <c r="F82" s="92">
        <v>507.36</v>
      </c>
      <c r="G82" s="92">
        <v>507.36</v>
      </c>
      <c r="H82" s="93"/>
      <c r="I82" s="92"/>
      <c r="J82" s="92"/>
      <c r="K82" s="92"/>
    </row>
    <row r="83" ht="12.75" customHeight="1">
      <c r="E83" s="79"/>
      <c r="F83" s="80"/>
      <c r="G83" s="80"/>
      <c r="H83" s="81"/>
      <c r="I83" s="80"/>
      <c r="J83" s="80"/>
      <c r="K83" s="80"/>
    </row>
    <row r="84" ht="12.75" customHeight="1">
      <c r="A84" s="89" t="s">
        <v>92</v>
      </c>
      <c r="B84" s="90" t="s">
        <v>3725</v>
      </c>
      <c r="C84" s="90"/>
      <c r="D84" s="89" t="s">
        <v>75</v>
      </c>
      <c r="E84" s="91">
        <v>1.0</v>
      </c>
      <c r="F84" s="92">
        <v>37.96</v>
      </c>
      <c r="G84" s="92">
        <v>37.96</v>
      </c>
      <c r="H84" s="93"/>
      <c r="I84" s="92"/>
      <c r="J84" s="92"/>
      <c r="K84" s="92"/>
    </row>
    <row r="85" ht="12.75" customHeight="1">
      <c r="E85" s="79"/>
      <c r="F85" s="80"/>
      <c r="G85" s="80"/>
      <c r="H85" s="81"/>
      <c r="I85" s="80"/>
      <c r="J85" s="80"/>
      <c r="K85" s="80"/>
    </row>
    <row r="86" ht="12.75" customHeight="1">
      <c r="A86" s="89" t="s">
        <v>67</v>
      </c>
      <c r="B86" s="90" t="s">
        <v>3714</v>
      </c>
      <c r="C86" s="90"/>
      <c r="E86" s="79"/>
      <c r="F86" s="80"/>
      <c r="G86" s="92">
        <v>1453.17</v>
      </c>
      <c r="H86" s="93"/>
      <c r="I86" s="92"/>
      <c r="J86" s="92"/>
      <c r="K86" s="92"/>
    </row>
    <row r="87" ht="12.75" customHeight="1">
      <c r="E87" s="79"/>
      <c r="F87" s="80"/>
      <c r="G87" s="80"/>
      <c r="H87" s="81"/>
      <c r="I87" s="80"/>
      <c r="J87" s="80"/>
      <c r="K87" s="80"/>
    </row>
    <row r="88" ht="12.75" customHeight="1">
      <c r="E88" s="79"/>
      <c r="F88" s="80"/>
      <c r="G88" s="80"/>
      <c r="H88" s="81"/>
      <c r="I88" s="80"/>
      <c r="J88" s="80"/>
      <c r="K88" s="80"/>
    </row>
    <row r="89" ht="12.75" customHeight="1">
      <c r="A89" s="89" t="s">
        <v>94</v>
      </c>
      <c r="B89" s="90" t="s">
        <v>3726</v>
      </c>
      <c r="C89" s="90"/>
      <c r="E89" s="79"/>
      <c r="F89" s="80"/>
      <c r="G89" s="80"/>
      <c r="H89" s="81"/>
      <c r="I89" s="80"/>
      <c r="J89" s="80"/>
      <c r="K89" s="80"/>
    </row>
    <row r="90" ht="12.75" customHeight="1">
      <c r="E90" s="79"/>
      <c r="F90" s="80"/>
      <c r="G90" s="80"/>
      <c r="H90" s="81"/>
      <c r="I90" s="80"/>
      <c r="J90" s="80"/>
      <c r="K90" s="80"/>
    </row>
    <row r="91" ht="12.75" customHeight="1">
      <c r="A91" s="89" t="s">
        <v>96</v>
      </c>
      <c r="B91" s="90" t="s">
        <v>3727</v>
      </c>
      <c r="C91" s="90"/>
      <c r="E91" s="79"/>
      <c r="F91" s="80"/>
      <c r="G91" s="80"/>
      <c r="H91" s="81"/>
      <c r="I91" s="80"/>
      <c r="J91" s="80"/>
      <c r="K91" s="80"/>
    </row>
    <row r="92" ht="12.75" customHeight="1">
      <c r="E92" s="79"/>
      <c r="F92" s="80"/>
      <c r="G92" s="80"/>
      <c r="H92" s="81"/>
      <c r="I92" s="80"/>
      <c r="J92" s="80"/>
      <c r="K92" s="80"/>
    </row>
    <row r="93" ht="12.75" customHeight="1">
      <c r="A93" s="89" t="s">
        <v>98</v>
      </c>
      <c r="B93" s="90" t="s">
        <v>3728</v>
      </c>
      <c r="C93" s="90"/>
      <c r="E93" s="79"/>
      <c r="F93" s="80"/>
      <c r="G93" s="80"/>
      <c r="H93" s="81"/>
      <c r="I93" s="80"/>
      <c r="J93" s="80"/>
      <c r="K93" s="80"/>
    </row>
    <row r="94" ht="12.75" customHeight="1">
      <c r="E94" s="79"/>
      <c r="F94" s="80"/>
      <c r="G94" s="80"/>
      <c r="H94" s="81"/>
      <c r="I94" s="80"/>
      <c r="J94" s="80"/>
      <c r="K94" s="80"/>
    </row>
    <row r="95" ht="12.75" customHeight="1">
      <c r="A95" s="89" t="s">
        <v>100</v>
      </c>
      <c r="B95" s="90" t="s">
        <v>3729</v>
      </c>
      <c r="C95" s="90"/>
      <c r="D95" s="89" t="s">
        <v>40</v>
      </c>
      <c r="E95" s="91">
        <v>37.14</v>
      </c>
      <c r="F95" s="92">
        <v>11.9</v>
      </c>
      <c r="G95" s="92">
        <v>441.97</v>
      </c>
      <c r="H95" s="93"/>
      <c r="I95" s="92"/>
      <c r="J95" s="92"/>
      <c r="K95" s="92"/>
    </row>
    <row r="96" ht="12.75" customHeight="1">
      <c r="E96" s="79"/>
      <c r="F96" s="80"/>
      <c r="G96" s="80"/>
      <c r="H96" s="81"/>
      <c r="I96" s="80"/>
      <c r="J96" s="80"/>
      <c r="K96" s="80"/>
    </row>
    <row r="97" ht="12.75" customHeight="1">
      <c r="A97" s="89" t="s">
        <v>102</v>
      </c>
      <c r="B97" s="90" t="s">
        <v>3730</v>
      </c>
      <c r="C97" s="90"/>
      <c r="D97" s="89" t="s">
        <v>40</v>
      </c>
      <c r="E97" s="91">
        <v>37.14</v>
      </c>
      <c r="F97" s="92">
        <v>23.36</v>
      </c>
      <c r="G97" s="92">
        <v>867.59</v>
      </c>
      <c r="H97" s="93"/>
      <c r="I97" s="92"/>
      <c r="J97" s="92"/>
      <c r="K97" s="92"/>
    </row>
    <row r="98" ht="12.75" customHeight="1">
      <c r="E98" s="79"/>
      <c r="F98" s="80"/>
      <c r="G98" s="80"/>
      <c r="H98" s="81"/>
      <c r="I98" s="80"/>
      <c r="J98" s="80"/>
      <c r="K98" s="80"/>
    </row>
    <row r="99" ht="12.75" customHeight="1">
      <c r="A99" s="89" t="s">
        <v>104</v>
      </c>
      <c r="B99" s="90" t="s">
        <v>3731</v>
      </c>
      <c r="C99" s="90"/>
      <c r="D99" s="89" t="s">
        <v>40</v>
      </c>
      <c r="E99" s="91">
        <v>37.14</v>
      </c>
      <c r="F99" s="92">
        <v>31.78</v>
      </c>
      <c r="G99" s="92">
        <v>1180.31</v>
      </c>
      <c r="H99" s="93"/>
      <c r="I99" s="92"/>
      <c r="J99" s="92"/>
      <c r="K99" s="92"/>
    </row>
    <row r="100" ht="12.75" customHeight="1">
      <c r="E100" s="79"/>
      <c r="F100" s="80"/>
      <c r="G100" s="80"/>
      <c r="H100" s="81"/>
      <c r="I100" s="80"/>
      <c r="J100" s="80"/>
      <c r="K100" s="80"/>
    </row>
    <row r="101" ht="12.75" customHeight="1">
      <c r="A101" s="89" t="s">
        <v>106</v>
      </c>
      <c r="B101" s="90" t="s">
        <v>3732</v>
      </c>
      <c r="C101" s="90"/>
      <c r="E101" s="79"/>
      <c r="F101" s="80"/>
      <c r="G101" s="80"/>
      <c r="H101" s="81"/>
      <c r="I101" s="80"/>
      <c r="J101" s="80"/>
      <c r="K101" s="80"/>
    </row>
    <row r="102" ht="12.75" customHeight="1">
      <c r="E102" s="79"/>
      <c r="F102" s="80"/>
      <c r="G102" s="80"/>
      <c r="H102" s="81"/>
      <c r="I102" s="80"/>
      <c r="J102" s="80"/>
      <c r="K102" s="80"/>
    </row>
    <row r="103" ht="12.75" customHeight="1">
      <c r="A103" s="89" t="s">
        <v>108</v>
      </c>
      <c r="B103" s="90" t="s">
        <v>3733</v>
      </c>
      <c r="C103" s="90"/>
      <c r="E103" s="79"/>
      <c r="F103" s="80"/>
      <c r="G103" s="80"/>
      <c r="H103" s="81"/>
      <c r="I103" s="80"/>
      <c r="J103" s="80"/>
      <c r="K103" s="80"/>
    </row>
    <row r="104" ht="12.75" customHeight="1">
      <c r="E104" s="79"/>
      <c r="F104" s="80"/>
      <c r="G104" s="80"/>
      <c r="H104" s="81"/>
      <c r="I104" s="80"/>
      <c r="J104" s="80"/>
      <c r="K104" s="80"/>
    </row>
    <row r="105" ht="12.75" customHeight="1">
      <c r="A105" s="89" t="s">
        <v>110</v>
      </c>
      <c r="B105" s="90" t="s">
        <v>3729</v>
      </c>
      <c r="C105" s="90"/>
      <c r="D105" s="89" t="s">
        <v>40</v>
      </c>
      <c r="E105" s="91">
        <v>53.0</v>
      </c>
      <c r="F105" s="92">
        <v>11.9</v>
      </c>
      <c r="G105" s="92">
        <v>630.7</v>
      </c>
      <c r="H105" s="93"/>
      <c r="I105" s="92"/>
      <c r="J105" s="92"/>
      <c r="K105" s="92"/>
    </row>
    <row r="106" ht="12.75" customHeight="1">
      <c r="E106" s="79"/>
      <c r="F106" s="80"/>
      <c r="G106" s="80"/>
      <c r="H106" s="81"/>
      <c r="I106" s="80"/>
      <c r="J106" s="80"/>
      <c r="K106" s="80"/>
    </row>
    <row r="107" ht="12.75" customHeight="1">
      <c r="A107" s="89" t="s">
        <v>111</v>
      </c>
      <c r="B107" s="90" t="s">
        <v>3734</v>
      </c>
      <c r="C107" s="90"/>
      <c r="D107" s="89" t="s">
        <v>40</v>
      </c>
      <c r="E107" s="91">
        <v>53.0</v>
      </c>
      <c r="F107" s="92">
        <v>23.36</v>
      </c>
      <c r="G107" s="92">
        <v>1238.08</v>
      </c>
      <c r="H107" s="93"/>
      <c r="I107" s="92"/>
      <c r="J107" s="92"/>
      <c r="K107" s="92"/>
    </row>
    <row r="108" ht="12.75" customHeight="1">
      <c r="E108" s="79"/>
      <c r="F108" s="80"/>
      <c r="G108" s="80"/>
      <c r="H108" s="81"/>
      <c r="I108" s="80"/>
      <c r="J108" s="80"/>
      <c r="K108" s="80"/>
    </row>
    <row r="109" ht="12.75" customHeight="1">
      <c r="A109" s="89" t="s">
        <v>113</v>
      </c>
      <c r="B109" s="90" t="s">
        <v>3735</v>
      </c>
      <c r="C109" s="90"/>
      <c r="D109" s="89" t="s">
        <v>40</v>
      </c>
      <c r="E109" s="91">
        <v>53.0</v>
      </c>
      <c r="F109" s="92">
        <v>31.78</v>
      </c>
      <c r="G109" s="92">
        <v>1684.34</v>
      </c>
      <c r="H109" s="93"/>
      <c r="I109" s="92"/>
      <c r="J109" s="92"/>
      <c r="K109" s="92"/>
    </row>
    <row r="110" ht="12.75" customHeight="1">
      <c r="E110" s="79"/>
      <c r="F110" s="80"/>
      <c r="G110" s="80"/>
      <c r="H110" s="81"/>
      <c r="I110" s="80"/>
      <c r="J110" s="80"/>
      <c r="K110" s="80"/>
    </row>
    <row r="111" ht="12.75" customHeight="1">
      <c r="A111" s="89" t="s">
        <v>115</v>
      </c>
      <c r="B111" s="90" t="s">
        <v>3736</v>
      </c>
      <c r="C111" s="90"/>
      <c r="E111" s="79"/>
      <c r="F111" s="80"/>
      <c r="G111" s="80"/>
      <c r="H111" s="81"/>
      <c r="I111" s="80"/>
      <c r="J111" s="80"/>
      <c r="K111" s="80"/>
    </row>
    <row r="112" ht="12.75" customHeight="1">
      <c r="E112" s="79"/>
      <c r="F112" s="80"/>
      <c r="G112" s="80"/>
      <c r="H112" s="81"/>
      <c r="I112" s="80"/>
      <c r="J112" s="80"/>
      <c r="K112" s="80"/>
    </row>
    <row r="113" ht="12.75" customHeight="1">
      <c r="A113" s="89" t="s">
        <v>117</v>
      </c>
      <c r="B113" s="90" t="s">
        <v>3737</v>
      </c>
      <c r="C113" s="90"/>
      <c r="E113" s="79"/>
      <c r="F113" s="80"/>
      <c r="G113" s="80"/>
      <c r="H113" s="81"/>
      <c r="I113" s="80"/>
      <c r="J113" s="80"/>
      <c r="K113" s="80"/>
    </row>
    <row r="114" ht="12.75" customHeight="1">
      <c r="E114" s="79"/>
      <c r="F114" s="80"/>
      <c r="G114" s="80"/>
      <c r="H114" s="81"/>
      <c r="I114" s="80"/>
      <c r="J114" s="80"/>
      <c r="K114" s="80"/>
    </row>
    <row r="115" ht="12.75" customHeight="1">
      <c r="A115" s="89" t="s">
        <v>119</v>
      </c>
      <c r="B115" s="90" t="s">
        <v>3734</v>
      </c>
      <c r="C115" s="90"/>
      <c r="D115" s="89" t="s">
        <v>40</v>
      </c>
      <c r="E115" s="91">
        <v>32.4</v>
      </c>
      <c r="F115" s="92">
        <v>23.36</v>
      </c>
      <c r="G115" s="92">
        <v>756.86</v>
      </c>
      <c r="H115" s="93"/>
      <c r="I115" s="92"/>
      <c r="J115" s="92"/>
      <c r="K115" s="92"/>
    </row>
    <row r="116" ht="12.75" customHeight="1">
      <c r="E116" s="79"/>
      <c r="F116" s="80"/>
      <c r="G116" s="80"/>
      <c r="H116" s="81"/>
      <c r="I116" s="80"/>
      <c r="J116" s="80"/>
      <c r="K116" s="80"/>
    </row>
    <row r="117" ht="12.75" customHeight="1">
      <c r="A117" s="89" t="s">
        <v>120</v>
      </c>
      <c r="B117" s="90" t="s">
        <v>3735</v>
      </c>
      <c r="C117" s="90"/>
      <c r="D117" s="89" t="s">
        <v>40</v>
      </c>
      <c r="E117" s="91">
        <v>32.4</v>
      </c>
      <c r="F117" s="92">
        <v>31.78</v>
      </c>
      <c r="G117" s="92">
        <v>1029.67</v>
      </c>
      <c r="H117" s="93"/>
      <c r="I117" s="92"/>
      <c r="J117" s="92"/>
      <c r="K117" s="92"/>
    </row>
    <row r="118" ht="12.75" customHeight="1">
      <c r="E118" s="79"/>
      <c r="F118" s="80"/>
      <c r="G118" s="80"/>
      <c r="H118" s="81"/>
      <c r="I118" s="80"/>
      <c r="J118" s="80"/>
      <c r="K118" s="80"/>
    </row>
    <row r="119" ht="12.75" customHeight="1">
      <c r="A119" s="89" t="s">
        <v>121</v>
      </c>
      <c r="B119" s="90" t="s">
        <v>3738</v>
      </c>
      <c r="C119" s="90"/>
      <c r="E119" s="79"/>
      <c r="F119" s="80"/>
      <c r="G119" s="80"/>
      <c r="H119" s="81"/>
      <c r="I119" s="80"/>
      <c r="J119" s="80"/>
      <c r="K119" s="80"/>
    </row>
    <row r="120" ht="12.75" customHeight="1">
      <c r="E120" s="79"/>
      <c r="F120" s="80"/>
      <c r="G120" s="80"/>
      <c r="H120" s="81"/>
      <c r="I120" s="80"/>
      <c r="J120" s="80"/>
      <c r="K120" s="80"/>
    </row>
    <row r="121" ht="12.75" customHeight="1">
      <c r="A121" s="89" t="s">
        <v>123</v>
      </c>
      <c r="B121" s="90" t="s">
        <v>3739</v>
      </c>
      <c r="C121" s="90"/>
      <c r="D121" s="89" t="s">
        <v>40</v>
      </c>
      <c r="E121" s="91">
        <v>303.47</v>
      </c>
      <c r="F121" s="92">
        <v>22.54</v>
      </c>
      <c r="G121" s="92">
        <v>6840.21</v>
      </c>
      <c r="H121" s="93"/>
      <c r="I121" s="92"/>
      <c r="J121" s="92"/>
      <c r="K121" s="92"/>
    </row>
    <row r="122" ht="12.75" customHeight="1">
      <c r="E122" s="79"/>
      <c r="F122" s="80"/>
      <c r="G122" s="80"/>
      <c r="H122" s="81"/>
      <c r="I122" s="80"/>
      <c r="J122" s="80"/>
      <c r="K122" s="80"/>
    </row>
    <row r="123" ht="12.75" customHeight="1">
      <c r="A123" s="89" t="s">
        <v>125</v>
      </c>
      <c r="B123" s="90" t="s">
        <v>3740</v>
      </c>
      <c r="C123" s="90"/>
      <c r="E123" s="79"/>
      <c r="F123" s="80"/>
      <c r="G123" s="80"/>
      <c r="H123" s="81"/>
      <c r="I123" s="80"/>
      <c r="J123" s="80"/>
      <c r="K123" s="80"/>
    </row>
    <row r="124" ht="12.75" customHeight="1">
      <c r="E124" s="79"/>
      <c r="F124" s="80"/>
      <c r="G124" s="80"/>
      <c r="H124" s="81"/>
      <c r="I124" s="80"/>
      <c r="J124" s="80"/>
      <c r="K124" s="80"/>
    </row>
    <row r="125" ht="12.75" customHeight="1">
      <c r="A125" s="89" t="s">
        <v>127</v>
      </c>
      <c r="B125" s="90" t="s">
        <v>3741</v>
      </c>
      <c r="C125" s="90"/>
      <c r="D125" s="89" t="s">
        <v>40</v>
      </c>
      <c r="E125" s="91">
        <v>320.7</v>
      </c>
      <c r="F125" s="92">
        <v>11.9</v>
      </c>
      <c r="G125" s="92">
        <v>3816.33</v>
      </c>
      <c r="H125" s="93"/>
      <c r="I125" s="92"/>
      <c r="J125" s="92"/>
      <c r="K125" s="92"/>
    </row>
    <row r="126" ht="12.75" customHeight="1">
      <c r="E126" s="79"/>
      <c r="F126" s="80"/>
      <c r="G126" s="80"/>
      <c r="H126" s="81"/>
      <c r="I126" s="80"/>
      <c r="J126" s="80"/>
      <c r="K126" s="80"/>
    </row>
    <row r="127" ht="12.75" customHeight="1">
      <c r="A127" s="89" t="s">
        <v>129</v>
      </c>
      <c r="B127" s="90" t="s">
        <v>3742</v>
      </c>
      <c r="C127" s="90"/>
      <c r="E127" s="79"/>
      <c r="F127" s="80"/>
      <c r="G127" s="80"/>
      <c r="H127" s="81"/>
      <c r="I127" s="80"/>
      <c r="J127" s="80"/>
      <c r="K127" s="80"/>
    </row>
    <row r="128" ht="12.75" customHeight="1">
      <c r="E128" s="79"/>
      <c r="F128" s="80"/>
      <c r="G128" s="80"/>
      <c r="H128" s="81"/>
      <c r="I128" s="80"/>
      <c r="J128" s="80"/>
      <c r="K128" s="80"/>
    </row>
    <row r="129" ht="12.75" customHeight="1">
      <c r="A129" s="89" t="s">
        <v>131</v>
      </c>
      <c r="B129" s="90" t="s">
        <v>3743</v>
      </c>
      <c r="C129" s="90"/>
      <c r="D129" s="89" t="s">
        <v>75</v>
      </c>
      <c r="E129" s="91">
        <v>22.19</v>
      </c>
      <c r="F129" s="92">
        <v>29.09</v>
      </c>
      <c r="G129" s="92">
        <v>645.51</v>
      </c>
      <c r="H129" s="93"/>
      <c r="I129" s="92"/>
      <c r="J129" s="92"/>
      <c r="K129" s="92"/>
    </row>
    <row r="130" ht="12.75" customHeight="1">
      <c r="E130" s="79"/>
      <c r="F130" s="80"/>
      <c r="G130" s="80"/>
      <c r="H130" s="81"/>
      <c r="I130" s="80"/>
      <c r="J130" s="80"/>
      <c r="K130" s="80"/>
    </row>
    <row r="131" ht="12.75" customHeight="1">
      <c r="A131" s="89" t="s">
        <v>133</v>
      </c>
      <c r="B131" s="90" t="s">
        <v>3744</v>
      </c>
      <c r="C131" s="90"/>
      <c r="E131" s="79"/>
      <c r="F131" s="80"/>
      <c r="G131" s="80"/>
      <c r="H131" s="81"/>
      <c r="I131" s="80"/>
      <c r="J131" s="80"/>
      <c r="K131" s="80"/>
    </row>
    <row r="132" ht="12.75" customHeight="1">
      <c r="E132" s="79"/>
      <c r="F132" s="80"/>
      <c r="G132" s="80"/>
      <c r="H132" s="81"/>
      <c r="I132" s="80"/>
      <c r="J132" s="80"/>
      <c r="K132" s="80"/>
    </row>
    <row r="133" ht="12.75" customHeight="1">
      <c r="A133" s="89" t="s">
        <v>135</v>
      </c>
      <c r="B133" s="90" t="s">
        <v>3745</v>
      </c>
      <c r="C133" s="90"/>
      <c r="D133" s="89" t="s">
        <v>40</v>
      </c>
      <c r="E133" s="91">
        <v>200.6</v>
      </c>
      <c r="F133" s="92">
        <v>23.04</v>
      </c>
      <c r="G133" s="92">
        <v>4621.82</v>
      </c>
      <c r="H133" s="93"/>
      <c r="I133" s="92"/>
      <c r="J133" s="92"/>
      <c r="K133" s="92"/>
    </row>
    <row r="134" ht="12.75" customHeight="1">
      <c r="E134" s="79"/>
      <c r="F134" s="80"/>
      <c r="G134" s="80"/>
      <c r="H134" s="81"/>
      <c r="I134" s="80"/>
      <c r="J134" s="80"/>
      <c r="K134" s="80"/>
    </row>
    <row r="135" ht="12.75" customHeight="1">
      <c r="A135" s="89" t="s">
        <v>94</v>
      </c>
      <c r="B135" s="90" t="s">
        <v>3726</v>
      </c>
      <c r="C135" s="90"/>
      <c r="E135" s="79"/>
      <c r="F135" s="80"/>
      <c r="G135" s="92">
        <v>23753.39</v>
      </c>
      <c r="H135" s="93">
        <f>G135</f>
        <v>23753.39</v>
      </c>
      <c r="I135" s="92"/>
      <c r="J135" s="92"/>
      <c r="K135" s="92"/>
    </row>
    <row r="136" ht="12.75" customHeight="1">
      <c r="E136" s="79"/>
      <c r="F136" s="80"/>
      <c r="G136" s="80"/>
      <c r="H136" s="81"/>
      <c r="I136" s="80"/>
      <c r="J136" s="80"/>
      <c r="K136" s="80"/>
    </row>
    <row r="137" ht="12.75" customHeight="1">
      <c r="E137" s="79"/>
      <c r="F137" s="80"/>
      <c r="G137" s="80"/>
      <c r="H137" s="81"/>
      <c r="I137" s="80"/>
      <c r="J137" s="80"/>
      <c r="K137" s="80"/>
    </row>
    <row r="138" ht="12.75" customHeight="1">
      <c r="A138" s="89" t="s">
        <v>3746</v>
      </c>
      <c r="B138" s="90" t="s">
        <v>2200</v>
      </c>
      <c r="C138" s="90"/>
      <c r="E138" s="79"/>
      <c r="F138" s="80"/>
      <c r="G138" s="80"/>
      <c r="H138" s="81"/>
      <c r="I138" s="80"/>
      <c r="J138" s="80"/>
      <c r="K138" s="80"/>
    </row>
    <row r="139" ht="12.75" customHeight="1">
      <c r="E139" s="79"/>
      <c r="F139" s="80"/>
      <c r="G139" s="80"/>
      <c r="H139" s="81"/>
      <c r="I139" s="80"/>
      <c r="J139" s="80"/>
      <c r="K139" s="80"/>
    </row>
    <row r="140" ht="12.75" customHeight="1">
      <c r="A140" s="89" t="s">
        <v>138</v>
      </c>
      <c r="B140" s="90" t="s">
        <v>3747</v>
      </c>
      <c r="C140" s="90"/>
      <c r="D140" s="89" t="s">
        <v>40</v>
      </c>
      <c r="E140" s="91">
        <v>181.91</v>
      </c>
      <c r="F140" s="92">
        <v>290.82</v>
      </c>
      <c r="G140" s="92">
        <v>52903.07</v>
      </c>
      <c r="H140" s="93"/>
      <c r="I140" s="92"/>
      <c r="J140" s="92"/>
      <c r="K140" s="92"/>
    </row>
    <row r="141" ht="12.75" customHeight="1">
      <c r="E141" s="79"/>
      <c r="F141" s="80"/>
      <c r="G141" s="80"/>
      <c r="H141" s="81"/>
      <c r="I141" s="80"/>
      <c r="J141" s="80"/>
      <c r="K141" s="80"/>
    </row>
    <row r="142" ht="12.75" customHeight="1">
      <c r="A142" s="89" t="s">
        <v>140</v>
      </c>
      <c r="B142" s="90" t="s">
        <v>3748</v>
      </c>
      <c r="C142" s="90"/>
      <c r="D142" s="89" t="s">
        <v>40</v>
      </c>
      <c r="E142" s="91">
        <v>37.14</v>
      </c>
      <c r="F142" s="92">
        <v>29.31</v>
      </c>
      <c r="G142" s="92">
        <v>1088.57</v>
      </c>
      <c r="H142" s="93"/>
      <c r="I142" s="92"/>
      <c r="J142" s="92"/>
      <c r="K142" s="92"/>
    </row>
    <row r="143" ht="12.75" customHeight="1">
      <c r="E143" s="79"/>
      <c r="F143" s="80"/>
      <c r="G143" s="80"/>
      <c r="H143" s="81"/>
      <c r="I143" s="80"/>
      <c r="J143" s="80"/>
      <c r="K143" s="80"/>
    </row>
    <row r="144" ht="12.75" customHeight="1">
      <c r="A144" s="89" t="s">
        <v>142</v>
      </c>
      <c r="B144" s="90" t="s">
        <v>3749</v>
      </c>
      <c r="C144" s="90"/>
      <c r="D144" s="89" t="s">
        <v>40</v>
      </c>
      <c r="E144" s="91">
        <v>15.09</v>
      </c>
      <c r="F144" s="92">
        <v>323.28</v>
      </c>
      <c r="G144" s="92">
        <v>4878.3</v>
      </c>
      <c r="H144" s="93"/>
      <c r="I144" s="92"/>
      <c r="J144" s="92"/>
      <c r="K144" s="92"/>
    </row>
    <row r="145" ht="12.75" customHeight="1">
      <c r="E145" s="79"/>
      <c r="F145" s="80"/>
      <c r="G145" s="80"/>
      <c r="H145" s="81"/>
      <c r="I145" s="80"/>
      <c r="J145" s="80"/>
      <c r="K145" s="80"/>
    </row>
    <row r="146" ht="12.75" customHeight="1">
      <c r="A146" s="89" t="s">
        <v>144</v>
      </c>
      <c r="B146" s="90" t="s">
        <v>3750</v>
      </c>
      <c r="C146" s="90"/>
      <c r="D146" s="89" t="s">
        <v>75</v>
      </c>
      <c r="E146" s="91">
        <v>2.0</v>
      </c>
      <c r="F146" s="92">
        <v>581.9</v>
      </c>
      <c r="G146" s="92">
        <v>1163.8</v>
      </c>
      <c r="H146" s="93"/>
      <c r="I146" s="92"/>
      <c r="J146" s="92"/>
      <c r="K146" s="92"/>
    </row>
    <row r="147" ht="12.75" customHeight="1">
      <c r="E147" s="79"/>
      <c r="F147" s="80"/>
      <c r="G147" s="80"/>
      <c r="H147" s="81"/>
      <c r="I147" s="80"/>
      <c r="J147" s="80"/>
      <c r="K147" s="80"/>
    </row>
    <row r="148" ht="12.75" customHeight="1">
      <c r="A148" s="89" t="s">
        <v>3746</v>
      </c>
      <c r="B148" s="90" t="s">
        <v>2200</v>
      </c>
      <c r="C148" s="90"/>
      <c r="E148" s="79"/>
      <c r="F148" s="80"/>
      <c r="G148" s="92">
        <v>60033.74</v>
      </c>
      <c r="H148" s="93">
        <f>G148</f>
        <v>60033.74</v>
      </c>
      <c r="I148" s="92"/>
      <c r="J148" s="92"/>
      <c r="K148" s="92"/>
    </row>
    <row r="149" ht="12.75" customHeight="1">
      <c r="E149" s="79"/>
      <c r="F149" s="80"/>
      <c r="G149" s="80"/>
      <c r="H149" s="81"/>
      <c r="I149" s="80"/>
      <c r="J149" s="80"/>
      <c r="K149" s="80"/>
    </row>
    <row r="150" ht="12.75" customHeight="1">
      <c r="E150" s="79"/>
      <c r="F150" s="80"/>
      <c r="G150" s="80"/>
      <c r="H150" s="81"/>
      <c r="I150" s="80"/>
      <c r="J150" s="80"/>
      <c r="K150" s="80"/>
    </row>
    <row r="151" ht="12.75" customHeight="1">
      <c r="A151" s="89" t="s">
        <v>3751</v>
      </c>
      <c r="B151" s="90" t="s">
        <v>3752</v>
      </c>
      <c r="C151" s="90"/>
      <c r="E151" s="79"/>
      <c r="F151" s="80"/>
      <c r="G151" s="80"/>
      <c r="H151" s="81"/>
      <c r="I151" s="80"/>
      <c r="J151" s="80"/>
      <c r="K151" s="80"/>
    </row>
    <row r="152" ht="12.75" customHeight="1">
      <c r="E152" s="79"/>
      <c r="F152" s="80"/>
      <c r="G152" s="80"/>
      <c r="H152" s="81"/>
      <c r="I152" s="80"/>
      <c r="J152" s="80"/>
      <c r="K152" s="80"/>
    </row>
    <row r="153" ht="12.75" customHeight="1">
      <c r="A153" s="89" t="s">
        <v>147</v>
      </c>
      <c r="B153" s="90" t="s">
        <v>3753</v>
      </c>
      <c r="C153" s="90"/>
      <c r="E153" s="79"/>
      <c r="F153" s="80"/>
      <c r="G153" s="80"/>
      <c r="H153" s="81"/>
      <c r="I153" s="80"/>
      <c r="J153" s="80"/>
      <c r="K153" s="80"/>
    </row>
    <row r="154" ht="12.75" customHeight="1">
      <c r="E154" s="79"/>
      <c r="F154" s="80"/>
      <c r="G154" s="80"/>
      <c r="H154" s="81"/>
      <c r="I154" s="80"/>
      <c r="J154" s="80"/>
      <c r="K154" s="80"/>
    </row>
    <row r="155" ht="12.75" customHeight="1">
      <c r="A155" s="89" t="s">
        <v>149</v>
      </c>
      <c r="B155" s="90" t="s">
        <v>3754</v>
      </c>
      <c r="C155" s="90"/>
      <c r="D155" s="89" t="s">
        <v>40</v>
      </c>
      <c r="E155" s="91">
        <v>42.56</v>
      </c>
      <c r="F155" s="92">
        <v>12.93</v>
      </c>
      <c r="G155" s="92">
        <v>550.3</v>
      </c>
      <c r="H155" s="93"/>
      <c r="I155" s="92"/>
      <c r="J155" s="92"/>
      <c r="K155" s="92"/>
    </row>
    <row r="156" ht="12.75" customHeight="1">
      <c r="E156" s="79"/>
      <c r="F156" s="80"/>
      <c r="G156" s="80"/>
      <c r="H156" s="81"/>
      <c r="I156" s="80"/>
      <c r="J156" s="80"/>
      <c r="K156" s="80"/>
    </row>
    <row r="157" ht="12.75" customHeight="1">
      <c r="A157" s="89" t="s">
        <v>151</v>
      </c>
      <c r="B157" s="90" t="s">
        <v>3755</v>
      </c>
      <c r="C157" s="90"/>
      <c r="E157" s="79"/>
      <c r="F157" s="80"/>
      <c r="G157" s="80"/>
      <c r="H157" s="81"/>
      <c r="I157" s="80"/>
      <c r="J157" s="80"/>
      <c r="K157" s="80"/>
    </row>
    <row r="158" ht="12.75" customHeight="1">
      <c r="E158" s="79"/>
      <c r="F158" s="80"/>
      <c r="G158" s="80"/>
      <c r="H158" s="81"/>
      <c r="I158" s="80"/>
      <c r="J158" s="80"/>
      <c r="K158" s="80"/>
    </row>
    <row r="159" ht="12.75" customHeight="1">
      <c r="A159" s="89" t="s">
        <v>153</v>
      </c>
      <c r="B159" s="90" t="s">
        <v>3756</v>
      </c>
      <c r="C159" s="90"/>
      <c r="D159" s="89" t="s">
        <v>40</v>
      </c>
      <c r="E159" s="91">
        <v>331.34</v>
      </c>
      <c r="F159" s="92">
        <v>12.93</v>
      </c>
      <c r="G159" s="92">
        <v>4284.23</v>
      </c>
      <c r="H159" s="93"/>
      <c r="I159" s="92"/>
      <c r="J159" s="92"/>
      <c r="K159" s="92"/>
    </row>
    <row r="160" ht="12.75" customHeight="1">
      <c r="E160" s="79"/>
      <c r="F160" s="80"/>
      <c r="G160" s="80"/>
      <c r="H160" s="81"/>
      <c r="I160" s="80"/>
      <c r="J160" s="80"/>
      <c r="K160" s="80"/>
    </row>
    <row r="161" ht="12.75" customHeight="1">
      <c r="A161" s="89" t="s">
        <v>155</v>
      </c>
      <c r="B161" s="90" t="s">
        <v>3757</v>
      </c>
      <c r="C161" s="90"/>
      <c r="D161" s="89" t="s">
        <v>40</v>
      </c>
      <c r="E161" s="91">
        <v>170.41</v>
      </c>
      <c r="F161" s="92">
        <v>32.2</v>
      </c>
      <c r="G161" s="92">
        <v>5487.2</v>
      </c>
      <c r="H161" s="93"/>
      <c r="I161" s="92"/>
      <c r="J161" s="92"/>
      <c r="K161" s="92"/>
    </row>
    <row r="162" ht="12.75" customHeight="1">
      <c r="E162" s="79"/>
      <c r="F162" s="80"/>
      <c r="G162" s="80"/>
      <c r="H162" s="81"/>
      <c r="I162" s="80"/>
      <c r="J162" s="80"/>
      <c r="K162" s="80"/>
    </row>
    <row r="163" ht="12.75" customHeight="1">
      <c r="A163" s="89" t="s">
        <v>157</v>
      </c>
      <c r="B163" s="90" t="s">
        <v>3758</v>
      </c>
      <c r="C163" s="90"/>
      <c r="D163" s="89" t="s">
        <v>40</v>
      </c>
      <c r="E163" s="91">
        <v>59.45</v>
      </c>
      <c r="F163" s="92">
        <v>38.66</v>
      </c>
      <c r="G163" s="92">
        <v>2298.34</v>
      </c>
      <c r="H163" s="93"/>
      <c r="I163" s="92"/>
      <c r="J163" s="92"/>
      <c r="K163" s="92"/>
    </row>
    <row r="164" ht="12.75" customHeight="1">
      <c r="E164" s="79"/>
      <c r="F164" s="80"/>
      <c r="G164" s="80"/>
      <c r="H164" s="81"/>
      <c r="I164" s="80"/>
      <c r="J164" s="80"/>
      <c r="K164" s="80"/>
    </row>
    <row r="165" ht="12.75" customHeight="1">
      <c r="A165" s="89" t="s">
        <v>159</v>
      </c>
      <c r="B165" s="90" t="s">
        <v>3759</v>
      </c>
      <c r="C165" s="90"/>
      <c r="D165" s="89" t="s">
        <v>161</v>
      </c>
      <c r="E165" s="91">
        <v>11.9</v>
      </c>
      <c r="F165" s="92">
        <v>38.66</v>
      </c>
      <c r="G165" s="92">
        <v>460.05</v>
      </c>
      <c r="H165" s="93"/>
      <c r="I165" s="92"/>
      <c r="J165" s="92"/>
      <c r="K165" s="92"/>
    </row>
    <row r="166" ht="12.75" customHeight="1">
      <c r="E166" s="79"/>
      <c r="F166" s="80"/>
      <c r="G166" s="80"/>
      <c r="H166" s="81"/>
      <c r="I166" s="80"/>
      <c r="J166" s="80"/>
      <c r="K166" s="80"/>
    </row>
    <row r="167" ht="12.75" customHeight="1">
      <c r="A167" s="89" t="s">
        <v>162</v>
      </c>
      <c r="B167" s="90" t="s">
        <v>3760</v>
      </c>
      <c r="C167" s="90"/>
      <c r="D167" s="89" t="s">
        <v>40</v>
      </c>
      <c r="E167" s="91">
        <v>229.86</v>
      </c>
      <c r="F167" s="92">
        <v>10.34</v>
      </c>
      <c r="G167" s="92">
        <v>2376.75</v>
      </c>
      <c r="H167" s="93"/>
      <c r="I167" s="92"/>
      <c r="J167" s="92"/>
      <c r="K167" s="92"/>
    </row>
    <row r="168" ht="12.75" customHeight="1">
      <c r="E168" s="79"/>
      <c r="F168" s="80"/>
      <c r="G168" s="80"/>
      <c r="H168" s="81"/>
      <c r="I168" s="80"/>
      <c r="J168" s="80"/>
      <c r="K168" s="80"/>
    </row>
    <row r="169" ht="12.75" customHeight="1">
      <c r="A169" s="89" t="s">
        <v>3751</v>
      </c>
      <c r="B169" s="90" t="s">
        <v>3752</v>
      </c>
      <c r="C169" s="90"/>
      <c r="E169" s="79"/>
      <c r="F169" s="80"/>
      <c r="G169" s="92">
        <v>15456.87</v>
      </c>
      <c r="H169" s="93">
        <f>G169</f>
        <v>15456.87</v>
      </c>
      <c r="I169" s="92"/>
      <c r="J169" s="92"/>
      <c r="K169" s="92"/>
    </row>
    <row r="170" ht="12.75" customHeight="1">
      <c r="E170" s="79"/>
      <c r="F170" s="80"/>
      <c r="G170" s="80"/>
      <c r="H170" s="81"/>
      <c r="I170" s="80"/>
      <c r="J170" s="80"/>
      <c r="K170" s="80"/>
    </row>
    <row r="171" ht="12.75" customHeight="1">
      <c r="E171" s="79"/>
      <c r="F171" s="80"/>
      <c r="G171" s="80"/>
      <c r="H171" s="81"/>
      <c r="I171" s="80"/>
      <c r="J171" s="80"/>
      <c r="K171" s="80"/>
    </row>
    <row r="172" ht="12.75" customHeight="1">
      <c r="A172" s="89" t="s">
        <v>164</v>
      </c>
      <c r="B172" s="90" t="s">
        <v>3761</v>
      </c>
      <c r="C172" s="90"/>
      <c r="E172" s="79"/>
      <c r="F172" s="80"/>
      <c r="G172" s="80"/>
      <c r="H172" s="81"/>
      <c r="I172" s="80"/>
      <c r="J172" s="80"/>
      <c r="K172" s="80"/>
    </row>
    <row r="173" ht="12.75" customHeight="1">
      <c r="E173" s="79"/>
      <c r="F173" s="80"/>
      <c r="G173" s="80"/>
      <c r="H173" s="81"/>
      <c r="I173" s="80"/>
      <c r="J173" s="80"/>
      <c r="K173" s="80"/>
    </row>
    <row r="174" ht="12.75" customHeight="1">
      <c r="A174" s="89" t="s">
        <v>166</v>
      </c>
      <c r="B174" s="90" t="s">
        <v>2216</v>
      </c>
      <c r="C174" s="90"/>
      <c r="E174" s="79"/>
      <c r="F174" s="80"/>
      <c r="G174" s="80"/>
      <c r="H174" s="81"/>
      <c r="I174" s="80"/>
      <c r="J174" s="80"/>
      <c r="K174" s="80"/>
    </row>
    <row r="175" ht="12.75" customHeight="1">
      <c r="E175" s="79"/>
      <c r="F175" s="80"/>
      <c r="G175" s="80"/>
      <c r="H175" s="81"/>
      <c r="I175" s="80"/>
      <c r="J175" s="80"/>
      <c r="K175" s="80"/>
    </row>
    <row r="176" ht="12.75" customHeight="1">
      <c r="A176" s="89" t="s">
        <v>168</v>
      </c>
      <c r="B176" s="90" t="s">
        <v>3762</v>
      </c>
      <c r="C176" s="90"/>
      <c r="D176" s="89" t="s">
        <v>40</v>
      </c>
      <c r="E176" s="91">
        <v>110.6</v>
      </c>
      <c r="F176" s="92">
        <v>12.93</v>
      </c>
      <c r="G176" s="92">
        <v>1430.06</v>
      </c>
      <c r="H176" s="93"/>
      <c r="I176" s="92"/>
      <c r="J176" s="92"/>
      <c r="K176" s="92"/>
    </row>
    <row r="177" ht="12.75" customHeight="1">
      <c r="E177" s="79"/>
      <c r="F177" s="80"/>
      <c r="G177" s="80"/>
      <c r="H177" s="81"/>
      <c r="I177" s="80"/>
      <c r="J177" s="80"/>
      <c r="K177" s="80"/>
    </row>
    <row r="178" ht="12.75" customHeight="1">
      <c r="A178" s="89" t="s">
        <v>170</v>
      </c>
      <c r="B178" s="90" t="s">
        <v>3763</v>
      </c>
      <c r="C178" s="90"/>
      <c r="D178" s="89" t="s">
        <v>40</v>
      </c>
      <c r="E178" s="91">
        <v>319.19</v>
      </c>
      <c r="F178" s="92">
        <v>35.96</v>
      </c>
      <c r="G178" s="92">
        <v>11478.07</v>
      </c>
      <c r="H178" s="93"/>
      <c r="I178" s="92"/>
      <c r="J178" s="92"/>
      <c r="K178" s="92"/>
    </row>
    <row r="179" ht="12.75" customHeight="1">
      <c r="E179" s="79"/>
      <c r="F179" s="80"/>
      <c r="G179" s="80"/>
      <c r="H179" s="81"/>
      <c r="I179" s="80"/>
      <c r="J179" s="80"/>
      <c r="K179" s="80"/>
    </row>
    <row r="180" ht="12.75" customHeight="1">
      <c r="A180" s="89" t="s">
        <v>172</v>
      </c>
      <c r="B180" s="90" t="s">
        <v>3764</v>
      </c>
      <c r="C180" s="90"/>
      <c r="D180" s="89" t="s">
        <v>40</v>
      </c>
      <c r="E180" s="91">
        <v>131.48</v>
      </c>
      <c r="F180" s="92">
        <v>75.0</v>
      </c>
      <c r="G180" s="92">
        <v>9861.0</v>
      </c>
      <c r="H180" s="93"/>
      <c r="I180" s="92"/>
      <c r="J180" s="92"/>
      <c r="K180" s="92"/>
    </row>
    <row r="181" ht="12.75" customHeight="1">
      <c r="E181" s="79"/>
      <c r="F181" s="80"/>
      <c r="G181" s="80"/>
      <c r="H181" s="81"/>
      <c r="I181" s="80"/>
      <c r="J181" s="80"/>
      <c r="K181" s="80"/>
    </row>
    <row r="182" ht="12.75" customHeight="1">
      <c r="A182" s="89" t="s">
        <v>174</v>
      </c>
      <c r="B182" s="90" t="s">
        <v>3765</v>
      </c>
      <c r="C182" s="90"/>
      <c r="D182" s="89" t="s">
        <v>40</v>
      </c>
      <c r="E182" s="91">
        <v>106.79</v>
      </c>
      <c r="F182" s="92">
        <v>234.7</v>
      </c>
      <c r="G182" s="92">
        <v>25063.61</v>
      </c>
      <c r="H182" s="93"/>
      <c r="I182" s="92"/>
      <c r="J182" s="92"/>
      <c r="K182" s="92"/>
    </row>
    <row r="183" ht="12.75" customHeight="1">
      <c r="E183" s="79"/>
      <c r="F183" s="80"/>
      <c r="G183" s="80"/>
      <c r="H183" s="81"/>
      <c r="I183" s="80"/>
      <c r="J183" s="80"/>
      <c r="K183" s="80"/>
    </row>
    <row r="184" ht="12.75" customHeight="1">
      <c r="A184" s="89" t="s">
        <v>176</v>
      </c>
      <c r="B184" s="90" t="s">
        <v>3766</v>
      </c>
      <c r="C184" s="90"/>
      <c r="D184" s="89" t="s">
        <v>40</v>
      </c>
      <c r="E184" s="91">
        <v>353.75</v>
      </c>
      <c r="F184" s="92">
        <v>31.79</v>
      </c>
      <c r="G184" s="92">
        <v>11245.71</v>
      </c>
      <c r="H184" s="93"/>
      <c r="I184" s="92"/>
      <c r="J184" s="92"/>
      <c r="K184" s="92"/>
    </row>
    <row r="185" ht="12.75" customHeight="1">
      <c r="E185" s="79"/>
      <c r="F185" s="80"/>
      <c r="G185" s="80"/>
      <c r="H185" s="81"/>
      <c r="I185" s="80"/>
      <c r="J185" s="80"/>
      <c r="K185" s="80"/>
    </row>
    <row r="186" ht="12.75" customHeight="1">
      <c r="A186" s="89" t="s">
        <v>178</v>
      </c>
      <c r="B186" s="90" t="s">
        <v>3767</v>
      </c>
      <c r="C186" s="90"/>
      <c r="D186" s="89" t="s">
        <v>40</v>
      </c>
      <c r="E186" s="91">
        <v>34.56</v>
      </c>
      <c r="F186" s="92">
        <v>12.93</v>
      </c>
      <c r="G186" s="92">
        <v>446.86</v>
      </c>
      <c r="H186" s="93"/>
      <c r="I186" s="92"/>
      <c r="J186" s="92"/>
      <c r="K186" s="92"/>
    </row>
    <row r="187" ht="12.75" customHeight="1">
      <c r="E187" s="79"/>
      <c r="F187" s="80"/>
      <c r="G187" s="80"/>
      <c r="H187" s="81"/>
      <c r="I187" s="80"/>
      <c r="J187" s="80"/>
      <c r="K187" s="80"/>
    </row>
    <row r="188" ht="12.75" customHeight="1">
      <c r="A188" s="89" t="s">
        <v>180</v>
      </c>
      <c r="B188" s="90" t="s">
        <v>2224</v>
      </c>
      <c r="C188" s="90"/>
      <c r="E188" s="79"/>
      <c r="F188" s="80"/>
      <c r="G188" s="80"/>
      <c r="H188" s="81"/>
      <c r="I188" s="80"/>
      <c r="J188" s="80"/>
      <c r="K188" s="80"/>
    </row>
    <row r="189" ht="12.75" customHeight="1">
      <c r="E189" s="79"/>
      <c r="F189" s="80"/>
      <c r="G189" s="80"/>
      <c r="H189" s="81"/>
      <c r="I189" s="80"/>
      <c r="J189" s="80"/>
      <c r="K189" s="80"/>
    </row>
    <row r="190" ht="12.75" customHeight="1">
      <c r="A190" s="89" t="s">
        <v>182</v>
      </c>
      <c r="B190" s="90" t="s">
        <v>3768</v>
      </c>
      <c r="C190" s="90"/>
      <c r="D190" s="89" t="s">
        <v>40</v>
      </c>
      <c r="E190" s="91">
        <v>52.0</v>
      </c>
      <c r="F190" s="92">
        <v>12.93</v>
      </c>
      <c r="G190" s="92">
        <v>672.36</v>
      </c>
      <c r="H190" s="93"/>
      <c r="I190" s="92"/>
      <c r="J190" s="92"/>
      <c r="K190" s="92"/>
    </row>
    <row r="191" ht="12.75" customHeight="1">
      <c r="E191" s="79"/>
      <c r="F191" s="80"/>
      <c r="G191" s="80"/>
      <c r="H191" s="81"/>
      <c r="I191" s="80"/>
      <c r="J191" s="80"/>
      <c r="K191" s="80"/>
    </row>
    <row r="192" ht="12.75" customHeight="1">
      <c r="A192" s="89" t="s">
        <v>184</v>
      </c>
      <c r="B192" s="90" t="s">
        <v>3769</v>
      </c>
      <c r="C192" s="90"/>
      <c r="D192" s="89" t="s">
        <v>40</v>
      </c>
      <c r="E192" s="91">
        <v>466.94</v>
      </c>
      <c r="F192" s="92">
        <v>19.4</v>
      </c>
      <c r="G192" s="92">
        <v>9058.64</v>
      </c>
      <c r="H192" s="93"/>
      <c r="I192" s="92"/>
      <c r="J192" s="92"/>
      <c r="K192" s="92"/>
    </row>
    <row r="193" ht="12.75" customHeight="1">
      <c r="E193" s="79"/>
      <c r="F193" s="80"/>
      <c r="G193" s="80"/>
      <c r="H193" s="81"/>
      <c r="I193" s="80"/>
      <c r="J193" s="80"/>
      <c r="K193" s="80"/>
    </row>
    <row r="194" ht="12.75" customHeight="1">
      <c r="A194" s="89" t="s">
        <v>186</v>
      </c>
      <c r="B194" s="90" t="s">
        <v>3770</v>
      </c>
      <c r="C194" s="90"/>
      <c r="D194" s="89" t="s">
        <v>40</v>
      </c>
      <c r="E194" s="91">
        <v>81.43</v>
      </c>
      <c r="F194" s="92">
        <v>103.64</v>
      </c>
      <c r="G194" s="92">
        <v>8439.41</v>
      </c>
      <c r="H194" s="93"/>
      <c r="I194" s="92"/>
      <c r="J194" s="92"/>
      <c r="K194" s="92"/>
    </row>
    <row r="195" ht="12.75" customHeight="1">
      <c r="E195" s="79"/>
      <c r="F195" s="80"/>
      <c r="G195" s="80"/>
      <c r="H195" s="81"/>
      <c r="I195" s="80"/>
      <c r="J195" s="80"/>
      <c r="K195" s="80"/>
    </row>
    <row r="196" ht="12.75" customHeight="1">
      <c r="A196" s="89" t="s">
        <v>188</v>
      </c>
      <c r="B196" s="90" t="s">
        <v>3771</v>
      </c>
      <c r="C196" s="90"/>
      <c r="D196" s="89" t="s">
        <v>40</v>
      </c>
      <c r="E196" s="91">
        <v>46.05</v>
      </c>
      <c r="F196" s="92">
        <v>118.58</v>
      </c>
      <c r="G196" s="92">
        <v>5460.61</v>
      </c>
      <c r="H196" s="93"/>
      <c r="I196" s="92"/>
      <c r="J196" s="92"/>
      <c r="K196" s="92"/>
    </row>
    <row r="197" ht="12.75" customHeight="1">
      <c r="E197" s="79"/>
      <c r="F197" s="80"/>
      <c r="G197" s="80"/>
      <c r="H197" s="81"/>
      <c r="I197" s="80"/>
      <c r="J197" s="80"/>
      <c r="K197" s="80"/>
    </row>
    <row r="198" ht="12.75" customHeight="1">
      <c r="A198" s="89" t="s">
        <v>190</v>
      </c>
      <c r="B198" s="90" t="s">
        <v>3772</v>
      </c>
      <c r="C198" s="90"/>
      <c r="D198" s="89" t="s">
        <v>40</v>
      </c>
      <c r="E198" s="91">
        <v>50.7</v>
      </c>
      <c r="F198" s="92">
        <v>32.46</v>
      </c>
      <c r="G198" s="92">
        <v>1645.72</v>
      </c>
      <c r="H198" s="93"/>
      <c r="I198" s="92"/>
      <c r="J198" s="92"/>
      <c r="K198" s="92"/>
    </row>
    <row r="199" ht="12.75" customHeight="1">
      <c r="E199" s="79"/>
      <c r="F199" s="80"/>
      <c r="G199" s="80"/>
      <c r="H199" s="81"/>
      <c r="I199" s="80"/>
      <c r="J199" s="80"/>
      <c r="K199" s="80"/>
    </row>
    <row r="200" ht="12.75" customHeight="1">
      <c r="A200" s="89" t="s">
        <v>192</v>
      </c>
      <c r="B200" s="90" t="s">
        <v>3773</v>
      </c>
      <c r="C200" s="90"/>
      <c r="D200" s="89" t="s">
        <v>40</v>
      </c>
      <c r="E200" s="91">
        <v>551.51</v>
      </c>
      <c r="F200" s="92">
        <v>10.34</v>
      </c>
      <c r="G200" s="92">
        <v>5702.61</v>
      </c>
      <c r="H200" s="93"/>
      <c r="I200" s="92"/>
      <c r="J200" s="92"/>
      <c r="K200" s="92"/>
    </row>
    <row r="201" ht="12.75" customHeight="1">
      <c r="E201" s="79"/>
      <c r="F201" s="80"/>
      <c r="G201" s="80"/>
      <c r="H201" s="81"/>
      <c r="I201" s="80"/>
      <c r="J201" s="80"/>
      <c r="K201" s="80"/>
    </row>
    <row r="202" ht="12.75" customHeight="1">
      <c r="A202" s="89" t="s">
        <v>194</v>
      </c>
      <c r="B202" s="90" t="s">
        <v>3774</v>
      </c>
      <c r="C202" s="90"/>
      <c r="D202" s="89" t="s">
        <v>40</v>
      </c>
      <c r="E202" s="91">
        <v>21.34</v>
      </c>
      <c r="F202" s="92">
        <v>10.34</v>
      </c>
      <c r="G202" s="92">
        <v>220.66</v>
      </c>
      <c r="H202" s="93"/>
      <c r="I202" s="92"/>
      <c r="J202" s="92"/>
      <c r="K202" s="92"/>
    </row>
    <row r="203" ht="12.75" customHeight="1">
      <c r="E203" s="79"/>
      <c r="F203" s="80"/>
      <c r="G203" s="80"/>
      <c r="H203" s="81"/>
      <c r="I203" s="80"/>
      <c r="J203" s="80"/>
      <c r="K203" s="80"/>
    </row>
    <row r="204" ht="12.75" customHeight="1">
      <c r="A204" s="89" t="s">
        <v>164</v>
      </c>
      <c r="B204" s="90" t="s">
        <v>3761</v>
      </c>
      <c r="C204" s="90"/>
      <c r="E204" s="79"/>
      <c r="F204" s="80"/>
      <c r="G204" s="92">
        <v>90725.32</v>
      </c>
      <c r="H204" s="93">
        <f>G204</f>
        <v>90725.32</v>
      </c>
      <c r="I204" s="92"/>
      <c r="J204" s="92"/>
      <c r="K204" s="92"/>
    </row>
    <row r="205" ht="12.75" customHeight="1">
      <c r="E205" s="79"/>
      <c r="F205" s="80"/>
      <c r="G205" s="80"/>
      <c r="H205" s="81"/>
      <c r="I205" s="80"/>
      <c r="J205" s="80"/>
      <c r="K205" s="80"/>
    </row>
    <row r="206" ht="12.75" customHeight="1">
      <c r="E206" s="79"/>
      <c r="F206" s="80"/>
      <c r="G206" s="80"/>
      <c r="H206" s="81"/>
      <c r="I206" s="80"/>
      <c r="J206" s="80"/>
      <c r="K206" s="80"/>
    </row>
    <row r="207" ht="12.75" customHeight="1">
      <c r="A207" s="89" t="s">
        <v>196</v>
      </c>
      <c r="B207" s="90" t="s">
        <v>3775</v>
      </c>
      <c r="C207" s="90"/>
      <c r="E207" s="79"/>
      <c r="F207" s="80"/>
      <c r="G207" s="80"/>
      <c r="H207" s="81"/>
      <c r="I207" s="80"/>
      <c r="J207" s="80"/>
      <c r="K207" s="80"/>
    </row>
    <row r="208" ht="12.75" customHeight="1">
      <c r="E208" s="79"/>
      <c r="F208" s="80"/>
      <c r="G208" s="80"/>
      <c r="H208" s="81"/>
      <c r="I208" s="80"/>
      <c r="J208" s="80"/>
      <c r="K208" s="80"/>
    </row>
    <row r="209" ht="12.75" customHeight="1">
      <c r="A209" s="89" t="s">
        <v>198</v>
      </c>
      <c r="B209" s="90" t="s">
        <v>2235</v>
      </c>
      <c r="C209" s="90"/>
      <c r="E209" s="79"/>
      <c r="F209" s="80"/>
      <c r="G209" s="80"/>
      <c r="H209" s="81"/>
      <c r="I209" s="80"/>
      <c r="J209" s="80"/>
      <c r="K209" s="80"/>
    </row>
    <row r="210" ht="12.75" customHeight="1">
      <c r="E210" s="79"/>
      <c r="F210" s="80"/>
      <c r="G210" s="80"/>
      <c r="H210" s="81"/>
      <c r="I210" s="80"/>
      <c r="J210" s="80"/>
      <c r="K210" s="80"/>
    </row>
    <row r="211" ht="12.75" customHeight="1">
      <c r="A211" s="89" t="s">
        <v>200</v>
      </c>
      <c r="B211" s="90" t="s">
        <v>3776</v>
      </c>
      <c r="C211" s="90"/>
      <c r="D211" s="89" t="s">
        <v>40</v>
      </c>
      <c r="E211" s="91">
        <v>228.22</v>
      </c>
      <c r="F211" s="92">
        <v>47.62</v>
      </c>
      <c r="G211" s="92">
        <v>10867.84</v>
      </c>
      <c r="H211" s="93"/>
      <c r="I211" s="92"/>
      <c r="J211" s="92"/>
      <c r="K211" s="92"/>
    </row>
    <row r="212" ht="12.75" customHeight="1">
      <c r="E212" s="79"/>
      <c r="F212" s="80"/>
      <c r="G212" s="80"/>
      <c r="H212" s="81"/>
      <c r="I212" s="80"/>
      <c r="J212" s="80"/>
      <c r="K212" s="80"/>
    </row>
    <row r="213" ht="12.75" customHeight="1">
      <c r="A213" s="89" t="s">
        <v>202</v>
      </c>
      <c r="B213" s="90" t="s">
        <v>3777</v>
      </c>
      <c r="C213" s="90"/>
      <c r="D213" s="89" t="s">
        <v>40</v>
      </c>
      <c r="E213" s="91">
        <v>153.22</v>
      </c>
      <c r="F213" s="92">
        <v>26.74</v>
      </c>
      <c r="G213" s="92">
        <v>4097.1</v>
      </c>
      <c r="H213" s="93"/>
      <c r="I213" s="92"/>
      <c r="J213" s="92"/>
      <c r="K213" s="92"/>
    </row>
    <row r="214" ht="12.75" customHeight="1">
      <c r="E214" s="79"/>
      <c r="F214" s="80"/>
      <c r="G214" s="80"/>
      <c r="H214" s="81"/>
      <c r="I214" s="80"/>
      <c r="J214" s="80"/>
      <c r="K214" s="80"/>
    </row>
    <row r="215" ht="12.75" customHeight="1">
      <c r="A215" s="89" t="s">
        <v>204</v>
      </c>
      <c r="B215" s="90" t="s">
        <v>3778</v>
      </c>
      <c r="C215" s="90"/>
      <c r="D215" s="89" t="s">
        <v>40</v>
      </c>
      <c r="E215" s="91">
        <v>50.95</v>
      </c>
      <c r="F215" s="92">
        <v>60.72</v>
      </c>
      <c r="G215" s="92">
        <v>3093.68</v>
      </c>
      <c r="H215" s="93"/>
      <c r="I215" s="92"/>
      <c r="J215" s="92"/>
      <c r="K215" s="92"/>
    </row>
    <row r="216" ht="12.75" customHeight="1">
      <c r="E216" s="79"/>
      <c r="F216" s="80"/>
      <c r="G216" s="80"/>
      <c r="H216" s="81"/>
      <c r="I216" s="80"/>
      <c r="J216" s="80"/>
      <c r="K216" s="80"/>
    </row>
    <row r="217" ht="12.75" customHeight="1">
      <c r="A217" s="89" t="s">
        <v>206</v>
      </c>
      <c r="B217" s="90" t="s">
        <v>3779</v>
      </c>
      <c r="C217" s="90"/>
      <c r="E217" s="79"/>
      <c r="F217" s="80"/>
      <c r="G217" s="80"/>
      <c r="H217" s="81"/>
      <c r="I217" s="80"/>
      <c r="J217" s="80"/>
      <c r="K217" s="80"/>
    </row>
    <row r="218" ht="12.75" customHeight="1">
      <c r="E218" s="79"/>
      <c r="F218" s="80"/>
      <c r="G218" s="80"/>
      <c r="H218" s="81"/>
      <c r="I218" s="80"/>
      <c r="J218" s="80"/>
      <c r="K218" s="80"/>
    </row>
    <row r="219" ht="12.75" customHeight="1">
      <c r="A219" s="89" t="s">
        <v>208</v>
      </c>
      <c r="B219" s="90" t="s">
        <v>3780</v>
      </c>
      <c r="C219" s="90"/>
      <c r="D219" s="89" t="s">
        <v>40</v>
      </c>
      <c r="E219" s="91">
        <v>1.27</v>
      </c>
      <c r="F219" s="92">
        <v>159.62</v>
      </c>
      <c r="G219" s="92">
        <v>202.72</v>
      </c>
      <c r="H219" s="93"/>
      <c r="I219" s="92"/>
      <c r="J219" s="92"/>
      <c r="K219" s="92"/>
    </row>
    <row r="220" ht="12.75" customHeight="1">
      <c r="E220" s="79"/>
      <c r="F220" s="80"/>
      <c r="G220" s="80"/>
      <c r="H220" s="81"/>
      <c r="I220" s="80"/>
      <c r="J220" s="80"/>
      <c r="K220" s="80"/>
    </row>
    <row r="221" ht="12.75" customHeight="1">
      <c r="A221" s="89" t="s">
        <v>210</v>
      </c>
      <c r="B221" s="90" t="s">
        <v>3781</v>
      </c>
      <c r="C221" s="90"/>
      <c r="D221" s="89" t="s">
        <v>40</v>
      </c>
      <c r="E221" s="91">
        <v>5.38</v>
      </c>
      <c r="F221" s="92">
        <v>162.54</v>
      </c>
      <c r="G221" s="92">
        <v>874.47</v>
      </c>
      <c r="H221" s="93"/>
      <c r="I221" s="92"/>
      <c r="J221" s="92"/>
      <c r="K221" s="92"/>
    </row>
    <row r="222" ht="12.75" customHeight="1">
      <c r="E222" s="79"/>
      <c r="F222" s="80"/>
      <c r="G222" s="80"/>
      <c r="H222" s="81"/>
      <c r="I222" s="80"/>
      <c r="J222" s="80"/>
      <c r="K222" s="80"/>
    </row>
    <row r="223" ht="12.75" customHeight="1">
      <c r="A223" s="89" t="s">
        <v>212</v>
      </c>
      <c r="B223" s="90" t="s">
        <v>3782</v>
      </c>
      <c r="C223" s="90"/>
      <c r="D223" s="89" t="s">
        <v>40</v>
      </c>
      <c r="E223" s="91">
        <v>5.54</v>
      </c>
      <c r="F223" s="92">
        <v>296.22</v>
      </c>
      <c r="G223" s="92">
        <v>1641.06</v>
      </c>
      <c r="H223" s="93"/>
      <c r="I223" s="92"/>
      <c r="J223" s="92"/>
      <c r="K223" s="92"/>
    </row>
    <row r="224" ht="12.75" customHeight="1">
      <c r="E224" s="79"/>
      <c r="F224" s="80"/>
      <c r="G224" s="80"/>
      <c r="H224" s="81"/>
      <c r="I224" s="80"/>
      <c r="J224" s="80"/>
      <c r="K224" s="80"/>
    </row>
    <row r="225" ht="12.75" customHeight="1">
      <c r="A225" s="89" t="s">
        <v>214</v>
      </c>
      <c r="B225" s="90" t="s">
        <v>3783</v>
      </c>
      <c r="C225" s="90"/>
      <c r="D225" s="89" t="s">
        <v>40</v>
      </c>
      <c r="E225" s="91">
        <v>116.49</v>
      </c>
      <c r="F225" s="92">
        <v>80.74</v>
      </c>
      <c r="G225" s="92">
        <v>9405.4</v>
      </c>
      <c r="H225" s="93"/>
      <c r="I225" s="92"/>
      <c r="J225" s="92"/>
      <c r="K225" s="92"/>
    </row>
    <row r="226" ht="12.75" customHeight="1">
      <c r="E226" s="79"/>
      <c r="F226" s="80"/>
      <c r="G226" s="80"/>
      <c r="H226" s="81"/>
      <c r="I226" s="80"/>
      <c r="J226" s="80"/>
      <c r="K226" s="80"/>
    </row>
    <row r="227" ht="12.75" customHeight="1">
      <c r="A227" s="89" t="s">
        <v>216</v>
      </c>
      <c r="B227" s="90" t="s">
        <v>3784</v>
      </c>
      <c r="C227" s="90"/>
      <c r="D227" s="89" t="s">
        <v>40</v>
      </c>
      <c r="E227" s="91">
        <v>50.0</v>
      </c>
      <c r="F227" s="92">
        <v>151.87</v>
      </c>
      <c r="G227" s="92">
        <v>7593.5</v>
      </c>
      <c r="H227" s="93"/>
      <c r="I227" s="92"/>
      <c r="J227" s="92"/>
      <c r="K227" s="92"/>
    </row>
    <row r="228" ht="12.75" customHeight="1">
      <c r="E228" s="79"/>
      <c r="F228" s="80"/>
      <c r="G228" s="80"/>
      <c r="H228" s="81"/>
      <c r="I228" s="80"/>
      <c r="J228" s="80"/>
      <c r="K228" s="80"/>
    </row>
    <row r="229" ht="12.75" customHeight="1">
      <c r="A229" s="89" t="s">
        <v>218</v>
      </c>
      <c r="B229" s="90" t="s">
        <v>3785</v>
      </c>
      <c r="C229" s="90"/>
      <c r="D229" s="89" t="s">
        <v>40</v>
      </c>
      <c r="E229" s="91">
        <v>5.75</v>
      </c>
      <c r="F229" s="92">
        <v>30.57</v>
      </c>
      <c r="G229" s="92">
        <v>175.78</v>
      </c>
      <c r="H229" s="93"/>
      <c r="I229" s="92"/>
      <c r="J229" s="92"/>
      <c r="K229" s="92"/>
    </row>
    <row r="230" ht="12.75" customHeight="1">
      <c r="E230" s="79"/>
      <c r="F230" s="80"/>
      <c r="G230" s="80"/>
      <c r="H230" s="81"/>
      <c r="I230" s="80"/>
      <c r="J230" s="80"/>
      <c r="K230" s="80"/>
    </row>
    <row r="231" ht="12.75" customHeight="1">
      <c r="A231" s="89" t="s">
        <v>220</v>
      </c>
      <c r="B231" s="90" t="s">
        <v>3786</v>
      </c>
      <c r="C231" s="90"/>
      <c r="D231" s="89" t="s">
        <v>40</v>
      </c>
      <c r="E231" s="91">
        <v>17.54</v>
      </c>
      <c r="F231" s="92">
        <v>16.3</v>
      </c>
      <c r="G231" s="92">
        <v>285.9</v>
      </c>
      <c r="H231" s="93"/>
      <c r="I231" s="92"/>
      <c r="J231" s="92"/>
      <c r="K231" s="92"/>
    </row>
    <row r="232" ht="12.75" customHeight="1">
      <c r="E232" s="79"/>
      <c r="F232" s="80"/>
      <c r="G232" s="80"/>
      <c r="H232" s="81"/>
      <c r="I232" s="80"/>
      <c r="J232" s="80"/>
      <c r="K232" s="80"/>
    </row>
    <row r="233" ht="12.75" customHeight="1">
      <c r="A233" s="109" t="s">
        <v>222</v>
      </c>
      <c r="B233" s="110" t="s">
        <v>3787</v>
      </c>
      <c r="C233" s="110"/>
      <c r="D233" s="109" t="s">
        <v>40</v>
      </c>
      <c r="E233" s="111">
        <v>200.6</v>
      </c>
      <c r="F233" s="112">
        <v>176.77</v>
      </c>
      <c r="G233" s="112">
        <v>35460.06</v>
      </c>
      <c r="H233" s="113" t="s">
        <v>224</v>
      </c>
      <c r="I233" s="112"/>
      <c r="J233" s="112"/>
      <c r="K233" s="112"/>
    </row>
    <row r="234" ht="12.75" customHeight="1">
      <c r="E234" s="79"/>
      <c r="F234" s="80"/>
      <c r="G234" s="80"/>
      <c r="H234" s="81"/>
      <c r="I234" s="80"/>
      <c r="J234" s="80"/>
      <c r="K234" s="80"/>
    </row>
    <row r="235" ht="12.75" customHeight="1">
      <c r="A235" s="89" t="s">
        <v>225</v>
      </c>
      <c r="B235" s="90" t="s">
        <v>3788</v>
      </c>
      <c r="C235" s="90"/>
      <c r="D235" s="89" t="s">
        <v>227</v>
      </c>
      <c r="E235" s="91">
        <v>1.0</v>
      </c>
      <c r="F235" s="92">
        <v>1477.41</v>
      </c>
      <c r="G235" s="92">
        <v>1477.41</v>
      </c>
      <c r="H235" s="93"/>
      <c r="I235" s="92"/>
      <c r="J235" s="92"/>
      <c r="K235" s="92"/>
    </row>
    <row r="236" ht="12.75" customHeight="1">
      <c r="E236" s="79"/>
      <c r="F236" s="80"/>
      <c r="G236" s="80"/>
      <c r="H236" s="81"/>
      <c r="I236" s="80"/>
      <c r="J236" s="80"/>
      <c r="K236" s="80"/>
    </row>
    <row r="237" ht="12.75" customHeight="1">
      <c r="A237" s="89" t="s">
        <v>228</v>
      </c>
      <c r="B237" s="90" t="s">
        <v>3789</v>
      </c>
      <c r="C237" s="90"/>
      <c r="D237" s="89" t="s">
        <v>227</v>
      </c>
      <c r="E237" s="91">
        <v>1.0</v>
      </c>
      <c r="F237" s="92">
        <v>3438.08</v>
      </c>
      <c r="G237" s="92">
        <v>3438.08</v>
      </c>
      <c r="H237" s="93"/>
      <c r="I237" s="92"/>
      <c r="J237" s="92"/>
      <c r="K237" s="92"/>
    </row>
    <row r="238" ht="12.75" customHeight="1">
      <c r="E238" s="79"/>
      <c r="F238" s="80"/>
      <c r="G238" s="80"/>
      <c r="H238" s="81"/>
      <c r="I238" s="80"/>
      <c r="J238" s="80"/>
      <c r="K238" s="80"/>
    </row>
    <row r="239" ht="12.75" customHeight="1">
      <c r="A239" s="89" t="s">
        <v>230</v>
      </c>
      <c r="B239" s="90" t="s">
        <v>2254</v>
      </c>
      <c r="C239" s="90"/>
      <c r="E239" s="79"/>
      <c r="F239" s="80"/>
      <c r="G239" s="80"/>
      <c r="H239" s="81"/>
      <c r="I239" s="80"/>
      <c r="J239" s="80"/>
      <c r="K239" s="80"/>
    </row>
    <row r="240" ht="12.75" customHeight="1">
      <c r="E240" s="79"/>
      <c r="F240" s="80"/>
      <c r="G240" s="80"/>
      <c r="H240" s="81"/>
      <c r="I240" s="80"/>
      <c r="J240" s="80"/>
      <c r="K240" s="80"/>
    </row>
    <row r="241" ht="12.75" customHeight="1">
      <c r="A241" s="89" t="s">
        <v>232</v>
      </c>
      <c r="B241" s="90" t="s">
        <v>3790</v>
      </c>
      <c r="C241" s="90"/>
      <c r="D241" s="89" t="s">
        <v>40</v>
      </c>
      <c r="E241" s="91">
        <v>277.52</v>
      </c>
      <c r="F241" s="92">
        <v>12.93</v>
      </c>
      <c r="G241" s="92">
        <v>3588.33</v>
      </c>
      <c r="H241" s="93"/>
      <c r="I241" s="92"/>
      <c r="J241" s="92"/>
      <c r="K241" s="92"/>
    </row>
    <row r="242" ht="12.75" customHeight="1">
      <c r="E242" s="79"/>
      <c r="F242" s="80"/>
      <c r="G242" s="80"/>
      <c r="H242" s="81"/>
      <c r="I242" s="80"/>
      <c r="J242" s="80"/>
      <c r="K242" s="80"/>
    </row>
    <row r="243" ht="12.75" customHeight="1">
      <c r="A243" s="89" t="s">
        <v>234</v>
      </c>
      <c r="B243" s="90" t="s">
        <v>3791</v>
      </c>
      <c r="C243" s="90"/>
      <c r="D243" s="89" t="s">
        <v>40</v>
      </c>
      <c r="E243" s="91">
        <v>239.8</v>
      </c>
      <c r="F243" s="92">
        <v>155.17</v>
      </c>
      <c r="G243" s="92">
        <v>37209.77</v>
      </c>
      <c r="H243" s="93"/>
      <c r="I243" s="92"/>
      <c r="J243" s="92"/>
      <c r="K243" s="92"/>
    </row>
    <row r="244" ht="12.75" customHeight="1">
      <c r="E244" s="79"/>
      <c r="F244" s="80"/>
      <c r="G244" s="80"/>
      <c r="H244" s="81"/>
      <c r="I244" s="80"/>
      <c r="J244" s="80"/>
      <c r="K244" s="80"/>
    </row>
    <row r="245" ht="12.75" customHeight="1">
      <c r="A245" s="89" t="s">
        <v>236</v>
      </c>
      <c r="B245" s="90" t="s">
        <v>3792</v>
      </c>
      <c r="C245" s="90"/>
      <c r="D245" s="89" t="s">
        <v>40</v>
      </c>
      <c r="E245" s="91">
        <v>16.81</v>
      </c>
      <c r="F245" s="92">
        <v>55.57</v>
      </c>
      <c r="G245" s="92">
        <v>934.13</v>
      </c>
      <c r="H245" s="93"/>
      <c r="I245" s="92"/>
      <c r="J245" s="92"/>
      <c r="K245" s="92"/>
    </row>
    <row r="246" ht="12.75" customHeight="1">
      <c r="E246" s="79"/>
      <c r="F246" s="80"/>
      <c r="G246" s="80"/>
      <c r="H246" s="81"/>
      <c r="I246" s="80"/>
      <c r="J246" s="80"/>
      <c r="K246" s="80"/>
    </row>
    <row r="247" ht="12.75" customHeight="1">
      <c r="A247" s="89" t="s">
        <v>238</v>
      </c>
      <c r="B247" s="90" t="s">
        <v>3793</v>
      </c>
      <c r="C247" s="90"/>
      <c r="D247" s="89" t="s">
        <v>40</v>
      </c>
      <c r="E247" s="91">
        <v>29.1</v>
      </c>
      <c r="F247" s="92">
        <v>55.57</v>
      </c>
      <c r="G247" s="92">
        <v>1617.09</v>
      </c>
      <c r="H247" s="93"/>
      <c r="I247" s="92"/>
      <c r="J247" s="92"/>
      <c r="K247" s="92"/>
    </row>
    <row r="248" ht="12.75" customHeight="1">
      <c r="E248" s="79"/>
      <c r="F248" s="80"/>
      <c r="G248" s="80"/>
      <c r="H248" s="81"/>
      <c r="I248" s="80"/>
      <c r="J248" s="80"/>
      <c r="K248" s="80"/>
    </row>
    <row r="249" ht="12.75" customHeight="1">
      <c r="A249" s="89" t="s">
        <v>240</v>
      </c>
      <c r="B249" s="90" t="s">
        <v>2261</v>
      </c>
      <c r="C249" s="90"/>
      <c r="E249" s="79"/>
      <c r="F249" s="80"/>
      <c r="G249" s="80"/>
      <c r="H249" s="81"/>
      <c r="I249" s="80"/>
      <c r="J249" s="80"/>
      <c r="K249" s="80"/>
    </row>
    <row r="250" ht="12.75" customHeight="1">
      <c r="E250" s="79"/>
      <c r="F250" s="80"/>
      <c r="G250" s="80"/>
      <c r="H250" s="81"/>
      <c r="I250" s="80"/>
      <c r="J250" s="80"/>
      <c r="K250" s="80"/>
    </row>
    <row r="251" ht="12.75" customHeight="1">
      <c r="A251" s="89" t="s">
        <v>242</v>
      </c>
      <c r="B251" s="90" t="s">
        <v>3794</v>
      </c>
      <c r="C251" s="90"/>
      <c r="D251" s="89" t="s">
        <v>161</v>
      </c>
      <c r="E251" s="91">
        <v>130.01</v>
      </c>
      <c r="F251" s="92">
        <v>29.09</v>
      </c>
      <c r="G251" s="92">
        <v>3781.99</v>
      </c>
      <c r="H251" s="93"/>
      <c r="I251" s="92"/>
      <c r="J251" s="92"/>
      <c r="K251" s="92"/>
    </row>
    <row r="252" ht="12.75" customHeight="1">
      <c r="E252" s="79"/>
      <c r="F252" s="80"/>
      <c r="G252" s="80"/>
      <c r="H252" s="81"/>
      <c r="I252" s="80"/>
      <c r="J252" s="80"/>
      <c r="K252" s="80"/>
    </row>
    <row r="253" ht="12.75" customHeight="1">
      <c r="A253" s="89" t="s">
        <v>196</v>
      </c>
      <c r="B253" s="90" t="s">
        <v>3775</v>
      </c>
      <c r="C253" s="90"/>
      <c r="E253" s="79"/>
      <c r="F253" s="80"/>
      <c r="G253" s="92">
        <v>125744.31</v>
      </c>
      <c r="H253" s="93">
        <f>G253</f>
        <v>125744.31</v>
      </c>
      <c r="I253" s="92"/>
      <c r="J253" s="92"/>
      <c r="K253" s="92"/>
    </row>
    <row r="254" ht="12.75" customHeight="1">
      <c r="E254" s="79"/>
      <c r="F254" s="80"/>
      <c r="G254" s="80"/>
      <c r="H254" s="81"/>
      <c r="I254" s="80"/>
      <c r="J254" s="80"/>
      <c r="K254" s="80"/>
    </row>
    <row r="255" ht="12.75" customHeight="1">
      <c r="E255" s="79"/>
      <c r="F255" s="80"/>
      <c r="G255" s="80"/>
      <c r="H255" s="81"/>
      <c r="I255" s="80"/>
      <c r="J255" s="80"/>
      <c r="K255" s="80"/>
    </row>
    <row r="256" ht="12.75" customHeight="1">
      <c r="A256" s="89" t="s">
        <v>244</v>
      </c>
      <c r="B256" s="90" t="s">
        <v>2409</v>
      </c>
      <c r="C256" s="90"/>
      <c r="E256" s="79"/>
      <c r="F256" s="80"/>
      <c r="G256" s="80"/>
      <c r="H256" s="81"/>
      <c r="I256" s="80"/>
      <c r="J256" s="80"/>
      <c r="K256" s="80"/>
    </row>
    <row r="257" ht="12.75" customHeight="1">
      <c r="E257" s="79"/>
      <c r="F257" s="80"/>
      <c r="G257" s="80"/>
      <c r="H257" s="81"/>
      <c r="I257" s="80"/>
      <c r="J257" s="80"/>
      <c r="K257" s="80"/>
    </row>
    <row r="258" ht="12.75" customHeight="1">
      <c r="A258" s="89" t="s">
        <v>246</v>
      </c>
      <c r="B258" s="90" t="s">
        <v>2410</v>
      </c>
      <c r="C258" s="90"/>
      <c r="E258" s="79"/>
      <c r="F258" s="80"/>
      <c r="G258" s="80"/>
      <c r="H258" s="81"/>
      <c r="I258" s="80"/>
      <c r="J258" s="80"/>
      <c r="K258" s="80"/>
    </row>
    <row r="259" ht="12.75" customHeight="1">
      <c r="A259" s="119"/>
      <c r="B259" s="119"/>
      <c r="C259" s="119"/>
      <c r="D259" s="119"/>
      <c r="E259" s="120"/>
      <c r="F259" s="108"/>
      <c r="G259" s="108"/>
      <c r="H259" s="121"/>
      <c r="I259" s="108"/>
      <c r="J259" s="108"/>
      <c r="K259" s="108"/>
    </row>
    <row r="260" ht="12.75" customHeight="1">
      <c r="A260" s="89" t="s">
        <v>248</v>
      </c>
      <c r="B260" s="90" t="s">
        <v>3795</v>
      </c>
      <c r="C260" s="90"/>
      <c r="E260" s="79"/>
      <c r="F260" s="80"/>
      <c r="G260" s="80"/>
      <c r="H260" s="81" t="s">
        <v>250</v>
      </c>
      <c r="I260" s="80"/>
      <c r="J260" s="80"/>
      <c r="K260" s="80"/>
    </row>
    <row r="261" ht="12.75" customHeight="1">
      <c r="E261" s="79"/>
      <c r="F261" s="80"/>
      <c r="G261" s="80"/>
      <c r="H261" s="81"/>
      <c r="I261" s="80"/>
      <c r="J261" s="80"/>
      <c r="K261" s="80"/>
    </row>
    <row r="262" ht="12.75" customHeight="1">
      <c r="A262" s="89" t="s">
        <v>251</v>
      </c>
      <c r="B262" s="90" t="s">
        <v>3796</v>
      </c>
      <c r="C262" s="90"/>
      <c r="D262" s="89" t="s">
        <v>75</v>
      </c>
      <c r="E262" s="91">
        <v>1.0</v>
      </c>
      <c r="F262" s="92">
        <v>1293.1</v>
      </c>
      <c r="G262" s="92">
        <v>1293.1</v>
      </c>
      <c r="H262" s="93"/>
      <c r="I262" s="92"/>
      <c r="J262" s="92"/>
      <c r="K262" s="92"/>
    </row>
    <row r="263" ht="12.75" customHeight="1">
      <c r="E263" s="79"/>
      <c r="F263" s="80"/>
      <c r="G263" s="80"/>
      <c r="H263" s="81"/>
      <c r="I263" s="80"/>
      <c r="J263" s="80"/>
      <c r="K263" s="80"/>
    </row>
    <row r="264" ht="12.75" customHeight="1">
      <c r="A264" s="89" t="s">
        <v>253</v>
      </c>
      <c r="B264" s="90" t="s">
        <v>3797</v>
      </c>
      <c r="C264" s="90"/>
      <c r="D264" s="89" t="s">
        <v>75</v>
      </c>
      <c r="E264" s="91">
        <v>1.0</v>
      </c>
      <c r="F264" s="92">
        <v>1293.1</v>
      </c>
      <c r="G264" s="92">
        <v>1293.1</v>
      </c>
      <c r="H264" s="93"/>
      <c r="I264" s="92"/>
      <c r="J264" s="92"/>
      <c r="K264" s="92"/>
    </row>
    <row r="265" ht="12.75" customHeight="1">
      <c r="E265" s="79"/>
      <c r="F265" s="80"/>
      <c r="G265" s="80"/>
      <c r="H265" s="81"/>
      <c r="I265" s="80"/>
      <c r="J265" s="80"/>
      <c r="K265" s="80"/>
    </row>
    <row r="266" ht="12.75" customHeight="1">
      <c r="A266" s="89" t="s">
        <v>255</v>
      </c>
      <c r="B266" s="90" t="s">
        <v>3798</v>
      </c>
      <c r="C266" s="90"/>
      <c r="D266" s="89" t="s">
        <v>75</v>
      </c>
      <c r="E266" s="91">
        <v>1.0</v>
      </c>
      <c r="F266" s="92">
        <v>1293.1</v>
      </c>
      <c r="G266" s="92">
        <v>1293.1</v>
      </c>
      <c r="H266" s="93"/>
      <c r="I266" s="92"/>
      <c r="J266" s="92"/>
      <c r="K266" s="92"/>
    </row>
    <row r="267" ht="12.75" customHeight="1">
      <c r="E267" s="79"/>
      <c r="F267" s="80"/>
      <c r="G267" s="80"/>
      <c r="H267" s="81"/>
      <c r="I267" s="80"/>
      <c r="J267" s="80"/>
      <c r="K267" s="80"/>
    </row>
    <row r="268" ht="12.75" customHeight="1">
      <c r="A268" s="89" t="s">
        <v>257</v>
      </c>
      <c r="B268" s="90" t="s">
        <v>3799</v>
      </c>
      <c r="C268" s="90"/>
      <c r="D268" s="89" t="s">
        <v>75</v>
      </c>
      <c r="E268" s="91">
        <v>1.0</v>
      </c>
      <c r="F268" s="92">
        <v>1293.1</v>
      </c>
      <c r="G268" s="92">
        <v>1293.1</v>
      </c>
      <c r="H268" s="93"/>
      <c r="I268" s="92"/>
      <c r="J268" s="92"/>
      <c r="K268" s="92"/>
    </row>
    <row r="269" ht="12.75" customHeight="1">
      <c r="E269" s="79"/>
      <c r="F269" s="80"/>
      <c r="G269" s="80"/>
      <c r="H269" s="81"/>
      <c r="I269" s="80"/>
      <c r="J269" s="80"/>
      <c r="K269" s="80"/>
    </row>
    <row r="270" ht="12.75" customHeight="1">
      <c r="A270" s="89" t="s">
        <v>259</v>
      </c>
      <c r="B270" s="90" t="s">
        <v>3800</v>
      </c>
      <c r="C270" s="90"/>
      <c r="E270" s="79"/>
      <c r="F270" s="80"/>
      <c r="G270" s="80"/>
      <c r="H270" s="81"/>
      <c r="I270" s="80"/>
      <c r="J270" s="80"/>
      <c r="K270" s="80"/>
    </row>
    <row r="271" ht="12.75" customHeight="1">
      <c r="E271" s="79"/>
      <c r="F271" s="80"/>
      <c r="G271" s="80"/>
      <c r="H271" s="81"/>
      <c r="I271" s="80"/>
      <c r="J271" s="80"/>
      <c r="K271" s="80"/>
    </row>
    <row r="272" ht="12.75" customHeight="1">
      <c r="A272" s="89" t="s">
        <v>261</v>
      </c>
      <c r="B272" s="90" t="s">
        <v>3801</v>
      </c>
      <c r="C272" s="90"/>
      <c r="D272" s="89" t="s">
        <v>75</v>
      </c>
      <c r="E272" s="91">
        <v>1.0</v>
      </c>
      <c r="F272" s="92">
        <v>1487.07</v>
      </c>
      <c r="G272" s="92">
        <v>1487.07</v>
      </c>
      <c r="H272" s="93"/>
      <c r="I272" s="92"/>
      <c r="J272" s="92"/>
      <c r="K272" s="92"/>
    </row>
    <row r="273" ht="12.75" customHeight="1">
      <c r="E273" s="79"/>
      <c r="F273" s="80"/>
      <c r="G273" s="80"/>
      <c r="H273" s="81"/>
      <c r="I273" s="80"/>
      <c r="J273" s="80"/>
      <c r="K273" s="80"/>
    </row>
    <row r="274" ht="12.75" customHeight="1">
      <c r="A274" s="89" t="s">
        <v>263</v>
      </c>
      <c r="B274" s="90" t="s">
        <v>3802</v>
      </c>
      <c r="C274" s="90"/>
      <c r="D274" s="89" t="s">
        <v>75</v>
      </c>
      <c r="E274" s="91">
        <v>1.0</v>
      </c>
      <c r="F274" s="92">
        <v>1487.07</v>
      </c>
      <c r="G274" s="92">
        <v>1487.07</v>
      </c>
      <c r="H274" s="93"/>
      <c r="I274" s="92"/>
      <c r="J274" s="92"/>
      <c r="K274" s="92"/>
    </row>
    <row r="275" ht="12.75" customHeight="1">
      <c r="E275" s="79"/>
      <c r="F275" s="80"/>
      <c r="G275" s="80"/>
      <c r="H275" s="81"/>
      <c r="I275" s="80"/>
      <c r="J275" s="80"/>
      <c r="K275" s="80"/>
    </row>
    <row r="276" ht="12.75" customHeight="1">
      <c r="A276" s="89" t="s">
        <v>265</v>
      </c>
      <c r="B276" s="90" t="s">
        <v>3803</v>
      </c>
      <c r="C276" s="90"/>
      <c r="D276" s="89" t="s">
        <v>75</v>
      </c>
      <c r="E276" s="91">
        <v>1.0</v>
      </c>
      <c r="F276" s="92">
        <v>1487.07</v>
      </c>
      <c r="G276" s="92">
        <v>1487.07</v>
      </c>
      <c r="H276" s="93"/>
      <c r="I276" s="92"/>
      <c r="J276" s="92"/>
      <c r="K276" s="92"/>
    </row>
    <row r="277" ht="12.75" customHeight="1">
      <c r="E277" s="79"/>
      <c r="F277" s="80"/>
      <c r="G277" s="80"/>
      <c r="H277" s="81"/>
      <c r="I277" s="80"/>
      <c r="J277" s="80"/>
      <c r="K277" s="80"/>
    </row>
    <row r="278" ht="12.75" customHeight="1">
      <c r="A278" s="89" t="s">
        <v>267</v>
      </c>
      <c r="B278" s="90" t="s">
        <v>3804</v>
      </c>
      <c r="C278" s="90"/>
      <c r="D278" s="89" t="s">
        <v>75</v>
      </c>
      <c r="E278" s="91">
        <v>1.0</v>
      </c>
      <c r="F278" s="92">
        <v>1487.07</v>
      </c>
      <c r="G278" s="92">
        <v>1487.07</v>
      </c>
      <c r="H278" s="93"/>
      <c r="I278" s="92"/>
      <c r="J278" s="92"/>
      <c r="K278" s="92"/>
    </row>
    <row r="279" ht="12.75" customHeight="1">
      <c r="E279" s="79"/>
      <c r="F279" s="80"/>
      <c r="G279" s="80"/>
      <c r="H279" s="81"/>
      <c r="I279" s="80"/>
      <c r="J279" s="80"/>
      <c r="K279" s="80"/>
    </row>
    <row r="280" ht="12.75" customHeight="1">
      <c r="A280" s="89" t="s">
        <v>269</v>
      </c>
      <c r="B280" s="90" t="s">
        <v>3805</v>
      </c>
      <c r="C280" s="90"/>
      <c r="D280" s="89" t="s">
        <v>75</v>
      </c>
      <c r="E280" s="91">
        <v>1.0</v>
      </c>
      <c r="F280" s="92">
        <v>1487.07</v>
      </c>
      <c r="G280" s="92">
        <v>1487.07</v>
      </c>
      <c r="H280" s="93"/>
      <c r="I280" s="92"/>
      <c r="J280" s="92"/>
      <c r="K280" s="92"/>
    </row>
    <row r="281" ht="12.75" customHeight="1">
      <c r="E281" s="79"/>
      <c r="F281" s="80"/>
      <c r="G281" s="80"/>
      <c r="H281" s="81"/>
      <c r="I281" s="80"/>
      <c r="J281" s="80"/>
      <c r="K281" s="80"/>
    </row>
    <row r="282" ht="12.75" customHeight="1">
      <c r="A282" s="89" t="s">
        <v>271</v>
      </c>
      <c r="B282" s="90" t="s">
        <v>3806</v>
      </c>
      <c r="C282" s="90"/>
      <c r="E282" s="79"/>
      <c r="F282" s="80"/>
      <c r="G282" s="80"/>
      <c r="H282" s="81"/>
      <c r="I282" s="80"/>
      <c r="J282" s="80"/>
      <c r="K282" s="80"/>
    </row>
    <row r="283" ht="12.75" customHeight="1">
      <c r="E283" s="79"/>
      <c r="F283" s="80"/>
      <c r="G283" s="80"/>
      <c r="H283" s="81"/>
      <c r="I283" s="80"/>
      <c r="J283" s="80"/>
      <c r="K283" s="80"/>
    </row>
    <row r="284" ht="12.75" customHeight="1">
      <c r="A284" s="89" t="s">
        <v>273</v>
      </c>
      <c r="B284" s="90" t="s">
        <v>3807</v>
      </c>
      <c r="C284" s="90"/>
      <c r="D284" s="89" t="s">
        <v>75</v>
      </c>
      <c r="E284" s="91">
        <v>1.0</v>
      </c>
      <c r="F284" s="92">
        <v>1681.03</v>
      </c>
      <c r="G284" s="92">
        <v>1681.03</v>
      </c>
      <c r="H284" s="93"/>
      <c r="I284" s="92"/>
      <c r="J284" s="92"/>
      <c r="K284" s="92"/>
    </row>
    <row r="285" ht="12.75" customHeight="1">
      <c r="E285" s="79"/>
      <c r="F285" s="80"/>
      <c r="G285" s="80"/>
      <c r="H285" s="81"/>
      <c r="I285" s="80"/>
      <c r="J285" s="80"/>
      <c r="K285" s="80"/>
    </row>
    <row r="286" ht="12.75" customHeight="1">
      <c r="A286" s="89" t="s">
        <v>275</v>
      </c>
      <c r="B286" s="90" t="s">
        <v>3808</v>
      </c>
      <c r="C286" s="90"/>
      <c r="E286" s="79"/>
      <c r="F286" s="80"/>
      <c r="G286" s="80"/>
      <c r="H286" s="81"/>
      <c r="I286" s="80"/>
      <c r="J286" s="80"/>
      <c r="K286" s="80"/>
    </row>
    <row r="287" ht="12.75" customHeight="1">
      <c r="E287" s="79"/>
      <c r="F287" s="80"/>
      <c r="G287" s="80"/>
      <c r="H287" s="81"/>
      <c r="I287" s="80"/>
      <c r="J287" s="80"/>
      <c r="K287" s="80"/>
    </row>
    <row r="288" ht="12.75" customHeight="1">
      <c r="A288" s="89" t="s">
        <v>277</v>
      </c>
      <c r="B288" s="90" t="s">
        <v>3809</v>
      </c>
      <c r="C288" s="90"/>
      <c r="E288" s="79"/>
      <c r="F288" s="80"/>
      <c r="G288" s="80"/>
      <c r="H288" s="81"/>
      <c r="I288" s="80"/>
      <c r="J288" s="80"/>
      <c r="K288" s="80"/>
    </row>
    <row r="289" ht="12.75" customHeight="1">
      <c r="E289" s="79"/>
      <c r="F289" s="80"/>
      <c r="G289" s="80"/>
      <c r="H289" s="81"/>
      <c r="I289" s="80"/>
      <c r="J289" s="80"/>
      <c r="K289" s="80"/>
    </row>
    <row r="290" ht="12.75" customHeight="1">
      <c r="A290" s="89" t="s">
        <v>279</v>
      </c>
      <c r="B290" s="90" t="s">
        <v>3810</v>
      </c>
      <c r="C290" s="90"/>
      <c r="D290" s="89" t="s">
        <v>75</v>
      </c>
      <c r="E290" s="91">
        <v>1.0</v>
      </c>
      <c r="F290" s="92">
        <v>1293.1</v>
      </c>
      <c r="G290" s="92">
        <v>1293.1</v>
      </c>
      <c r="H290" s="93"/>
      <c r="I290" s="92"/>
      <c r="J290" s="92"/>
      <c r="K290" s="92"/>
    </row>
    <row r="291" ht="12.75" customHeight="1">
      <c r="E291" s="79"/>
      <c r="F291" s="80"/>
      <c r="G291" s="80"/>
      <c r="H291" s="81"/>
      <c r="I291" s="80"/>
      <c r="J291" s="80"/>
      <c r="K291" s="80"/>
    </row>
    <row r="292" ht="12.75" customHeight="1">
      <c r="A292" s="89" t="s">
        <v>281</v>
      </c>
      <c r="B292" s="90" t="s">
        <v>3811</v>
      </c>
      <c r="C292" s="90"/>
      <c r="E292" s="79"/>
      <c r="F292" s="80"/>
      <c r="G292" s="80"/>
      <c r="H292" s="81"/>
      <c r="I292" s="80"/>
      <c r="J292" s="80"/>
      <c r="K292" s="80"/>
    </row>
    <row r="293" ht="12.75" customHeight="1">
      <c r="E293" s="79"/>
      <c r="F293" s="80"/>
      <c r="G293" s="80"/>
      <c r="H293" s="81"/>
      <c r="I293" s="80"/>
      <c r="J293" s="80"/>
      <c r="K293" s="80"/>
    </row>
    <row r="294" ht="12.75" customHeight="1">
      <c r="A294" s="89" t="s">
        <v>283</v>
      </c>
      <c r="B294" s="90" t="s">
        <v>3812</v>
      </c>
      <c r="C294" s="90"/>
      <c r="D294" s="89" t="s">
        <v>75</v>
      </c>
      <c r="E294" s="91">
        <v>1.0</v>
      </c>
      <c r="F294" s="92">
        <v>1616.38</v>
      </c>
      <c r="G294" s="92">
        <v>1616.38</v>
      </c>
      <c r="H294" s="93"/>
      <c r="I294" s="92"/>
      <c r="J294" s="92"/>
      <c r="K294" s="92"/>
    </row>
    <row r="295" ht="12.75" customHeight="1">
      <c r="E295" s="79"/>
      <c r="F295" s="80"/>
      <c r="G295" s="80"/>
      <c r="H295" s="81"/>
      <c r="I295" s="80"/>
      <c r="J295" s="80"/>
      <c r="K295" s="80"/>
    </row>
    <row r="296" ht="12.75" customHeight="1">
      <c r="A296" s="89" t="s">
        <v>285</v>
      </c>
      <c r="B296" s="90" t="s">
        <v>3813</v>
      </c>
      <c r="C296" s="90"/>
      <c r="E296" s="79"/>
      <c r="F296" s="80"/>
      <c r="G296" s="80"/>
      <c r="H296" s="81"/>
      <c r="I296" s="80"/>
      <c r="J296" s="80"/>
      <c r="K296" s="80"/>
    </row>
    <row r="297" ht="12.75" customHeight="1">
      <c r="E297" s="79"/>
      <c r="F297" s="80"/>
      <c r="G297" s="80"/>
      <c r="H297" s="81"/>
      <c r="I297" s="80"/>
      <c r="J297" s="80"/>
      <c r="K297" s="80"/>
    </row>
    <row r="298" ht="12.75" customHeight="1">
      <c r="A298" s="89" t="s">
        <v>287</v>
      </c>
      <c r="B298" s="90" t="s">
        <v>3814</v>
      </c>
      <c r="C298" s="90"/>
      <c r="D298" s="89" t="s">
        <v>75</v>
      </c>
      <c r="E298" s="91">
        <v>1.0</v>
      </c>
      <c r="F298" s="92">
        <v>1616.38</v>
      </c>
      <c r="G298" s="92">
        <v>1616.38</v>
      </c>
      <c r="H298" s="93"/>
      <c r="I298" s="92"/>
      <c r="J298" s="92"/>
      <c r="K298" s="92"/>
    </row>
    <row r="299" ht="12.75" customHeight="1">
      <c r="E299" s="79"/>
      <c r="F299" s="80"/>
      <c r="G299" s="80"/>
      <c r="H299" s="81"/>
      <c r="I299" s="80"/>
      <c r="J299" s="80"/>
      <c r="K299" s="80"/>
    </row>
    <row r="300" ht="12.75" customHeight="1">
      <c r="A300" s="89" t="s">
        <v>289</v>
      </c>
      <c r="B300" s="90" t="s">
        <v>3815</v>
      </c>
      <c r="C300" s="90"/>
      <c r="E300" s="79"/>
      <c r="F300" s="80"/>
      <c r="G300" s="80"/>
      <c r="H300" s="81"/>
      <c r="I300" s="80"/>
      <c r="J300" s="80"/>
      <c r="K300" s="80"/>
    </row>
    <row r="301" ht="12.75" customHeight="1">
      <c r="E301" s="79"/>
      <c r="F301" s="80"/>
      <c r="G301" s="80"/>
      <c r="H301" s="81"/>
      <c r="I301" s="80"/>
      <c r="J301" s="80"/>
      <c r="K301" s="80"/>
    </row>
    <row r="302" ht="12.75" customHeight="1">
      <c r="A302" s="89" t="s">
        <v>291</v>
      </c>
      <c r="B302" s="90" t="s">
        <v>3816</v>
      </c>
      <c r="C302" s="90"/>
      <c r="D302" s="89" t="s">
        <v>75</v>
      </c>
      <c r="E302" s="91">
        <v>1.0</v>
      </c>
      <c r="F302" s="92">
        <v>1260.77</v>
      </c>
      <c r="G302" s="92">
        <v>1260.77</v>
      </c>
      <c r="H302" s="93"/>
      <c r="I302" s="92"/>
      <c r="J302" s="92"/>
      <c r="K302" s="92"/>
    </row>
    <row r="303" ht="12.75" customHeight="1">
      <c r="E303" s="79"/>
      <c r="F303" s="80"/>
      <c r="G303" s="80"/>
      <c r="H303" s="81"/>
      <c r="I303" s="80"/>
      <c r="J303" s="80"/>
      <c r="K303" s="80"/>
    </row>
    <row r="304" ht="12.75" customHeight="1">
      <c r="A304" s="89" t="s">
        <v>293</v>
      </c>
      <c r="B304" s="90" t="s">
        <v>3817</v>
      </c>
      <c r="C304" s="90"/>
      <c r="D304" s="89" t="s">
        <v>75</v>
      </c>
      <c r="E304" s="91">
        <v>1.0</v>
      </c>
      <c r="F304" s="92">
        <v>1260.77</v>
      </c>
      <c r="G304" s="92">
        <v>1260.77</v>
      </c>
      <c r="H304" s="93"/>
      <c r="I304" s="92"/>
      <c r="J304" s="92"/>
      <c r="K304" s="92"/>
    </row>
    <row r="305" ht="12.75" customHeight="1">
      <c r="E305" s="79"/>
      <c r="F305" s="80"/>
      <c r="G305" s="80"/>
      <c r="H305" s="81"/>
      <c r="I305" s="80"/>
      <c r="J305" s="80"/>
      <c r="K305" s="80"/>
    </row>
    <row r="306" ht="12.75" customHeight="1">
      <c r="A306" s="89" t="s">
        <v>295</v>
      </c>
      <c r="B306" s="90" t="s">
        <v>2449</v>
      </c>
      <c r="C306" s="90"/>
      <c r="E306" s="79"/>
      <c r="F306" s="80"/>
      <c r="G306" s="80"/>
      <c r="H306" s="81"/>
      <c r="I306" s="80"/>
      <c r="J306" s="80"/>
      <c r="K306" s="80"/>
    </row>
    <row r="307" ht="12.75" customHeight="1">
      <c r="A307" s="119"/>
      <c r="B307" s="119"/>
      <c r="C307" s="119"/>
      <c r="D307" s="119"/>
      <c r="E307" s="120"/>
      <c r="F307" s="108"/>
      <c r="G307" s="108"/>
      <c r="H307" s="121"/>
      <c r="I307" s="108"/>
      <c r="J307" s="108"/>
      <c r="K307" s="108"/>
    </row>
    <row r="308" ht="12.75" customHeight="1">
      <c r="A308" s="89" t="s">
        <v>297</v>
      </c>
      <c r="B308" s="90" t="s">
        <v>3818</v>
      </c>
      <c r="C308" s="90"/>
      <c r="E308" s="79"/>
      <c r="F308" s="80"/>
      <c r="G308" s="80"/>
      <c r="H308" s="81" t="s">
        <v>299</v>
      </c>
      <c r="I308" s="80"/>
      <c r="J308" s="80"/>
      <c r="K308" s="80"/>
    </row>
    <row r="309" ht="12.75" customHeight="1">
      <c r="E309" s="79"/>
      <c r="F309" s="80"/>
      <c r="G309" s="80"/>
      <c r="H309" s="81"/>
      <c r="I309" s="80"/>
      <c r="J309" s="80"/>
      <c r="K309" s="80"/>
    </row>
    <row r="310" ht="12.75" customHeight="1">
      <c r="A310" s="89" t="s">
        <v>300</v>
      </c>
      <c r="B310" s="90" t="s">
        <v>3819</v>
      </c>
      <c r="C310" s="90"/>
      <c r="D310" s="89" t="s">
        <v>75</v>
      </c>
      <c r="E310" s="91">
        <v>1.0</v>
      </c>
      <c r="F310" s="92">
        <v>2456.89</v>
      </c>
      <c r="G310" s="92">
        <v>2456.89</v>
      </c>
      <c r="H310" s="93"/>
      <c r="I310" s="92"/>
      <c r="J310" s="92"/>
      <c r="K310" s="92"/>
    </row>
    <row r="311" ht="12.75" customHeight="1">
      <c r="E311" s="79"/>
      <c r="F311" s="80"/>
      <c r="G311" s="80"/>
      <c r="H311" s="81"/>
      <c r="I311" s="80"/>
      <c r="J311" s="80"/>
      <c r="K311" s="80"/>
    </row>
    <row r="312" ht="12.75" customHeight="1">
      <c r="A312" s="89" t="s">
        <v>302</v>
      </c>
      <c r="B312" s="90" t="s">
        <v>3820</v>
      </c>
      <c r="C312" s="90"/>
      <c r="E312" s="79"/>
      <c r="F312" s="80"/>
      <c r="G312" s="80"/>
      <c r="H312" s="81"/>
      <c r="I312" s="80"/>
      <c r="J312" s="80"/>
      <c r="K312" s="80"/>
    </row>
    <row r="313" ht="12.75" customHeight="1">
      <c r="E313" s="79"/>
      <c r="F313" s="80"/>
      <c r="G313" s="80"/>
      <c r="H313" s="81"/>
      <c r="I313" s="80"/>
      <c r="J313" s="80"/>
      <c r="K313" s="80"/>
    </row>
    <row r="314" ht="12.75" customHeight="1">
      <c r="A314" s="89" t="s">
        <v>304</v>
      </c>
      <c r="B314" s="90" t="s">
        <v>3821</v>
      </c>
      <c r="C314" s="90"/>
      <c r="D314" s="89" t="s">
        <v>75</v>
      </c>
      <c r="E314" s="91">
        <v>1.0</v>
      </c>
      <c r="F314" s="92">
        <v>1778.01</v>
      </c>
      <c r="G314" s="92">
        <v>1778.01</v>
      </c>
      <c r="H314" s="93"/>
      <c r="I314" s="92"/>
      <c r="J314" s="92"/>
      <c r="K314" s="92"/>
    </row>
    <row r="315" ht="12.75" customHeight="1">
      <c r="E315" s="79"/>
      <c r="F315" s="80"/>
      <c r="G315" s="80"/>
      <c r="H315" s="81"/>
      <c r="I315" s="80"/>
      <c r="J315" s="80"/>
      <c r="K315" s="80"/>
    </row>
    <row r="316" ht="12.75" customHeight="1">
      <c r="A316" s="89" t="s">
        <v>306</v>
      </c>
      <c r="B316" s="90" t="s">
        <v>3822</v>
      </c>
      <c r="C316" s="90"/>
      <c r="D316" s="89" t="s">
        <v>75</v>
      </c>
      <c r="E316" s="91">
        <v>1.0</v>
      </c>
      <c r="F316" s="92">
        <v>969.83</v>
      </c>
      <c r="G316" s="92">
        <v>969.83</v>
      </c>
      <c r="H316" s="93"/>
      <c r="I316" s="92"/>
      <c r="J316" s="92"/>
      <c r="K316" s="92"/>
    </row>
    <row r="317" ht="12.75" customHeight="1">
      <c r="E317" s="79"/>
      <c r="F317" s="80"/>
      <c r="G317" s="80"/>
      <c r="H317" s="81"/>
      <c r="I317" s="80"/>
      <c r="J317" s="80"/>
      <c r="K317" s="80"/>
    </row>
    <row r="318" ht="12.75" customHeight="1">
      <c r="A318" s="89" t="s">
        <v>308</v>
      </c>
      <c r="B318" s="90" t="s">
        <v>3823</v>
      </c>
      <c r="C318" s="90"/>
      <c r="E318" s="79"/>
      <c r="F318" s="80"/>
      <c r="G318" s="80"/>
      <c r="H318" s="81"/>
      <c r="I318" s="80"/>
      <c r="J318" s="80"/>
      <c r="K318" s="80"/>
    </row>
    <row r="319" ht="12.75" customHeight="1">
      <c r="E319" s="79"/>
      <c r="F319" s="80"/>
      <c r="G319" s="80"/>
      <c r="H319" s="81"/>
      <c r="I319" s="80"/>
      <c r="J319" s="80"/>
      <c r="K319" s="80"/>
    </row>
    <row r="320" ht="12.75" customHeight="1">
      <c r="A320" s="89" t="s">
        <v>310</v>
      </c>
      <c r="B320" s="90" t="s">
        <v>3824</v>
      </c>
      <c r="C320" s="90"/>
      <c r="D320" s="89" t="s">
        <v>75</v>
      </c>
      <c r="E320" s="91">
        <v>1.0</v>
      </c>
      <c r="F320" s="92">
        <v>969.83</v>
      </c>
      <c r="G320" s="92">
        <v>969.83</v>
      </c>
      <c r="H320" s="93"/>
      <c r="I320" s="92"/>
      <c r="J320" s="92"/>
      <c r="K320" s="92"/>
    </row>
    <row r="321" ht="12.75" customHeight="1">
      <c r="E321" s="79"/>
      <c r="F321" s="80"/>
      <c r="G321" s="80"/>
      <c r="H321" s="81"/>
      <c r="I321" s="80"/>
      <c r="J321" s="80"/>
      <c r="K321" s="80"/>
    </row>
    <row r="322" ht="12.75" customHeight="1">
      <c r="A322" s="89" t="s">
        <v>312</v>
      </c>
      <c r="B322" s="90" t="s">
        <v>3825</v>
      </c>
      <c r="C322" s="90"/>
      <c r="E322" s="79"/>
      <c r="F322" s="80"/>
      <c r="G322" s="80"/>
      <c r="H322" s="81"/>
      <c r="I322" s="80"/>
      <c r="J322" s="80"/>
      <c r="K322" s="80"/>
    </row>
    <row r="323" ht="12.75" customHeight="1">
      <c r="E323" s="79"/>
      <c r="F323" s="80"/>
      <c r="G323" s="80"/>
      <c r="H323" s="81"/>
      <c r="I323" s="80"/>
      <c r="J323" s="80"/>
      <c r="K323" s="80"/>
    </row>
    <row r="324" ht="12.75" customHeight="1">
      <c r="A324" s="89" t="s">
        <v>314</v>
      </c>
      <c r="B324" s="90" t="s">
        <v>3826</v>
      </c>
      <c r="C324" s="90"/>
      <c r="D324" s="89" t="s">
        <v>75</v>
      </c>
      <c r="E324" s="91">
        <v>1.0</v>
      </c>
      <c r="F324" s="92">
        <v>5495.68</v>
      </c>
      <c r="G324" s="92">
        <v>5495.68</v>
      </c>
      <c r="H324" s="93"/>
      <c r="I324" s="92"/>
      <c r="J324" s="92"/>
      <c r="K324" s="92"/>
    </row>
    <row r="325" ht="12.75" customHeight="1">
      <c r="E325" s="79"/>
      <c r="F325" s="80"/>
      <c r="G325" s="80"/>
      <c r="H325" s="81"/>
      <c r="I325" s="80"/>
      <c r="J325" s="80"/>
      <c r="K325" s="80"/>
    </row>
    <row r="326" ht="12.75" customHeight="1">
      <c r="A326" s="89" t="s">
        <v>316</v>
      </c>
      <c r="B326" s="90" t="s">
        <v>3827</v>
      </c>
      <c r="C326" s="90"/>
      <c r="E326" s="79"/>
      <c r="F326" s="80"/>
      <c r="G326" s="80"/>
      <c r="H326" s="81"/>
      <c r="I326" s="80"/>
      <c r="J326" s="80"/>
      <c r="K326" s="80"/>
    </row>
    <row r="327" ht="12.75" customHeight="1">
      <c r="E327" s="79"/>
      <c r="F327" s="80"/>
      <c r="G327" s="80"/>
      <c r="H327" s="81"/>
      <c r="I327" s="80"/>
      <c r="J327" s="80"/>
      <c r="K327" s="80"/>
    </row>
    <row r="328" ht="12.75" customHeight="1">
      <c r="A328" s="89" t="s">
        <v>318</v>
      </c>
      <c r="B328" s="90" t="s">
        <v>3828</v>
      </c>
      <c r="C328" s="90"/>
      <c r="D328" s="89" t="s">
        <v>75</v>
      </c>
      <c r="E328" s="91">
        <v>1.0</v>
      </c>
      <c r="F328" s="92">
        <v>3297.41</v>
      </c>
      <c r="G328" s="92">
        <v>3297.41</v>
      </c>
      <c r="H328" s="93"/>
      <c r="I328" s="92"/>
      <c r="J328" s="92"/>
      <c r="K328" s="92"/>
    </row>
    <row r="329" ht="12.75" customHeight="1">
      <c r="E329" s="79"/>
      <c r="F329" s="80"/>
      <c r="G329" s="80"/>
      <c r="H329" s="81"/>
      <c r="I329" s="80"/>
      <c r="J329" s="80"/>
      <c r="K329" s="80"/>
    </row>
    <row r="330" ht="12.75" customHeight="1">
      <c r="A330" s="89" t="s">
        <v>320</v>
      </c>
      <c r="B330" s="90" t="s">
        <v>3829</v>
      </c>
      <c r="C330" s="90"/>
      <c r="E330" s="79"/>
      <c r="F330" s="80"/>
      <c r="G330" s="80"/>
      <c r="H330" s="81"/>
      <c r="I330" s="80"/>
      <c r="J330" s="80"/>
      <c r="K330" s="80"/>
    </row>
    <row r="331" ht="12.75" customHeight="1">
      <c r="E331" s="79"/>
      <c r="F331" s="80"/>
      <c r="G331" s="80"/>
      <c r="H331" s="81"/>
      <c r="I331" s="80"/>
      <c r="J331" s="80"/>
      <c r="K331" s="80"/>
    </row>
    <row r="332" ht="12.75" customHeight="1">
      <c r="A332" s="89" t="s">
        <v>322</v>
      </c>
      <c r="B332" s="90" t="s">
        <v>3830</v>
      </c>
      <c r="C332" s="90"/>
      <c r="D332" s="89" t="s">
        <v>75</v>
      </c>
      <c r="E332" s="91">
        <v>1.0</v>
      </c>
      <c r="F332" s="92">
        <v>1875.0</v>
      </c>
      <c r="G332" s="92">
        <v>1875.0</v>
      </c>
      <c r="H332" s="93"/>
      <c r="I332" s="92"/>
      <c r="J332" s="92"/>
      <c r="K332" s="92"/>
    </row>
    <row r="333" ht="12.75" customHeight="1">
      <c r="E333" s="79"/>
      <c r="F333" s="80"/>
      <c r="G333" s="80"/>
      <c r="H333" s="81"/>
      <c r="I333" s="80"/>
      <c r="J333" s="80"/>
      <c r="K333" s="80"/>
    </row>
    <row r="334" ht="12.75" customHeight="1">
      <c r="A334" s="89" t="s">
        <v>324</v>
      </c>
      <c r="B334" s="90" t="s">
        <v>3831</v>
      </c>
      <c r="C334" s="90"/>
      <c r="E334" s="79"/>
      <c r="F334" s="80"/>
      <c r="G334" s="80"/>
      <c r="H334" s="81"/>
      <c r="I334" s="80"/>
      <c r="J334" s="80"/>
      <c r="K334" s="80"/>
    </row>
    <row r="335" ht="12.75" customHeight="1">
      <c r="E335" s="79"/>
      <c r="F335" s="80"/>
      <c r="G335" s="80"/>
      <c r="H335" s="81"/>
      <c r="I335" s="80"/>
      <c r="J335" s="80"/>
      <c r="K335" s="80"/>
    </row>
    <row r="336" ht="12.75" customHeight="1">
      <c r="A336" s="89" t="s">
        <v>326</v>
      </c>
      <c r="B336" s="90" t="s">
        <v>3832</v>
      </c>
      <c r="C336" s="90"/>
      <c r="D336" s="89" t="s">
        <v>75</v>
      </c>
      <c r="E336" s="91">
        <v>1.0</v>
      </c>
      <c r="F336" s="92">
        <v>3038.79</v>
      </c>
      <c r="G336" s="92">
        <v>3038.79</v>
      </c>
      <c r="H336" s="93"/>
      <c r="I336" s="92"/>
      <c r="J336" s="92"/>
      <c r="K336" s="92"/>
    </row>
    <row r="337" ht="12.75" customHeight="1">
      <c r="E337" s="79"/>
      <c r="F337" s="80"/>
      <c r="G337" s="80"/>
      <c r="H337" s="81"/>
      <c r="I337" s="80"/>
      <c r="J337" s="80"/>
      <c r="K337" s="80"/>
    </row>
    <row r="338" ht="12.75" customHeight="1">
      <c r="A338" s="89" t="s">
        <v>328</v>
      </c>
      <c r="B338" s="90" t="s">
        <v>3833</v>
      </c>
      <c r="C338" s="90"/>
      <c r="E338" s="79"/>
      <c r="F338" s="80"/>
      <c r="G338" s="80"/>
      <c r="H338" s="81"/>
      <c r="I338" s="80"/>
      <c r="J338" s="80"/>
      <c r="K338" s="80"/>
    </row>
    <row r="339" ht="12.75" customHeight="1">
      <c r="E339" s="79"/>
      <c r="F339" s="80"/>
      <c r="G339" s="80"/>
      <c r="H339" s="81"/>
      <c r="I339" s="80"/>
      <c r="J339" s="80"/>
      <c r="K339" s="80"/>
    </row>
    <row r="340" ht="12.75" customHeight="1">
      <c r="A340" s="89" t="s">
        <v>330</v>
      </c>
      <c r="B340" s="90" t="s">
        <v>3834</v>
      </c>
      <c r="C340" s="90"/>
      <c r="D340" s="89" t="s">
        <v>75</v>
      </c>
      <c r="E340" s="91">
        <v>1.0</v>
      </c>
      <c r="F340" s="92">
        <v>1357.76</v>
      </c>
      <c r="G340" s="92">
        <v>1357.76</v>
      </c>
      <c r="H340" s="93"/>
      <c r="I340" s="92"/>
      <c r="J340" s="92"/>
      <c r="K340" s="92"/>
    </row>
    <row r="341" ht="12.75" customHeight="1">
      <c r="E341" s="79"/>
      <c r="F341" s="80"/>
      <c r="G341" s="80"/>
      <c r="H341" s="81"/>
      <c r="I341" s="80"/>
      <c r="J341" s="80"/>
      <c r="K341" s="80"/>
    </row>
    <row r="342" ht="12.75" customHeight="1">
      <c r="A342" s="89" t="s">
        <v>332</v>
      </c>
      <c r="B342" s="90" t="s">
        <v>3835</v>
      </c>
      <c r="C342" s="90"/>
      <c r="D342" s="89" t="s">
        <v>75</v>
      </c>
      <c r="E342" s="91">
        <v>1.0</v>
      </c>
      <c r="F342" s="92">
        <v>1616.38</v>
      </c>
      <c r="G342" s="92">
        <v>1616.38</v>
      </c>
      <c r="H342" s="93"/>
      <c r="I342" s="92"/>
      <c r="J342" s="92"/>
      <c r="K342" s="92"/>
    </row>
    <row r="343" ht="12.75" customHeight="1">
      <c r="E343" s="79"/>
      <c r="F343" s="80"/>
      <c r="G343" s="80"/>
      <c r="H343" s="81"/>
      <c r="I343" s="80"/>
      <c r="J343" s="80"/>
      <c r="K343" s="80"/>
    </row>
    <row r="344" ht="12.75" customHeight="1">
      <c r="A344" s="89" t="s">
        <v>334</v>
      </c>
      <c r="B344" s="90" t="s">
        <v>3836</v>
      </c>
      <c r="C344" s="90"/>
      <c r="E344" s="79"/>
      <c r="F344" s="80"/>
      <c r="G344" s="80"/>
      <c r="H344" s="81"/>
      <c r="I344" s="80"/>
      <c r="J344" s="80"/>
      <c r="K344" s="80"/>
    </row>
    <row r="345" ht="12.75" customHeight="1">
      <c r="E345" s="79"/>
      <c r="F345" s="80"/>
      <c r="G345" s="80"/>
      <c r="H345" s="81"/>
      <c r="I345" s="80"/>
      <c r="J345" s="80"/>
      <c r="K345" s="80"/>
    </row>
    <row r="346" ht="12.75" customHeight="1">
      <c r="A346" s="89" t="s">
        <v>336</v>
      </c>
      <c r="B346" s="90" t="s">
        <v>3837</v>
      </c>
      <c r="C346" s="90"/>
      <c r="D346" s="89" t="s">
        <v>75</v>
      </c>
      <c r="E346" s="91">
        <v>2.0</v>
      </c>
      <c r="F346" s="92">
        <v>4461.2</v>
      </c>
      <c r="G346" s="92">
        <v>8922.4</v>
      </c>
      <c r="H346" s="93"/>
      <c r="I346" s="92"/>
      <c r="J346" s="92"/>
      <c r="K346" s="92"/>
    </row>
    <row r="347" ht="12.75" customHeight="1">
      <c r="E347" s="79"/>
      <c r="F347" s="80"/>
      <c r="G347" s="80"/>
      <c r="H347" s="81"/>
      <c r="I347" s="80"/>
      <c r="J347" s="80"/>
      <c r="K347" s="80"/>
    </row>
    <row r="348" ht="12.75" customHeight="1">
      <c r="A348" s="89" t="s">
        <v>338</v>
      </c>
      <c r="B348" s="90" t="s">
        <v>3838</v>
      </c>
      <c r="C348" s="90"/>
      <c r="E348" s="79"/>
      <c r="F348" s="80"/>
      <c r="G348" s="80"/>
      <c r="H348" s="81"/>
      <c r="I348" s="80"/>
      <c r="J348" s="80"/>
      <c r="K348" s="80"/>
    </row>
    <row r="349" ht="12.75" customHeight="1">
      <c r="E349" s="79"/>
      <c r="F349" s="80"/>
      <c r="G349" s="80"/>
      <c r="H349" s="81"/>
      <c r="I349" s="80"/>
      <c r="J349" s="80"/>
      <c r="K349" s="80"/>
    </row>
    <row r="350" ht="12.75" customHeight="1">
      <c r="A350" s="89" t="s">
        <v>340</v>
      </c>
      <c r="B350" s="90" t="s">
        <v>3839</v>
      </c>
      <c r="C350" s="90"/>
      <c r="D350" s="89" t="s">
        <v>75</v>
      </c>
      <c r="E350" s="91">
        <v>1.0</v>
      </c>
      <c r="F350" s="92">
        <v>3620.68</v>
      </c>
      <c r="G350" s="92">
        <v>3620.68</v>
      </c>
      <c r="H350" s="93"/>
      <c r="I350" s="92"/>
      <c r="J350" s="92"/>
      <c r="K350" s="92"/>
    </row>
    <row r="351" ht="12.75" customHeight="1">
      <c r="E351" s="79"/>
      <c r="F351" s="80"/>
      <c r="G351" s="80"/>
      <c r="H351" s="81"/>
      <c r="I351" s="80"/>
      <c r="J351" s="80"/>
      <c r="K351" s="80"/>
    </row>
    <row r="352" ht="12.75" customHeight="1">
      <c r="A352" s="89" t="s">
        <v>342</v>
      </c>
      <c r="B352" s="90" t="s">
        <v>3840</v>
      </c>
      <c r="C352" s="90"/>
      <c r="E352" s="79"/>
      <c r="F352" s="80"/>
      <c r="G352" s="80"/>
      <c r="H352" s="81"/>
      <c r="I352" s="80"/>
      <c r="J352" s="80"/>
      <c r="K352" s="80"/>
    </row>
    <row r="353" ht="12.75" customHeight="1">
      <c r="E353" s="79"/>
      <c r="F353" s="80"/>
      <c r="G353" s="80"/>
      <c r="H353" s="81"/>
      <c r="I353" s="80"/>
      <c r="J353" s="80"/>
      <c r="K353" s="80"/>
    </row>
    <row r="354" ht="12.75" customHeight="1">
      <c r="A354" s="89" t="s">
        <v>344</v>
      </c>
      <c r="B354" s="90" t="s">
        <v>3841</v>
      </c>
      <c r="C354" s="90"/>
      <c r="D354" s="89" t="s">
        <v>75</v>
      </c>
      <c r="E354" s="91">
        <v>1.0</v>
      </c>
      <c r="F354" s="92">
        <v>4377.14</v>
      </c>
      <c r="G354" s="92">
        <v>4377.14</v>
      </c>
      <c r="H354" s="93"/>
      <c r="I354" s="92"/>
      <c r="J354" s="92"/>
      <c r="K354" s="92"/>
    </row>
    <row r="355" ht="12.75" customHeight="1">
      <c r="E355" s="79"/>
      <c r="F355" s="80"/>
      <c r="G355" s="80"/>
      <c r="H355" s="81"/>
      <c r="I355" s="80"/>
      <c r="J355" s="80"/>
      <c r="K355" s="80"/>
    </row>
    <row r="356" ht="12.75" customHeight="1">
      <c r="A356" s="89" t="s">
        <v>346</v>
      </c>
      <c r="B356" s="90" t="s">
        <v>3842</v>
      </c>
      <c r="C356" s="90"/>
      <c r="E356" s="79"/>
      <c r="F356" s="80"/>
      <c r="G356" s="80"/>
      <c r="H356" s="81"/>
      <c r="I356" s="80"/>
      <c r="J356" s="80"/>
      <c r="K356" s="80"/>
    </row>
    <row r="357" ht="12.75" customHeight="1">
      <c r="E357" s="79"/>
      <c r="F357" s="80"/>
      <c r="G357" s="80"/>
      <c r="H357" s="81"/>
      <c r="I357" s="80"/>
      <c r="J357" s="80"/>
      <c r="K357" s="80"/>
    </row>
    <row r="358" ht="12.75" customHeight="1">
      <c r="A358" s="89" t="s">
        <v>348</v>
      </c>
      <c r="B358" s="90" t="s">
        <v>3843</v>
      </c>
      <c r="C358" s="90"/>
      <c r="D358" s="89" t="s">
        <v>75</v>
      </c>
      <c r="E358" s="91">
        <v>1.0</v>
      </c>
      <c r="F358" s="92">
        <v>4377.14</v>
      </c>
      <c r="G358" s="92">
        <v>4377.14</v>
      </c>
      <c r="H358" s="93"/>
      <c r="I358" s="92"/>
      <c r="J358" s="92"/>
      <c r="K358" s="92"/>
    </row>
    <row r="359" ht="12.75" customHeight="1">
      <c r="E359" s="79"/>
      <c r="F359" s="80"/>
      <c r="G359" s="80"/>
      <c r="H359" s="81"/>
      <c r="I359" s="80"/>
      <c r="J359" s="80"/>
      <c r="K359" s="80"/>
    </row>
    <row r="360" ht="12.75" customHeight="1">
      <c r="A360" s="89" t="s">
        <v>350</v>
      </c>
      <c r="B360" s="90" t="s">
        <v>3844</v>
      </c>
      <c r="C360" s="90"/>
      <c r="D360" s="89" t="s">
        <v>75</v>
      </c>
      <c r="E360" s="91">
        <v>1.0</v>
      </c>
      <c r="F360" s="92">
        <v>3219.82</v>
      </c>
      <c r="G360" s="92">
        <v>3219.82</v>
      </c>
      <c r="H360" s="93"/>
      <c r="I360" s="92"/>
      <c r="J360" s="92"/>
      <c r="K360" s="92"/>
    </row>
    <row r="361" ht="12.75" customHeight="1">
      <c r="E361" s="79"/>
      <c r="F361" s="80"/>
      <c r="G361" s="80"/>
      <c r="H361" s="81"/>
      <c r="I361" s="80"/>
      <c r="J361" s="80"/>
      <c r="K361" s="80"/>
    </row>
    <row r="362" ht="12.75" customHeight="1">
      <c r="A362" s="89" t="s">
        <v>352</v>
      </c>
      <c r="B362" s="90" t="s">
        <v>3845</v>
      </c>
      <c r="C362" s="90"/>
      <c r="D362" s="89" t="s">
        <v>75</v>
      </c>
      <c r="E362" s="91">
        <v>1.0</v>
      </c>
      <c r="F362" s="92">
        <v>581.9</v>
      </c>
      <c r="G362" s="92">
        <v>581.9</v>
      </c>
      <c r="H362" s="93"/>
      <c r="I362" s="92"/>
      <c r="J362" s="92"/>
      <c r="K362" s="92"/>
    </row>
    <row r="363" ht="12.75" customHeight="1">
      <c r="E363" s="79"/>
      <c r="F363" s="80"/>
      <c r="G363" s="80"/>
      <c r="H363" s="81"/>
      <c r="I363" s="80"/>
      <c r="J363" s="80"/>
      <c r="K363" s="80"/>
    </row>
    <row r="364" ht="12.75" customHeight="1">
      <c r="A364" s="89" t="s">
        <v>354</v>
      </c>
      <c r="B364" s="90" t="s">
        <v>3846</v>
      </c>
      <c r="C364" s="90"/>
      <c r="E364" s="79"/>
      <c r="F364" s="80"/>
      <c r="G364" s="80"/>
      <c r="H364" s="81"/>
      <c r="I364" s="80"/>
      <c r="J364" s="80"/>
      <c r="K364" s="80"/>
    </row>
    <row r="365" ht="12.75" customHeight="1">
      <c r="E365" s="79"/>
      <c r="F365" s="80"/>
      <c r="G365" s="80"/>
      <c r="H365" s="81"/>
      <c r="I365" s="80"/>
      <c r="J365" s="80"/>
      <c r="K365" s="80"/>
    </row>
    <row r="366" ht="12.75" customHeight="1">
      <c r="A366" s="89" t="s">
        <v>356</v>
      </c>
      <c r="B366" s="90" t="s">
        <v>3847</v>
      </c>
      <c r="C366" s="90"/>
      <c r="D366" s="89" t="s">
        <v>75</v>
      </c>
      <c r="E366" s="91">
        <v>1.0</v>
      </c>
      <c r="F366" s="92">
        <v>4655.16</v>
      </c>
      <c r="G366" s="92">
        <v>4655.16</v>
      </c>
      <c r="H366" s="93"/>
      <c r="I366" s="92"/>
      <c r="J366" s="92"/>
      <c r="K366" s="92"/>
    </row>
    <row r="367" ht="12.75" customHeight="1">
      <c r="E367" s="79"/>
      <c r="F367" s="80"/>
      <c r="G367" s="80"/>
      <c r="H367" s="81"/>
      <c r="I367" s="80"/>
      <c r="J367" s="80"/>
      <c r="K367" s="80"/>
    </row>
    <row r="368" ht="12.75" customHeight="1">
      <c r="A368" s="89" t="s">
        <v>358</v>
      </c>
      <c r="B368" s="90" t="s">
        <v>3848</v>
      </c>
      <c r="C368" s="90"/>
      <c r="E368" s="79"/>
      <c r="F368" s="80"/>
      <c r="G368" s="80"/>
      <c r="H368" s="81"/>
      <c r="I368" s="80"/>
      <c r="J368" s="80"/>
      <c r="K368" s="80"/>
    </row>
    <row r="369" ht="12.75" customHeight="1">
      <c r="E369" s="79"/>
      <c r="F369" s="80"/>
      <c r="G369" s="80"/>
      <c r="H369" s="81"/>
      <c r="I369" s="80"/>
      <c r="J369" s="80"/>
      <c r="K369" s="80"/>
    </row>
    <row r="370" ht="12.75" customHeight="1">
      <c r="A370" s="89" t="s">
        <v>360</v>
      </c>
      <c r="B370" s="90" t="s">
        <v>3849</v>
      </c>
      <c r="C370" s="90"/>
      <c r="D370" s="89" t="s">
        <v>75</v>
      </c>
      <c r="E370" s="91">
        <v>1.0</v>
      </c>
      <c r="F370" s="92">
        <v>4461.2</v>
      </c>
      <c r="G370" s="92">
        <v>4461.2</v>
      </c>
      <c r="H370" s="93"/>
      <c r="I370" s="92"/>
      <c r="J370" s="92"/>
      <c r="K370" s="92"/>
    </row>
    <row r="371" ht="12.75" customHeight="1">
      <c r="E371" s="79"/>
      <c r="F371" s="80"/>
      <c r="G371" s="80"/>
      <c r="H371" s="81"/>
      <c r="I371" s="80"/>
      <c r="J371" s="80"/>
      <c r="K371" s="80"/>
    </row>
    <row r="372" ht="12.75" customHeight="1">
      <c r="A372" s="89" t="s">
        <v>362</v>
      </c>
      <c r="B372" s="90" t="s">
        <v>3850</v>
      </c>
      <c r="C372" s="90"/>
      <c r="E372" s="79"/>
      <c r="F372" s="80"/>
      <c r="G372" s="80"/>
      <c r="H372" s="81"/>
      <c r="I372" s="80"/>
      <c r="J372" s="80"/>
      <c r="K372" s="80"/>
    </row>
    <row r="373" ht="12.75" customHeight="1">
      <c r="E373" s="79"/>
      <c r="F373" s="80"/>
      <c r="G373" s="80"/>
      <c r="H373" s="81"/>
      <c r="I373" s="80"/>
      <c r="J373" s="80"/>
      <c r="K373" s="80"/>
    </row>
    <row r="374" ht="12.75" customHeight="1">
      <c r="A374" s="89" t="s">
        <v>364</v>
      </c>
      <c r="B374" s="90" t="s">
        <v>3851</v>
      </c>
      <c r="C374" s="90"/>
      <c r="D374" s="89" t="s">
        <v>75</v>
      </c>
      <c r="E374" s="91">
        <v>1.0</v>
      </c>
      <c r="F374" s="92">
        <v>581.9</v>
      </c>
      <c r="G374" s="92">
        <v>581.9</v>
      </c>
      <c r="H374" s="93"/>
      <c r="I374" s="92"/>
      <c r="J374" s="92"/>
      <c r="K374" s="92"/>
    </row>
    <row r="375" ht="12.75" customHeight="1">
      <c r="E375" s="79"/>
      <c r="F375" s="80"/>
      <c r="G375" s="80"/>
      <c r="H375" s="81"/>
      <c r="I375" s="80"/>
      <c r="J375" s="80"/>
      <c r="K375" s="80"/>
    </row>
    <row r="376" ht="12.75" customHeight="1">
      <c r="A376" s="89" t="s">
        <v>366</v>
      </c>
      <c r="B376" s="90" t="s">
        <v>3852</v>
      </c>
      <c r="C376" s="90"/>
      <c r="E376" s="79"/>
      <c r="F376" s="80"/>
      <c r="G376" s="80"/>
      <c r="H376" s="81"/>
      <c r="I376" s="80"/>
      <c r="J376" s="80"/>
      <c r="K376" s="80"/>
    </row>
    <row r="377" ht="12.75" customHeight="1">
      <c r="E377" s="79"/>
      <c r="F377" s="80"/>
      <c r="G377" s="80"/>
      <c r="H377" s="81"/>
      <c r="I377" s="80"/>
      <c r="J377" s="80"/>
      <c r="K377" s="80"/>
    </row>
    <row r="378" ht="12.75" customHeight="1">
      <c r="A378" s="89" t="s">
        <v>368</v>
      </c>
      <c r="B378" s="90" t="s">
        <v>3853</v>
      </c>
      <c r="C378" s="90"/>
      <c r="D378" s="89" t="s">
        <v>75</v>
      </c>
      <c r="E378" s="91">
        <v>1.0</v>
      </c>
      <c r="F378" s="92">
        <v>3426.72</v>
      </c>
      <c r="G378" s="92">
        <v>3426.72</v>
      </c>
      <c r="H378" s="93"/>
      <c r="I378" s="92"/>
      <c r="J378" s="92"/>
      <c r="K378" s="92"/>
    </row>
    <row r="379" ht="12.75" customHeight="1">
      <c r="E379" s="79"/>
      <c r="F379" s="80"/>
      <c r="G379" s="80"/>
      <c r="H379" s="81"/>
      <c r="I379" s="80"/>
      <c r="J379" s="80"/>
      <c r="K379" s="80"/>
    </row>
    <row r="380" ht="12.75" customHeight="1">
      <c r="A380" s="89" t="s">
        <v>370</v>
      </c>
      <c r="B380" s="90" t="s">
        <v>3854</v>
      </c>
      <c r="C380" s="90"/>
      <c r="D380" s="89" t="s">
        <v>75</v>
      </c>
      <c r="E380" s="91">
        <v>1.0</v>
      </c>
      <c r="F380" s="92">
        <v>3426.72</v>
      </c>
      <c r="G380" s="92">
        <v>3426.72</v>
      </c>
      <c r="H380" s="93"/>
      <c r="I380" s="92"/>
      <c r="J380" s="92"/>
      <c r="K380" s="92"/>
    </row>
    <row r="381" ht="12.75" customHeight="1">
      <c r="E381" s="79"/>
      <c r="F381" s="80"/>
      <c r="G381" s="80"/>
      <c r="H381" s="81"/>
      <c r="I381" s="80"/>
      <c r="J381" s="80"/>
      <c r="K381" s="80"/>
    </row>
    <row r="382" ht="12.75" customHeight="1">
      <c r="A382" s="89" t="s">
        <v>372</v>
      </c>
      <c r="B382" s="90" t="s">
        <v>3855</v>
      </c>
      <c r="C382" s="90"/>
      <c r="D382" s="89" t="s">
        <v>75</v>
      </c>
      <c r="E382" s="91">
        <v>1.0</v>
      </c>
      <c r="F382" s="92">
        <v>581.9</v>
      </c>
      <c r="G382" s="92">
        <v>581.9</v>
      </c>
      <c r="H382" s="93"/>
      <c r="I382" s="92"/>
      <c r="J382" s="92"/>
      <c r="K382" s="92"/>
    </row>
    <row r="383" ht="12.75" customHeight="1">
      <c r="E383" s="79"/>
      <c r="F383" s="80"/>
      <c r="G383" s="80"/>
      <c r="H383" s="81"/>
      <c r="I383" s="80"/>
      <c r="J383" s="80"/>
      <c r="K383" s="80"/>
    </row>
    <row r="384" ht="12.75" customHeight="1">
      <c r="A384" s="89" t="s">
        <v>374</v>
      </c>
      <c r="B384" s="90" t="s">
        <v>3856</v>
      </c>
      <c r="C384" s="90"/>
      <c r="D384" s="89" t="s">
        <v>75</v>
      </c>
      <c r="E384" s="91">
        <v>1.0</v>
      </c>
      <c r="F384" s="92">
        <v>3426.72</v>
      </c>
      <c r="G384" s="92">
        <v>3426.72</v>
      </c>
      <c r="H384" s="93"/>
      <c r="I384" s="92"/>
      <c r="J384" s="92"/>
      <c r="K384" s="92"/>
    </row>
    <row r="385" ht="12.75" customHeight="1">
      <c r="E385" s="79"/>
      <c r="F385" s="80"/>
      <c r="G385" s="80"/>
      <c r="H385" s="81"/>
      <c r="I385" s="80"/>
      <c r="J385" s="80"/>
      <c r="K385" s="80"/>
    </row>
    <row r="386" ht="12.75" customHeight="1">
      <c r="A386" s="89" t="s">
        <v>376</v>
      </c>
      <c r="B386" s="90" t="s">
        <v>3857</v>
      </c>
      <c r="C386" s="90"/>
      <c r="D386" s="89" t="s">
        <v>75</v>
      </c>
      <c r="E386" s="91">
        <v>1.0</v>
      </c>
      <c r="F386" s="92">
        <v>3426.72</v>
      </c>
      <c r="G386" s="92">
        <v>3426.72</v>
      </c>
      <c r="H386" s="93"/>
      <c r="I386" s="92"/>
      <c r="J386" s="92"/>
      <c r="K386" s="92"/>
    </row>
    <row r="387" ht="12.75" customHeight="1">
      <c r="E387" s="79"/>
      <c r="F387" s="80"/>
      <c r="G387" s="80"/>
      <c r="H387" s="81"/>
      <c r="I387" s="80"/>
      <c r="J387" s="80"/>
      <c r="K387" s="80"/>
    </row>
    <row r="388" ht="12.75" customHeight="1">
      <c r="A388" s="89" t="s">
        <v>378</v>
      </c>
      <c r="B388" s="90" t="s">
        <v>3858</v>
      </c>
      <c r="C388" s="90"/>
      <c r="D388" s="89" t="s">
        <v>75</v>
      </c>
      <c r="E388" s="91">
        <v>1.0</v>
      </c>
      <c r="F388" s="92">
        <v>581.9</v>
      </c>
      <c r="G388" s="92">
        <v>581.9</v>
      </c>
      <c r="H388" s="93"/>
      <c r="I388" s="92"/>
      <c r="J388" s="92"/>
      <c r="K388" s="92"/>
    </row>
    <row r="389" ht="12.75" customHeight="1">
      <c r="E389" s="79"/>
      <c r="F389" s="80"/>
      <c r="G389" s="80"/>
      <c r="H389" s="81"/>
      <c r="I389" s="80"/>
      <c r="J389" s="80"/>
      <c r="K389" s="80"/>
    </row>
    <row r="390" ht="12.75" customHeight="1">
      <c r="A390" s="89" t="s">
        <v>244</v>
      </c>
      <c r="B390" s="90" t="s">
        <v>2409</v>
      </c>
      <c r="C390" s="90"/>
      <c r="E390" s="79"/>
      <c r="F390" s="80"/>
      <c r="G390" s="92">
        <v>93859.78</v>
      </c>
      <c r="H390" s="93">
        <f>G390</f>
        <v>93859.78</v>
      </c>
      <c r="I390" s="92"/>
      <c r="J390" s="92"/>
      <c r="K390" s="92"/>
    </row>
    <row r="391" ht="12.75" customHeight="1">
      <c r="E391" s="79"/>
      <c r="F391" s="80"/>
      <c r="G391" s="80"/>
      <c r="H391" s="81"/>
      <c r="I391" s="80"/>
      <c r="J391" s="80"/>
      <c r="K391" s="80"/>
    </row>
    <row r="392" ht="12.75" customHeight="1">
      <c r="E392" s="79"/>
      <c r="F392" s="80"/>
      <c r="G392" s="80"/>
      <c r="H392" s="81"/>
      <c r="I392" s="80"/>
      <c r="J392" s="80"/>
      <c r="K392" s="80"/>
    </row>
    <row r="393" ht="12.75" customHeight="1">
      <c r="A393" s="89" t="s">
        <v>3859</v>
      </c>
      <c r="B393" s="90" t="s">
        <v>3860</v>
      </c>
      <c r="C393" s="90"/>
      <c r="E393" s="79"/>
      <c r="F393" s="80"/>
      <c r="G393" s="80"/>
      <c r="H393" s="81"/>
      <c r="I393" s="80"/>
      <c r="J393" s="80"/>
      <c r="K393" s="80"/>
    </row>
    <row r="394" ht="12.75" customHeight="1">
      <c r="E394" s="79"/>
      <c r="F394" s="80"/>
      <c r="G394" s="80"/>
      <c r="H394" s="81"/>
      <c r="I394" s="80"/>
      <c r="J394" s="80"/>
      <c r="K394" s="80"/>
    </row>
    <row r="395" ht="12.75" customHeight="1">
      <c r="A395" s="89" t="s">
        <v>381</v>
      </c>
      <c r="B395" s="90" t="s">
        <v>3861</v>
      </c>
      <c r="C395" s="90"/>
      <c r="E395" s="79" t="s">
        <v>383</v>
      </c>
      <c r="F395" s="80"/>
      <c r="G395" s="80"/>
      <c r="H395" s="81"/>
      <c r="I395" s="80"/>
      <c r="J395" s="80"/>
      <c r="K395" s="80"/>
    </row>
    <row r="396" ht="12.75" customHeight="1">
      <c r="A396" s="119"/>
      <c r="B396" s="119"/>
      <c r="C396" s="119"/>
      <c r="D396" s="119"/>
      <c r="E396" s="120"/>
      <c r="F396" s="108"/>
      <c r="G396" s="108"/>
      <c r="H396" s="121"/>
      <c r="I396" s="108"/>
      <c r="J396" s="108"/>
      <c r="K396" s="108"/>
    </row>
    <row r="397" ht="12.75" customHeight="1">
      <c r="A397" s="89" t="s">
        <v>384</v>
      </c>
      <c r="B397" s="90" t="s">
        <v>3862</v>
      </c>
      <c r="C397" s="90"/>
      <c r="E397" s="79"/>
      <c r="F397" s="80"/>
      <c r="G397" s="80"/>
      <c r="H397" s="81"/>
      <c r="I397" s="80"/>
      <c r="J397" s="80"/>
      <c r="K397" s="80"/>
    </row>
    <row r="398" ht="12.75" customHeight="1">
      <c r="E398" s="79"/>
      <c r="F398" s="80"/>
      <c r="G398" s="80"/>
      <c r="H398" s="81"/>
      <c r="I398" s="80"/>
      <c r="J398" s="80"/>
      <c r="K398" s="80"/>
    </row>
    <row r="399" ht="12.75" customHeight="1">
      <c r="A399" s="89" t="s">
        <v>386</v>
      </c>
      <c r="B399" s="90" t="s">
        <v>3863</v>
      </c>
      <c r="C399" s="90"/>
      <c r="D399" s="89" t="s">
        <v>75</v>
      </c>
      <c r="E399" s="91">
        <v>1.0</v>
      </c>
      <c r="F399" s="92">
        <v>1665.41</v>
      </c>
      <c r="G399" s="92">
        <v>1665.41</v>
      </c>
      <c r="H399" s="93"/>
      <c r="I399" s="92"/>
      <c r="J399" s="92"/>
      <c r="K399" s="92"/>
    </row>
    <row r="400" ht="12.75" customHeight="1">
      <c r="E400" s="79"/>
      <c r="F400" s="80"/>
      <c r="G400" s="80"/>
      <c r="H400" s="81"/>
      <c r="I400" s="80"/>
      <c r="J400" s="80"/>
      <c r="K400" s="80"/>
    </row>
    <row r="401" ht="12.75" customHeight="1">
      <c r="A401" s="89" t="s">
        <v>388</v>
      </c>
      <c r="B401" s="90" t="s">
        <v>3864</v>
      </c>
      <c r="C401" s="90"/>
      <c r="D401" s="89" t="s">
        <v>75</v>
      </c>
      <c r="E401" s="91">
        <v>1.0</v>
      </c>
      <c r="F401" s="92">
        <v>6936.85</v>
      </c>
      <c r="G401" s="92">
        <v>6936.85</v>
      </c>
      <c r="H401" s="93"/>
      <c r="I401" s="92"/>
      <c r="J401" s="92"/>
      <c r="K401" s="92"/>
    </row>
    <row r="402" ht="12.75" customHeight="1">
      <c r="E402" s="79"/>
      <c r="F402" s="80"/>
      <c r="G402" s="80"/>
      <c r="H402" s="81"/>
      <c r="I402" s="80"/>
      <c r="J402" s="80"/>
      <c r="K402" s="80"/>
    </row>
    <row r="403" ht="12.75" customHeight="1">
      <c r="A403" s="89" t="s">
        <v>390</v>
      </c>
      <c r="B403" s="90" t="s">
        <v>3865</v>
      </c>
      <c r="C403" s="90"/>
      <c r="D403" s="89" t="s">
        <v>75</v>
      </c>
      <c r="E403" s="91">
        <v>1.0</v>
      </c>
      <c r="F403" s="92">
        <v>6859.59</v>
      </c>
      <c r="G403" s="92">
        <v>6859.59</v>
      </c>
      <c r="H403" s="93"/>
      <c r="I403" s="92"/>
      <c r="J403" s="92"/>
      <c r="K403" s="92"/>
    </row>
    <row r="404" ht="12.75" customHeight="1">
      <c r="E404" s="79"/>
      <c r="F404" s="80"/>
      <c r="G404" s="80"/>
      <c r="H404" s="81"/>
      <c r="I404" s="80"/>
      <c r="J404" s="80"/>
      <c r="K404" s="80"/>
    </row>
    <row r="405" ht="12.75" customHeight="1">
      <c r="A405" s="89" t="s">
        <v>392</v>
      </c>
      <c r="B405" s="90" t="s">
        <v>3866</v>
      </c>
      <c r="C405" s="90"/>
      <c r="D405" s="89" t="s">
        <v>75</v>
      </c>
      <c r="E405" s="91">
        <v>1.0</v>
      </c>
      <c r="F405" s="92">
        <v>5117.07</v>
      </c>
      <c r="G405" s="92">
        <v>5117.07</v>
      </c>
      <c r="H405" s="93"/>
      <c r="I405" s="92"/>
      <c r="J405" s="92"/>
      <c r="K405" s="92"/>
    </row>
    <row r="406" ht="12.75" customHeight="1">
      <c r="E406" s="79"/>
      <c r="F406" s="80"/>
      <c r="G406" s="80"/>
      <c r="H406" s="81"/>
      <c r="I406" s="80"/>
      <c r="J406" s="80"/>
      <c r="K406" s="80"/>
    </row>
    <row r="407" ht="12.75" customHeight="1">
      <c r="A407" s="89" t="s">
        <v>394</v>
      </c>
      <c r="B407" s="90" t="s">
        <v>3867</v>
      </c>
      <c r="C407" s="90"/>
      <c r="D407" s="89" t="s">
        <v>75</v>
      </c>
      <c r="E407" s="91">
        <v>1.0</v>
      </c>
      <c r="F407" s="92">
        <v>8348.21</v>
      </c>
      <c r="G407" s="92">
        <v>8348.21</v>
      </c>
      <c r="H407" s="93"/>
      <c r="I407" s="92"/>
      <c r="J407" s="92"/>
      <c r="K407" s="92"/>
    </row>
    <row r="408" ht="12.75" customHeight="1">
      <c r="E408" s="79"/>
      <c r="F408" s="80"/>
      <c r="G408" s="80"/>
      <c r="H408" s="81"/>
      <c r="I408" s="80"/>
      <c r="J408" s="80"/>
      <c r="K408" s="80"/>
    </row>
    <row r="409" ht="12.75" customHeight="1">
      <c r="A409" s="89" t="s">
        <v>396</v>
      </c>
      <c r="B409" s="90" t="s">
        <v>3868</v>
      </c>
      <c r="C409" s="90"/>
      <c r="D409" s="89" t="s">
        <v>75</v>
      </c>
      <c r="E409" s="91">
        <v>1.0</v>
      </c>
      <c r="F409" s="92">
        <v>8645.02</v>
      </c>
      <c r="G409" s="92">
        <v>8645.02</v>
      </c>
      <c r="H409" s="93"/>
      <c r="I409" s="92"/>
      <c r="J409" s="92"/>
      <c r="K409" s="92"/>
    </row>
    <row r="410" ht="12.75" customHeight="1">
      <c r="E410" s="79"/>
      <c r="F410" s="80"/>
      <c r="G410" s="80"/>
      <c r="H410" s="81"/>
      <c r="I410" s="80"/>
      <c r="J410" s="80"/>
      <c r="K410" s="80"/>
    </row>
    <row r="411" ht="12.75" customHeight="1">
      <c r="A411" s="89" t="s">
        <v>398</v>
      </c>
      <c r="B411" s="90" t="s">
        <v>3869</v>
      </c>
      <c r="C411" s="90"/>
      <c r="D411" s="89" t="s">
        <v>75</v>
      </c>
      <c r="E411" s="91">
        <v>1.0</v>
      </c>
      <c r="F411" s="92">
        <v>7254.03</v>
      </c>
      <c r="G411" s="92">
        <v>7254.03</v>
      </c>
      <c r="H411" s="93"/>
      <c r="I411" s="92"/>
      <c r="J411" s="92"/>
      <c r="K411" s="92"/>
    </row>
    <row r="412" ht="12.75" customHeight="1">
      <c r="E412" s="79"/>
      <c r="F412" s="80"/>
      <c r="G412" s="80"/>
      <c r="H412" s="81"/>
      <c r="I412" s="80"/>
      <c r="J412" s="80"/>
      <c r="K412" s="80"/>
    </row>
    <row r="413" ht="12.75" customHeight="1">
      <c r="A413" s="89" t="s">
        <v>400</v>
      </c>
      <c r="B413" s="90" t="s">
        <v>3870</v>
      </c>
      <c r="C413" s="90"/>
      <c r="D413" s="89" t="s">
        <v>75</v>
      </c>
      <c r="E413" s="91">
        <v>1.0</v>
      </c>
      <c r="F413" s="92">
        <v>9842.38</v>
      </c>
      <c r="G413" s="92">
        <v>9842.38</v>
      </c>
      <c r="H413" s="93"/>
      <c r="I413" s="92"/>
      <c r="J413" s="92"/>
      <c r="K413" s="92"/>
    </row>
    <row r="414" ht="12.75" customHeight="1">
      <c r="E414" s="79"/>
      <c r="F414" s="80"/>
      <c r="G414" s="80"/>
      <c r="H414" s="81"/>
      <c r="I414" s="80"/>
      <c r="J414" s="80"/>
      <c r="K414" s="80"/>
    </row>
    <row r="415" ht="12.75" customHeight="1">
      <c r="A415" s="89" t="s">
        <v>402</v>
      </c>
      <c r="B415" s="90" t="s">
        <v>3871</v>
      </c>
      <c r="C415" s="90"/>
      <c r="D415" s="89" t="s">
        <v>75</v>
      </c>
      <c r="E415" s="91">
        <v>1.0</v>
      </c>
      <c r="F415" s="92">
        <v>9959.03</v>
      </c>
      <c r="G415" s="92">
        <v>9959.03</v>
      </c>
      <c r="H415" s="93"/>
      <c r="I415" s="92"/>
      <c r="J415" s="92"/>
      <c r="K415" s="92"/>
    </row>
    <row r="416" ht="12.75" customHeight="1">
      <c r="E416" s="79"/>
      <c r="F416" s="80"/>
      <c r="G416" s="80"/>
      <c r="H416" s="81"/>
      <c r="I416" s="80"/>
      <c r="J416" s="80"/>
      <c r="K416" s="80"/>
    </row>
    <row r="417" ht="12.75" customHeight="1">
      <c r="A417" s="89" t="s">
        <v>404</v>
      </c>
      <c r="B417" s="90" t="s">
        <v>3872</v>
      </c>
      <c r="C417" s="90"/>
      <c r="D417" s="89" t="s">
        <v>75</v>
      </c>
      <c r="E417" s="91">
        <v>1.0</v>
      </c>
      <c r="F417" s="92">
        <v>2212.66</v>
      </c>
      <c r="G417" s="92">
        <v>2212.66</v>
      </c>
      <c r="H417" s="93"/>
      <c r="I417" s="92"/>
      <c r="J417" s="92"/>
      <c r="K417" s="92"/>
    </row>
    <row r="418" ht="12.75" customHeight="1">
      <c r="E418" s="79"/>
      <c r="F418" s="80"/>
      <c r="G418" s="80"/>
      <c r="H418" s="81"/>
      <c r="I418" s="80"/>
      <c r="J418" s="80"/>
      <c r="K418" s="80"/>
    </row>
    <row r="419" ht="12.75" customHeight="1">
      <c r="A419" s="89" t="s">
        <v>406</v>
      </c>
      <c r="B419" s="90" t="s">
        <v>3873</v>
      </c>
      <c r="C419" s="90"/>
      <c r="D419" s="89" t="s">
        <v>75</v>
      </c>
      <c r="E419" s="91">
        <v>1.0</v>
      </c>
      <c r="F419" s="92">
        <v>5003.66</v>
      </c>
      <c r="G419" s="92">
        <v>5003.66</v>
      </c>
      <c r="H419" s="93"/>
      <c r="I419" s="92"/>
      <c r="J419" s="92"/>
      <c r="K419" s="92"/>
    </row>
    <row r="420" ht="12.75" customHeight="1">
      <c r="E420" s="79"/>
      <c r="F420" s="80"/>
      <c r="G420" s="80"/>
      <c r="H420" s="81"/>
      <c r="I420" s="80"/>
      <c r="J420" s="80"/>
      <c r="K420" s="80"/>
    </row>
    <row r="421" ht="12.75" customHeight="1">
      <c r="A421" s="89" t="s">
        <v>408</v>
      </c>
      <c r="B421" s="90" t="s">
        <v>3874</v>
      </c>
      <c r="C421" s="90"/>
      <c r="D421" s="89" t="s">
        <v>75</v>
      </c>
      <c r="E421" s="91">
        <v>1.0</v>
      </c>
      <c r="F421" s="92">
        <v>2343.99</v>
      </c>
      <c r="G421" s="92">
        <v>2343.99</v>
      </c>
      <c r="H421" s="93"/>
      <c r="I421" s="92"/>
      <c r="J421" s="92"/>
      <c r="K421" s="92"/>
    </row>
    <row r="422" ht="12.75" customHeight="1">
      <c r="E422" s="79"/>
      <c r="F422" s="80"/>
      <c r="G422" s="80"/>
      <c r="H422" s="81"/>
      <c r="I422" s="80"/>
      <c r="J422" s="80"/>
      <c r="K422" s="80"/>
    </row>
    <row r="423" ht="12.75" customHeight="1">
      <c r="A423" s="89" t="s">
        <v>410</v>
      </c>
      <c r="B423" s="90" t="s">
        <v>3875</v>
      </c>
      <c r="C423" s="90"/>
      <c r="D423" s="89" t="s">
        <v>75</v>
      </c>
      <c r="E423" s="91">
        <v>1.0</v>
      </c>
      <c r="F423" s="92">
        <v>29659.94</v>
      </c>
      <c r="G423" s="92">
        <v>29659.94</v>
      </c>
      <c r="H423" s="93"/>
      <c r="I423" s="92"/>
      <c r="J423" s="92"/>
      <c r="K423" s="92"/>
    </row>
    <row r="424" ht="12.75" customHeight="1">
      <c r="E424" s="79"/>
      <c r="F424" s="80"/>
      <c r="G424" s="80"/>
      <c r="H424" s="81"/>
      <c r="I424" s="80"/>
      <c r="J424" s="80"/>
      <c r="K424" s="80"/>
    </row>
    <row r="425" ht="12.75" customHeight="1">
      <c r="A425" s="89" t="s">
        <v>412</v>
      </c>
      <c r="B425" s="90" t="s">
        <v>3876</v>
      </c>
      <c r="C425" s="90"/>
      <c r="D425" s="89" t="s">
        <v>75</v>
      </c>
      <c r="E425" s="91">
        <v>1.0</v>
      </c>
      <c r="F425" s="92">
        <v>8245.19</v>
      </c>
      <c r="G425" s="92">
        <v>8245.19</v>
      </c>
      <c r="H425" s="93"/>
      <c r="I425" s="92"/>
      <c r="J425" s="92"/>
      <c r="K425" s="92"/>
    </row>
    <row r="426" ht="12.75" customHeight="1">
      <c r="E426" s="79"/>
      <c r="F426" s="80"/>
      <c r="G426" s="80"/>
      <c r="H426" s="81"/>
      <c r="I426" s="80"/>
      <c r="J426" s="80"/>
      <c r="K426" s="80"/>
    </row>
    <row r="427" ht="12.75" customHeight="1">
      <c r="A427" s="89" t="s">
        <v>414</v>
      </c>
      <c r="B427" s="90" t="s">
        <v>3877</v>
      </c>
      <c r="C427" s="90"/>
      <c r="D427" s="89" t="s">
        <v>75</v>
      </c>
      <c r="E427" s="91">
        <v>1.0</v>
      </c>
      <c r="F427" s="92">
        <v>6157.46</v>
      </c>
      <c r="G427" s="92">
        <v>6157.46</v>
      </c>
      <c r="H427" s="93"/>
      <c r="I427" s="92"/>
      <c r="J427" s="92"/>
      <c r="K427" s="92"/>
    </row>
    <row r="428" ht="12.75" customHeight="1">
      <c r="E428" s="79"/>
      <c r="F428" s="80"/>
      <c r="G428" s="80"/>
      <c r="H428" s="81"/>
      <c r="I428" s="80"/>
      <c r="J428" s="80"/>
      <c r="K428" s="80"/>
    </row>
    <row r="429" ht="12.75" customHeight="1">
      <c r="A429" s="89" t="s">
        <v>416</v>
      </c>
      <c r="B429" s="90" t="s">
        <v>3878</v>
      </c>
      <c r="C429" s="90"/>
      <c r="D429" s="89" t="s">
        <v>75</v>
      </c>
      <c r="E429" s="91">
        <v>1.0</v>
      </c>
      <c r="F429" s="92">
        <v>4489.9</v>
      </c>
      <c r="G429" s="92">
        <v>4489.9</v>
      </c>
      <c r="H429" s="93"/>
      <c r="I429" s="92"/>
      <c r="J429" s="92"/>
      <c r="K429" s="92"/>
    </row>
    <row r="430" ht="12.75" customHeight="1">
      <c r="E430" s="79"/>
      <c r="F430" s="80"/>
      <c r="G430" s="80"/>
      <c r="H430" s="81"/>
      <c r="I430" s="80"/>
      <c r="J430" s="80"/>
      <c r="K430" s="80"/>
    </row>
    <row r="431" ht="12.75" customHeight="1">
      <c r="A431" s="89" t="s">
        <v>418</v>
      </c>
      <c r="B431" s="90" t="s">
        <v>3879</v>
      </c>
      <c r="C431" s="90"/>
      <c r="D431" s="89" t="s">
        <v>75</v>
      </c>
      <c r="E431" s="91">
        <v>1.0</v>
      </c>
      <c r="F431" s="92">
        <v>5300.08</v>
      </c>
      <c r="G431" s="92">
        <v>5300.08</v>
      </c>
      <c r="H431" s="93"/>
      <c r="I431" s="92"/>
      <c r="J431" s="92"/>
      <c r="K431" s="92"/>
    </row>
    <row r="432" ht="12.75" customHeight="1">
      <c r="E432" s="79"/>
      <c r="F432" s="80"/>
      <c r="G432" s="80"/>
      <c r="H432" s="81"/>
      <c r="I432" s="80"/>
      <c r="J432" s="80"/>
      <c r="K432" s="80"/>
    </row>
    <row r="433" ht="12.75" customHeight="1">
      <c r="A433" s="89" t="s">
        <v>420</v>
      </c>
      <c r="B433" s="90" t="s">
        <v>3880</v>
      </c>
      <c r="C433" s="90"/>
      <c r="D433" s="89" t="s">
        <v>75</v>
      </c>
      <c r="E433" s="91">
        <v>1.0</v>
      </c>
      <c r="F433" s="92">
        <v>5491.28</v>
      </c>
      <c r="G433" s="92">
        <v>5491.28</v>
      </c>
      <c r="H433" s="93"/>
      <c r="I433" s="92"/>
      <c r="J433" s="92"/>
      <c r="K433" s="92"/>
    </row>
    <row r="434" ht="12.75" customHeight="1">
      <c r="E434" s="79"/>
      <c r="F434" s="80"/>
      <c r="G434" s="80"/>
      <c r="H434" s="81"/>
      <c r="I434" s="80"/>
      <c r="J434" s="80"/>
      <c r="K434" s="80"/>
    </row>
    <row r="435" ht="12.75" customHeight="1">
      <c r="A435" s="89" t="s">
        <v>422</v>
      </c>
      <c r="B435" s="90" t="s">
        <v>3881</v>
      </c>
      <c r="C435" s="90"/>
      <c r="D435" s="89" t="s">
        <v>75</v>
      </c>
      <c r="E435" s="91">
        <v>1.0</v>
      </c>
      <c r="F435" s="92">
        <v>1697.15</v>
      </c>
      <c r="G435" s="92">
        <v>1697.15</v>
      </c>
      <c r="H435" s="93"/>
      <c r="I435" s="92"/>
      <c r="J435" s="92"/>
      <c r="K435" s="92"/>
    </row>
    <row r="436" ht="12.75" customHeight="1">
      <c r="E436" s="79"/>
      <c r="F436" s="80"/>
      <c r="G436" s="80"/>
      <c r="H436" s="81"/>
      <c r="I436" s="80"/>
      <c r="J436" s="80"/>
      <c r="K436" s="80"/>
    </row>
    <row r="437" ht="12.75" customHeight="1">
      <c r="A437" s="89" t="s">
        <v>424</v>
      </c>
      <c r="B437" s="90" t="s">
        <v>3882</v>
      </c>
      <c r="C437" s="90"/>
      <c r="D437" s="89" t="s">
        <v>75</v>
      </c>
      <c r="E437" s="91">
        <v>1.0</v>
      </c>
      <c r="F437" s="92">
        <v>5003.66</v>
      </c>
      <c r="G437" s="92">
        <v>5003.66</v>
      </c>
      <c r="H437" s="93"/>
      <c r="I437" s="92"/>
      <c r="J437" s="92"/>
      <c r="K437" s="92"/>
    </row>
    <row r="438" ht="12.75" customHeight="1">
      <c r="E438" s="79"/>
      <c r="F438" s="80"/>
      <c r="G438" s="80"/>
      <c r="H438" s="81"/>
      <c r="I438" s="80"/>
      <c r="J438" s="80"/>
      <c r="K438" s="80"/>
    </row>
    <row r="439" ht="12.75" customHeight="1">
      <c r="A439" s="89" t="s">
        <v>426</v>
      </c>
      <c r="B439" s="90" t="s">
        <v>3883</v>
      </c>
      <c r="C439" s="90"/>
      <c r="D439" s="89" t="s">
        <v>75</v>
      </c>
      <c r="E439" s="91">
        <v>1.0</v>
      </c>
      <c r="F439" s="92">
        <v>1269.31</v>
      </c>
      <c r="G439" s="92">
        <v>1269.31</v>
      </c>
      <c r="H439" s="93"/>
      <c r="I439" s="92"/>
      <c r="J439" s="92"/>
      <c r="K439" s="92"/>
    </row>
    <row r="440" ht="12.75" customHeight="1">
      <c r="E440" s="79"/>
      <c r="F440" s="80"/>
      <c r="G440" s="80"/>
      <c r="H440" s="81"/>
      <c r="I440" s="80"/>
      <c r="J440" s="80"/>
      <c r="K440" s="80"/>
    </row>
    <row r="441" ht="12.75" customHeight="1">
      <c r="A441" s="89" t="s">
        <v>428</v>
      </c>
      <c r="B441" s="90" t="s">
        <v>3884</v>
      </c>
      <c r="C441" s="90"/>
      <c r="E441" s="79"/>
      <c r="F441" s="80"/>
      <c r="G441" s="80"/>
      <c r="H441" s="81"/>
      <c r="I441" s="80"/>
      <c r="J441" s="80"/>
      <c r="K441" s="80"/>
    </row>
    <row r="442" ht="12.75" customHeight="1">
      <c r="E442" s="79"/>
      <c r="F442" s="80"/>
      <c r="G442" s="80"/>
      <c r="H442" s="81"/>
      <c r="I442" s="80"/>
      <c r="J442" s="80"/>
      <c r="K442" s="80"/>
    </row>
    <row r="443" ht="12.75" customHeight="1">
      <c r="A443" s="89" t="s">
        <v>430</v>
      </c>
      <c r="B443" s="90" t="s">
        <v>3885</v>
      </c>
      <c r="C443" s="90"/>
      <c r="D443" s="89" t="s">
        <v>75</v>
      </c>
      <c r="E443" s="91">
        <v>1.0</v>
      </c>
      <c r="F443" s="92">
        <v>403.01</v>
      </c>
      <c r="G443" s="92">
        <v>403.01</v>
      </c>
      <c r="H443" s="93"/>
      <c r="I443" s="92"/>
      <c r="J443" s="92"/>
      <c r="K443" s="92"/>
    </row>
    <row r="444" ht="12.75" customHeight="1">
      <c r="E444" s="79"/>
      <c r="F444" s="80"/>
      <c r="G444" s="80"/>
      <c r="H444" s="81"/>
      <c r="I444" s="80"/>
      <c r="J444" s="80"/>
      <c r="K444" s="80"/>
    </row>
    <row r="445" ht="12.75" customHeight="1">
      <c r="A445" s="89" t="s">
        <v>432</v>
      </c>
      <c r="B445" s="90" t="s">
        <v>2313</v>
      </c>
      <c r="C445" s="90"/>
      <c r="E445" s="79"/>
      <c r="F445" s="80"/>
      <c r="G445" s="80"/>
      <c r="H445" s="81"/>
      <c r="I445" s="80"/>
      <c r="J445" s="80"/>
      <c r="K445" s="80"/>
    </row>
    <row r="446" ht="12.75" customHeight="1">
      <c r="E446" s="79"/>
      <c r="F446" s="80"/>
      <c r="G446" s="80"/>
      <c r="H446" s="81"/>
      <c r="I446" s="80"/>
      <c r="J446" s="80"/>
      <c r="K446" s="80"/>
    </row>
    <row r="447" ht="12.75" customHeight="1">
      <c r="A447" s="89" t="s">
        <v>434</v>
      </c>
      <c r="B447" s="90" t="s">
        <v>3886</v>
      </c>
      <c r="C447" s="90"/>
      <c r="E447" s="79"/>
      <c r="F447" s="80"/>
      <c r="G447" s="80"/>
      <c r="H447" s="81"/>
      <c r="I447" s="80"/>
      <c r="J447" s="80"/>
      <c r="K447" s="80"/>
    </row>
    <row r="448" ht="12.75" customHeight="1">
      <c r="E448" s="79"/>
      <c r="F448" s="80"/>
      <c r="G448" s="80"/>
      <c r="H448" s="81"/>
      <c r="I448" s="80"/>
      <c r="J448" s="80"/>
      <c r="K448" s="80"/>
    </row>
    <row r="449" ht="12.75" customHeight="1">
      <c r="A449" s="89" t="s">
        <v>436</v>
      </c>
      <c r="B449" s="90" t="s">
        <v>3887</v>
      </c>
      <c r="C449" s="90"/>
      <c r="D449" s="89" t="s">
        <v>75</v>
      </c>
      <c r="E449" s="91">
        <v>1.0</v>
      </c>
      <c r="F449" s="92">
        <v>1435.6</v>
      </c>
      <c r="G449" s="92">
        <v>1435.6</v>
      </c>
      <c r="H449" s="93"/>
      <c r="I449" s="92"/>
      <c r="J449" s="92"/>
      <c r="K449" s="92"/>
    </row>
    <row r="450" ht="12.75" customHeight="1">
      <c r="E450" s="79"/>
      <c r="F450" s="80"/>
      <c r="G450" s="80"/>
      <c r="H450" s="81"/>
      <c r="I450" s="80"/>
      <c r="J450" s="80"/>
      <c r="K450" s="80"/>
    </row>
    <row r="451" ht="12.75" customHeight="1">
      <c r="A451" s="89" t="s">
        <v>438</v>
      </c>
      <c r="B451" s="90" t="s">
        <v>3888</v>
      </c>
      <c r="C451" s="90"/>
      <c r="E451" s="79"/>
      <c r="F451" s="80"/>
      <c r="G451" s="80"/>
      <c r="H451" s="81"/>
      <c r="I451" s="80"/>
      <c r="J451" s="80"/>
      <c r="K451" s="80"/>
    </row>
    <row r="452" ht="12.75" customHeight="1">
      <c r="E452" s="79"/>
      <c r="F452" s="80"/>
      <c r="G452" s="80"/>
      <c r="H452" s="81"/>
      <c r="I452" s="80"/>
      <c r="J452" s="80"/>
      <c r="K452" s="80"/>
    </row>
    <row r="453" ht="12.75" customHeight="1">
      <c r="A453" s="89" t="s">
        <v>440</v>
      </c>
      <c r="B453" s="90" t="s">
        <v>3889</v>
      </c>
      <c r="C453" s="90"/>
      <c r="D453" s="89" t="s">
        <v>75</v>
      </c>
      <c r="E453" s="91">
        <v>1.0</v>
      </c>
      <c r="F453" s="92">
        <v>1435.6</v>
      </c>
      <c r="G453" s="92">
        <v>1435.6</v>
      </c>
      <c r="H453" s="93"/>
      <c r="I453" s="92"/>
      <c r="J453" s="92"/>
      <c r="K453" s="92"/>
    </row>
    <row r="454" ht="12.75" customHeight="1">
      <c r="E454" s="79"/>
      <c r="F454" s="80"/>
      <c r="G454" s="80"/>
      <c r="H454" s="81"/>
      <c r="I454" s="80"/>
      <c r="J454" s="80"/>
      <c r="K454" s="80"/>
    </row>
    <row r="455" ht="12.75" customHeight="1">
      <c r="A455" s="89" t="s">
        <v>442</v>
      </c>
      <c r="B455" s="90" t="s">
        <v>3890</v>
      </c>
      <c r="C455" s="90"/>
      <c r="E455" s="79"/>
      <c r="F455" s="80"/>
      <c r="G455" s="80"/>
      <c r="H455" s="81"/>
      <c r="I455" s="80"/>
      <c r="J455" s="80"/>
      <c r="K455" s="80"/>
    </row>
    <row r="456" ht="12.75" customHeight="1">
      <c r="E456" s="79"/>
      <c r="F456" s="80"/>
      <c r="G456" s="80"/>
      <c r="H456" s="81"/>
      <c r="I456" s="80"/>
      <c r="J456" s="80"/>
      <c r="K456" s="80"/>
    </row>
    <row r="457" ht="12.75" customHeight="1">
      <c r="A457" s="89" t="s">
        <v>444</v>
      </c>
      <c r="B457" s="90" t="s">
        <v>3891</v>
      </c>
      <c r="C457" s="90"/>
      <c r="D457" s="89" t="s">
        <v>75</v>
      </c>
      <c r="E457" s="91">
        <v>1.0</v>
      </c>
      <c r="F457" s="92">
        <v>1507.46</v>
      </c>
      <c r="G457" s="92">
        <v>1507.46</v>
      </c>
      <c r="H457" s="93"/>
      <c r="I457" s="92"/>
      <c r="J457" s="92"/>
      <c r="K457" s="92"/>
    </row>
    <row r="458" ht="12.75" customHeight="1">
      <c r="E458" s="79"/>
      <c r="F458" s="80"/>
      <c r="G458" s="80"/>
      <c r="H458" s="81"/>
      <c r="I458" s="80"/>
      <c r="J458" s="80"/>
      <c r="K458" s="80"/>
    </row>
    <row r="459" ht="12.75" customHeight="1">
      <c r="A459" s="89" t="s">
        <v>446</v>
      </c>
      <c r="B459" s="90" t="s">
        <v>3892</v>
      </c>
      <c r="C459" s="90"/>
      <c r="D459" s="89" t="s">
        <v>75</v>
      </c>
      <c r="E459" s="91">
        <v>1.0</v>
      </c>
      <c r="F459" s="92">
        <v>1507.46</v>
      </c>
      <c r="G459" s="92">
        <v>1507.46</v>
      </c>
      <c r="H459" s="93"/>
      <c r="I459" s="92"/>
      <c r="J459" s="92"/>
      <c r="K459" s="92"/>
    </row>
    <row r="460" ht="12.75" customHeight="1">
      <c r="E460" s="79"/>
      <c r="F460" s="80"/>
      <c r="G460" s="80"/>
      <c r="H460" s="81"/>
      <c r="I460" s="80"/>
      <c r="J460" s="80"/>
      <c r="K460" s="80"/>
    </row>
    <row r="461" ht="12.75" customHeight="1">
      <c r="A461" s="89" t="s">
        <v>448</v>
      </c>
      <c r="B461" s="90" t="s">
        <v>3893</v>
      </c>
      <c r="C461" s="90"/>
      <c r="E461" s="79"/>
      <c r="F461" s="80"/>
      <c r="G461" s="80"/>
      <c r="H461" s="81"/>
      <c r="I461" s="80"/>
      <c r="J461" s="80"/>
      <c r="K461" s="80"/>
    </row>
    <row r="462" ht="12.75" customHeight="1">
      <c r="E462" s="79"/>
      <c r="F462" s="80"/>
      <c r="G462" s="80"/>
      <c r="H462" s="81"/>
      <c r="I462" s="80"/>
      <c r="J462" s="80"/>
      <c r="K462" s="80"/>
    </row>
    <row r="463" ht="12.75" customHeight="1">
      <c r="A463" s="89" t="s">
        <v>450</v>
      </c>
      <c r="B463" s="90" t="s">
        <v>3894</v>
      </c>
      <c r="C463" s="90"/>
      <c r="D463" s="89" t="s">
        <v>75</v>
      </c>
      <c r="E463" s="91">
        <v>1.0</v>
      </c>
      <c r="F463" s="92">
        <v>1432.24</v>
      </c>
      <c r="G463" s="92">
        <v>1432.24</v>
      </c>
      <c r="H463" s="93"/>
      <c r="I463" s="92"/>
      <c r="J463" s="92"/>
      <c r="K463" s="92"/>
    </row>
    <row r="464" ht="12.75" customHeight="1">
      <c r="E464" s="79"/>
      <c r="F464" s="80"/>
      <c r="G464" s="80"/>
      <c r="H464" s="81"/>
      <c r="I464" s="80"/>
      <c r="J464" s="80"/>
      <c r="K464" s="80"/>
    </row>
    <row r="465" ht="12.75" customHeight="1">
      <c r="A465" s="89" t="s">
        <v>452</v>
      </c>
      <c r="B465" s="90" t="s">
        <v>3895</v>
      </c>
      <c r="C465" s="90"/>
      <c r="E465" s="79"/>
      <c r="F465" s="80"/>
      <c r="G465" s="80"/>
      <c r="H465" s="81"/>
      <c r="I465" s="80"/>
      <c r="J465" s="80"/>
      <c r="K465" s="80"/>
    </row>
    <row r="466" ht="12.75" customHeight="1">
      <c r="E466" s="79"/>
      <c r="F466" s="80"/>
      <c r="G466" s="80"/>
      <c r="H466" s="81"/>
      <c r="I466" s="80"/>
      <c r="J466" s="80"/>
      <c r="K466" s="80"/>
    </row>
    <row r="467" ht="12.75" customHeight="1">
      <c r="A467" s="89" t="s">
        <v>454</v>
      </c>
      <c r="B467" s="90" t="s">
        <v>3896</v>
      </c>
      <c r="C467" s="90"/>
      <c r="D467" s="89" t="s">
        <v>75</v>
      </c>
      <c r="E467" s="91">
        <v>1.0</v>
      </c>
      <c r="F467" s="92">
        <v>1275.9</v>
      </c>
      <c r="G467" s="92">
        <v>1275.9</v>
      </c>
      <c r="H467" s="93"/>
      <c r="I467" s="92"/>
      <c r="J467" s="92"/>
      <c r="K467" s="92"/>
    </row>
    <row r="468" ht="12.75" customHeight="1">
      <c r="E468" s="79"/>
      <c r="F468" s="80"/>
      <c r="G468" s="80"/>
      <c r="H468" s="81"/>
      <c r="I468" s="80"/>
      <c r="J468" s="80"/>
      <c r="K468" s="80"/>
    </row>
    <row r="469" ht="12.75" customHeight="1">
      <c r="A469" s="89" t="s">
        <v>456</v>
      </c>
      <c r="B469" s="90" t="s">
        <v>3897</v>
      </c>
      <c r="C469" s="90"/>
      <c r="E469" s="79"/>
      <c r="F469" s="80"/>
      <c r="G469" s="80"/>
      <c r="H469" s="81"/>
      <c r="I469" s="80"/>
      <c r="J469" s="80"/>
      <c r="K469" s="80"/>
    </row>
    <row r="470" ht="12.75" customHeight="1">
      <c r="E470" s="79"/>
      <c r="F470" s="80"/>
      <c r="G470" s="80"/>
      <c r="H470" s="81"/>
      <c r="I470" s="80"/>
      <c r="J470" s="80"/>
      <c r="K470" s="80"/>
    </row>
    <row r="471" ht="12.75" customHeight="1">
      <c r="A471" s="89" t="s">
        <v>458</v>
      </c>
      <c r="B471" s="90" t="s">
        <v>3898</v>
      </c>
      <c r="C471" s="90"/>
      <c r="D471" s="89" t="s">
        <v>75</v>
      </c>
      <c r="E471" s="91">
        <v>1.0</v>
      </c>
      <c r="F471" s="92">
        <v>1430.56</v>
      </c>
      <c r="G471" s="92">
        <v>1430.56</v>
      </c>
      <c r="H471" s="93"/>
      <c r="I471" s="92"/>
      <c r="J471" s="92"/>
      <c r="K471" s="92"/>
    </row>
    <row r="472" ht="12.75" customHeight="1">
      <c r="E472" s="79"/>
      <c r="F472" s="80"/>
      <c r="G472" s="80"/>
      <c r="H472" s="81"/>
      <c r="I472" s="80"/>
      <c r="J472" s="80"/>
      <c r="K472" s="80"/>
    </row>
    <row r="473" ht="12.75" customHeight="1">
      <c r="A473" s="89" t="s">
        <v>460</v>
      </c>
      <c r="B473" s="90" t="s">
        <v>3899</v>
      </c>
      <c r="C473" s="90"/>
      <c r="D473" s="89" t="s">
        <v>75</v>
      </c>
      <c r="E473" s="91">
        <v>1.0</v>
      </c>
      <c r="F473" s="92">
        <v>3363.74</v>
      </c>
      <c r="G473" s="92">
        <v>3363.74</v>
      </c>
      <c r="H473" s="93"/>
      <c r="I473" s="92"/>
      <c r="J473" s="92"/>
      <c r="K473" s="92"/>
    </row>
    <row r="474" ht="12.75" customHeight="1">
      <c r="E474" s="79"/>
      <c r="F474" s="80"/>
      <c r="G474" s="80"/>
      <c r="H474" s="81"/>
      <c r="I474" s="80"/>
      <c r="J474" s="80"/>
      <c r="K474" s="80"/>
    </row>
    <row r="475" ht="12.75" customHeight="1">
      <c r="A475" s="89" t="s">
        <v>462</v>
      </c>
      <c r="B475" s="90" t="s">
        <v>3900</v>
      </c>
      <c r="C475" s="90"/>
      <c r="D475" s="89" t="s">
        <v>75</v>
      </c>
      <c r="E475" s="91">
        <v>1.0</v>
      </c>
      <c r="F475" s="92">
        <v>1386.85</v>
      </c>
      <c r="G475" s="92">
        <v>1386.85</v>
      </c>
      <c r="H475" s="93"/>
      <c r="I475" s="92"/>
      <c r="J475" s="92"/>
      <c r="K475" s="92"/>
    </row>
    <row r="476" ht="12.75" customHeight="1">
      <c r="E476" s="79"/>
      <c r="F476" s="80"/>
      <c r="G476" s="80"/>
      <c r="H476" s="81"/>
      <c r="I476" s="80"/>
      <c r="J476" s="80"/>
      <c r="K476" s="80"/>
    </row>
    <row r="477" ht="12.75" customHeight="1">
      <c r="A477" s="89" t="s">
        <v>464</v>
      </c>
      <c r="B477" s="90" t="s">
        <v>2344</v>
      </c>
      <c r="C477" s="90"/>
      <c r="E477" s="79"/>
      <c r="F477" s="80"/>
      <c r="G477" s="80"/>
      <c r="H477" s="81"/>
      <c r="I477" s="80"/>
      <c r="J477" s="80"/>
      <c r="K477" s="80"/>
    </row>
    <row r="478" ht="12.75" customHeight="1">
      <c r="E478" s="79"/>
      <c r="F478" s="80"/>
      <c r="G478" s="80"/>
      <c r="H478" s="81"/>
      <c r="I478" s="80"/>
      <c r="J478" s="80"/>
      <c r="K478" s="80"/>
    </row>
    <row r="479" ht="12.75" customHeight="1">
      <c r="A479" s="89" t="s">
        <v>466</v>
      </c>
      <c r="B479" s="90" t="s">
        <v>3901</v>
      </c>
      <c r="C479" s="90"/>
      <c r="E479" s="79"/>
      <c r="F479" s="80"/>
      <c r="G479" s="80"/>
      <c r="H479" s="81"/>
      <c r="I479" s="80"/>
      <c r="J479" s="80"/>
      <c r="K479" s="80"/>
    </row>
    <row r="480" ht="12.75" customHeight="1">
      <c r="E480" s="79"/>
      <c r="F480" s="80"/>
      <c r="G480" s="80"/>
      <c r="H480" s="81"/>
      <c r="I480" s="80"/>
      <c r="J480" s="80"/>
      <c r="K480" s="80"/>
    </row>
    <row r="481" ht="12.75" customHeight="1">
      <c r="A481" s="89" t="s">
        <v>468</v>
      </c>
      <c r="B481" s="90" t="s">
        <v>3902</v>
      </c>
      <c r="C481" s="90"/>
      <c r="D481" s="89" t="s">
        <v>75</v>
      </c>
      <c r="E481" s="91">
        <v>1.0</v>
      </c>
      <c r="F481" s="92">
        <v>1913.56</v>
      </c>
      <c r="G481" s="92">
        <v>1913.56</v>
      </c>
      <c r="H481" s="93"/>
      <c r="I481" s="92"/>
      <c r="J481" s="92"/>
      <c r="K481" s="92"/>
    </row>
    <row r="482" ht="12.75" customHeight="1">
      <c r="E482" s="79"/>
      <c r="F482" s="80"/>
      <c r="G482" s="80"/>
      <c r="H482" s="81"/>
      <c r="I482" s="80"/>
      <c r="J482" s="80"/>
      <c r="K482" s="80"/>
    </row>
    <row r="483" ht="12.75" customHeight="1">
      <c r="A483" s="89" t="s">
        <v>470</v>
      </c>
      <c r="B483" s="90" t="s">
        <v>2349</v>
      </c>
      <c r="C483" s="90"/>
      <c r="E483" s="79"/>
      <c r="F483" s="80"/>
      <c r="G483" s="80"/>
      <c r="H483" s="81"/>
      <c r="I483" s="80"/>
      <c r="J483" s="80"/>
      <c r="K483" s="80"/>
    </row>
    <row r="484" ht="12.75" customHeight="1">
      <c r="E484" s="79"/>
      <c r="F484" s="80"/>
      <c r="G484" s="80"/>
      <c r="H484" s="81"/>
      <c r="I484" s="80"/>
      <c r="J484" s="80"/>
      <c r="K484" s="80"/>
    </row>
    <row r="485" ht="12.75" customHeight="1">
      <c r="A485" s="89" t="s">
        <v>472</v>
      </c>
      <c r="B485" s="90" t="s">
        <v>3903</v>
      </c>
      <c r="C485" s="90"/>
      <c r="E485" s="79"/>
      <c r="F485" s="80"/>
      <c r="G485" s="80"/>
      <c r="H485" s="81"/>
      <c r="I485" s="80"/>
      <c r="J485" s="80"/>
      <c r="K485" s="80"/>
    </row>
    <row r="486" ht="12.75" customHeight="1">
      <c r="E486" s="79"/>
      <c r="F486" s="80"/>
      <c r="G486" s="80"/>
      <c r="H486" s="81"/>
      <c r="I486" s="80"/>
      <c r="J486" s="80"/>
      <c r="K486" s="80"/>
    </row>
    <row r="487" ht="12.75" customHeight="1">
      <c r="A487" s="89" t="s">
        <v>474</v>
      </c>
      <c r="B487" s="90" t="s">
        <v>3904</v>
      </c>
      <c r="C487" s="90"/>
      <c r="D487" s="89" t="s">
        <v>75</v>
      </c>
      <c r="E487" s="91">
        <v>1.0</v>
      </c>
      <c r="F487" s="92">
        <v>4214.86</v>
      </c>
      <c r="G487" s="92">
        <v>4214.86</v>
      </c>
      <c r="H487" s="93"/>
      <c r="I487" s="92"/>
      <c r="J487" s="92"/>
      <c r="K487" s="92"/>
    </row>
    <row r="488" ht="12.75" customHeight="1">
      <c r="E488" s="79"/>
      <c r="F488" s="80"/>
      <c r="G488" s="80"/>
      <c r="H488" s="81"/>
      <c r="I488" s="80"/>
      <c r="J488" s="80"/>
      <c r="K488" s="80"/>
    </row>
    <row r="489" ht="12.75" customHeight="1">
      <c r="A489" s="89" t="s">
        <v>476</v>
      </c>
      <c r="B489" s="90" t="s">
        <v>2353</v>
      </c>
      <c r="C489" s="90"/>
      <c r="E489" s="79"/>
      <c r="F489" s="80"/>
      <c r="G489" s="80"/>
      <c r="H489" s="81"/>
      <c r="I489" s="80"/>
      <c r="J489" s="80"/>
      <c r="K489" s="80"/>
    </row>
    <row r="490" ht="12.75" customHeight="1">
      <c r="E490" s="79"/>
      <c r="F490" s="80"/>
      <c r="G490" s="80"/>
      <c r="H490" s="81"/>
      <c r="I490" s="80"/>
      <c r="J490" s="80"/>
      <c r="K490" s="80"/>
    </row>
    <row r="491" ht="12.75" customHeight="1">
      <c r="A491" s="89" t="s">
        <v>478</v>
      </c>
      <c r="B491" s="90" t="s">
        <v>3905</v>
      </c>
      <c r="C491" s="90"/>
      <c r="D491" s="89" t="s">
        <v>227</v>
      </c>
      <c r="E491" s="91">
        <v>1.0</v>
      </c>
      <c r="F491" s="92">
        <v>38793.0</v>
      </c>
      <c r="G491" s="92">
        <v>38793.0</v>
      </c>
      <c r="H491" s="93"/>
      <c r="I491" s="92"/>
      <c r="J491" s="92"/>
      <c r="K491" s="92"/>
    </row>
    <row r="492" ht="12.75" customHeight="1">
      <c r="E492" s="79"/>
      <c r="F492" s="80"/>
      <c r="G492" s="80"/>
      <c r="H492" s="81"/>
      <c r="I492" s="80"/>
      <c r="J492" s="80"/>
      <c r="K492" s="80"/>
    </row>
    <row r="493" ht="12.75" customHeight="1">
      <c r="A493" s="89" t="s">
        <v>480</v>
      </c>
      <c r="B493" s="90" t="s">
        <v>2356</v>
      </c>
      <c r="C493" s="90"/>
      <c r="E493" s="79"/>
      <c r="F493" s="80"/>
      <c r="G493" s="80"/>
      <c r="H493" s="81"/>
      <c r="I493" s="80"/>
      <c r="J493" s="80"/>
      <c r="K493" s="80"/>
    </row>
    <row r="494" ht="12.75" customHeight="1">
      <c r="E494" s="79"/>
      <c r="F494" s="80"/>
      <c r="G494" s="80"/>
      <c r="H494" s="81"/>
      <c r="I494" s="80"/>
      <c r="J494" s="80"/>
      <c r="K494" s="80"/>
    </row>
    <row r="495" ht="12.75" customHeight="1">
      <c r="A495" s="89" t="s">
        <v>482</v>
      </c>
      <c r="B495" s="90" t="s">
        <v>3906</v>
      </c>
      <c r="C495" s="90"/>
      <c r="E495" s="79"/>
      <c r="F495" s="80"/>
      <c r="G495" s="80"/>
      <c r="H495" s="81"/>
      <c r="I495" s="80"/>
      <c r="J495" s="80"/>
      <c r="K495" s="80"/>
    </row>
    <row r="496" ht="12.75" customHeight="1">
      <c r="E496" s="79"/>
      <c r="F496" s="80"/>
      <c r="G496" s="80"/>
      <c r="H496" s="81"/>
      <c r="I496" s="80"/>
      <c r="J496" s="80"/>
      <c r="K496" s="80"/>
    </row>
    <row r="497" ht="12.75" customHeight="1">
      <c r="A497" s="89" t="s">
        <v>484</v>
      </c>
      <c r="B497" s="90" t="s">
        <v>3907</v>
      </c>
      <c r="C497" s="90"/>
      <c r="D497" s="89" t="s">
        <v>75</v>
      </c>
      <c r="E497" s="91">
        <v>1.0</v>
      </c>
      <c r="F497" s="92">
        <v>3106.17</v>
      </c>
      <c r="G497" s="92">
        <v>3106.17</v>
      </c>
      <c r="H497" s="93"/>
      <c r="I497" s="92"/>
      <c r="J497" s="92"/>
      <c r="K497" s="92"/>
    </row>
    <row r="498" ht="12.75" customHeight="1">
      <c r="E498" s="79"/>
      <c r="F498" s="80"/>
      <c r="G498" s="80"/>
      <c r="H498" s="81"/>
      <c r="I498" s="80"/>
      <c r="J498" s="80"/>
      <c r="K498" s="80"/>
    </row>
    <row r="499" ht="12.75" customHeight="1">
      <c r="A499" s="89" t="s">
        <v>486</v>
      </c>
      <c r="B499" s="90" t="s">
        <v>3908</v>
      </c>
      <c r="C499" s="90"/>
      <c r="D499" s="89" t="s">
        <v>75</v>
      </c>
      <c r="E499" s="91">
        <v>1.0</v>
      </c>
      <c r="F499" s="92">
        <v>3171.27</v>
      </c>
      <c r="G499" s="92">
        <v>3171.27</v>
      </c>
      <c r="H499" s="93"/>
      <c r="I499" s="92"/>
      <c r="J499" s="92"/>
      <c r="K499" s="92"/>
    </row>
    <row r="500" ht="12.75" customHeight="1">
      <c r="E500" s="79"/>
      <c r="F500" s="80"/>
      <c r="G500" s="80"/>
      <c r="H500" s="81"/>
      <c r="I500" s="80"/>
      <c r="J500" s="80"/>
      <c r="K500" s="80"/>
    </row>
    <row r="501" ht="12.75" customHeight="1">
      <c r="A501" s="89" t="s">
        <v>488</v>
      </c>
      <c r="B501" s="90" t="s">
        <v>3909</v>
      </c>
      <c r="C501" s="90"/>
      <c r="D501" s="89" t="s">
        <v>75</v>
      </c>
      <c r="E501" s="91">
        <v>1.0</v>
      </c>
      <c r="F501" s="92">
        <v>2283.49</v>
      </c>
      <c r="G501" s="92">
        <v>2283.49</v>
      </c>
      <c r="H501" s="93"/>
      <c r="I501" s="92"/>
      <c r="J501" s="92"/>
      <c r="K501" s="92"/>
    </row>
    <row r="502" ht="12.75" customHeight="1">
      <c r="E502" s="79"/>
      <c r="F502" s="80"/>
      <c r="G502" s="80"/>
      <c r="H502" s="81"/>
      <c r="I502" s="80"/>
      <c r="J502" s="80"/>
      <c r="K502" s="80"/>
    </row>
    <row r="503" ht="12.75" customHeight="1">
      <c r="A503" s="89" t="s">
        <v>490</v>
      </c>
      <c r="B503" s="90" t="s">
        <v>3910</v>
      </c>
      <c r="C503" s="90"/>
      <c r="D503" s="89" t="s">
        <v>75</v>
      </c>
      <c r="E503" s="91">
        <v>1.0</v>
      </c>
      <c r="F503" s="92">
        <v>3402.81</v>
      </c>
      <c r="G503" s="92">
        <v>3402.81</v>
      </c>
      <c r="H503" s="93"/>
      <c r="I503" s="92"/>
      <c r="J503" s="92"/>
      <c r="K503" s="92"/>
    </row>
    <row r="504" ht="12.75" customHeight="1">
      <c r="E504" s="79"/>
      <c r="F504" s="80"/>
      <c r="G504" s="80"/>
      <c r="H504" s="81"/>
      <c r="I504" s="80"/>
      <c r="J504" s="80"/>
      <c r="K504" s="80"/>
    </row>
    <row r="505" ht="12.75" customHeight="1">
      <c r="A505" s="89" t="s">
        <v>492</v>
      </c>
      <c r="B505" s="90" t="s">
        <v>3911</v>
      </c>
      <c r="C505" s="90"/>
      <c r="D505" s="89" t="s">
        <v>75</v>
      </c>
      <c r="E505" s="91">
        <v>1.0</v>
      </c>
      <c r="F505" s="92">
        <v>1164.15</v>
      </c>
      <c r="G505" s="92">
        <v>1164.15</v>
      </c>
      <c r="H505" s="93"/>
      <c r="I505" s="92"/>
      <c r="J505" s="92"/>
      <c r="K505" s="92"/>
    </row>
    <row r="506" ht="12.75" customHeight="1">
      <c r="E506" s="79"/>
      <c r="F506" s="80"/>
      <c r="G506" s="80"/>
      <c r="H506" s="81"/>
      <c r="I506" s="80"/>
      <c r="J506" s="80"/>
      <c r="K506" s="80"/>
    </row>
    <row r="507" ht="12.75" customHeight="1">
      <c r="A507" s="89" t="s">
        <v>494</v>
      </c>
      <c r="B507" s="90" t="s">
        <v>3912</v>
      </c>
      <c r="C507" s="90"/>
      <c r="D507" s="89" t="s">
        <v>75</v>
      </c>
      <c r="E507" s="91">
        <v>1.0</v>
      </c>
      <c r="F507" s="92">
        <v>1914.29</v>
      </c>
      <c r="G507" s="92">
        <v>1914.29</v>
      </c>
      <c r="H507" s="93"/>
      <c r="I507" s="92"/>
      <c r="J507" s="92"/>
      <c r="K507" s="92"/>
    </row>
    <row r="508" ht="12.75" customHeight="1">
      <c r="E508" s="79"/>
      <c r="F508" s="80"/>
      <c r="G508" s="80"/>
      <c r="H508" s="81"/>
      <c r="I508" s="80"/>
      <c r="J508" s="80"/>
      <c r="K508" s="80"/>
    </row>
    <row r="509" ht="12.75" customHeight="1">
      <c r="A509" s="89" t="s">
        <v>470</v>
      </c>
      <c r="B509" s="90" t="s">
        <v>2370</v>
      </c>
      <c r="C509" s="90"/>
      <c r="E509" s="79"/>
      <c r="F509" s="80"/>
      <c r="G509" s="80"/>
      <c r="H509" s="81"/>
      <c r="I509" s="80"/>
      <c r="J509" s="80"/>
      <c r="K509" s="80"/>
    </row>
    <row r="510" ht="12.75" customHeight="1">
      <c r="E510" s="79"/>
      <c r="F510" s="80"/>
      <c r="G510" s="80"/>
      <c r="H510" s="81"/>
      <c r="I510" s="80"/>
      <c r="J510" s="80"/>
      <c r="K510" s="80"/>
    </row>
    <row r="511" ht="12.75" customHeight="1">
      <c r="A511" s="89" t="s">
        <v>472</v>
      </c>
      <c r="B511" s="90" t="s">
        <v>3913</v>
      </c>
      <c r="C511" s="90"/>
      <c r="E511" s="79"/>
      <c r="F511" s="80"/>
      <c r="G511" s="80"/>
      <c r="H511" s="81"/>
      <c r="I511" s="80"/>
      <c r="J511" s="80"/>
      <c r="K511" s="80"/>
    </row>
    <row r="512" ht="12.75" customHeight="1">
      <c r="E512" s="79"/>
      <c r="F512" s="80"/>
      <c r="G512" s="80"/>
      <c r="H512" s="81"/>
      <c r="I512" s="80"/>
      <c r="J512" s="80"/>
      <c r="K512" s="80"/>
    </row>
    <row r="513" ht="12.75" customHeight="1">
      <c r="A513" s="89" t="s">
        <v>474</v>
      </c>
      <c r="B513" s="90" t="s">
        <v>3914</v>
      </c>
      <c r="C513" s="90"/>
      <c r="D513" s="89" t="s">
        <v>161</v>
      </c>
      <c r="E513" s="91">
        <v>4.53</v>
      </c>
      <c r="F513" s="92">
        <v>161.64</v>
      </c>
      <c r="G513" s="92">
        <v>732.23</v>
      </c>
      <c r="H513" s="93"/>
      <c r="I513" s="92"/>
      <c r="J513" s="92"/>
      <c r="K513" s="92"/>
    </row>
    <row r="514" ht="12.75" customHeight="1">
      <c r="E514" s="79"/>
      <c r="F514" s="80"/>
      <c r="G514" s="80"/>
      <c r="H514" s="81"/>
      <c r="I514" s="80"/>
      <c r="J514" s="80"/>
      <c r="K514" s="80"/>
    </row>
    <row r="515" ht="12.75" customHeight="1">
      <c r="A515" s="89" t="s">
        <v>499</v>
      </c>
      <c r="B515" s="90" t="s">
        <v>3915</v>
      </c>
      <c r="C515" s="90"/>
      <c r="D515" s="89" t="s">
        <v>161</v>
      </c>
      <c r="E515" s="91">
        <v>8.7</v>
      </c>
      <c r="F515" s="92">
        <v>161.64</v>
      </c>
      <c r="G515" s="92">
        <v>1406.27</v>
      </c>
      <c r="H515" s="93"/>
      <c r="I515" s="92"/>
      <c r="J515" s="92"/>
      <c r="K515" s="92"/>
    </row>
    <row r="516" ht="12.75" customHeight="1">
      <c r="E516" s="79"/>
      <c r="F516" s="80"/>
      <c r="G516" s="80"/>
      <c r="H516" s="81"/>
      <c r="I516" s="80"/>
      <c r="J516" s="80"/>
      <c r="K516" s="80"/>
    </row>
    <row r="517" ht="12.75" customHeight="1">
      <c r="A517" s="89" t="s">
        <v>501</v>
      </c>
      <c r="B517" s="90" t="s">
        <v>3916</v>
      </c>
      <c r="C517" s="90"/>
      <c r="D517" s="89" t="s">
        <v>161</v>
      </c>
      <c r="E517" s="91">
        <v>14.0</v>
      </c>
      <c r="F517" s="92">
        <v>161.64</v>
      </c>
      <c r="G517" s="92">
        <v>2262.96</v>
      </c>
      <c r="H517" s="93"/>
      <c r="I517" s="92"/>
      <c r="J517" s="92"/>
      <c r="K517" s="92"/>
    </row>
    <row r="518" ht="12.75" customHeight="1">
      <c r="E518" s="79"/>
      <c r="F518" s="80"/>
      <c r="G518" s="80"/>
      <c r="H518" s="81"/>
      <c r="I518" s="80"/>
      <c r="J518" s="80"/>
      <c r="K518" s="80"/>
    </row>
    <row r="519" ht="12.75" customHeight="1">
      <c r="A519" s="89" t="s">
        <v>503</v>
      </c>
      <c r="B519" s="90" t="s">
        <v>3917</v>
      </c>
      <c r="C519" s="90"/>
      <c r="D519" s="89" t="s">
        <v>161</v>
      </c>
      <c r="E519" s="91">
        <v>8.44</v>
      </c>
      <c r="F519" s="92">
        <v>161.64</v>
      </c>
      <c r="G519" s="92">
        <v>1364.24</v>
      </c>
      <c r="H519" s="93"/>
      <c r="I519" s="92"/>
      <c r="J519" s="92"/>
      <c r="K519" s="92"/>
    </row>
    <row r="520" ht="12.75" customHeight="1">
      <c r="E520" s="79"/>
      <c r="F520" s="80"/>
      <c r="G520" s="80"/>
      <c r="H520" s="81"/>
      <c r="I520" s="80"/>
      <c r="J520" s="80"/>
      <c r="K520" s="80"/>
    </row>
    <row r="521" ht="12.75" customHeight="1">
      <c r="A521" s="89" t="s">
        <v>505</v>
      </c>
      <c r="B521" s="90" t="s">
        <v>3918</v>
      </c>
      <c r="C521" s="90"/>
      <c r="E521" s="79"/>
      <c r="F521" s="80"/>
      <c r="G521" s="80"/>
      <c r="H521" s="81"/>
      <c r="I521" s="80"/>
      <c r="J521" s="80"/>
      <c r="K521" s="80"/>
    </row>
    <row r="522" ht="12.75" customHeight="1">
      <c r="E522" s="79"/>
      <c r="F522" s="80"/>
      <c r="G522" s="80"/>
      <c r="H522" s="81"/>
      <c r="I522" s="80"/>
      <c r="J522" s="80"/>
      <c r="K522" s="80"/>
    </row>
    <row r="523" ht="12.75" customHeight="1">
      <c r="A523" s="89" t="s">
        <v>507</v>
      </c>
      <c r="B523" s="90" t="s">
        <v>3919</v>
      </c>
      <c r="C523" s="90"/>
      <c r="D523" s="89" t="s">
        <v>161</v>
      </c>
      <c r="E523" s="91">
        <v>2.65</v>
      </c>
      <c r="F523" s="92">
        <v>484.91</v>
      </c>
      <c r="G523" s="92">
        <v>1285.01</v>
      </c>
      <c r="H523" s="93"/>
      <c r="I523" s="92"/>
      <c r="J523" s="92"/>
      <c r="K523" s="92"/>
    </row>
    <row r="524" ht="12.75" customHeight="1">
      <c r="E524" s="79"/>
      <c r="F524" s="80"/>
      <c r="G524" s="80"/>
      <c r="H524" s="81"/>
      <c r="I524" s="80"/>
      <c r="J524" s="80"/>
      <c r="K524" s="80"/>
    </row>
    <row r="525" ht="12.75" customHeight="1">
      <c r="A525" s="89" t="s">
        <v>509</v>
      </c>
      <c r="B525" s="90" t="s">
        <v>3920</v>
      </c>
      <c r="C525" s="90"/>
      <c r="D525" s="89" t="s">
        <v>161</v>
      </c>
      <c r="E525" s="91">
        <v>25.15</v>
      </c>
      <c r="F525" s="92">
        <v>484.91</v>
      </c>
      <c r="G525" s="92">
        <v>12195.49</v>
      </c>
      <c r="H525" s="93"/>
      <c r="I525" s="92"/>
      <c r="J525" s="92"/>
      <c r="K525" s="92"/>
    </row>
    <row r="526" ht="12.75" customHeight="1">
      <c r="E526" s="79"/>
      <c r="F526" s="80"/>
      <c r="G526" s="80"/>
      <c r="H526" s="81"/>
      <c r="I526" s="80"/>
      <c r="J526" s="80"/>
      <c r="K526" s="80"/>
    </row>
    <row r="527" ht="12.75" customHeight="1">
      <c r="A527" s="89" t="s">
        <v>476</v>
      </c>
      <c r="B527" s="90" t="s">
        <v>3921</v>
      </c>
      <c r="C527" s="90"/>
      <c r="E527" s="79"/>
      <c r="F527" s="80"/>
      <c r="G527" s="80"/>
      <c r="H527" s="81"/>
      <c r="I527" s="80"/>
      <c r="J527" s="80"/>
      <c r="K527" s="80"/>
    </row>
    <row r="528" ht="12.75" customHeight="1">
      <c r="E528" s="79"/>
      <c r="F528" s="80"/>
      <c r="G528" s="80"/>
      <c r="H528" s="81"/>
      <c r="I528" s="80"/>
      <c r="J528" s="80"/>
      <c r="K528" s="80"/>
    </row>
    <row r="529" ht="12.75" customHeight="1">
      <c r="A529" s="89" t="s">
        <v>478</v>
      </c>
      <c r="B529" s="90" t="s">
        <v>3922</v>
      </c>
      <c r="C529" s="90"/>
      <c r="E529" s="79"/>
      <c r="F529" s="80"/>
      <c r="G529" s="80"/>
      <c r="H529" s="81"/>
      <c r="I529" s="80"/>
      <c r="J529" s="80"/>
      <c r="K529" s="80"/>
    </row>
    <row r="530" ht="12.75" customHeight="1">
      <c r="E530" s="79"/>
      <c r="F530" s="80"/>
      <c r="G530" s="80"/>
      <c r="H530" s="81"/>
      <c r="I530" s="80"/>
      <c r="J530" s="80"/>
      <c r="K530" s="80"/>
    </row>
    <row r="531" ht="12.75" customHeight="1">
      <c r="A531" s="89" t="s">
        <v>513</v>
      </c>
      <c r="B531" s="90" t="s">
        <v>3923</v>
      </c>
      <c r="C531" s="90"/>
      <c r="D531" s="89" t="s">
        <v>40</v>
      </c>
      <c r="E531" s="91">
        <v>70.44</v>
      </c>
      <c r="F531" s="92">
        <v>232.76</v>
      </c>
      <c r="G531" s="92">
        <v>16395.61</v>
      </c>
      <c r="H531" s="93"/>
      <c r="I531" s="92"/>
      <c r="J531" s="92"/>
      <c r="K531" s="92"/>
    </row>
    <row r="532" ht="12.75" customHeight="1">
      <c r="E532" s="79"/>
      <c r="F532" s="80"/>
      <c r="G532" s="80"/>
      <c r="H532" s="81"/>
      <c r="I532" s="80"/>
      <c r="J532" s="80"/>
      <c r="K532" s="80"/>
    </row>
    <row r="533" ht="12.75" customHeight="1">
      <c r="A533" s="89" t="s">
        <v>515</v>
      </c>
      <c r="B533" s="90" t="s">
        <v>3924</v>
      </c>
      <c r="C533" s="90"/>
      <c r="E533" s="79"/>
      <c r="F533" s="80"/>
      <c r="G533" s="80"/>
      <c r="H533" s="81"/>
      <c r="I533" s="80"/>
      <c r="J533" s="80"/>
      <c r="K533" s="80"/>
    </row>
    <row r="534" ht="12.75" customHeight="1">
      <c r="E534" s="79"/>
      <c r="F534" s="80"/>
      <c r="G534" s="80"/>
      <c r="H534" s="81"/>
      <c r="I534" s="80"/>
      <c r="J534" s="80"/>
      <c r="K534" s="80"/>
    </row>
    <row r="535" ht="12.75" customHeight="1">
      <c r="A535" s="89" t="s">
        <v>517</v>
      </c>
      <c r="B535" s="90" t="s">
        <v>3925</v>
      </c>
      <c r="C535" s="90"/>
      <c r="D535" s="89" t="s">
        <v>40</v>
      </c>
      <c r="E535" s="91">
        <v>39.46</v>
      </c>
      <c r="F535" s="92">
        <v>232.76</v>
      </c>
      <c r="G535" s="92">
        <v>9184.71</v>
      </c>
      <c r="H535" s="93"/>
      <c r="I535" s="92"/>
      <c r="J535" s="92"/>
      <c r="K535" s="92"/>
    </row>
    <row r="536" ht="12.75" customHeight="1">
      <c r="E536" s="79"/>
      <c r="F536" s="80"/>
      <c r="G536" s="80"/>
      <c r="H536" s="81"/>
      <c r="I536" s="80"/>
      <c r="J536" s="80"/>
      <c r="K536" s="80"/>
    </row>
    <row r="537" ht="12.75" customHeight="1">
      <c r="A537" s="89" t="s">
        <v>519</v>
      </c>
      <c r="B537" s="90" t="s">
        <v>3926</v>
      </c>
      <c r="C537" s="90"/>
      <c r="E537" s="79"/>
      <c r="F537" s="80"/>
      <c r="G537" s="80"/>
      <c r="H537" s="81"/>
      <c r="I537" s="80"/>
      <c r="J537" s="80"/>
      <c r="K537" s="80"/>
    </row>
    <row r="538" ht="12.75" customHeight="1">
      <c r="E538" s="79"/>
      <c r="F538" s="80"/>
      <c r="G538" s="80"/>
      <c r="H538" s="81"/>
      <c r="I538" s="80"/>
      <c r="J538" s="80"/>
      <c r="K538" s="80"/>
    </row>
    <row r="539" ht="12.75" customHeight="1">
      <c r="A539" s="89" t="s">
        <v>521</v>
      </c>
      <c r="B539" s="90" t="s">
        <v>3927</v>
      </c>
      <c r="C539" s="90"/>
      <c r="D539" s="89" t="s">
        <v>40</v>
      </c>
      <c r="E539" s="91">
        <v>40.81</v>
      </c>
      <c r="F539" s="92">
        <v>232.76</v>
      </c>
      <c r="G539" s="92">
        <v>9498.94</v>
      </c>
      <c r="H539" s="93"/>
      <c r="I539" s="92"/>
      <c r="J539" s="92"/>
      <c r="K539" s="92"/>
    </row>
    <row r="540" ht="12.75" customHeight="1">
      <c r="E540" s="79"/>
      <c r="F540" s="80"/>
      <c r="G540" s="80"/>
      <c r="H540" s="81"/>
      <c r="I540" s="80"/>
      <c r="J540" s="80"/>
      <c r="K540" s="80"/>
    </row>
    <row r="541" ht="12.75" customHeight="1">
      <c r="A541" s="89" t="s">
        <v>523</v>
      </c>
      <c r="B541" s="90" t="s">
        <v>3928</v>
      </c>
      <c r="C541" s="90"/>
      <c r="E541" s="79"/>
      <c r="F541" s="80"/>
      <c r="G541" s="80"/>
      <c r="H541" s="81"/>
      <c r="I541" s="80"/>
      <c r="J541" s="80"/>
      <c r="K541" s="80"/>
    </row>
    <row r="542" ht="12.75" customHeight="1">
      <c r="E542" s="79"/>
      <c r="F542" s="80"/>
      <c r="G542" s="80"/>
      <c r="H542" s="81"/>
      <c r="I542" s="80"/>
      <c r="J542" s="80"/>
      <c r="K542" s="80"/>
    </row>
    <row r="543" ht="12.75" customHeight="1">
      <c r="A543" s="89" t="s">
        <v>525</v>
      </c>
      <c r="B543" s="90" t="s">
        <v>3929</v>
      </c>
      <c r="C543" s="90"/>
      <c r="D543" s="89" t="s">
        <v>40</v>
      </c>
      <c r="E543" s="91">
        <v>7.9</v>
      </c>
      <c r="F543" s="92">
        <v>232.76</v>
      </c>
      <c r="G543" s="92">
        <v>1838.8</v>
      </c>
      <c r="H543" s="93"/>
      <c r="I543" s="92"/>
      <c r="J543" s="92"/>
      <c r="K543" s="92"/>
    </row>
    <row r="544" ht="12.75" customHeight="1">
      <c r="E544" s="79"/>
      <c r="F544" s="80"/>
      <c r="G544" s="80"/>
      <c r="H544" s="81"/>
      <c r="I544" s="80"/>
      <c r="J544" s="80"/>
      <c r="K544" s="80"/>
    </row>
    <row r="545" ht="12.75" customHeight="1">
      <c r="A545" s="89" t="s">
        <v>480</v>
      </c>
      <c r="B545" s="90" t="s">
        <v>2399</v>
      </c>
      <c r="C545" s="90"/>
      <c r="E545" s="79"/>
      <c r="F545" s="80"/>
      <c r="G545" s="80"/>
      <c r="H545" s="81"/>
      <c r="I545" s="80"/>
      <c r="J545" s="80"/>
      <c r="K545" s="80"/>
    </row>
    <row r="546" ht="12.75" customHeight="1">
      <c r="E546" s="79"/>
      <c r="F546" s="80"/>
      <c r="G546" s="80"/>
      <c r="H546" s="81"/>
      <c r="I546" s="80"/>
      <c r="J546" s="80"/>
      <c r="K546" s="80"/>
    </row>
    <row r="547" ht="12.75" customHeight="1">
      <c r="A547" s="89" t="s">
        <v>482</v>
      </c>
      <c r="B547" s="90" t="s">
        <v>3930</v>
      </c>
      <c r="C547" s="90"/>
      <c r="E547" s="79"/>
      <c r="F547" s="80"/>
      <c r="G547" s="80"/>
      <c r="H547" s="81"/>
      <c r="I547" s="80"/>
      <c r="J547" s="80"/>
      <c r="K547" s="80"/>
    </row>
    <row r="548" ht="12.75" customHeight="1">
      <c r="E548" s="79"/>
      <c r="F548" s="80"/>
      <c r="G548" s="80"/>
      <c r="H548" s="81"/>
      <c r="I548" s="80"/>
      <c r="J548" s="80"/>
      <c r="K548" s="80"/>
    </row>
    <row r="549" ht="12.75" customHeight="1">
      <c r="A549" s="89" t="s">
        <v>484</v>
      </c>
      <c r="B549" s="90" t="s">
        <v>3931</v>
      </c>
      <c r="C549" s="90"/>
      <c r="D549" s="89" t="s">
        <v>161</v>
      </c>
      <c r="E549" s="91">
        <v>3.6</v>
      </c>
      <c r="F549" s="92">
        <v>139.41</v>
      </c>
      <c r="G549" s="92">
        <v>501.88</v>
      </c>
      <c r="H549" s="93"/>
      <c r="I549" s="92"/>
      <c r="J549" s="92"/>
      <c r="K549" s="92"/>
    </row>
    <row r="550" ht="12.75" customHeight="1">
      <c r="E550" s="79"/>
      <c r="F550" s="80"/>
      <c r="G550" s="80"/>
      <c r="H550" s="81"/>
      <c r="I550" s="80"/>
      <c r="J550" s="80"/>
      <c r="K550" s="80"/>
    </row>
    <row r="551" ht="12.75" customHeight="1">
      <c r="A551" s="89" t="s">
        <v>486</v>
      </c>
      <c r="B551" s="90" t="s">
        <v>3932</v>
      </c>
      <c r="C551" s="90"/>
      <c r="D551" s="89" t="s">
        <v>161</v>
      </c>
      <c r="E551" s="91">
        <v>22.07</v>
      </c>
      <c r="F551" s="92">
        <v>187.9</v>
      </c>
      <c r="G551" s="92">
        <v>4146.95</v>
      </c>
      <c r="H551" s="93"/>
      <c r="I551" s="92"/>
      <c r="J551" s="92"/>
      <c r="K551" s="92"/>
    </row>
    <row r="552" ht="12.75" customHeight="1">
      <c r="E552" s="79"/>
      <c r="F552" s="80"/>
      <c r="G552" s="80"/>
      <c r="H552" s="81"/>
      <c r="I552" s="80"/>
      <c r="J552" s="80"/>
      <c r="K552" s="80"/>
    </row>
    <row r="553" ht="12.75" customHeight="1">
      <c r="A553" s="89" t="s">
        <v>488</v>
      </c>
      <c r="B553" s="90" t="s">
        <v>3933</v>
      </c>
      <c r="C553" s="90"/>
      <c r="D553" s="89" t="s">
        <v>161</v>
      </c>
      <c r="E553" s="91">
        <v>0.85</v>
      </c>
      <c r="F553" s="92">
        <v>84.46</v>
      </c>
      <c r="G553" s="92">
        <v>71.79</v>
      </c>
      <c r="H553" s="93"/>
      <c r="I553" s="92"/>
      <c r="J553" s="92"/>
      <c r="K553" s="92"/>
    </row>
    <row r="554" ht="12.75" customHeight="1">
      <c r="E554" s="79"/>
      <c r="F554" s="80"/>
      <c r="G554" s="80"/>
      <c r="H554" s="81"/>
      <c r="I554" s="80"/>
      <c r="J554" s="80"/>
      <c r="K554" s="80"/>
    </row>
    <row r="555" ht="12.75" customHeight="1">
      <c r="A555" s="89" t="s">
        <v>532</v>
      </c>
      <c r="B555" s="90" t="s">
        <v>2407</v>
      </c>
      <c r="C555" s="90"/>
      <c r="E555" s="79"/>
      <c r="F555" s="80"/>
      <c r="G555" s="80"/>
      <c r="H555" s="81"/>
      <c r="I555" s="80"/>
      <c r="J555" s="80"/>
      <c r="K555" s="80"/>
    </row>
    <row r="556" ht="12.75" customHeight="1">
      <c r="E556" s="79"/>
      <c r="F556" s="80"/>
      <c r="G556" s="80"/>
      <c r="H556" s="81"/>
      <c r="I556" s="80"/>
      <c r="J556" s="80"/>
      <c r="K556" s="80"/>
    </row>
    <row r="557" ht="12.75" customHeight="1">
      <c r="A557" s="89" t="s">
        <v>534</v>
      </c>
      <c r="B557" s="90" t="s">
        <v>3934</v>
      </c>
      <c r="C557" s="90"/>
      <c r="D557" s="89" t="s">
        <v>75</v>
      </c>
      <c r="E557" s="91">
        <v>1.0</v>
      </c>
      <c r="F557" s="92">
        <v>1810.34</v>
      </c>
      <c r="G557" s="92">
        <v>1810.34</v>
      </c>
      <c r="H557" s="93"/>
      <c r="I557" s="92"/>
      <c r="J557" s="92"/>
      <c r="K557" s="92"/>
    </row>
    <row r="558" ht="12.75" customHeight="1">
      <c r="E558" s="79"/>
      <c r="F558" s="80"/>
      <c r="G558" s="80"/>
      <c r="H558" s="81"/>
      <c r="I558" s="80"/>
      <c r="J558" s="80"/>
      <c r="K558" s="80"/>
    </row>
    <row r="559" ht="12.75" customHeight="1">
      <c r="A559" s="89" t="s">
        <v>3859</v>
      </c>
      <c r="B559" s="90" t="s">
        <v>3860</v>
      </c>
      <c r="C559" s="90"/>
      <c r="E559" s="79"/>
      <c r="F559" s="80"/>
      <c r="G559" s="92">
        <v>279339.11</v>
      </c>
      <c r="H559" s="93">
        <f>G559</f>
        <v>279339.11</v>
      </c>
      <c r="I559" s="92"/>
      <c r="J559" s="92"/>
      <c r="K559" s="92"/>
    </row>
    <row r="560" ht="12.75" customHeight="1">
      <c r="E560" s="79"/>
      <c r="F560" s="80"/>
      <c r="G560" s="80"/>
      <c r="H560" s="81"/>
      <c r="I560" s="80"/>
      <c r="J560" s="80"/>
      <c r="K560" s="80"/>
    </row>
    <row r="561" ht="12.75" customHeight="1">
      <c r="E561" s="79"/>
      <c r="F561" s="80"/>
      <c r="G561" s="80"/>
      <c r="H561" s="81"/>
      <c r="I561" s="80"/>
      <c r="J561" s="80"/>
      <c r="K561" s="80"/>
    </row>
    <row r="562" ht="12.75" customHeight="1">
      <c r="A562" s="89" t="s">
        <v>3935</v>
      </c>
      <c r="B562" s="90" t="s">
        <v>2517</v>
      </c>
      <c r="C562" s="90"/>
      <c r="E562" s="79"/>
      <c r="F562" s="80"/>
      <c r="G562" s="80"/>
      <c r="H562" s="81"/>
      <c r="I562" s="80"/>
      <c r="J562" s="80"/>
      <c r="K562" s="80"/>
    </row>
    <row r="563" ht="12.75" customHeight="1">
      <c r="E563" s="79"/>
      <c r="F563" s="80"/>
      <c r="G563" s="80"/>
      <c r="H563" s="81"/>
      <c r="I563" s="80"/>
      <c r="J563" s="80"/>
      <c r="K563" s="80"/>
    </row>
    <row r="564" ht="12.75" customHeight="1">
      <c r="A564" s="89" t="s">
        <v>537</v>
      </c>
      <c r="B564" s="90" t="s">
        <v>2518</v>
      </c>
      <c r="C564" s="90"/>
      <c r="E564" s="79"/>
      <c r="F564" s="80"/>
      <c r="G564" s="80"/>
      <c r="H564" s="81"/>
      <c r="I564" s="80"/>
      <c r="J564" s="80"/>
      <c r="K564" s="80"/>
    </row>
    <row r="565" ht="12.75" customHeight="1">
      <c r="E565" s="79"/>
      <c r="F565" s="80"/>
      <c r="G565" s="80"/>
      <c r="H565" s="81"/>
      <c r="I565" s="80"/>
      <c r="J565" s="80"/>
      <c r="K565" s="80"/>
    </row>
    <row r="566" ht="12.75" customHeight="1">
      <c r="A566" s="89" t="s">
        <v>539</v>
      </c>
      <c r="B566" s="90" t="s">
        <v>3936</v>
      </c>
      <c r="C566" s="90"/>
      <c r="E566" s="79"/>
      <c r="F566" s="80"/>
      <c r="G566" s="80"/>
      <c r="H566" s="81"/>
      <c r="I566" s="80"/>
      <c r="J566" s="80"/>
      <c r="K566" s="80"/>
    </row>
    <row r="567" ht="12.75" customHeight="1">
      <c r="E567" s="79"/>
      <c r="F567" s="80"/>
      <c r="G567" s="80"/>
      <c r="H567" s="81"/>
      <c r="I567" s="80"/>
      <c r="J567" s="80"/>
      <c r="K567" s="80"/>
    </row>
    <row r="568" ht="12.75" customHeight="1">
      <c r="A568" s="89" t="s">
        <v>541</v>
      </c>
      <c r="B568" s="90" t="s">
        <v>3937</v>
      </c>
      <c r="C568" s="90"/>
      <c r="D568" s="89" t="s">
        <v>227</v>
      </c>
      <c r="E568" s="91">
        <v>1.0</v>
      </c>
      <c r="F568" s="92">
        <v>3735.61</v>
      </c>
      <c r="G568" s="92">
        <v>3735.61</v>
      </c>
      <c r="H568" s="93"/>
      <c r="I568" s="92"/>
      <c r="J568" s="92"/>
      <c r="K568" s="92"/>
    </row>
    <row r="569" ht="12.75" customHeight="1">
      <c r="E569" s="79"/>
      <c r="F569" s="80"/>
      <c r="G569" s="80"/>
      <c r="H569" s="81"/>
      <c r="I569" s="80"/>
      <c r="J569" s="80"/>
      <c r="K569" s="80"/>
    </row>
    <row r="570" ht="12.75" customHeight="1">
      <c r="A570" s="89" t="s">
        <v>543</v>
      </c>
      <c r="B570" s="90" t="s">
        <v>3938</v>
      </c>
      <c r="C570" s="90"/>
      <c r="D570" s="89" t="s">
        <v>227</v>
      </c>
      <c r="E570" s="91">
        <v>1.0</v>
      </c>
      <c r="F570" s="92">
        <v>3735.61</v>
      </c>
      <c r="G570" s="92">
        <v>3735.61</v>
      </c>
      <c r="H570" s="93"/>
      <c r="I570" s="92"/>
      <c r="J570" s="92"/>
      <c r="K570" s="92"/>
    </row>
    <row r="571" ht="12.75" customHeight="1">
      <c r="E571" s="79"/>
      <c r="F571" s="80"/>
      <c r="G571" s="80"/>
      <c r="H571" s="81"/>
      <c r="I571" s="80"/>
      <c r="J571" s="80"/>
      <c r="K571" s="80"/>
    </row>
    <row r="572" ht="12.75" customHeight="1">
      <c r="A572" s="89" t="s">
        <v>545</v>
      </c>
      <c r="B572" s="90" t="s">
        <v>3939</v>
      </c>
      <c r="C572" s="90"/>
      <c r="D572" s="89" t="s">
        <v>227</v>
      </c>
      <c r="E572" s="91">
        <v>1.0</v>
      </c>
      <c r="F572" s="92">
        <v>2791.65</v>
      </c>
      <c r="G572" s="92">
        <v>2791.65</v>
      </c>
      <c r="H572" s="93"/>
      <c r="I572" s="92"/>
      <c r="J572" s="92"/>
      <c r="K572" s="92"/>
    </row>
    <row r="573" ht="12.75" customHeight="1">
      <c r="E573" s="79"/>
      <c r="F573" s="80"/>
      <c r="G573" s="80"/>
      <c r="H573" s="81"/>
      <c r="I573" s="80"/>
      <c r="J573" s="80"/>
      <c r="K573" s="80"/>
    </row>
    <row r="574" ht="12.75" customHeight="1">
      <c r="A574" s="89" t="s">
        <v>547</v>
      </c>
      <c r="B574" s="90" t="s">
        <v>3940</v>
      </c>
      <c r="C574" s="90"/>
      <c r="E574" s="79"/>
      <c r="F574" s="80"/>
      <c r="G574" s="80"/>
      <c r="H574" s="81"/>
      <c r="I574" s="80"/>
      <c r="J574" s="80"/>
      <c r="K574" s="80"/>
    </row>
    <row r="575" ht="12.75" customHeight="1">
      <c r="E575" s="79"/>
      <c r="F575" s="80"/>
      <c r="G575" s="80"/>
      <c r="H575" s="81"/>
      <c r="I575" s="80"/>
      <c r="J575" s="80"/>
      <c r="K575" s="80"/>
    </row>
    <row r="576" ht="12.75" customHeight="1">
      <c r="A576" s="109" t="s">
        <v>549</v>
      </c>
      <c r="B576" s="110" t="s">
        <v>3941</v>
      </c>
      <c r="C576" s="110"/>
      <c r="D576" s="124"/>
      <c r="E576" s="125"/>
      <c r="F576" s="126"/>
      <c r="G576" s="126"/>
      <c r="H576" s="127"/>
      <c r="I576" s="126"/>
      <c r="J576" s="126"/>
      <c r="K576" s="126"/>
    </row>
    <row r="577" ht="12.75" customHeight="1">
      <c r="A577" s="124"/>
      <c r="B577" s="124"/>
      <c r="C577" s="124"/>
      <c r="D577" s="124"/>
      <c r="E577" s="125"/>
      <c r="F577" s="126"/>
      <c r="G577" s="126"/>
      <c r="H577" s="127"/>
      <c r="I577" s="126"/>
      <c r="J577" s="126"/>
      <c r="K577" s="126"/>
    </row>
    <row r="578" ht="12.75" customHeight="1">
      <c r="A578" s="109" t="s">
        <v>551</v>
      </c>
      <c r="B578" s="110" t="s">
        <v>3942</v>
      </c>
      <c r="C578" s="110"/>
      <c r="D578" s="109" t="s">
        <v>75</v>
      </c>
      <c r="E578" s="111">
        <v>1.0</v>
      </c>
      <c r="F578" s="112">
        <v>3980.2</v>
      </c>
      <c r="G578" s="112">
        <v>3980.2</v>
      </c>
      <c r="H578" s="113"/>
      <c r="I578" s="112"/>
      <c r="J578" s="112"/>
      <c r="K578" s="112"/>
    </row>
    <row r="579" ht="12.75" customHeight="1">
      <c r="A579" s="124"/>
      <c r="B579" s="124"/>
      <c r="C579" s="124"/>
      <c r="D579" s="124"/>
      <c r="E579" s="125"/>
      <c r="F579" s="126"/>
      <c r="G579" s="126"/>
      <c r="H579" s="127"/>
      <c r="I579" s="126"/>
      <c r="J579" s="126"/>
      <c r="K579" s="126"/>
    </row>
    <row r="580" ht="12.75" customHeight="1">
      <c r="A580" s="109" t="s">
        <v>553</v>
      </c>
      <c r="B580" s="110" t="s">
        <v>3943</v>
      </c>
      <c r="C580" s="110"/>
      <c r="D580" s="109" t="s">
        <v>75</v>
      </c>
      <c r="E580" s="111">
        <v>1.0</v>
      </c>
      <c r="F580" s="112">
        <v>3980.2</v>
      </c>
      <c r="G580" s="112">
        <v>3980.2</v>
      </c>
      <c r="H580" s="113"/>
      <c r="I580" s="112"/>
      <c r="J580" s="112"/>
      <c r="K580" s="112"/>
    </row>
    <row r="581" ht="12.75" customHeight="1">
      <c r="A581" s="124"/>
      <c r="B581" s="124"/>
      <c r="C581" s="124"/>
      <c r="D581" s="124"/>
      <c r="E581" s="125"/>
      <c r="F581" s="126"/>
      <c r="G581" s="126"/>
      <c r="H581" s="127"/>
      <c r="I581" s="126"/>
      <c r="J581" s="126"/>
      <c r="K581" s="126"/>
    </row>
    <row r="582" ht="12.75" customHeight="1">
      <c r="A582" s="109" t="s">
        <v>555</v>
      </c>
      <c r="B582" s="110" t="s">
        <v>3944</v>
      </c>
      <c r="C582" s="110"/>
      <c r="D582" s="109" t="s">
        <v>75</v>
      </c>
      <c r="E582" s="111">
        <v>1.0</v>
      </c>
      <c r="F582" s="112">
        <v>3980.2</v>
      </c>
      <c r="G582" s="112">
        <v>3980.2</v>
      </c>
      <c r="H582" s="113"/>
      <c r="I582" s="112"/>
      <c r="J582" s="128"/>
      <c r="K582" s="112"/>
    </row>
    <row r="583" ht="12.75" customHeight="1">
      <c r="E583" s="79"/>
      <c r="F583" s="80"/>
      <c r="G583" s="80"/>
      <c r="H583" s="81"/>
      <c r="I583" s="80"/>
      <c r="J583" s="80"/>
      <c r="K583" s="80"/>
    </row>
    <row r="584" ht="12.75" customHeight="1">
      <c r="A584" s="89" t="s">
        <v>547</v>
      </c>
      <c r="B584" s="90" t="s">
        <v>3945</v>
      </c>
      <c r="C584" s="90"/>
      <c r="E584" s="79"/>
      <c r="F584" s="80"/>
      <c r="G584" s="80"/>
      <c r="H584" s="81"/>
      <c r="I584" s="80"/>
      <c r="J584" s="80"/>
      <c r="K584" s="80"/>
    </row>
    <row r="585" ht="12.75" customHeight="1">
      <c r="E585" s="79"/>
      <c r="F585" s="80"/>
      <c r="G585" s="80"/>
      <c r="H585" s="81"/>
      <c r="I585" s="80"/>
      <c r="J585" s="80"/>
      <c r="K585" s="80"/>
    </row>
    <row r="586" ht="12.75" customHeight="1">
      <c r="A586" s="89" t="s">
        <v>549</v>
      </c>
      <c r="B586" s="90" t="s">
        <v>3946</v>
      </c>
      <c r="C586" s="90"/>
      <c r="D586" s="89" t="s">
        <v>75</v>
      </c>
      <c r="E586" s="91">
        <v>7.0</v>
      </c>
      <c r="F586" s="92">
        <v>538.27</v>
      </c>
      <c r="G586" s="92">
        <v>3767.89</v>
      </c>
      <c r="H586" s="93">
        <v>261.0</v>
      </c>
      <c r="I586" s="92">
        <f>E586*H586</f>
        <v>1827</v>
      </c>
      <c r="J586" s="129" t="s">
        <v>559</v>
      </c>
      <c r="K586" s="92">
        <f>G586-I586</f>
        <v>1940.89</v>
      </c>
    </row>
    <row r="587" ht="12.75" customHeight="1">
      <c r="E587" s="79"/>
      <c r="F587" s="80"/>
      <c r="G587" s="80"/>
      <c r="H587" s="81"/>
      <c r="I587" s="80"/>
      <c r="J587" s="80"/>
      <c r="K587" s="80"/>
    </row>
    <row r="588" ht="12.75" customHeight="1">
      <c r="A588" s="89" t="s">
        <v>560</v>
      </c>
      <c r="B588" s="90" t="s">
        <v>3947</v>
      </c>
      <c r="C588" s="90"/>
      <c r="D588" s="89" t="s">
        <v>75</v>
      </c>
      <c r="E588" s="91">
        <v>1.0</v>
      </c>
      <c r="F588" s="92">
        <v>1789.25</v>
      </c>
      <c r="G588" s="92">
        <v>1789.25</v>
      </c>
      <c r="H588" s="93">
        <v>889.0</v>
      </c>
      <c r="I588" s="92"/>
      <c r="J588" s="129" t="s">
        <v>559</v>
      </c>
      <c r="K588" s="129">
        <f>G588-H588</f>
        <v>900.25</v>
      </c>
    </row>
    <row r="589" ht="12.75" customHeight="1">
      <c r="E589" s="79"/>
      <c r="F589" s="80"/>
      <c r="G589" s="80"/>
      <c r="H589" s="81"/>
      <c r="I589" s="80"/>
      <c r="J589" s="80"/>
      <c r="K589" s="80"/>
    </row>
    <row r="590" ht="12.75" customHeight="1">
      <c r="A590" s="89" t="s">
        <v>562</v>
      </c>
      <c r="B590" s="90" t="s">
        <v>3948</v>
      </c>
      <c r="C590" s="90"/>
      <c r="D590" s="89" t="s">
        <v>75</v>
      </c>
      <c r="E590" s="91">
        <v>6.0</v>
      </c>
      <c r="F590" s="92">
        <v>640.5</v>
      </c>
      <c r="G590" s="92">
        <v>3843.0</v>
      </c>
      <c r="H590" s="132">
        <v>299.0</v>
      </c>
      <c r="I590" s="92">
        <v>1794.0</v>
      </c>
      <c r="J590" s="133" t="s">
        <v>559</v>
      </c>
      <c r="K590" s="92">
        <f>G590-I590</f>
        <v>2049</v>
      </c>
    </row>
    <row r="591" ht="12.75" customHeight="1">
      <c r="E591" s="79"/>
      <c r="F591" s="80"/>
      <c r="G591" s="80"/>
      <c r="H591" s="81"/>
      <c r="I591" s="80"/>
      <c r="J591" s="80"/>
      <c r="K591" s="80"/>
    </row>
    <row r="592" ht="12.75" customHeight="1">
      <c r="A592" s="89" t="s">
        <v>564</v>
      </c>
      <c r="B592" s="90" t="s">
        <v>3949</v>
      </c>
      <c r="C592" s="90"/>
      <c r="D592" s="89" t="s">
        <v>75</v>
      </c>
      <c r="E592" s="91">
        <v>2.0</v>
      </c>
      <c r="F592" s="92">
        <v>278.83</v>
      </c>
      <c r="G592" s="92">
        <v>557.66</v>
      </c>
      <c r="H592" s="93">
        <v>58.9</v>
      </c>
      <c r="I592" s="92">
        <f>H592*E592</f>
        <v>117.8</v>
      </c>
      <c r="J592" s="129" t="s">
        <v>559</v>
      </c>
      <c r="K592" s="92">
        <f>G592-I592</f>
        <v>439.86</v>
      </c>
    </row>
    <row r="593" ht="12.75" customHeight="1">
      <c r="E593" s="79"/>
      <c r="F593" s="80"/>
      <c r="G593" s="80"/>
      <c r="H593" s="81"/>
      <c r="I593" s="80"/>
      <c r="J593" s="80"/>
      <c r="K593" s="80"/>
    </row>
    <row r="594" ht="12.75" customHeight="1">
      <c r="A594" s="89" t="s">
        <v>566</v>
      </c>
      <c r="B594" s="90" t="s">
        <v>3950</v>
      </c>
      <c r="C594" s="90"/>
      <c r="D594" s="89" t="s">
        <v>75</v>
      </c>
      <c r="E594" s="91">
        <v>4.0</v>
      </c>
      <c r="F594" s="92">
        <v>226.98</v>
      </c>
      <c r="G594" s="92">
        <v>907.92</v>
      </c>
      <c r="H594" s="93">
        <v>99.29</v>
      </c>
      <c r="I594" s="92">
        <f>H594*E594</f>
        <v>397.16</v>
      </c>
      <c r="J594" s="129" t="s">
        <v>568</v>
      </c>
      <c r="K594" s="92">
        <f>G594-I594</f>
        <v>510.76</v>
      </c>
    </row>
    <row r="595" ht="12.75" customHeight="1">
      <c r="E595" s="79"/>
      <c r="F595" s="80"/>
      <c r="G595" s="80"/>
      <c r="H595" s="81"/>
      <c r="I595" s="80"/>
      <c r="J595" s="80"/>
      <c r="K595" s="80"/>
    </row>
    <row r="596" ht="12.75" customHeight="1">
      <c r="A596" s="89" t="s">
        <v>569</v>
      </c>
      <c r="B596" s="90" t="s">
        <v>2547</v>
      </c>
      <c r="C596" s="90"/>
      <c r="E596" s="79"/>
      <c r="F596" s="80"/>
      <c r="G596" s="80"/>
      <c r="H596" s="81"/>
      <c r="I596" s="80"/>
      <c r="J596" s="80"/>
      <c r="K596" s="80"/>
    </row>
    <row r="597" ht="12.75" customHeight="1">
      <c r="E597" s="79"/>
      <c r="F597" s="80"/>
      <c r="G597" s="80"/>
      <c r="H597" s="81"/>
      <c r="I597" s="80"/>
      <c r="J597" s="80"/>
      <c r="K597" s="80"/>
    </row>
    <row r="598" ht="12.75" customHeight="1">
      <c r="A598" s="89" t="s">
        <v>571</v>
      </c>
      <c r="B598" s="90" t="s">
        <v>3951</v>
      </c>
      <c r="C598" s="90"/>
      <c r="D598" s="89" t="s">
        <v>75</v>
      </c>
      <c r="E598" s="91">
        <v>14.0</v>
      </c>
      <c r="F598" s="92">
        <v>56.55</v>
      </c>
      <c r="G598" s="92">
        <v>791.7</v>
      </c>
      <c r="H598" s="93">
        <v>33.99</v>
      </c>
      <c r="I598" s="92">
        <v>475.86</v>
      </c>
      <c r="J598" s="129" t="s">
        <v>573</v>
      </c>
      <c r="K598" s="92">
        <f>G598-I598</f>
        <v>315.84</v>
      </c>
    </row>
    <row r="599" ht="12.75" customHeight="1">
      <c r="E599" s="79"/>
      <c r="F599" s="80"/>
      <c r="G599" s="80"/>
      <c r="H599" s="81"/>
      <c r="I599" s="80"/>
      <c r="J599" s="80"/>
      <c r="K599" s="80"/>
    </row>
    <row r="600" ht="12.75" customHeight="1">
      <c r="A600" s="89" t="s">
        <v>574</v>
      </c>
      <c r="B600" s="90" t="s">
        <v>3952</v>
      </c>
      <c r="C600" s="90"/>
      <c r="D600" s="89" t="s">
        <v>75</v>
      </c>
      <c r="E600" s="91">
        <v>6.0</v>
      </c>
      <c r="F600" s="92">
        <v>41.21</v>
      </c>
      <c r="G600" s="92">
        <v>247.26</v>
      </c>
      <c r="H600" s="93"/>
      <c r="I600" s="92"/>
      <c r="J600" s="92"/>
      <c r="K600" s="92"/>
    </row>
    <row r="601" ht="12.75" customHeight="1">
      <c r="E601" s="79"/>
      <c r="F601" s="80"/>
      <c r="G601" s="80"/>
      <c r="H601" s="81"/>
      <c r="I601" s="80"/>
      <c r="J601" s="80"/>
      <c r="K601" s="80"/>
    </row>
    <row r="602" ht="12.75" customHeight="1">
      <c r="A602" s="89" t="s">
        <v>576</v>
      </c>
      <c r="B602" s="90" t="s">
        <v>3953</v>
      </c>
      <c r="C602" s="90"/>
      <c r="D602" s="89" t="s">
        <v>75</v>
      </c>
      <c r="E602" s="91">
        <v>1.0</v>
      </c>
      <c r="F602" s="92">
        <v>299.86</v>
      </c>
      <c r="G602" s="92">
        <v>299.86</v>
      </c>
      <c r="H602" s="93"/>
      <c r="I602" s="92"/>
      <c r="J602" s="92"/>
      <c r="K602" s="92"/>
    </row>
    <row r="603" ht="12.75" customHeight="1">
      <c r="E603" s="79"/>
      <c r="F603" s="80"/>
      <c r="G603" s="80"/>
      <c r="H603" s="81"/>
      <c r="I603" s="80"/>
      <c r="J603" s="80"/>
      <c r="K603" s="80"/>
    </row>
    <row r="604" ht="12.75" customHeight="1">
      <c r="A604" s="89" t="s">
        <v>578</v>
      </c>
      <c r="B604" s="90" t="s">
        <v>3954</v>
      </c>
      <c r="C604" s="90"/>
      <c r="D604" s="89" t="s">
        <v>75</v>
      </c>
      <c r="E604" s="91">
        <v>2.0</v>
      </c>
      <c r="F604" s="92">
        <v>249.03</v>
      </c>
      <c r="G604" s="92">
        <v>498.06</v>
      </c>
      <c r="H604" s="93"/>
      <c r="I604" s="92"/>
      <c r="J604" s="92"/>
      <c r="K604" s="92"/>
    </row>
    <row r="605" ht="12.75" customHeight="1">
      <c r="E605" s="79"/>
      <c r="F605" s="80"/>
      <c r="G605" s="80"/>
      <c r="H605" s="81"/>
      <c r="I605" s="80"/>
      <c r="J605" s="80"/>
      <c r="K605" s="80"/>
    </row>
    <row r="606" ht="12.75" customHeight="1">
      <c r="A606" s="89" t="s">
        <v>580</v>
      </c>
      <c r="B606" s="90" t="s">
        <v>3955</v>
      </c>
      <c r="C606" s="90"/>
      <c r="D606" s="89" t="s">
        <v>75</v>
      </c>
      <c r="E606" s="91">
        <v>1.0</v>
      </c>
      <c r="F606" s="92">
        <v>1109.73</v>
      </c>
      <c r="G606" s="92">
        <v>1109.73</v>
      </c>
      <c r="H606" s="93" t="s">
        <v>582</v>
      </c>
      <c r="I606" s="92"/>
      <c r="J606" s="129" t="s">
        <v>583</v>
      </c>
      <c r="K606" s="92"/>
    </row>
    <row r="607" ht="12.75" customHeight="1">
      <c r="E607" s="79"/>
      <c r="F607" s="80"/>
      <c r="G607" s="80"/>
      <c r="H607" s="81"/>
      <c r="I607" s="80"/>
      <c r="J607" s="80"/>
      <c r="K607" s="80"/>
    </row>
    <row r="608" ht="12.75" customHeight="1">
      <c r="A608" s="89" t="s">
        <v>584</v>
      </c>
      <c r="B608" s="90" t="s">
        <v>3956</v>
      </c>
      <c r="C608" s="90"/>
      <c r="D608" s="89" t="s">
        <v>75</v>
      </c>
      <c r="E608" s="91">
        <v>6.0</v>
      </c>
      <c r="F608" s="92">
        <v>288.22</v>
      </c>
      <c r="G608" s="92">
        <v>1729.32</v>
      </c>
      <c r="H608" s="81" t="s">
        <v>586</v>
      </c>
      <c r="I608" s="92"/>
      <c r="J608" s="92"/>
      <c r="K608" s="92"/>
    </row>
    <row r="609" ht="12.75" customHeight="1">
      <c r="E609" s="79"/>
      <c r="F609" s="80"/>
      <c r="G609" s="80"/>
      <c r="H609" s="81"/>
      <c r="I609" s="80"/>
      <c r="J609" s="80"/>
      <c r="K609" s="80"/>
    </row>
    <row r="610" ht="12.75" customHeight="1">
      <c r="A610" s="89" t="s">
        <v>587</v>
      </c>
      <c r="B610" s="90" t="s">
        <v>3957</v>
      </c>
      <c r="C610" s="90"/>
      <c r="D610" s="89" t="s">
        <v>75</v>
      </c>
      <c r="E610" s="91">
        <v>7.0</v>
      </c>
      <c r="F610" s="92">
        <v>729.86</v>
      </c>
      <c r="G610" s="92">
        <v>5109.02</v>
      </c>
      <c r="H610" s="93"/>
      <c r="I610" s="92"/>
      <c r="J610" s="92"/>
      <c r="K610" s="92"/>
    </row>
    <row r="611" ht="12.75" customHeight="1">
      <c r="E611" s="79"/>
      <c r="F611" s="80"/>
      <c r="G611" s="80"/>
      <c r="H611" s="81"/>
      <c r="I611" s="80"/>
      <c r="J611" s="80"/>
      <c r="K611" s="80"/>
    </row>
    <row r="612" ht="12.75" customHeight="1">
      <c r="A612" s="89" t="s">
        <v>589</v>
      </c>
      <c r="B612" s="90" t="s">
        <v>3958</v>
      </c>
      <c r="C612" s="90"/>
      <c r="D612" s="89" t="s">
        <v>75</v>
      </c>
      <c r="E612" s="91">
        <v>3.0</v>
      </c>
      <c r="F612" s="92">
        <v>299.6</v>
      </c>
      <c r="G612" s="92">
        <v>898.8</v>
      </c>
      <c r="H612" s="93"/>
      <c r="I612" s="92"/>
      <c r="J612" s="92"/>
      <c r="K612" s="92"/>
    </row>
    <row r="613" ht="12.75" customHeight="1">
      <c r="E613" s="79"/>
      <c r="F613" s="80"/>
      <c r="G613" s="80"/>
      <c r="H613" s="81"/>
      <c r="I613" s="80"/>
      <c r="J613" s="80"/>
      <c r="K613" s="80"/>
    </row>
    <row r="614" ht="12.75" customHeight="1">
      <c r="A614" s="89" t="s">
        <v>591</v>
      </c>
      <c r="B614" s="90" t="s">
        <v>2563</v>
      </c>
      <c r="C614" s="90"/>
      <c r="E614" s="79"/>
      <c r="F614" s="80"/>
      <c r="G614" s="80"/>
      <c r="H614" s="81"/>
      <c r="I614" s="80"/>
      <c r="J614" s="80"/>
      <c r="K614" s="80"/>
    </row>
    <row r="615" ht="12.75" customHeight="1">
      <c r="E615" s="79"/>
      <c r="F615" s="80"/>
      <c r="G615" s="80"/>
      <c r="H615" s="81"/>
      <c r="I615" s="80"/>
      <c r="J615" s="80"/>
      <c r="K615" s="80"/>
    </row>
    <row r="616" ht="12.75" customHeight="1">
      <c r="A616" s="89" t="s">
        <v>593</v>
      </c>
      <c r="B616" s="90" t="s">
        <v>3959</v>
      </c>
      <c r="C616" s="90"/>
      <c r="D616" s="89" t="s">
        <v>75</v>
      </c>
      <c r="E616" s="91">
        <v>6.0</v>
      </c>
      <c r="F616" s="92">
        <v>53.6</v>
      </c>
      <c r="G616" s="92">
        <v>321.6</v>
      </c>
      <c r="H616" s="93"/>
      <c r="I616" s="92"/>
      <c r="J616" s="92"/>
      <c r="K616" s="92"/>
    </row>
    <row r="617" ht="12.75" customHeight="1">
      <c r="E617" s="79"/>
      <c r="F617" s="80"/>
      <c r="G617" s="80"/>
      <c r="H617" s="81"/>
      <c r="I617" s="80"/>
      <c r="J617" s="80"/>
      <c r="K617" s="80"/>
    </row>
    <row r="618" ht="12.75" customHeight="1">
      <c r="A618" s="89" t="s">
        <v>595</v>
      </c>
      <c r="B618" s="90" t="s">
        <v>3960</v>
      </c>
      <c r="C618" s="90"/>
      <c r="D618" s="89" t="s">
        <v>75</v>
      </c>
      <c r="E618" s="91">
        <v>11.0</v>
      </c>
      <c r="F618" s="92">
        <v>92.39</v>
      </c>
      <c r="G618" s="92">
        <v>1016.29</v>
      </c>
      <c r="H618" s="93"/>
      <c r="I618" s="92"/>
      <c r="J618" s="92"/>
      <c r="K618" s="92"/>
    </row>
    <row r="619" ht="12.75" customHeight="1">
      <c r="E619" s="79"/>
      <c r="F619" s="80"/>
      <c r="G619" s="80"/>
      <c r="H619" s="81"/>
      <c r="I619" s="80"/>
      <c r="J619" s="80"/>
      <c r="K619" s="80"/>
    </row>
    <row r="620" ht="12.75" customHeight="1">
      <c r="A620" s="89" t="s">
        <v>597</v>
      </c>
      <c r="B620" s="90" t="s">
        <v>3961</v>
      </c>
      <c r="C620" s="90"/>
      <c r="D620" s="89" t="s">
        <v>75</v>
      </c>
      <c r="E620" s="91">
        <v>3.0</v>
      </c>
      <c r="F620" s="92">
        <v>66.37</v>
      </c>
      <c r="G620" s="92">
        <v>199.11</v>
      </c>
      <c r="H620" s="93"/>
      <c r="I620" s="92"/>
      <c r="J620" s="92"/>
      <c r="K620" s="92"/>
    </row>
    <row r="621" ht="12.75" customHeight="1">
      <c r="E621" s="79"/>
      <c r="F621" s="80"/>
      <c r="G621" s="80"/>
      <c r="H621" s="81"/>
      <c r="I621" s="80"/>
      <c r="J621" s="80"/>
      <c r="K621" s="80"/>
    </row>
    <row r="622" ht="12.75" customHeight="1">
      <c r="A622" s="89" t="s">
        <v>599</v>
      </c>
      <c r="B622" s="90" t="s">
        <v>3962</v>
      </c>
      <c r="C622" s="90"/>
      <c r="D622" s="89" t="s">
        <v>75</v>
      </c>
      <c r="E622" s="91">
        <v>3.0</v>
      </c>
      <c r="F622" s="92">
        <v>64.54</v>
      </c>
      <c r="G622" s="92">
        <v>193.62</v>
      </c>
      <c r="H622" s="93"/>
      <c r="I622" s="92"/>
      <c r="J622" s="92"/>
      <c r="K622" s="92"/>
    </row>
    <row r="623" ht="12.75" customHeight="1">
      <c r="E623" s="79"/>
      <c r="F623" s="80"/>
      <c r="G623" s="80"/>
      <c r="H623" s="81"/>
      <c r="I623" s="80"/>
      <c r="J623" s="80"/>
      <c r="K623" s="80"/>
    </row>
    <row r="624" ht="12.75" customHeight="1">
      <c r="A624" s="89" t="s">
        <v>601</v>
      </c>
      <c r="B624" s="90" t="s">
        <v>3963</v>
      </c>
      <c r="C624" s="90"/>
      <c r="D624" s="89" t="s">
        <v>75</v>
      </c>
      <c r="E624" s="91">
        <v>1.0</v>
      </c>
      <c r="F624" s="92">
        <v>789.54</v>
      </c>
      <c r="G624" s="92">
        <v>789.54</v>
      </c>
      <c r="H624" s="93"/>
      <c r="I624" s="92"/>
      <c r="J624" s="92"/>
      <c r="K624" s="92"/>
    </row>
    <row r="625" ht="12.75" customHeight="1">
      <c r="E625" s="79"/>
      <c r="F625" s="80"/>
      <c r="G625" s="80"/>
      <c r="H625" s="81"/>
      <c r="I625" s="80"/>
      <c r="J625" s="80"/>
      <c r="K625" s="80"/>
    </row>
    <row r="626" ht="12.75" customHeight="1">
      <c r="A626" s="89" t="s">
        <v>603</v>
      </c>
      <c r="B626" s="90" t="s">
        <v>3964</v>
      </c>
      <c r="C626" s="90"/>
      <c r="D626" s="89" t="s">
        <v>40</v>
      </c>
      <c r="E626" s="91">
        <v>21.85</v>
      </c>
      <c r="F626" s="92">
        <v>323.28</v>
      </c>
      <c r="G626" s="92">
        <v>7063.67</v>
      </c>
      <c r="H626" s="93"/>
      <c r="I626" s="92"/>
      <c r="J626" s="92"/>
      <c r="K626" s="92"/>
    </row>
    <row r="627" ht="12.75" customHeight="1">
      <c r="E627" s="79"/>
      <c r="F627" s="80"/>
      <c r="G627" s="80"/>
      <c r="H627" s="81"/>
      <c r="I627" s="80"/>
      <c r="J627" s="80"/>
      <c r="K627" s="80"/>
    </row>
    <row r="628" ht="12.75" customHeight="1">
      <c r="A628" s="89" t="s">
        <v>605</v>
      </c>
      <c r="B628" s="90" t="s">
        <v>3965</v>
      </c>
      <c r="C628" s="90"/>
      <c r="D628" s="89" t="s">
        <v>75</v>
      </c>
      <c r="E628" s="91">
        <v>2.0</v>
      </c>
      <c r="F628" s="92">
        <v>206.9</v>
      </c>
      <c r="G628" s="92">
        <v>413.8</v>
      </c>
      <c r="H628" s="93"/>
      <c r="I628" s="92"/>
      <c r="J628" s="92"/>
      <c r="K628" s="92"/>
    </row>
    <row r="629" ht="12.75" customHeight="1">
      <c r="E629" s="79"/>
      <c r="F629" s="80"/>
      <c r="G629" s="80"/>
      <c r="H629" s="81"/>
      <c r="I629" s="80"/>
      <c r="J629" s="80"/>
      <c r="K629" s="80"/>
    </row>
    <row r="630" ht="12.75" customHeight="1">
      <c r="A630" s="89" t="s">
        <v>607</v>
      </c>
      <c r="B630" s="90" t="s">
        <v>3966</v>
      </c>
      <c r="C630" s="90"/>
      <c r="D630" s="89" t="s">
        <v>40</v>
      </c>
      <c r="E630" s="91">
        <v>22.6</v>
      </c>
      <c r="F630" s="92">
        <v>109.91</v>
      </c>
      <c r="G630" s="92">
        <v>2483.97</v>
      </c>
      <c r="H630" s="93"/>
      <c r="I630" s="92"/>
      <c r="J630" s="92"/>
      <c r="K630" s="92"/>
    </row>
    <row r="631" ht="12.75" customHeight="1">
      <c r="E631" s="79"/>
      <c r="F631" s="80"/>
      <c r="G631" s="80"/>
      <c r="H631" s="81"/>
      <c r="I631" s="80"/>
      <c r="J631" s="80"/>
      <c r="K631" s="80"/>
    </row>
    <row r="632" ht="12.75" customHeight="1">
      <c r="A632" s="89" t="s">
        <v>3935</v>
      </c>
      <c r="B632" s="90" t="s">
        <v>2517</v>
      </c>
      <c r="C632" s="90"/>
      <c r="E632" s="79"/>
      <c r="F632" s="80"/>
      <c r="G632" s="92">
        <v>56234.54</v>
      </c>
      <c r="H632" s="93">
        <f>G632</f>
        <v>56234.54</v>
      </c>
      <c r="I632" s="92"/>
      <c r="J632" s="92"/>
      <c r="K632" s="92"/>
    </row>
    <row r="633" ht="12.75" customHeight="1">
      <c r="E633" s="79"/>
      <c r="F633" s="80"/>
      <c r="G633" s="80"/>
      <c r="H633" s="81"/>
      <c r="I633" s="80"/>
      <c r="J633" s="80"/>
      <c r="K633" s="80"/>
    </row>
    <row r="634" ht="12.75" customHeight="1">
      <c r="E634" s="79"/>
      <c r="F634" s="80"/>
      <c r="G634" s="80"/>
      <c r="H634" s="81"/>
      <c r="I634" s="80"/>
      <c r="J634" s="80"/>
      <c r="K634" s="80"/>
    </row>
    <row r="635" ht="12.75" customHeight="1">
      <c r="A635" s="89" t="s">
        <v>3967</v>
      </c>
      <c r="B635" s="90" t="s">
        <v>3968</v>
      </c>
      <c r="C635" s="90"/>
      <c r="E635" s="79"/>
      <c r="F635" s="80"/>
      <c r="G635" s="80"/>
      <c r="H635" s="81"/>
      <c r="I635" s="80"/>
      <c r="J635" s="80"/>
      <c r="K635" s="80"/>
    </row>
    <row r="636" ht="12.75" customHeight="1">
      <c r="E636" s="79"/>
      <c r="F636" s="80"/>
      <c r="G636" s="80"/>
      <c r="H636" s="81"/>
      <c r="I636" s="80"/>
      <c r="J636" s="80"/>
      <c r="K636" s="80"/>
    </row>
    <row r="637" ht="12.75" customHeight="1">
      <c r="A637" s="89" t="s">
        <v>610</v>
      </c>
      <c r="B637" s="90" t="s">
        <v>2580</v>
      </c>
      <c r="C637" s="90"/>
      <c r="E637" s="79"/>
      <c r="F637" s="80"/>
      <c r="G637" s="80"/>
      <c r="H637" s="81"/>
      <c r="I637" s="80"/>
      <c r="J637" s="80"/>
      <c r="K637" s="80"/>
    </row>
    <row r="638" ht="12.75" customHeight="1">
      <c r="E638" s="79"/>
      <c r="F638" s="80"/>
      <c r="G638" s="80"/>
      <c r="H638" s="81"/>
      <c r="I638" s="80"/>
      <c r="J638" s="80"/>
      <c r="K638" s="80"/>
    </row>
    <row r="639" ht="12.75" customHeight="1">
      <c r="A639" s="109" t="s">
        <v>612</v>
      </c>
      <c r="B639" s="110" t="s">
        <v>3969</v>
      </c>
      <c r="C639" s="110"/>
      <c r="D639" s="124"/>
      <c r="E639" s="125"/>
      <c r="F639" s="126"/>
      <c r="G639" s="126"/>
      <c r="H639" s="127"/>
      <c r="I639" s="126" t="s">
        <v>614</v>
      </c>
      <c r="J639" s="126"/>
      <c r="K639" s="126"/>
    </row>
    <row r="640" ht="12.75" customHeight="1">
      <c r="E640" s="79"/>
      <c r="F640" s="80"/>
      <c r="G640" s="80"/>
      <c r="H640" s="81"/>
      <c r="I640" s="80"/>
      <c r="J640" s="80"/>
      <c r="K640" s="80"/>
    </row>
    <row r="641" ht="12.75" customHeight="1">
      <c r="A641" s="89" t="s">
        <v>615</v>
      </c>
      <c r="B641" s="90" t="s">
        <v>3970</v>
      </c>
      <c r="C641" s="90"/>
      <c r="D641" s="89" t="s">
        <v>227</v>
      </c>
      <c r="E641" s="91">
        <v>1.0</v>
      </c>
      <c r="F641" s="92">
        <v>9100.0</v>
      </c>
      <c r="G641" s="92">
        <v>9100.0</v>
      </c>
      <c r="H641" s="93"/>
      <c r="I641" s="92"/>
      <c r="J641" s="92"/>
      <c r="K641" s="92"/>
    </row>
    <row r="642" ht="12.75" customHeight="1">
      <c r="E642" s="79"/>
      <c r="F642" s="80"/>
      <c r="G642" s="80"/>
      <c r="H642" s="81"/>
      <c r="I642" s="80"/>
      <c r="J642" s="80"/>
      <c r="K642" s="80"/>
    </row>
    <row r="643" ht="12.75" customHeight="1">
      <c r="A643" s="89" t="s">
        <v>617</v>
      </c>
      <c r="B643" s="90" t="s">
        <v>3971</v>
      </c>
      <c r="C643" s="90"/>
      <c r="D643" s="89" t="s">
        <v>227</v>
      </c>
      <c r="E643" s="91">
        <v>1.0</v>
      </c>
      <c r="F643" s="80"/>
      <c r="G643" s="135" t="s">
        <v>619</v>
      </c>
      <c r="H643" s="159"/>
      <c r="I643" s="135"/>
      <c r="J643" s="135"/>
      <c r="K643" s="135"/>
    </row>
    <row r="644" ht="12.75" customHeight="1">
      <c r="E644" s="79"/>
      <c r="F644" s="80"/>
      <c r="G644" s="80"/>
      <c r="H644" s="81"/>
      <c r="I644" s="80"/>
      <c r="J644" s="80"/>
      <c r="K644" s="80"/>
    </row>
    <row r="645" ht="12.75" customHeight="1">
      <c r="A645" s="89" t="s">
        <v>620</v>
      </c>
      <c r="B645" s="90" t="s">
        <v>3972</v>
      </c>
      <c r="C645" s="90"/>
      <c r="E645" s="79"/>
      <c r="F645" s="80"/>
      <c r="G645" s="80"/>
      <c r="H645" s="81"/>
      <c r="I645" s="80"/>
      <c r="J645" s="80"/>
      <c r="K645" s="80"/>
    </row>
    <row r="646" ht="12.75" customHeight="1">
      <c r="E646" s="79"/>
      <c r="F646" s="80"/>
      <c r="G646" s="80"/>
      <c r="H646" s="81"/>
      <c r="I646" s="80"/>
      <c r="J646" s="80"/>
      <c r="K646" s="80"/>
    </row>
    <row r="647" ht="12.75" customHeight="1">
      <c r="A647" s="89" t="s">
        <v>622</v>
      </c>
      <c r="B647" s="90" t="s">
        <v>3973</v>
      </c>
      <c r="C647" s="90"/>
      <c r="D647" s="89" t="s">
        <v>227</v>
      </c>
      <c r="E647" s="91">
        <v>1.0</v>
      </c>
      <c r="F647" s="80"/>
      <c r="G647" s="135" t="s">
        <v>619</v>
      </c>
      <c r="H647" s="159"/>
      <c r="I647" s="135"/>
      <c r="J647" s="135"/>
      <c r="K647" s="135"/>
    </row>
    <row r="648" ht="12.75" customHeight="1">
      <c r="E648" s="79"/>
      <c r="F648" s="80"/>
      <c r="G648" s="80"/>
      <c r="H648" s="81"/>
      <c r="I648" s="80"/>
      <c r="J648" s="80"/>
      <c r="K648" s="80"/>
    </row>
    <row r="649" ht="12.75" customHeight="1">
      <c r="A649" s="89" t="s">
        <v>624</v>
      </c>
      <c r="B649" s="90" t="s">
        <v>3974</v>
      </c>
      <c r="C649" s="90"/>
      <c r="D649" s="89" t="s">
        <v>227</v>
      </c>
      <c r="E649" s="91">
        <v>1.0</v>
      </c>
      <c r="F649" s="80"/>
      <c r="G649" s="135" t="s">
        <v>619</v>
      </c>
      <c r="H649" s="159"/>
      <c r="I649" s="135"/>
      <c r="J649" s="135"/>
      <c r="K649" s="135"/>
    </row>
    <row r="650" ht="12.75" customHeight="1">
      <c r="E650" s="79"/>
      <c r="F650" s="80"/>
      <c r="G650" s="80"/>
      <c r="H650" s="81"/>
      <c r="I650" s="80"/>
      <c r="J650" s="80"/>
      <c r="K650" s="80"/>
    </row>
    <row r="651" ht="12.75" customHeight="1">
      <c r="A651" s="89" t="s">
        <v>626</v>
      </c>
      <c r="B651" s="90" t="s">
        <v>3975</v>
      </c>
      <c r="C651" s="90"/>
      <c r="D651" s="89" t="s">
        <v>75</v>
      </c>
      <c r="E651" s="91">
        <v>1.0</v>
      </c>
      <c r="F651" s="92">
        <v>298.0</v>
      </c>
      <c r="G651" s="92">
        <v>298.0</v>
      </c>
      <c r="H651" s="93"/>
      <c r="I651" s="92"/>
      <c r="J651" s="92"/>
      <c r="K651" s="92"/>
    </row>
    <row r="652" ht="12.75" customHeight="1">
      <c r="E652" s="79"/>
      <c r="F652" s="80"/>
      <c r="G652" s="80"/>
      <c r="H652" s="81"/>
      <c r="I652" s="80"/>
      <c r="J652" s="80"/>
      <c r="K652" s="80"/>
    </row>
    <row r="653" ht="12.75" customHeight="1">
      <c r="A653" s="89" t="s">
        <v>628</v>
      </c>
      <c r="B653" s="90" t="s">
        <v>3976</v>
      </c>
      <c r="C653" s="90"/>
      <c r="D653" s="89" t="s">
        <v>75</v>
      </c>
      <c r="E653" s="91">
        <v>1.0</v>
      </c>
      <c r="F653" s="92">
        <v>300.0</v>
      </c>
      <c r="G653" s="92">
        <v>300.0</v>
      </c>
      <c r="H653" s="93"/>
      <c r="I653" s="92"/>
      <c r="J653" s="92"/>
      <c r="K653" s="92"/>
    </row>
    <row r="654" ht="12.75" customHeight="1">
      <c r="E654" s="79"/>
      <c r="F654" s="80"/>
      <c r="G654" s="80"/>
      <c r="H654" s="81"/>
      <c r="I654" s="80"/>
      <c r="J654" s="80"/>
      <c r="K654" s="80"/>
    </row>
    <row r="655" ht="12.75" customHeight="1">
      <c r="A655" s="89" t="s">
        <v>630</v>
      </c>
      <c r="B655" s="90" t="s">
        <v>3977</v>
      </c>
      <c r="C655" s="90"/>
      <c r="D655" s="89" t="s">
        <v>75</v>
      </c>
      <c r="E655" s="91">
        <v>1.0</v>
      </c>
      <c r="F655" s="92">
        <v>230.0</v>
      </c>
      <c r="G655" s="92">
        <v>230.0</v>
      </c>
      <c r="H655" s="93"/>
      <c r="I655" s="92"/>
      <c r="J655" s="92"/>
      <c r="K655" s="92"/>
    </row>
    <row r="656" ht="12.75" customHeight="1">
      <c r="E656" s="79"/>
      <c r="F656" s="80"/>
      <c r="G656" s="80"/>
      <c r="H656" s="81"/>
      <c r="I656" s="80"/>
      <c r="J656" s="80"/>
      <c r="K656" s="80"/>
    </row>
    <row r="657" ht="12.75" customHeight="1">
      <c r="A657" s="89" t="s">
        <v>632</v>
      </c>
      <c r="B657" s="90" t="s">
        <v>3978</v>
      </c>
      <c r="C657" s="90"/>
      <c r="D657" s="89" t="s">
        <v>75</v>
      </c>
      <c r="E657" s="91">
        <v>1.0</v>
      </c>
      <c r="F657" s="92">
        <v>1800.0</v>
      </c>
      <c r="G657" s="92">
        <v>1800.0</v>
      </c>
      <c r="H657" s="93"/>
      <c r="I657" s="92" t="s">
        <v>634</v>
      </c>
      <c r="J657" s="92"/>
      <c r="K657" s="92"/>
    </row>
    <row r="658" ht="12.75" customHeight="1">
      <c r="E658" s="79"/>
      <c r="F658" s="80"/>
      <c r="G658" s="80"/>
      <c r="H658" s="81"/>
      <c r="I658" s="80"/>
      <c r="J658" s="80"/>
      <c r="K658" s="80"/>
    </row>
    <row r="659" ht="12.75" customHeight="1">
      <c r="A659" s="89" t="s">
        <v>635</v>
      </c>
      <c r="B659" s="90" t="s">
        <v>3979</v>
      </c>
      <c r="C659" s="90"/>
      <c r="D659" s="89" t="s">
        <v>75</v>
      </c>
      <c r="E659" s="91">
        <v>1.0</v>
      </c>
      <c r="F659" s="92">
        <v>998.0</v>
      </c>
      <c r="G659" s="92">
        <v>998.0</v>
      </c>
      <c r="H659" s="93">
        <v>750.0</v>
      </c>
      <c r="I659" s="92" t="s">
        <v>637</v>
      </c>
      <c r="J659" s="92"/>
      <c r="K659" s="92">
        <f>G659-H659</f>
        <v>248</v>
      </c>
    </row>
    <row r="660" ht="12.75" customHeight="1">
      <c r="E660" s="79"/>
      <c r="F660" s="80"/>
      <c r="G660" s="80"/>
      <c r="H660" s="81"/>
      <c r="I660" s="80"/>
      <c r="J660" s="80"/>
      <c r="K660" s="80"/>
    </row>
    <row r="661" ht="12.75" customHeight="1">
      <c r="A661" s="89" t="s">
        <v>638</v>
      </c>
      <c r="B661" s="90" t="s">
        <v>3980</v>
      </c>
      <c r="C661" s="90"/>
      <c r="D661" s="89" t="s">
        <v>75</v>
      </c>
      <c r="E661" s="91">
        <v>1.0</v>
      </c>
      <c r="F661" s="92">
        <v>1144.0</v>
      </c>
      <c r="G661" s="92">
        <v>1144.0</v>
      </c>
      <c r="H661" s="93">
        <v>750.0</v>
      </c>
      <c r="I661" s="92" t="s">
        <v>640</v>
      </c>
      <c r="J661" s="92"/>
      <c r="K661" s="92">
        <f>G661-H661</f>
        <v>394</v>
      </c>
    </row>
    <row r="662" ht="12.75" customHeight="1">
      <c r="E662" s="79"/>
      <c r="F662" s="80"/>
      <c r="G662" s="80"/>
      <c r="H662" s="81"/>
      <c r="I662" s="80"/>
      <c r="J662" s="80"/>
      <c r="K662" s="80"/>
    </row>
    <row r="663" ht="12.75" customHeight="1">
      <c r="A663" s="89" t="s">
        <v>641</v>
      </c>
      <c r="B663" s="90" t="s">
        <v>3981</v>
      </c>
      <c r="C663" s="90"/>
      <c r="D663" s="89" t="s">
        <v>75</v>
      </c>
      <c r="E663" s="91">
        <v>1.0</v>
      </c>
      <c r="F663" s="92">
        <v>330.0</v>
      </c>
      <c r="G663" s="92">
        <v>330.0</v>
      </c>
      <c r="H663" s="93" t="s">
        <v>643</v>
      </c>
      <c r="I663" s="92"/>
      <c r="J663" s="92"/>
      <c r="K663" s="92">
        <v>0.0</v>
      </c>
    </row>
    <row r="664" ht="12.75" customHeight="1">
      <c r="E664" s="79"/>
      <c r="F664" s="80"/>
      <c r="G664" s="80"/>
      <c r="H664" s="81"/>
      <c r="I664" s="80"/>
      <c r="J664" s="80"/>
      <c r="K664" s="80"/>
    </row>
    <row r="665" ht="12.75" customHeight="1">
      <c r="A665" s="89" t="s">
        <v>644</v>
      </c>
      <c r="B665" s="90" t="s">
        <v>3982</v>
      </c>
      <c r="C665" s="90"/>
      <c r="D665" s="89" t="s">
        <v>75</v>
      </c>
      <c r="E665" s="91">
        <v>1.0</v>
      </c>
      <c r="F665" s="92">
        <v>1080.0</v>
      </c>
      <c r="G665" s="92">
        <v>1080.0</v>
      </c>
      <c r="H665" s="93">
        <v>979.0</v>
      </c>
      <c r="I665" s="92" t="s">
        <v>646</v>
      </c>
      <c r="J665" s="92"/>
      <c r="K665" s="92"/>
    </row>
    <row r="666" ht="12.75" customHeight="1">
      <c r="E666" s="79"/>
      <c r="F666" s="80"/>
      <c r="G666" s="80"/>
      <c r="H666" s="81"/>
      <c r="I666" s="80"/>
      <c r="J666" s="80"/>
      <c r="K666" s="80"/>
    </row>
    <row r="667" ht="12.75" customHeight="1">
      <c r="A667" s="89" t="s">
        <v>647</v>
      </c>
      <c r="B667" s="90" t="s">
        <v>3983</v>
      </c>
      <c r="C667" s="90"/>
      <c r="D667" s="89" t="s">
        <v>75</v>
      </c>
      <c r="E667" s="91">
        <v>1.0</v>
      </c>
      <c r="F667" s="92">
        <v>898.0</v>
      </c>
      <c r="G667" s="92">
        <v>898.0</v>
      </c>
      <c r="H667" s="93">
        <v>390.0</v>
      </c>
      <c r="I667" s="92"/>
      <c r="J667" s="129" t="s">
        <v>559</v>
      </c>
      <c r="K667" s="92">
        <f>G667-H667</f>
        <v>508</v>
      </c>
    </row>
    <row r="668" ht="12.75" customHeight="1">
      <c r="E668" s="79"/>
      <c r="F668" s="80"/>
      <c r="G668" s="80"/>
      <c r="H668" s="81"/>
      <c r="I668" s="80"/>
      <c r="J668" s="80"/>
      <c r="K668" s="80"/>
    </row>
    <row r="669" ht="12.75" customHeight="1">
      <c r="A669" s="89" t="s">
        <v>649</v>
      </c>
      <c r="B669" s="90" t="s">
        <v>3984</v>
      </c>
      <c r="C669" s="90"/>
      <c r="D669" s="89" t="s">
        <v>75</v>
      </c>
      <c r="E669" s="91">
        <v>1.0</v>
      </c>
      <c r="F669" s="92">
        <v>940.0</v>
      </c>
      <c r="G669" s="92">
        <v>940.0</v>
      </c>
      <c r="H669" s="93"/>
      <c r="I669" s="92"/>
      <c r="J669" s="92"/>
      <c r="K669" s="92"/>
    </row>
    <row r="670" ht="12.75" customHeight="1">
      <c r="E670" s="79"/>
      <c r="F670" s="80"/>
      <c r="G670" s="80"/>
      <c r="H670" s="81"/>
      <c r="I670" s="80"/>
      <c r="J670" s="80"/>
      <c r="K670" s="80"/>
    </row>
    <row r="671" ht="12.75" customHeight="1">
      <c r="A671" s="89" t="s">
        <v>651</v>
      </c>
      <c r="B671" s="90" t="s">
        <v>3985</v>
      </c>
      <c r="C671" s="90"/>
      <c r="D671" s="89" t="s">
        <v>75</v>
      </c>
      <c r="E671" s="91">
        <v>1.0</v>
      </c>
      <c r="F671" s="92">
        <v>45.0</v>
      </c>
      <c r="G671" s="92">
        <v>45.0</v>
      </c>
      <c r="H671" s="93"/>
      <c r="I671" s="92"/>
      <c r="J671" s="92"/>
      <c r="K671" s="92"/>
    </row>
    <row r="672" ht="12.75" customHeight="1">
      <c r="E672" s="79"/>
      <c r="F672" s="80"/>
      <c r="G672" s="80"/>
      <c r="H672" s="81"/>
      <c r="I672" s="80"/>
      <c r="J672" s="80"/>
      <c r="K672" s="80"/>
    </row>
    <row r="673" ht="12.75" customHeight="1">
      <c r="A673" s="89" t="s">
        <v>653</v>
      </c>
      <c r="B673" s="90" t="s">
        <v>3986</v>
      </c>
      <c r="C673" s="90"/>
      <c r="D673" s="89" t="s">
        <v>75</v>
      </c>
      <c r="E673" s="91">
        <v>1.0</v>
      </c>
      <c r="F673" s="92">
        <v>25.0</v>
      </c>
      <c r="G673" s="92">
        <v>25.0</v>
      </c>
      <c r="H673" s="93"/>
      <c r="I673" s="92"/>
      <c r="J673" s="92"/>
      <c r="K673" s="92"/>
    </row>
    <row r="674" ht="12.75" customHeight="1">
      <c r="E674" s="79"/>
      <c r="F674" s="80"/>
      <c r="G674" s="80"/>
      <c r="H674" s="81"/>
      <c r="I674" s="80"/>
      <c r="J674" s="80"/>
      <c r="K674" s="80"/>
    </row>
    <row r="675" ht="12.75" customHeight="1">
      <c r="A675" s="89" t="s">
        <v>655</v>
      </c>
      <c r="B675" s="90" t="s">
        <v>3987</v>
      </c>
      <c r="C675" s="90"/>
      <c r="D675" s="89" t="s">
        <v>75</v>
      </c>
      <c r="E675" s="91">
        <v>1.0</v>
      </c>
      <c r="F675" s="92">
        <v>820.0</v>
      </c>
      <c r="G675" s="92">
        <v>820.0</v>
      </c>
      <c r="H675" s="93">
        <v>707.0</v>
      </c>
      <c r="I675" s="92"/>
      <c r="J675" s="92"/>
      <c r="K675" s="92"/>
    </row>
    <row r="676" ht="12.75" customHeight="1">
      <c r="E676" s="79"/>
      <c r="F676" s="80"/>
      <c r="G676" s="80"/>
      <c r="H676" s="81"/>
      <c r="I676" s="80"/>
      <c r="J676" s="80"/>
      <c r="K676" s="80"/>
    </row>
    <row r="677" ht="12.75" customHeight="1">
      <c r="A677" s="89" t="s">
        <v>657</v>
      </c>
      <c r="B677" s="90" t="s">
        <v>2605</v>
      </c>
      <c r="C677" s="90"/>
      <c r="E677" s="79"/>
      <c r="F677" s="80"/>
      <c r="G677" s="80"/>
      <c r="H677" s="81"/>
      <c r="I677" s="80"/>
      <c r="J677" s="80"/>
      <c r="K677" s="80"/>
    </row>
    <row r="678" ht="12.75" customHeight="1">
      <c r="E678" s="79"/>
      <c r="F678" s="80"/>
      <c r="G678" s="80"/>
      <c r="H678" s="81"/>
      <c r="I678" s="80"/>
      <c r="J678" s="80"/>
      <c r="K678" s="80"/>
    </row>
    <row r="679" ht="12.75" customHeight="1">
      <c r="A679" s="89" t="s">
        <v>659</v>
      </c>
      <c r="B679" s="90" t="s">
        <v>3988</v>
      </c>
      <c r="C679" s="90"/>
      <c r="D679" s="89" t="s">
        <v>75</v>
      </c>
      <c r="E679" s="91">
        <v>1.0</v>
      </c>
      <c r="F679" s="92">
        <v>755.0</v>
      </c>
      <c r="G679" s="92">
        <v>755.0</v>
      </c>
      <c r="H679" s="93"/>
      <c r="I679" s="92" t="s">
        <v>661</v>
      </c>
      <c r="J679" s="92"/>
      <c r="K679" s="92"/>
    </row>
    <row r="680" ht="12.75" customHeight="1">
      <c r="E680" s="79"/>
      <c r="F680" s="80"/>
      <c r="G680" s="80"/>
      <c r="H680" s="81"/>
      <c r="I680" s="80"/>
      <c r="J680" s="80"/>
      <c r="K680" s="80"/>
    </row>
    <row r="681" ht="12.75" customHeight="1">
      <c r="A681" s="89" t="s">
        <v>662</v>
      </c>
      <c r="B681" s="90" t="s">
        <v>3989</v>
      </c>
      <c r="C681" s="90"/>
      <c r="D681" s="89" t="s">
        <v>75</v>
      </c>
      <c r="E681" s="91">
        <v>1.0</v>
      </c>
      <c r="F681" s="92">
        <v>598.0</v>
      </c>
      <c r="G681" s="92">
        <v>598.0</v>
      </c>
      <c r="H681" s="93"/>
      <c r="I681" s="92" t="s">
        <v>664</v>
      </c>
      <c r="J681" s="92"/>
      <c r="K681" s="92"/>
    </row>
    <row r="682" ht="12.75" customHeight="1">
      <c r="E682" s="79"/>
      <c r="F682" s="80"/>
      <c r="G682" s="80"/>
      <c r="H682" s="81"/>
      <c r="I682" s="80"/>
      <c r="J682" s="80"/>
      <c r="K682" s="80"/>
    </row>
    <row r="683" ht="12.75" customHeight="1">
      <c r="A683" s="89" t="s">
        <v>3967</v>
      </c>
      <c r="B683" s="90" t="s">
        <v>3968</v>
      </c>
      <c r="C683" s="90"/>
      <c r="E683" s="79"/>
      <c r="F683" s="80"/>
      <c r="G683" s="92">
        <v>19361.0</v>
      </c>
      <c r="H683" s="93">
        <f>G683</f>
        <v>19361</v>
      </c>
      <c r="I683" s="92"/>
      <c r="J683" s="92"/>
      <c r="K683" s="92"/>
    </row>
    <row r="684" ht="12.75" customHeight="1">
      <c r="E684" s="79"/>
      <c r="F684" s="80"/>
      <c r="G684" s="80"/>
      <c r="H684" s="81"/>
      <c r="I684" s="80"/>
      <c r="J684" s="80"/>
      <c r="K684" s="80"/>
    </row>
    <row r="685" ht="12.75" customHeight="1">
      <c r="E685" s="79"/>
      <c r="F685" s="80"/>
      <c r="G685" s="80"/>
      <c r="H685" s="81"/>
      <c r="I685" s="80"/>
      <c r="J685" s="80"/>
      <c r="K685" s="80"/>
    </row>
    <row r="686" ht="12.75" customHeight="1">
      <c r="A686" s="89" t="s">
        <v>3990</v>
      </c>
      <c r="B686" s="90" t="s">
        <v>2884</v>
      </c>
      <c r="C686" s="90"/>
      <c r="E686" s="79"/>
      <c r="F686" s="80"/>
      <c r="G686" s="80"/>
      <c r="H686" s="81"/>
      <c r="I686" s="80"/>
      <c r="J686" s="80"/>
      <c r="K686" s="80"/>
    </row>
    <row r="687" ht="12.75" customHeight="1">
      <c r="E687" s="79"/>
      <c r="F687" s="80"/>
      <c r="G687" s="80"/>
      <c r="H687" s="81"/>
      <c r="I687" s="80"/>
      <c r="J687" s="80"/>
      <c r="K687" s="80"/>
    </row>
    <row r="688" ht="12.75" customHeight="1">
      <c r="A688" s="89" t="s">
        <v>666</v>
      </c>
      <c r="B688" s="90" t="s">
        <v>2563</v>
      </c>
      <c r="C688" s="90"/>
      <c r="E688" s="79"/>
      <c r="F688" s="80"/>
      <c r="G688" s="80"/>
      <c r="H688" s="81"/>
      <c r="I688" s="80"/>
      <c r="J688" s="80"/>
      <c r="K688" s="80"/>
    </row>
    <row r="689" ht="12.75" customHeight="1">
      <c r="E689" s="79"/>
      <c r="F689" s="80"/>
      <c r="G689" s="80"/>
      <c r="H689" s="81"/>
      <c r="I689" s="80"/>
      <c r="J689" s="80"/>
      <c r="K689" s="80"/>
    </row>
    <row r="690" ht="12.75" customHeight="1">
      <c r="A690" s="89" t="s">
        <v>667</v>
      </c>
      <c r="B690" s="90" t="s">
        <v>3991</v>
      </c>
      <c r="C690" s="90"/>
      <c r="D690" s="89" t="s">
        <v>75</v>
      </c>
      <c r="E690" s="91">
        <v>1.0</v>
      </c>
      <c r="F690" s="92">
        <v>2030.0</v>
      </c>
      <c r="G690" s="92">
        <v>2030.0</v>
      </c>
      <c r="H690" s="93">
        <v>956.0</v>
      </c>
      <c r="I690" s="92" t="s">
        <v>669</v>
      </c>
      <c r="J690" s="129" t="s">
        <v>583</v>
      </c>
      <c r="K690" s="92"/>
    </row>
    <row r="691" ht="12.75" customHeight="1">
      <c r="E691" s="79"/>
      <c r="F691" s="80"/>
      <c r="G691" s="80"/>
      <c r="H691" s="81"/>
      <c r="I691" s="80"/>
      <c r="J691" s="80"/>
      <c r="K691" s="80"/>
    </row>
    <row r="692" ht="12.75" customHeight="1">
      <c r="A692" s="89" t="s">
        <v>670</v>
      </c>
      <c r="B692" s="90" t="s">
        <v>3992</v>
      </c>
      <c r="C692" s="90"/>
      <c r="D692" s="89" t="s">
        <v>75</v>
      </c>
      <c r="E692" s="91">
        <v>1.0</v>
      </c>
      <c r="F692" s="92">
        <v>7890.0</v>
      </c>
      <c r="G692" s="92">
        <v>7890.0</v>
      </c>
      <c r="H692" s="93" t="s">
        <v>672</v>
      </c>
      <c r="I692" s="92"/>
      <c r="J692" s="92"/>
      <c r="K692" s="92"/>
    </row>
    <row r="693" ht="12.75" customHeight="1">
      <c r="E693" s="79"/>
      <c r="F693" s="80"/>
      <c r="G693" s="80"/>
      <c r="H693" s="81"/>
      <c r="I693" s="80"/>
      <c r="J693" s="80"/>
      <c r="K693" s="80"/>
    </row>
    <row r="694" ht="12.75" customHeight="1">
      <c r="A694" s="89" t="s">
        <v>673</v>
      </c>
      <c r="B694" s="90" t="s">
        <v>3993</v>
      </c>
      <c r="C694" s="90"/>
      <c r="E694" s="79"/>
      <c r="F694" s="80"/>
      <c r="G694" s="80"/>
      <c r="H694" s="81"/>
      <c r="I694" s="80"/>
      <c r="J694" s="80"/>
      <c r="K694" s="80"/>
    </row>
    <row r="695" ht="12.75" customHeight="1">
      <c r="E695" s="79"/>
      <c r="F695" s="80"/>
      <c r="G695" s="80"/>
      <c r="H695" s="81"/>
      <c r="I695" s="80"/>
      <c r="J695" s="80"/>
      <c r="K695" s="80"/>
    </row>
    <row r="696" ht="12.75" customHeight="1">
      <c r="A696" s="89" t="s">
        <v>675</v>
      </c>
      <c r="B696" s="90" t="s">
        <v>3994</v>
      </c>
      <c r="C696" s="90"/>
      <c r="E696" s="79"/>
      <c r="F696" s="80"/>
      <c r="G696" s="80"/>
      <c r="H696" s="81"/>
      <c r="I696" s="80"/>
      <c r="J696" s="80"/>
      <c r="K696" s="80"/>
    </row>
    <row r="697" ht="12.75" customHeight="1">
      <c r="E697" s="79"/>
      <c r="F697" s="80"/>
      <c r="G697" s="80"/>
      <c r="H697" s="81"/>
      <c r="I697" s="80"/>
      <c r="J697" s="80"/>
      <c r="K697" s="80"/>
    </row>
    <row r="698" ht="12.75" customHeight="1">
      <c r="A698" s="89" t="s">
        <v>677</v>
      </c>
      <c r="B698" s="90" t="s">
        <v>3995</v>
      </c>
      <c r="C698" s="90"/>
      <c r="D698" s="89" t="s">
        <v>75</v>
      </c>
      <c r="E698" s="91">
        <v>1.0</v>
      </c>
      <c r="F698" s="92">
        <v>113.51</v>
      </c>
      <c r="G698" s="92">
        <v>113.51</v>
      </c>
      <c r="H698" s="93"/>
      <c r="I698" s="92">
        <v>113.51</v>
      </c>
      <c r="J698" s="92"/>
      <c r="K698" s="92"/>
    </row>
    <row r="699" ht="12.75" customHeight="1">
      <c r="E699" s="79"/>
      <c r="F699" s="80"/>
      <c r="G699" s="80"/>
      <c r="H699" s="81"/>
      <c r="I699" s="92">
        <v>466.86</v>
      </c>
      <c r="J699" s="80"/>
      <c r="K699" s="80"/>
    </row>
    <row r="700" ht="12.75" customHeight="1">
      <c r="A700" s="89" t="s">
        <v>679</v>
      </c>
      <c r="B700" s="90" t="s">
        <v>3996</v>
      </c>
      <c r="C700" s="90"/>
      <c r="D700" s="89" t="s">
        <v>75</v>
      </c>
      <c r="E700" s="91">
        <v>1.0</v>
      </c>
      <c r="F700" s="92">
        <v>466.86</v>
      </c>
      <c r="G700" s="92">
        <v>466.86</v>
      </c>
      <c r="H700" s="93"/>
      <c r="I700" s="92">
        <v>459.95</v>
      </c>
      <c r="J700" s="92"/>
      <c r="K700" s="92"/>
    </row>
    <row r="701" ht="12.75" customHeight="1">
      <c r="E701" s="79"/>
      <c r="F701" s="80"/>
      <c r="G701" s="80"/>
      <c r="H701" s="81"/>
      <c r="I701" s="92">
        <v>304.99</v>
      </c>
      <c r="J701" s="80"/>
      <c r="K701" s="80"/>
    </row>
    <row r="702" ht="12.75" customHeight="1">
      <c r="A702" s="89" t="s">
        <v>681</v>
      </c>
      <c r="B702" s="90" t="s">
        <v>3997</v>
      </c>
      <c r="C702" s="90"/>
      <c r="D702" s="89" t="s">
        <v>75</v>
      </c>
      <c r="E702" s="91">
        <v>1.0</v>
      </c>
      <c r="F702" s="92">
        <v>459.95</v>
      </c>
      <c r="G702" s="92">
        <v>459.95</v>
      </c>
      <c r="H702" s="93"/>
      <c r="I702" s="92">
        <v>590.23</v>
      </c>
      <c r="J702" s="92"/>
      <c r="K702" s="92"/>
    </row>
    <row r="703" ht="12.75" customHeight="1">
      <c r="E703" s="79"/>
      <c r="F703" s="80"/>
      <c r="G703" s="80"/>
      <c r="H703" s="81"/>
      <c r="I703" s="92">
        <v>615.89</v>
      </c>
      <c r="J703" s="80"/>
      <c r="K703" s="80"/>
    </row>
    <row r="704" ht="12.75" customHeight="1">
      <c r="A704" s="89" t="s">
        <v>683</v>
      </c>
      <c r="B704" s="90" t="s">
        <v>3998</v>
      </c>
      <c r="C704" s="90"/>
      <c r="D704" s="89" t="s">
        <v>75</v>
      </c>
      <c r="E704" s="91">
        <v>1.0</v>
      </c>
      <c r="F704" s="92">
        <v>304.99</v>
      </c>
      <c r="G704" s="92">
        <v>304.99</v>
      </c>
      <c r="H704" s="93"/>
      <c r="I704" s="92">
        <v>488.57</v>
      </c>
      <c r="J704" s="92"/>
      <c r="K704" s="92"/>
    </row>
    <row r="705" ht="12.75" customHeight="1">
      <c r="E705" s="79"/>
      <c r="F705" s="80"/>
      <c r="G705" s="80"/>
      <c r="H705" s="81"/>
      <c r="I705" s="92">
        <v>713.61</v>
      </c>
      <c r="J705" s="80"/>
      <c r="K705" s="80"/>
    </row>
    <row r="706" ht="12.75" customHeight="1">
      <c r="A706" s="89" t="s">
        <v>685</v>
      </c>
      <c r="B706" s="90" t="s">
        <v>3999</v>
      </c>
      <c r="C706" s="90"/>
      <c r="D706" s="89" t="s">
        <v>75</v>
      </c>
      <c r="E706" s="91">
        <v>1.0</v>
      </c>
      <c r="F706" s="92">
        <v>590.23</v>
      </c>
      <c r="G706" s="92">
        <v>590.23</v>
      </c>
      <c r="H706" s="93"/>
      <c r="I706" s="92">
        <v>719.53</v>
      </c>
      <c r="J706" s="92"/>
      <c r="K706" s="92"/>
    </row>
    <row r="707" ht="12.75" customHeight="1">
      <c r="E707" s="79"/>
      <c r="F707" s="80"/>
      <c r="G707" s="80"/>
      <c r="H707" s="81"/>
      <c r="I707" s="92">
        <v>259.58</v>
      </c>
      <c r="J707" s="80"/>
      <c r="K707" s="80"/>
    </row>
    <row r="708" ht="12.75" customHeight="1">
      <c r="A708" s="89" t="s">
        <v>687</v>
      </c>
      <c r="B708" s="90" t="s">
        <v>4000</v>
      </c>
      <c r="C708" s="90"/>
      <c r="D708" s="89" t="s">
        <v>75</v>
      </c>
      <c r="E708" s="91">
        <v>1.0</v>
      </c>
      <c r="F708" s="92">
        <v>615.89</v>
      </c>
      <c r="G708" s="92">
        <v>615.89</v>
      </c>
      <c r="H708" s="93"/>
      <c r="I708" s="92">
        <v>1720.36</v>
      </c>
      <c r="J708" s="92"/>
      <c r="K708" s="92"/>
    </row>
    <row r="709" ht="12.75" customHeight="1">
      <c r="E709" s="79"/>
      <c r="F709" s="80"/>
      <c r="G709" s="80"/>
      <c r="H709" s="81"/>
      <c r="I709" s="92">
        <v>472.78</v>
      </c>
      <c r="J709" s="80"/>
      <c r="K709" s="80"/>
    </row>
    <row r="710" ht="12.75" customHeight="1">
      <c r="A710" s="89" t="s">
        <v>689</v>
      </c>
      <c r="B710" s="90" t="s">
        <v>4001</v>
      </c>
      <c r="C710" s="90"/>
      <c r="D710" s="89" t="s">
        <v>75</v>
      </c>
      <c r="E710" s="91">
        <v>1.0</v>
      </c>
      <c r="F710" s="92">
        <v>488.57</v>
      </c>
      <c r="G710" s="92">
        <v>488.57</v>
      </c>
      <c r="H710" s="93"/>
      <c r="I710" s="92">
        <v>200.36</v>
      </c>
      <c r="J710" s="92"/>
      <c r="K710" s="92"/>
    </row>
    <row r="711" ht="12.75" customHeight="1">
      <c r="E711" s="79"/>
      <c r="F711" s="80"/>
      <c r="G711" s="80"/>
      <c r="H711" s="81"/>
      <c r="I711" s="92">
        <v>255.64</v>
      </c>
      <c r="J711" s="80"/>
      <c r="K711" s="80"/>
    </row>
    <row r="712" ht="12.75" customHeight="1">
      <c r="A712" s="89" t="s">
        <v>691</v>
      </c>
      <c r="B712" s="90" t="s">
        <v>4002</v>
      </c>
      <c r="C712" s="90"/>
      <c r="D712" s="89" t="s">
        <v>75</v>
      </c>
      <c r="E712" s="91">
        <v>1.0</v>
      </c>
      <c r="F712" s="92">
        <v>713.61</v>
      </c>
      <c r="G712" s="92">
        <v>713.61</v>
      </c>
      <c r="H712" s="93"/>
      <c r="I712" s="92">
        <v>328.67</v>
      </c>
      <c r="J712" s="92"/>
      <c r="K712" s="92"/>
    </row>
    <row r="713" ht="12.75" customHeight="1">
      <c r="E713" s="79"/>
      <c r="F713" s="80"/>
      <c r="G713" s="80"/>
      <c r="H713" s="81"/>
      <c r="I713" s="92">
        <v>417.51</v>
      </c>
      <c r="J713" s="80"/>
      <c r="K713" s="80"/>
    </row>
    <row r="714" ht="12.75" customHeight="1">
      <c r="A714" s="89" t="s">
        <v>693</v>
      </c>
      <c r="B714" s="90" t="s">
        <v>4003</v>
      </c>
      <c r="C714" s="90"/>
      <c r="D714" s="89" t="s">
        <v>75</v>
      </c>
      <c r="E714" s="91">
        <v>1.0</v>
      </c>
      <c r="F714" s="92">
        <v>719.53</v>
      </c>
      <c r="G714" s="92">
        <v>719.53</v>
      </c>
      <c r="H714" s="93"/>
      <c r="I714" s="92">
        <v>223.06</v>
      </c>
      <c r="J714" s="92"/>
      <c r="K714" s="92"/>
    </row>
    <row r="715" ht="12.75" customHeight="1">
      <c r="E715" s="79"/>
      <c r="F715" s="80"/>
      <c r="G715" s="80"/>
      <c r="H715" s="81"/>
      <c r="I715" s="80"/>
      <c r="J715" s="80"/>
      <c r="K715" s="80"/>
    </row>
    <row r="716" ht="12.75" customHeight="1">
      <c r="A716" s="89" t="s">
        <v>695</v>
      </c>
      <c r="B716" s="90" t="s">
        <v>4004</v>
      </c>
      <c r="C716" s="90"/>
      <c r="D716" s="89" t="s">
        <v>75</v>
      </c>
      <c r="E716" s="91">
        <v>1.0</v>
      </c>
      <c r="F716" s="92">
        <v>259.58</v>
      </c>
      <c r="G716" s="92">
        <v>259.58</v>
      </c>
      <c r="H716" s="93"/>
      <c r="J716" s="92"/>
      <c r="K716" s="92"/>
    </row>
    <row r="717" ht="12.75" customHeight="1">
      <c r="E717" s="79"/>
      <c r="F717" s="80"/>
      <c r="G717" s="80"/>
      <c r="H717" s="81"/>
      <c r="I717" s="80"/>
      <c r="J717" s="80"/>
      <c r="K717" s="80"/>
    </row>
    <row r="718" ht="12.75" customHeight="1">
      <c r="A718" s="89" t="s">
        <v>697</v>
      </c>
      <c r="B718" s="90" t="s">
        <v>4005</v>
      </c>
      <c r="C718" s="90"/>
      <c r="D718" s="89" t="s">
        <v>75</v>
      </c>
      <c r="E718" s="91">
        <v>1.0</v>
      </c>
      <c r="F718" s="92">
        <v>1720.36</v>
      </c>
      <c r="G718" s="92">
        <v>1720.36</v>
      </c>
      <c r="H718" s="93"/>
      <c r="J718" s="92"/>
      <c r="K718" s="92"/>
    </row>
    <row r="719" ht="12.75" customHeight="1">
      <c r="E719" s="79"/>
      <c r="F719" s="80"/>
      <c r="G719" s="80"/>
      <c r="H719" s="81"/>
      <c r="I719" s="80"/>
      <c r="J719" s="80"/>
      <c r="K719" s="80"/>
    </row>
    <row r="720" ht="12.75" customHeight="1">
      <c r="A720" s="89" t="s">
        <v>699</v>
      </c>
      <c r="B720" s="90" t="s">
        <v>4006</v>
      </c>
      <c r="C720" s="90"/>
      <c r="D720" s="89" t="s">
        <v>75</v>
      </c>
      <c r="E720" s="91">
        <v>1.0</v>
      </c>
      <c r="F720" s="92">
        <v>472.78</v>
      </c>
      <c r="G720" s="92">
        <v>472.78</v>
      </c>
      <c r="H720" s="93"/>
      <c r="J720" s="92"/>
      <c r="K720" s="92"/>
    </row>
    <row r="721" ht="12.75" customHeight="1">
      <c r="E721" s="79"/>
      <c r="F721" s="80"/>
      <c r="G721" s="80"/>
      <c r="H721" s="81"/>
      <c r="I721" s="80"/>
      <c r="J721" s="80"/>
      <c r="K721" s="80"/>
    </row>
    <row r="722" ht="12.75" customHeight="1">
      <c r="A722" s="89" t="s">
        <v>701</v>
      </c>
      <c r="B722" s="90" t="s">
        <v>4007</v>
      </c>
      <c r="C722" s="90"/>
      <c r="D722" s="89" t="s">
        <v>75</v>
      </c>
      <c r="E722" s="91">
        <v>1.0</v>
      </c>
      <c r="F722" s="92">
        <v>200.36</v>
      </c>
      <c r="G722" s="92">
        <v>200.36</v>
      </c>
      <c r="H722" s="93"/>
      <c r="J722" s="92"/>
      <c r="K722" s="92"/>
    </row>
    <row r="723" ht="12.75" customHeight="1">
      <c r="E723" s="79"/>
      <c r="F723" s="80"/>
      <c r="G723" s="80"/>
      <c r="H723" s="81"/>
      <c r="I723" s="80"/>
      <c r="J723" s="80"/>
      <c r="K723" s="80"/>
    </row>
    <row r="724" ht="12.75" customHeight="1">
      <c r="A724" s="89" t="s">
        <v>703</v>
      </c>
      <c r="B724" s="90" t="s">
        <v>4008</v>
      </c>
      <c r="C724" s="90"/>
      <c r="D724" s="89" t="s">
        <v>75</v>
      </c>
      <c r="E724" s="91">
        <v>1.0</v>
      </c>
      <c r="F724" s="92">
        <v>255.64</v>
      </c>
      <c r="G724" s="92">
        <v>255.64</v>
      </c>
      <c r="H724" s="93"/>
      <c r="J724" s="92"/>
      <c r="K724" s="92"/>
    </row>
    <row r="725" ht="12.75" customHeight="1">
      <c r="E725" s="79"/>
      <c r="F725" s="80"/>
      <c r="G725" s="80"/>
      <c r="H725" s="81"/>
      <c r="I725" s="80"/>
      <c r="J725" s="80"/>
      <c r="K725" s="80"/>
    </row>
    <row r="726" ht="12.75" customHeight="1">
      <c r="A726" s="89" t="s">
        <v>705</v>
      </c>
      <c r="B726" s="90" t="s">
        <v>4009</v>
      </c>
      <c r="C726" s="90"/>
      <c r="D726" s="89" t="s">
        <v>75</v>
      </c>
      <c r="E726" s="91">
        <v>1.0</v>
      </c>
      <c r="F726" s="92">
        <v>328.67</v>
      </c>
      <c r="G726" s="92">
        <v>328.67</v>
      </c>
      <c r="H726" s="93"/>
      <c r="J726" s="92"/>
      <c r="K726" s="92"/>
    </row>
    <row r="727" ht="12.75" customHeight="1">
      <c r="E727" s="79"/>
      <c r="F727" s="80"/>
      <c r="G727" s="80"/>
      <c r="H727" s="81"/>
      <c r="I727" s="80"/>
      <c r="J727" s="80"/>
      <c r="K727" s="80"/>
    </row>
    <row r="728" ht="12.75" customHeight="1">
      <c r="A728" s="89" t="s">
        <v>707</v>
      </c>
      <c r="B728" s="90" t="s">
        <v>4010</v>
      </c>
      <c r="C728" s="90"/>
      <c r="D728" s="89" t="s">
        <v>75</v>
      </c>
      <c r="E728" s="91">
        <v>1.0</v>
      </c>
      <c r="F728" s="92">
        <v>417.51</v>
      </c>
      <c r="G728" s="92">
        <v>417.51</v>
      </c>
      <c r="H728" s="93"/>
      <c r="J728" s="92"/>
      <c r="K728" s="92"/>
    </row>
    <row r="729" ht="12.75" customHeight="1">
      <c r="E729" s="79"/>
      <c r="F729" s="80"/>
      <c r="G729" s="80"/>
      <c r="H729" s="81"/>
      <c r="I729" s="80"/>
      <c r="J729" s="80"/>
      <c r="K729" s="80"/>
    </row>
    <row r="730" ht="12.75" customHeight="1">
      <c r="A730" s="89" t="s">
        <v>709</v>
      </c>
      <c r="B730" s="90" t="s">
        <v>4011</v>
      </c>
      <c r="C730" s="90"/>
      <c r="D730" s="89" t="s">
        <v>75</v>
      </c>
      <c r="E730" s="91">
        <v>1.0</v>
      </c>
      <c r="F730" s="92">
        <v>223.06</v>
      </c>
      <c r="G730" s="92">
        <v>223.06</v>
      </c>
      <c r="H730" s="93"/>
      <c r="J730" s="92"/>
      <c r="K730" s="92"/>
    </row>
    <row r="731" ht="12.75" customHeight="1">
      <c r="E731" s="79"/>
      <c r="F731" s="80"/>
      <c r="G731" s="80"/>
      <c r="H731" s="81"/>
      <c r="I731" s="80"/>
      <c r="J731" s="80"/>
      <c r="K731" s="80"/>
    </row>
    <row r="732" ht="12.75" customHeight="1">
      <c r="A732" s="89" t="s">
        <v>711</v>
      </c>
      <c r="B732" s="90" t="s">
        <v>3673</v>
      </c>
      <c r="C732" s="90"/>
      <c r="E732" s="79"/>
      <c r="F732" s="80"/>
      <c r="G732" s="80"/>
      <c r="H732" s="81"/>
      <c r="I732" s="80"/>
      <c r="J732" s="80"/>
      <c r="K732" s="80"/>
    </row>
    <row r="733" ht="12.75" customHeight="1">
      <c r="E733" s="79"/>
      <c r="F733" s="80"/>
      <c r="G733" s="80"/>
      <c r="H733" s="81"/>
      <c r="I733" s="80"/>
      <c r="J733" s="80"/>
      <c r="K733" s="80"/>
    </row>
    <row r="734" ht="12.75" customHeight="1">
      <c r="A734" s="136" t="s">
        <v>713</v>
      </c>
      <c r="B734" s="137" t="s">
        <v>4012</v>
      </c>
      <c r="C734" s="137"/>
      <c r="D734" s="138"/>
      <c r="E734" s="139"/>
      <c r="F734" s="106"/>
      <c r="G734" s="106"/>
      <c r="H734" s="105"/>
      <c r="I734" s="106"/>
      <c r="J734" s="106"/>
      <c r="K734" s="106"/>
    </row>
    <row r="735" ht="12.75" customHeight="1">
      <c r="A735" s="138"/>
      <c r="B735" s="138"/>
      <c r="C735" s="138"/>
      <c r="D735" s="138"/>
      <c r="E735" s="139"/>
      <c r="F735" s="106"/>
      <c r="G735" s="106"/>
      <c r="H735" s="105"/>
      <c r="I735" s="106"/>
      <c r="J735" s="106"/>
      <c r="K735" s="106"/>
    </row>
    <row r="736" ht="12.75" customHeight="1">
      <c r="A736" s="136" t="s">
        <v>715</v>
      </c>
      <c r="B736" s="137" t="s">
        <v>4013</v>
      </c>
      <c r="C736" s="137"/>
      <c r="D736" s="136" t="s">
        <v>75</v>
      </c>
      <c r="E736" s="140">
        <v>1.0</v>
      </c>
      <c r="F736" s="100">
        <v>4836.19</v>
      </c>
      <c r="G736" s="100">
        <v>4836.19</v>
      </c>
      <c r="H736" s="99"/>
      <c r="I736" s="100"/>
      <c r="J736" s="100"/>
      <c r="K736" s="100"/>
    </row>
    <row r="737" ht="12.75" customHeight="1">
      <c r="A737" s="138"/>
      <c r="B737" s="138"/>
      <c r="C737" s="138"/>
      <c r="D737" s="138"/>
      <c r="E737" s="139"/>
      <c r="F737" s="106"/>
      <c r="G737" s="106"/>
      <c r="H737" s="105"/>
      <c r="I737" s="106"/>
      <c r="J737" s="106"/>
      <c r="K737" s="106"/>
    </row>
    <row r="738" ht="12.75" customHeight="1">
      <c r="A738" s="136" t="s">
        <v>717</v>
      </c>
      <c r="B738" s="137" t="s">
        <v>3677</v>
      </c>
      <c r="C738" s="137"/>
      <c r="D738" s="138"/>
      <c r="E738" s="139"/>
      <c r="F738" s="106"/>
      <c r="G738" s="106"/>
      <c r="H738" s="105"/>
      <c r="I738" s="106"/>
      <c r="J738" s="106"/>
      <c r="K738" s="106"/>
    </row>
    <row r="739" ht="12.75" customHeight="1">
      <c r="A739" s="138"/>
      <c r="B739" s="138"/>
      <c r="C739" s="138"/>
      <c r="D739" s="138"/>
      <c r="E739" s="139"/>
      <c r="F739" s="106"/>
      <c r="G739" s="106"/>
      <c r="H739" s="105"/>
      <c r="I739" s="106"/>
      <c r="J739" s="106"/>
      <c r="K739" s="106"/>
    </row>
    <row r="740" ht="12.75" customHeight="1">
      <c r="A740" s="136" t="s">
        <v>719</v>
      </c>
      <c r="B740" s="137" t="s">
        <v>4014</v>
      </c>
      <c r="C740" s="137"/>
      <c r="D740" s="136" t="s">
        <v>161</v>
      </c>
      <c r="E740" s="140">
        <v>1.0</v>
      </c>
      <c r="F740" s="100">
        <v>4525.85</v>
      </c>
      <c r="G740" s="100">
        <v>4525.85</v>
      </c>
      <c r="H740" s="99"/>
      <c r="I740" s="100"/>
      <c r="J740" s="100"/>
      <c r="K740" s="100"/>
    </row>
    <row r="741" ht="12.75" customHeight="1">
      <c r="A741" s="138"/>
      <c r="B741" s="138"/>
      <c r="C741" s="138"/>
      <c r="D741" s="138"/>
      <c r="E741" s="139"/>
      <c r="F741" s="106"/>
      <c r="G741" s="106"/>
      <c r="H741" s="105"/>
      <c r="I741" s="106"/>
      <c r="J741" s="106"/>
      <c r="K741" s="106"/>
    </row>
    <row r="742" ht="12.75" customHeight="1">
      <c r="A742" s="136" t="s">
        <v>721</v>
      </c>
      <c r="B742" s="137" t="s">
        <v>4015</v>
      </c>
      <c r="C742" s="137"/>
      <c r="D742" s="138"/>
      <c r="E742" s="139"/>
      <c r="F742" s="106"/>
      <c r="G742" s="106"/>
      <c r="H742" s="105"/>
      <c r="I742" s="106"/>
      <c r="J742" s="106"/>
      <c r="K742" s="106"/>
    </row>
    <row r="743" ht="12.75" customHeight="1">
      <c r="A743" s="138"/>
      <c r="B743" s="138"/>
      <c r="C743" s="138"/>
      <c r="D743" s="138"/>
      <c r="E743" s="139"/>
      <c r="F743" s="106"/>
      <c r="G743" s="106"/>
      <c r="H743" s="105"/>
      <c r="I743" s="106"/>
      <c r="J743" s="106"/>
      <c r="K743" s="106"/>
    </row>
    <row r="744" ht="12.75" customHeight="1">
      <c r="A744" s="136" t="s">
        <v>723</v>
      </c>
      <c r="B744" s="137" t="s">
        <v>4016</v>
      </c>
      <c r="C744" s="137"/>
      <c r="D744" s="136" t="s">
        <v>75</v>
      </c>
      <c r="E744" s="140">
        <v>1.0</v>
      </c>
      <c r="F744" s="100">
        <v>6435.55</v>
      </c>
      <c r="G744" s="100">
        <v>6435.55</v>
      </c>
      <c r="H744" s="99"/>
      <c r="I744" s="100"/>
      <c r="J744" s="100"/>
      <c r="K744" s="100"/>
    </row>
    <row r="745" ht="12.75" customHeight="1">
      <c r="E745" s="79"/>
      <c r="F745" s="80"/>
      <c r="G745" s="80"/>
      <c r="H745" s="81"/>
      <c r="I745" s="80"/>
      <c r="J745" s="80"/>
      <c r="K745" s="80"/>
    </row>
    <row r="746" ht="12.75" customHeight="1">
      <c r="A746" s="89" t="s">
        <v>3990</v>
      </c>
      <c r="B746" s="90" t="s">
        <v>2884</v>
      </c>
      <c r="C746" s="90"/>
      <c r="E746" s="79"/>
      <c r="F746" s="80"/>
      <c r="G746" s="92">
        <v>34068.69</v>
      </c>
      <c r="H746" s="93">
        <f>G746</f>
        <v>34068.69</v>
      </c>
      <c r="I746" s="92"/>
      <c r="J746" s="92"/>
      <c r="K746" s="92"/>
    </row>
    <row r="747" ht="12.75" customHeight="1">
      <c r="E747" s="79"/>
      <c r="F747" s="80"/>
      <c r="G747" s="80"/>
      <c r="H747" s="81"/>
      <c r="I747" s="80"/>
      <c r="J747" s="80"/>
      <c r="K747" s="80"/>
    </row>
    <row r="748" ht="12.75" customHeight="1">
      <c r="E748" s="79"/>
      <c r="F748" s="80"/>
      <c r="G748" s="80"/>
      <c r="H748" s="81"/>
      <c r="I748" s="80"/>
      <c r="J748" s="80"/>
      <c r="K748" s="80"/>
    </row>
    <row r="749" ht="12.75" customHeight="1">
      <c r="A749" s="89" t="s">
        <v>4017</v>
      </c>
      <c r="B749" s="90" t="s">
        <v>3606</v>
      </c>
      <c r="C749" s="90"/>
      <c r="E749" s="79"/>
      <c r="F749" s="80"/>
      <c r="G749" s="80"/>
      <c r="H749" s="81"/>
      <c r="I749" s="80"/>
      <c r="J749" s="80"/>
      <c r="K749" s="80"/>
    </row>
    <row r="750" ht="12.75" customHeight="1">
      <c r="E750" s="79"/>
      <c r="F750" s="80"/>
      <c r="G750" s="80"/>
      <c r="H750" s="81"/>
      <c r="I750" s="80"/>
      <c r="J750" s="80"/>
      <c r="K750" s="80"/>
    </row>
    <row r="751" ht="12.75" customHeight="1">
      <c r="A751" s="89" t="s">
        <v>726</v>
      </c>
      <c r="B751" s="90" t="s">
        <v>3607</v>
      </c>
      <c r="C751" s="90"/>
      <c r="E751" s="79"/>
      <c r="F751" s="80"/>
      <c r="G751" s="80"/>
      <c r="H751" s="81"/>
      <c r="I751" s="80"/>
      <c r="J751" s="80"/>
      <c r="K751" s="80"/>
    </row>
    <row r="752" ht="12.75" customHeight="1">
      <c r="E752" s="79"/>
      <c r="F752" s="80"/>
      <c r="G752" s="80"/>
      <c r="H752" s="81"/>
      <c r="I752" s="80"/>
      <c r="J752" s="80"/>
      <c r="K752" s="80"/>
    </row>
    <row r="753" ht="12.75" customHeight="1">
      <c r="A753" s="89" t="s">
        <v>728</v>
      </c>
      <c r="B753" s="90" t="s">
        <v>4018</v>
      </c>
      <c r="C753" s="90"/>
      <c r="D753" s="89" t="s">
        <v>40</v>
      </c>
      <c r="E753" s="91">
        <v>77.14</v>
      </c>
      <c r="F753" s="92">
        <v>133.8</v>
      </c>
      <c r="G753" s="92">
        <v>10321.33</v>
      </c>
      <c r="H753" s="93"/>
      <c r="I753" s="92"/>
      <c r="J753" s="92"/>
      <c r="K753" s="92"/>
    </row>
    <row r="754" ht="12.75" customHeight="1">
      <c r="E754" s="79"/>
      <c r="F754" s="80"/>
      <c r="G754" s="80"/>
      <c r="H754" s="81"/>
      <c r="I754" s="80"/>
      <c r="J754" s="80"/>
      <c r="K754" s="80"/>
    </row>
    <row r="755" ht="12.75" customHeight="1">
      <c r="A755" s="89" t="s">
        <v>730</v>
      </c>
      <c r="B755" s="90" t="s">
        <v>4019</v>
      </c>
      <c r="C755" s="90"/>
      <c r="D755" s="89" t="s">
        <v>40</v>
      </c>
      <c r="E755" s="91">
        <v>168.06</v>
      </c>
      <c r="F755" s="92">
        <v>25.72</v>
      </c>
      <c r="G755" s="92">
        <v>4322.5</v>
      </c>
      <c r="H755" s="93"/>
      <c r="I755" s="92"/>
      <c r="J755" s="92"/>
      <c r="K755" s="92"/>
    </row>
    <row r="756" ht="12.75" customHeight="1">
      <c r="E756" s="79"/>
      <c r="F756" s="80"/>
      <c r="G756" s="80"/>
      <c r="H756" s="81"/>
      <c r="I756" s="80"/>
      <c r="J756" s="80"/>
      <c r="K756" s="80"/>
    </row>
    <row r="757" ht="12.75" customHeight="1">
      <c r="A757" s="89" t="s">
        <v>732</v>
      </c>
      <c r="B757" s="90" t="s">
        <v>4020</v>
      </c>
      <c r="C757" s="90"/>
      <c r="D757" s="89" t="s">
        <v>40</v>
      </c>
      <c r="E757" s="91">
        <v>168.06</v>
      </c>
      <c r="F757" s="92">
        <v>9.05</v>
      </c>
      <c r="G757" s="92">
        <v>1520.94</v>
      </c>
      <c r="H757" s="93"/>
      <c r="I757" s="92"/>
      <c r="J757" s="92"/>
      <c r="K757" s="92"/>
    </row>
    <row r="758" ht="12.75" customHeight="1">
      <c r="E758" s="79"/>
      <c r="F758" s="80"/>
      <c r="G758" s="80"/>
      <c r="H758" s="81"/>
      <c r="I758" s="80"/>
      <c r="J758" s="80"/>
      <c r="K758" s="80"/>
    </row>
    <row r="759" ht="12.75" customHeight="1">
      <c r="A759" s="89" t="s">
        <v>734</v>
      </c>
      <c r="B759" s="90" t="s">
        <v>4021</v>
      </c>
      <c r="C759" s="90"/>
      <c r="D759" s="89" t="s">
        <v>161</v>
      </c>
      <c r="E759" s="91">
        <v>153.59</v>
      </c>
      <c r="F759" s="92">
        <v>96.98</v>
      </c>
      <c r="G759" s="92">
        <v>14895.16</v>
      </c>
      <c r="H759" s="93"/>
      <c r="I759" s="92"/>
      <c r="J759" s="92"/>
      <c r="K759" s="92"/>
    </row>
    <row r="760" ht="12.75" customHeight="1">
      <c r="E760" s="79"/>
      <c r="F760" s="80"/>
      <c r="G760" s="80"/>
      <c r="H760" s="81"/>
      <c r="I760" s="80"/>
      <c r="J760" s="80"/>
      <c r="K760" s="80"/>
    </row>
    <row r="761" ht="12.75" customHeight="1">
      <c r="A761" s="89" t="s">
        <v>736</v>
      </c>
      <c r="B761" s="90" t="s">
        <v>3612</v>
      </c>
      <c r="C761" s="90"/>
      <c r="E761" s="79"/>
      <c r="F761" s="80"/>
      <c r="G761" s="80"/>
      <c r="H761" s="81"/>
      <c r="I761" s="80"/>
      <c r="J761" s="80"/>
      <c r="K761" s="80"/>
    </row>
    <row r="762" ht="12.75" customHeight="1">
      <c r="E762" s="79"/>
      <c r="F762" s="80"/>
      <c r="G762" s="80"/>
      <c r="H762" s="81"/>
      <c r="I762" s="80"/>
      <c r="J762" s="80"/>
      <c r="K762" s="80"/>
    </row>
    <row r="763" ht="12.75" customHeight="1">
      <c r="A763" s="89" t="s">
        <v>738</v>
      </c>
      <c r="B763" s="90" t="s">
        <v>4022</v>
      </c>
      <c r="C763" s="90"/>
      <c r="E763" s="79"/>
      <c r="F763" s="80"/>
      <c r="G763" s="80"/>
      <c r="H763" s="81"/>
      <c r="I763" s="80"/>
      <c r="J763" s="80"/>
      <c r="K763" s="80"/>
    </row>
    <row r="764" ht="12.75" customHeight="1">
      <c r="E764" s="79"/>
      <c r="F764" s="80"/>
      <c r="G764" s="80"/>
      <c r="H764" s="81"/>
      <c r="I764" s="80"/>
      <c r="J764" s="80"/>
      <c r="K764" s="80"/>
    </row>
    <row r="765" ht="12.75" customHeight="1">
      <c r="A765" s="89" t="s">
        <v>740</v>
      </c>
      <c r="B765" s="90" t="s">
        <v>3615</v>
      </c>
      <c r="C765" s="90"/>
      <c r="D765" s="89" t="s">
        <v>742</v>
      </c>
      <c r="E765" s="91">
        <v>90.98</v>
      </c>
      <c r="F765" s="92">
        <v>213.29</v>
      </c>
      <c r="G765" s="92">
        <v>19405.12</v>
      </c>
      <c r="H765" s="93"/>
      <c r="I765" s="92"/>
      <c r="J765" s="92"/>
      <c r="K765" s="92"/>
    </row>
    <row r="766" ht="12.75" customHeight="1">
      <c r="E766" s="79"/>
      <c r="F766" s="80"/>
      <c r="G766" s="80"/>
      <c r="H766" s="81"/>
      <c r="I766" s="80"/>
      <c r="J766" s="80"/>
      <c r="K766" s="80"/>
    </row>
    <row r="767" ht="12.75" customHeight="1">
      <c r="A767" s="89" t="s">
        <v>743</v>
      </c>
      <c r="B767" s="90" t="s">
        <v>3617</v>
      </c>
      <c r="C767" s="90"/>
      <c r="D767" s="89" t="s">
        <v>742</v>
      </c>
      <c r="E767" s="91">
        <v>27.29</v>
      </c>
      <c r="F767" s="92">
        <v>149.67</v>
      </c>
      <c r="G767" s="92">
        <v>4084.49</v>
      </c>
      <c r="H767" s="93"/>
      <c r="I767" s="92"/>
      <c r="J767" s="92"/>
      <c r="K767" s="92"/>
    </row>
    <row r="768" ht="12.75" customHeight="1">
      <c r="E768" s="79"/>
      <c r="F768" s="80"/>
      <c r="G768" s="80"/>
      <c r="H768" s="81"/>
      <c r="I768" s="80"/>
      <c r="J768" s="80"/>
      <c r="K768" s="80"/>
    </row>
    <row r="769" ht="12.75" customHeight="1">
      <c r="A769" s="89" t="s">
        <v>745</v>
      </c>
      <c r="B769" s="90" t="s">
        <v>4023</v>
      </c>
      <c r="C769" s="90"/>
      <c r="E769" s="79"/>
      <c r="F769" s="80"/>
      <c r="G769" s="80"/>
      <c r="H769" s="81"/>
      <c r="I769" s="80"/>
      <c r="J769" s="80"/>
      <c r="K769" s="80"/>
    </row>
    <row r="770" ht="12.75" customHeight="1">
      <c r="E770" s="79"/>
      <c r="F770" s="80"/>
      <c r="G770" s="80"/>
      <c r="H770" s="81"/>
      <c r="I770" s="80"/>
      <c r="J770" s="80"/>
      <c r="K770" s="80"/>
    </row>
    <row r="771" ht="12.75" customHeight="1">
      <c r="A771" s="89" t="s">
        <v>747</v>
      </c>
      <c r="B771" s="90" t="s">
        <v>3701</v>
      </c>
      <c r="C771" s="90"/>
      <c r="D771" s="89" t="s">
        <v>40</v>
      </c>
      <c r="E771" s="91">
        <v>31.0</v>
      </c>
      <c r="F771" s="92">
        <v>32.0</v>
      </c>
      <c r="G771" s="92">
        <v>992.0</v>
      </c>
      <c r="H771" s="93"/>
      <c r="I771" s="92"/>
      <c r="J771" s="92"/>
      <c r="K771" s="92"/>
    </row>
    <row r="772" ht="12.75" customHeight="1">
      <c r="E772" s="79"/>
      <c r="F772" s="80"/>
      <c r="G772" s="80"/>
      <c r="H772" s="81"/>
      <c r="I772" s="80"/>
      <c r="J772" s="80"/>
      <c r="K772" s="80"/>
    </row>
    <row r="773" ht="12.75" customHeight="1">
      <c r="A773" s="89" t="s">
        <v>749</v>
      </c>
      <c r="B773" s="90" t="s">
        <v>4024</v>
      </c>
      <c r="C773" s="90"/>
      <c r="D773" s="89" t="s">
        <v>40</v>
      </c>
      <c r="E773" s="91">
        <v>62.0</v>
      </c>
      <c r="F773" s="92">
        <v>25.72</v>
      </c>
      <c r="G773" s="92">
        <v>1594.64</v>
      </c>
      <c r="H773" s="93"/>
      <c r="I773" s="92"/>
      <c r="J773" s="92"/>
      <c r="K773" s="92"/>
    </row>
    <row r="774" ht="12.75" customHeight="1">
      <c r="E774" s="79"/>
      <c r="F774" s="80"/>
      <c r="G774" s="80"/>
      <c r="H774" s="81"/>
      <c r="I774" s="80"/>
      <c r="J774" s="80"/>
      <c r="K774" s="80"/>
    </row>
    <row r="775" ht="12.75" customHeight="1">
      <c r="A775" s="89" t="s">
        <v>750</v>
      </c>
      <c r="B775" s="90" t="s">
        <v>4020</v>
      </c>
      <c r="C775" s="90"/>
      <c r="D775" s="89" t="s">
        <v>40</v>
      </c>
      <c r="E775" s="91">
        <v>62.0</v>
      </c>
      <c r="F775" s="92">
        <v>9.05</v>
      </c>
      <c r="G775" s="92">
        <v>561.1</v>
      </c>
      <c r="H775" s="93"/>
      <c r="I775" s="92"/>
      <c r="J775" s="92"/>
      <c r="K775" s="92"/>
    </row>
    <row r="776" ht="12.75" customHeight="1">
      <c r="E776" s="79"/>
      <c r="F776" s="80"/>
      <c r="G776" s="80"/>
      <c r="H776" s="81"/>
      <c r="I776" s="80"/>
      <c r="J776" s="80"/>
      <c r="K776" s="80"/>
    </row>
    <row r="777" ht="12.75" customHeight="1">
      <c r="A777" s="89" t="s">
        <v>751</v>
      </c>
      <c r="B777" s="90" t="s">
        <v>4025</v>
      </c>
      <c r="C777" s="90"/>
      <c r="D777" s="89" t="s">
        <v>40</v>
      </c>
      <c r="E777" s="91">
        <v>17.11</v>
      </c>
      <c r="F777" s="92">
        <v>32.62</v>
      </c>
      <c r="G777" s="92">
        <v>558.13</v>
      </c>
      <c r="H777" s="93"/>
      <c r="I777" s="92"/>
      <c r="J777" s="92"/>
      <c r="K777" s="92"/>
    </row>
    <row r="778" ht="12.75" customHeight="1">
      <c r="E778" s="79"/>
      <c r="F778" s="80"/>
      <c r="G778" s="80"/>
      <c r="H778" s="81"/>
      <c r="I778" s="80"/>
      <c r="J778" s="80"/>
      <c r="K778" s="80"/>
    </row>
    <row r="779" ht="12.75" customHeight="1">
      <c r="A779" s="89" t="s">
        <v>753</v>
      </c>
      <c r="B779" s="90" t="s">
        <v>4026</v>
      </c>
      <c r="C779" s="90"/>
      <c r="D779" s="89" t="s">
        <v>40</v>
      </c>
      <c r="E779" s="91">
        <v>7.38</v>
      </c>
      <c r="F779" s="92">
        <v>581.9</v>
      </c>
      <c r="G779" s="92">
        <v>4294.42</v>
      </c>
      <c r="H779" s="93"/>
      <c r="I779" s="92"/>
      <c r="J779" s="92"/>
      <c r="K779" s="92"/>
    </row>
    <row r="780" ht="12.75" customHeight="1">
      <c r="E780" s="79"/>
      <c r="F780" s="80"/>
      <c r="G780" s="80"/>
      <c r="H780" s="81"/>
      <c r="I780" s="80"/>
      <c r="J780" s="80"/>
      <c r="K780" s="80"/>
    </row>
    <row r="781" ht="12.75" customHeight="1">
      <c r="A781" s="89" t="s">
        <v>755</v>
      </c>
      <c r="B781" s="90" t="s">
        <v>4027</v>
      </c>
      <c r="C781" s="90"/>
      <c r="E781" s="79"/>
      <c r="F781" s="80"/>
      <c r="G781" s="80"/>
      <c r="H781" s="81"/>
      <c r="I781" s="80"/>
      <c r="J781" s="80"/>
      <c r="K781" s="80"/>
    </row>
    <row r="782" ht="12.75" customHeight="1">
      <c r="E782" s="79"/>
      <c r="F782" s="80"/>
      <c r="G782" s="80"/>
      <c r="H782" s="81"/>
      <c r="I782" s="80"/>
      <c r="J782" s="80"/>
      <c r="K782" s="80"/>
    </row>
    <row r="783" ht="12.75" customHeight="1">
      <c r="A783" s="89" t="s">
        <v>757</v>
      </c>
      <c r="B783" s="90" t="s">
        <v>4028</v>
      </c>
      <c r="C783" s="90"/>
      <c r="D783" s="89" t="s">
        <v>75</v>
      </c>
      <c r="E783" s="91">
        <v>1.0</v>
      </c>
      <c r="F783" s="92">
        <v>2005.6</v>
      </c>
      <c r="G783" s="92">
        <v>2005.6</v>
      </c>
      <c r="H783" s="93"/>
      <c r="I783" s="92"/>
      <c r="J783" s="92"/>
      <c r="K783" s="92"/>
    </row>
    <row r="784" ht="12.75" customHeight="1">
      <c r="E784" s="79"/>
      <c r="F784" s="80"/>
      <c r="G784" s="80"/>
      <c r="H784" s="81"/>
      <c r="I784" s="80"/>
      <c r="J784" s="80"/>
      <c r="K784" s="80"/>
    </row>
    <row r="785" ht="12.75" customHeight="1">
      <c r="A785" s="89" t="s">
        <v>759</v>
      </c>
      <c r="B785" s="90" t="s">
        <v>4029</v>
      </c>
      <c r="C785" s="90"/>
      <c r="E785" s="79"/>
      <c r="F785" s="80"/>
      <c r="G785" s="80"/>
      <c r="H785" s="81"/>
      <c r="I785" s="80"/>
      <c r="J785" s="80"/>
      <c r="K785" s="80"/>
    </row>
    <row r="786" ht="12.75" customHeight="1">
      <c r="E786" s="79"/>
      <c r="F786" s="80"/>
      <c r="G786" s="80"/>
      <c r="H786" s="81"/>
      <c r="I786" s="80"/>
      <c r="J786" s="80"/>
      <c r="K786" s="80"/>
    </row>
    <row r="787" ht="12.75" customHeight="1">
      <c r="A787" s="89" t="s">
        <v>761</v>
      </c>
      <c r="B787" s="90" t="s">
        <v>4030</v>
      </c>
      <c r="C787" s="90"/>
      <c r="D787" s="89" t="s">
        <v>75</v>
      </c>
      <c r="E787" s="91">
        <v>1.0</v>
      </c>
      <c r="F787" s="92">
        <v>4454.86</v>
      </c>
      <c r="G787" s="92">
        <v>4454.86</v>
      </c>
      <c r="H787" s="93"/>
      <c r="I787" s="92"/>
      <c r="J787" s="92"/>
      <c r="K787" s="92"/>
    </row>
    <row r="788" ht="12.75" customHeight="1">
      <c r="E788" s="79"/>
      <c r="F788" s="80"/>
      <c r="G788" s="80"/>
      <c r="H788" s="81"/>
      <c r="I788" s="80"/>
      <c r="J788" s="80"/>
      <c r="K788" s="80"/>
    </row>
    <row r="789" ht="12.75" customHeight="1">
      <c r="A789" s="89" t="s">
        <v>763</v>
      </c>
      <c r="B789" s="90" t="s">
        <v>4031</v>
      </c>
      <c r="C789" s="90"/>
      <c r="E789" s="79"/>
      <c r="F789" s="80"/>
      <c r="G789" s="80"/>
      <c r="H789" s="81"/>
      <c r="I789" s="80"/>
      <c r="J789" s="80"/>
      <c r="K789" s="80"/>
    </row>
    <row r="790" ht="12.75" customHeight="1">
      <c r="E790" s="79"/>
      <c r="F790" s="80"/>
      <c r="G790" s="80"/>
      <c r="H790" s="81"/>
      <c r="I790" s="80"/>
      <c r="J790" s="80"/>
      <c r="K790" s="80"/>
    </row>
    <row r="791" ht="12.75" customHeight="1">
      <c r="A791" s="89" t="s">
        <v>765</v>
      </c>
      <c r="B791" s="90" t="s">
        <v>4032</v>
      </c>
      <c r="C791" s="90"/>
      <c r="D791" s="89" t="s">
        <v>75</v>
      </c>
      <c r="E791" s="91">
        <v>1.0</v>
      </c>
      <c r="F791" s="92">
        <v>3272.19</v>
      </c>
      <c r="G791" s="92">
        <v>3272.19</v>
      </c>
      <c r="H791" s="93"/>
      <c r="I791" s="92"/>
      <c r="J791" s="92"/>
      <c r="K791" s="92"/>
    </row>
    <row r="792" ht="12.75" customHeight="1">
      <c r="E792" s="79"/>
      <c r="F792" s="80"/>
      <c r="G792" s="80"/>
      <c r="H792" s="81"/>
      <c r="I792" s="80"/>
      <c r="J792" s="80"/>
      <c r="K792" s="80"/>
    </row>
    <row r="793" ht="12.75" customHeight="1">
      <c r="A793" s="89" t="s">
        <v>767</v>
      </c>
      <c r="B793" s="90" t="s">
        <v>4033</v>
      </c>
      <c r="C793" s="90"/>
      <c r="D793" s="89" t="s">
        <v>75</v>
      </c>
      <c r="E793" s="91">
        <v>1.0</v>
      </c>
      <c r="F793" s="92">
        <v>3078.22</v>
      </c>
      <c r="G793" s="92">
        <v>3078.22</v>
      </c>
      <c r="H793" s="93"/>
      <c r="I793" s="92"/>
      <c r="J793" s="92"/>
      <c r="K793" s="92"/>
    </row>
    <row r="794" ht="12.75" customHeight="1">
      <c r="E794" s="79"/>
      <c r="F794" s="80"/>
      <c r="G794" s="80"/>
      <c r="H794" s="81"/>
      <c r="I794" s="80"/>
      <c r="J794" s="80"/>
      <c r="K794" s="80"/>
    </row>
    <row r="795" ht="12.75" customHeight="1">
      <c r="A795" s="89" t="s">
        <v>769</v>
      </c>
      <c r="B795" s="90" t="s">
        <v>4034</v>
      </c>
      <c r="C795" s="90"/>
      <c r="D795" s="89" t="s">
        <v>161</v>
      </c>
      <c r="E795" s="91">
        <v>2.1</v>
      </c>
      <c r="F795" s="92">
        <v>226.29</v>
      </c>
      <c r="G795" s="92">
        <v>475.21</v>
      </c>
      <c r="H795" s="93"/>
      <c r="I795" s="92"/>
      <c r="J795" s="92"/>
      <c r="K795" s="92"/>
    </row>
    <row r="796" ht="12.75" customHeight="1">
      <c r="E796" s="79"/>
      <c r="F796" s="80"/>
      <c r="G796" s="80"/>
      <c r="H796" s="81"/>
      <c r="I796" s="80"/>
      <c r="J796" s="80"/>
      <c r="K796" s="80"/>
    </row>
    <row r="797" ht="12.75" customHeight="1">
      <c r="A797" s="89" t="s">
        <v>4017</v>
      </c>
      <c r="B797" s="90" t="s">
        <v>3606</v>
      </c>
      <c r="C797" s="90"/>
      <c r="E797" s="79"/>
      <c r="F797" s="80"/>
      <c r="G797" s="92">
        <v>75835.91</v>
      </c>
      <c r="H797" s="93">
        <f>G797</f>
        <v>75835.91</v>
      </c>
      <c r="I797" s="92"/>
      <c r="J797" s="92"/>
      <c r="K797" s="92"/>
    </row>
    <row r="798" ht="12.75" customHeight="1">
      <c r="E798" s="79"/>
      <c r="F798" s="80"/>
      <c r="G798" s="80"/>
      <c r="H798" s="81"/>
      <c r="I798" s="80"/>
      <c r="J798" s="80">
        <f>SUM(H2:H797)</f>
        <v>1081934.23</v>
      </c>
      <c r="K798" s="80"/>
    </row>
    <row r="799" ht="12.75" customHeight="1">
      <c r="A799" s="89" t="s">
        <v>3696</v>
      </c>
      <c r="B799" s="90" t="s">
        <v>3697</v>
      </c>
      <c r="C799" s="90"/>
      <c r="E799" s="79"/>
      <c r="F799" s="80"/>
      <c r="G799" s="92">
        <v>903603.82</v>
      </c>
      <c r="H799" s="93"/>
      <c r="I799" s="92"/>
      <c r="J799" s="92"/>
      <c r="K799" s="92">
        <f>G799</f>
        <v>903603.82</v>
      </c>
    </row>
    <row r="800" ht="12.75" customHeight="1">
      <c r="E800" s="79"/>
      <c r="F800" s="80"/>
      <c r="G800" s="80"/>
      <c r="H800" s="81"/>
      <c r="I800" s="80"/>
      <c r="J800" s="80"/>
      <c r="K800" s="80"/>
    </row>
    <row r="801" ht="12.75" customHeight="1">
      <c r="E801" s="79"/>
      <c r="F801" s="80"/>
      <c r="G801" s="80"/>
      <c r="H801" s="81"/>
      <c r="I801" s="80"/>
      <c r="J801" s="80"/>
      <c r="K801" s="80"/>
    </row>
    <row r="802" ht="12.75" customHeight="1">
      <c r="B802" s="90" t="s">
        <v>4035</v>
      </c>
      <c r="C802" s="90"/>
      <c r="E802" s="79"/>
      <c r="F802" s="80"/>
      <c r="G802" s="80"/>
      <c r="H802" s="81"/>
      <c r="I802" s="80"/>
      <c r="J802" s="80"/>
      <c r="K802" s="80"/>
    </row>
    <row r="803" ht="12.75" customHeight="1">
      <c r="E803" s="79"/>
      <c r="F803" s="80"/>
      <c r="G803" s="80"/>
      <c r="H803" s="81"/>
      <c r="I803" s="80"/>
      <c r="J803" s="80"/>
      <c r="K803" s="80"/>
    </row>
    <row r="804" ht="12.75" customHeight="1">
      <c r="A804" s="89" t="s">
        <v>27</v>
      </c>
      <c r="B804" s="90" t="s">
        <v>1929</v>
      </c>
      <c r="C804" s="90"/>
      <c r="E804" s="79"/>
      <c r="F804" s="80"/>
      <c r="G804" s="80"/>
      <c r="H804" s="81"/>
      <c r="I804" s="80"/>
      <c r="J804" s="80"/>
      <c r="K804" s="80"/>
    </row>
    <row r="805" ht="12.75" customHeight="1">
      <c r="E805" s="79"/>
      <c r="F805" s="80"/>
      <c r="G805" s="80"/>
      <c r="H805" s="81"/>
      <c r="I805" s="80"/>
      <c r="J805" s="80"/>
      <c r="K805" s="80"/>
    </row>
    <row r="806" ht="12.75" customHeight="1">
      <c r="A806" s="136" t="s">
        <v>772</v>
      </c>
      <c r="B806" s="137" t="s">
        <v>4036</v>
      </c>
      <c r="C806" s="137"/>
      <c r="D806" s="136" t="s">
        <v>75</v>
      </c>
      <c r="E806" s="140">
        <v>1.0</v>
      </c>
      <c r="F806" s="100">
        <v>3879.3</v>
      </c>
      <c r="G806" s="100">
        <v>3879.3</v>
      </c>
      <c r="H806" s="99"/>
      <c r="I806" s="100"/>
      <c r="J806" s="100"/>
      <c r="K806" s="100"/>
    </row>
    <row r="807" ht="12.75" customHeight="1">
      <c r="A807" s="138"/>
      <c r="B807" s="138"/>
      <c r="C807" s="138"/>
      <c r="D807" s="138"/>
      <c r="E807" s="139"/>
      <c r="F807" s="106"/>
      <c r="G807" s="106"/>
      <c r="H807" s="105"/>
      <c r="I807" s="106"/>
      <c r="J807" s="106"/>
      <c r="K807" s="106"/>
    </row>
    <row r="808" ht="12.75" customHeight="1">
      <c r="A808" s="136" t="s">
        <v>774</v>
      </c>
      <c r="B808" s="137" t="s">
        <v>4037</v>
      </c>
      <c r="C808" s="137"/>
      <c r="D808" s="136" t="s">
        <v>776</v>
      </c>
      <c r="E808" s="140">
        <v>2234.27</v>
      </c>
      <c r="F808" s="100">
        <v>10.99</v>
      </c>
      <c r="G808" s="100">
        <v>24554.63</v>
      </c>
      <c r="H808" s="99"/>
      <c r="I808" s="100"/>
      <c r="J808" s="100"/>
      <c r="K808" s="100"/>
    </row>
    <row r="809" ht="12.75" customHeight="1">
      <c r="A809" s="138"/>
      <c r="B809" s="138"/>
      <c r="C809" s="138"/>
      <c r="D809" s="138"/>
      <c r="E809" s="139"/>
      <c r="F809" s="106"/>
      <c r="G809" s="106"/>
      <c r="H809" s="105"/>
      <c r="I809" s="106"/>
      <c r="J809" s="106"/>
      <c r="K809" s="106"/>
    </row>
    <row r="810" ht="12.75" customHeight="1">
      <c r="A810" s="136" t="s">
        <v>777</v>
      </c>
      <c r="B810" s="137" t="s">
        <v>4038</v>
      </c>
      <c r="C810" s="137"/>
      <c r="D810" s="136" t="s">
        <v>776</v>
      </c>
      <c r="E810" s="140">
        <v>482.44</v>
      </c>
      <c r="F810" s="100">
        <v>10.99</v>
      </c>
      <c r="G810" s="100">
        <v>5302.02</v>
      </c>
      <c r="H810" s="99"/>
      <c r="I810" s="100"/>
      <c r="J810" s="100"/>
      <c r="K810" s="100"/>
    </row>
    <row r="811" ht="12.75" customHeight="1">
      <c r="E811" s="79"/>
      <c r="F811" s="80"/>
      <c r="G811" s="80"/>
      <c r="H811" s="81"/>
      <c r="I811" s="80"/>
      <c r="J811" s="80"/>
      <c r="K811" s="80"/>
    </row>
    <row r="812" ht="12.75" customHeight="1">
      <c r="A812" s="89" t="s">
        <v>779</v>
      </c>
      <c r="B812" s="90" t="s">
        <v>4039</v>
      </c>
      <c r="C812" s="90"/>
      <c r="E812" s="79"/>
      <c r="F812" s="80"/>
      <c r="G812" s="80"/>
      <c r="H812" s="81"/>
      <c r="I812" s="80"/>
      <c r="J812" s="80"/>
      <c r="K812" s="80"/>
    </row>
    <row r="813" ht="12.75" customHeight="1">
      <c r="E813" s="79"/>
      <c r="F813" s="80"/>
      <c r="G813" s="80"/>
      <c r="H813" s="81"/>
      <c r="I813" s="80"/>
      <c r="J813" s="80"/>
      <c r="K813" s="80"/>
    </row>
    <row r="814" ht="12.75" customHeight="1">
      <c r="A814" s="136" t="s">
        <v>781</v>
      </c>
      <c r="B814" s="137" t="s">
        <v>4040</v>
      </c>
      <c r="C814" s="137"/>
      <c r="D814" s="136" t="s">
        <v>776</v>
      </c>
      <c r="E814" s="140">
        <v>2102.2</v>
      </c>
      <c r="F814" s="100">
        <v>8.41</v>
      </c>
      <c r="G814" s="100">
        <v>17679.5</v>
      </c>
      <c r="H814" s="99"/>
      <c r="I814" s="100"/>
      <c r="J814" s="100"/>
      <c r="K814" s="100"/>
    </row>
    <row r="815" ht="12.75" customHeight="1">
      <c r="E815" s="79"/>
      <c r="F815" s="80"/>
      <c r="G815" s="80"/>
      <c r="H815" s="81"/>
      <c r="I815" s="80"/>
      <c r="J815" s="80"/>
      <c r="K815" s="80"/>
    </row>
    <row r="816" ht="12.75" customHeight="1">
      <c r="A816" s="89" t="s">
        <v>27</v>
      </c>
      <c r="B816" s="90" t="s">
        <v>1929</v>
      </c>
      <c r="C816" s="90"/>
      <c r="E816" s="79"/>
      <c r="F816" s="80"/>
      <c r="G816" s="92">
        <v>51415.45</v>
      </c>
      <c r="H816" s="93">
        <f>G816</f>
        <v>51415.45</v>
      </c>
      <c r="I816" s="92"/>
      <c r="J816" s="92"/>
      <c r="K816" s="92"/>
    </row>
    <row r="817" ht="12.75" customHeight="1">
      <c r="E817" s="79"/>
      <c r="F817" s="80"/>
      <c r="G817" s="80"/>
      <c r="H817" s="81"/>
      <c r="I817" s="80"/>
      <c r="J817" s="80"/>
      <c r="K817" s="80"/>
    </row>
    <row r="818" ht="12.75" customHeight="1">
      <c r="E818" s="79"/>
      <c r="F818" s="80"/>
      <c r="G818" s="80"/>
      <c r="H818" s="81"/>
      <c r="I818" s="80"/>
      <c r="J818" s="80"/>
      <c r="K818" s="80"/>
    </row>
    <row r="819" ht="12.75" customHeight="1">
      <c r="A819" s="404" t="s">
        <v>3696</v>
      </c>
      <c r="B819" s="405" t="s">
        <v>4041</v>
      </c>
      <c r="C819" s="405"/>
      <c r="D819" s="406"/>
      <c r="E819" s="407"/>
      <c r="F819" s="408"/>
      <c r="G819" s="408"/>
      <c r="H819" s="409"/>
      <c r="I819" s="408"/>
      <c r="J819" s="408"/>
      <c r="K819" s="408"/>
    </row>
    <row r="820" ht="12.75" customHeight="1">
      <c r="A820" s="406"/>
      <c r="B820" s="406"/>
      <c r="C820" s="406"/>
      <c r="D820" s="406"/>
      <c r="E820" s="407"/>
      <c r="F820" s="408"/>
      <c r="G820" s="408"/>
      <c r="H820" s="409"/>
      <c r="I820" s="408"/>
      <c r="J820" s="408"/>
      <c r="K820" s="408"/>
    </row>
    <row r="821" ht="12.75" customHeight="1">
      <c r="A821" s="404" t="s">
        <v>784</v>
      </c>
      <c r="B821" s="405" t="s">
        <v>4042</v>
      </c>
      <c r="C821" s="405"/>
      <c r="D821" s="406"/>
      <c r="E821" s="407"/>
      <c r="F821" s="408"/>
      <c r="G821" s="408"/>
      <c r="H821" s="409"/>
      <c r="I821" s="408"/>
      <c r="J821" s="408"/>
      <c r="K821" s="408"/>
    </row>
    <row r="822" ht="12.75" customHeight="1">
      <c r="A822" s="406"/>
      <c r="B822" s="406"/>
      <c r="C822" s="406"/>
      <c r="D822" s="406"/>
      <c r="E822" s="407"/>
      <c r="F822" s="408"/>
      <c r="G822" s="408"/>
      <c r="H822" s="409"/>
      <c r="I822" s="408"/>
      <c r="J822" s="408"/>
      <c r="K822" s="408"/>
    </row>
    <row r="823" ht="12.75" customHeight="1">
      <c r="A823" s="404" t="s">
        <v>36</v>
      </c>
      <c r="B823" s="405" t="s">
        <v>4043</v>
      </c>
      <c r="C823" s="405"/>
      <c r="D823" s="406"/>
      <c r="E823" s="407"/>
      <c r="F823" s="408"/>
      <c r="G823" s="408"/>
      <c r="H823" s="409"/>
      <c r="I823" s="408"/>
      <c r="J823" s="408"/>
      <c r="K823" s="408"/>
    </row>
    <row r="824" ht="12.75" customHeight="1">
      <c r="A824" s="406"/>
      <c r="B824" s="406"/>
      <c r="C824" s="406"/>
      <c r="D824" s="406"/>
      <c r="E824" s="407"/>
      <c r="F824" s="408"/>
      <c r="G824" s="408"/>
      <c r="H824" s="409"/>
      <c r="I824" s="408"/>
      <c r="J824" s="408"/>
      <c r="K824" s="408"/>
    </row>
    <row r="825" ht="12.75" customHeight="1">
      <c r="A825" s="404" t="s">
        <v>38</v>
      </c>
      <c r="B825" s="405" t="s">
        <v>4044</v>
      </c>
      <c r="C825" s="405"/>
      <c r="D825" s="404" t="s">
        <v>40</v>
      </c>
      <c r="E825" s="410">
        <v>329.7</v>
      </c>
      <c r="F825" s="411">
        <v>9.15</v>
      </c>
      <c r="G825" s="411">
        <v>3016.76</v>
      </c>
      <c r="H825" s="412"/>
      <c r="I825" s="411"/>
      <c r="J825" s="411"/>
      <c r="K825" s="411"/>
    </row>
    <row r="826" ht="12.75" customHeight="1">
      <c r="A826" s="406"/>
      <c r="B826" s="406"/>
      <c r="C826" s="406"/>
      <c r="D826" s="406"/>
      <c r="E826" s="407"/>
      <c r="F826" s="408"/>
      <c r="G826" s="408"/>
      <c r="H826" s="409"/>
      <c r="I826" s="408"/>
      <c r="J826" s="408"/>
      <c r="K826" s="408"/>
    </row>
    <row r="827" ht="12.75" customHeight="1">
      <c r="A827" s="404" t="s">
        <v>45</v>
      </c>
      <c r="B827" s="405" t="s">
        <v>4045</v>
      </c>
      <c r="C827" s="405"/>
      <c r="D827" s="406"/>
      <c r="E827" s="407"/>
      <c r="F827" s="408"/>
      <c r="G827" s="408"/>
      <c r="H827" s="409"/>
      <c r="I827" s="408"/>
      <c r="J827" s="408"/>
      <c r="K827" s="408"/>
    </row>
    <row r="828" ht="12.75" customHeight="1">
      <c r="A828" s="406"/>
      <c r="B828" s="406"/>
      <c r="C828" s="406"/>
      <c r="D828" s="406"/>
      <c r="E828" s="407"/>
      <c r="F828" s="408"/>
      <c r="G828" s="408"/>
      <c r="H828" s="409"/>
      <c r="I828" s="408"/>
      <c r="J828" s="408"/>
      <c r="K828" s="408"/>
    </row>
    <row r="829" ht="12.75" customHeight="1">
      <c r="A829" s="404" t="s">
        <v>47</v>
      </c>
      <c r="B829" s="405" t="s">
        <v>1954</v>
      </c>
      <c r="C829" s="405"/>
      <c r="D829" s="404" t="s">
        <v>776</v>
      </c>
      <c r="E829" s="410">
        <v>29.25</v>
      </c>
      <c r="F829" s="411">
        <v>153.61</v>
      </c>
      <c r="G829" s="411">
        <v>4493.09</v>
      </c>
      <c r="H829" s="412"/>
      <c r="I829" s="411"/>
      <c r="J829" s="411"/>
      <c r="K829" s="411"/>
    </row>
    <row r="830" ht="12.75" customHeight="1">
      <c r="A830" s="406"/>
      <c r="B830" s="406"/>
      <c r="C830" s="406"/>
      <c r="D830" s="406"/>
      <c r="E830" s="407"/>
      <c r="F830" s="408"/>
      <c r="G830" s="408"/>
      <c r="H830" s="409"/>
      <c r="I830" s="408"/>
      <c r="J830" s="408"/>
      <c r="K830" s="408"/>
    </row>
    <row r="831" ht="12.75" customHeight="1">
      <c r="A831" s="404" t="s">
        <v>49</v>
      </c>
      <c r="B831" s="405" t="s">
        <v>4046</v>
      </c>
      <c r="C831" s="405"/>
      <c r="D831" s="404" t="s">
        <v>776</v>
      </c>
      <c r="E831" s="410">
        <v>8.94</v>
      </c>
      <c r="F831" s="411">
        <v>153.61</v>
      </c>
      <c r="G831" s="411">
        <v>1373.27</v>
      </c>
      <c r="H831" s="412"/>
      <c r="I831" s="411"/>
      <c r="J831" s="411"/>
      <c r="K831" s="411"/>
    </row>
    <row r="832" ht="12.75" customHeight="1">
      <c r="A832" s="406"/>
      <c r="B832" s="406"/>
      <c r="C832" s="406"/>
      <c r="D832" s="406"/>
      <c r="E832" s="407"/>
      <c r="F832" s="408"/>
      <c r="G832" s="408"/>
      <c r="H832" s="409"/>
      <c r="I832" s="408"/>
      <c r="J832" s="408"/>
      <c r="K832" s="408"/>
    </row>
    <row r="833" ht="12.75" customHeight="1">
      <c r="A833" s="404" t="s">
        <v>51</v>
      </c>
      <c r="B833" s="405" t="s">
        <v>4047</v>
      </c>
      <c r="C833" s="405"/>
      <c r="D833" s="404" t="s">
        <v>776</v>
      </c>
      <c r="E833" s="410">
        <v>106.22</v>
      </c>
      <c r="F833" s="411">
        <v>153.61</v>
      </c>
      <c r="G833" s="411">
        <v>16316.45</v>
      </c>
      <c r="H833" s="412"/>
      <c r="I833" s="411"/>
      <c r="J833" s="411"/>
      <c r="K833" s="411"/>
    </row>
    <row r="834" ht="12.75" customHeight="1">
      <c r="A834" s="406"/>
      <c r="B834" s="406"/>
      <c r="C834" s="406"/>
      <c r="D834" s="406"/>
      <c r="E834" s="407"/>
      <c r="F834" s="408"/>
      <c r="G834" s="408"/>
      <c r="H834" s="409"/>
      <c r="I834" s="408"/>
      <c r="J834" s="408"/>
      <c r="K834" s="408"/>
    </row>
    <row r="835" ht="12.75" customHeight="1">
      <c r="A835" s="404" t="s">
        <v>792</v>
      </c>
      <c r="B835" s="405" t="s">
        <v>1963</v>
      </c>
      <c r="C835" s="405"/>
      <c r="D835" s="404" t="s">
        <v>776</v>
      </c>
      <c r="E835" s="410">
        <v>3.02</v>
      </c>
      <c r="F835" s="411">
        <v>153.61</v>
      </c>
      <c r="G835" s="411">
        <v>463.9</v>
      </c>
      <c r="H835" s="412"/>
      <c r="I835" s="411"/>
      <c r="J835" s="411"/>
      <c r="K835" s="411"/>
    </row>
    <row r="836" ht="12.75" customHeight="1">
      <c r="A836" s="406"/>
      <c r="B836" s="406"/>
      <c r="C836" s="406"/>
      <c r="D836" s="406"/>
      <c r="E836" s="407"/>
      <c r="F836" s="408"/>
      <c r="G836" s="408"/>
      <c r="H836" s="409"/>
      <c r="I836" s="408"/>
      <c r="J836" s="408"/>
      <c r="K836" s="408"/>
    </row>
    <row r="837" ht="12.75" customHeight="1">
      <c r="A837" s="404" t="s">
        <v>53</v>
      </c>
      <c r="B837" s="405" t="s">
        <v>4048</v>
      </c>
      <c r="C837" s="405"/>
      <c r="D837" s="406"/>
      <c r="E837" s="407"/>
      <c r="F837" s="408"/>
      <c r="G837" s="408"/>
      <c r="H837" s="409"/>
      <c r="I837" s="408"/>
      <c r="J837" s="408"/>
      <c r="K837" s="408"/>
    </row>
    <row r="838" ht="12.75" customHeight="1">
      <c r="A838" s="406"/>
      <c r="B838" s="406"/>
      <c r="C838" s="406"/>
      <c r="D838" s="406"/>
      <c r="E838" s="407"/>
      <c r="F838" s="408"/>
      <c r="G838" s="408"/>
      <c r="H838" s="409"/>
      <c r="I838" s="408"/>
      <c r="J838" s="408"/>
      <c r="K838" s="408"/>
    </row>
    <row r="839" ht="12.75" customHeight="1">
      <c r="A839" s="404" t="s">
        <v>55</v>
      </c>
      <c r="B839" s="405" t="s">
        <v>4049</v>
      </c>
      <c r="C839" s="405"/>
      <c r="D839" s="404" t="s">
        <v>776</v>
      </c>
      <c r="E839" s="410">
        <v>2.51</v>
      </c>
      <c r="F839" s="411">
        <v>153.61</v>
      </c>
      <c r="G839" s="411">
        <v>385.56</v>
      </c>
      <c r="H839" s="412"/>
      <c r="I839" s="411"/>
      <c r="J839" s="411"/>
      <c r="K839" s="411"/>
    </row>
    <row r="840" ht="12.75" customHeight="1">
      <c r="A840" s="406"/>
      <c r="B840" s="406"/>
      <c r="C840" s="406"/>
      <c r="D840" s="406"/>
      <c r="E840" s="407"/>
      <c r="F840" s="408"/>
      <c r="G840" s="408"/>
      <c r="H840" s="409"/>
      <c r="I840" s="408"/>
      <c r="J840" s="408"/>
      <c r="K840" s="408"/>
    </row>
    <row r="841" ht="12.75" customHeight="1">
      <c r="A841" s="404" t="s">
        <v>57</v>
      </c>
      <c r="B841" s="405" t="s">
        <v>4050</v>
      </c>
      <c r="C841" s="405"/>
      <c r="D841" s="404" t="s">
        <v>776</v>
      </c>
      <c r="E841" s="410">
        <v>88.26</v>
      </c>
      <c r="F841" s="411">
        <v>153.61</v>
      </c>
      <c r="G841" s="411">
        <v>13557.62</v>
      </c>
      <c r="H841" s="412"/>
      <c r="I841" s="411"/>
      <c r="J841" s="411"/>
      <c r="K841" s="411"/>
    </row>
    <row r="842" ht="12.75" customHeight="1">
      <c r="A842" s="406"/>
      <c r="B842" s="406"/>
      <c r="C842" s="406"/>
      <c r="D842" s="406"/>
      <c r="E842" s="407"/>
      <c r="F842" s="408"/>
      <c r="G842" s="408"/>
      <c r="H842" s="409"/>
      <c r="I842" s="408"/>
      <c r="J842" s="408"/>
      <c r="K842" s="408"/>
    </row>
    <row r="843" ht="12.75" customHeight="1">
      <c r="A843" s="404" t="s">
        <v>57</v>
      </c>
      <c r="B843" s="405" t="s">
        <v>4051</v>
      </c>
      <c r="C843" s="405"/>
      <c r="D843" s="404" t="s">
        <v>776</v>
      </c>
      <c r="E843" s="410">
        <v>1.32</v>
      </c>
      <c r="F843" s="411">
        <v>153.61</v>
      </c>
      <c r="G843" s="411">
        <v>202.77</v>
      </c>
      <c r="H843" s="412"/>
      <c r="I843" s="411"/>
      <c r="J843" s="411"/>
      <c r="K843" s="411"/>
    </row>
    <row r="844" ht="12.75" customHeight="1">
      <c r="A844" s="406"/>
      <c r="B844" s="406"/>
      <c r="C844" s="406"/>
      <c r="D844" s="406"/>
      <c r="E844" s="407"/>
      <c r="F844" s="408"/>
      <c r="G844" s="408"/>
      <c r="H844" s="409"/>
      <c r="I844" s="408"/>
      <c r="J844" s="408"/>
      <c r="K844" s="408"/>
    </row>
    <row r="845" ht="12.75" customHeight="1">
      <c r="A845" s="404" t="s">
        <v>798</v>
      </c>
      <c r="B845" s="405" t="s">
        <v>4052</v>
      </c>
      <c r="C845" s="405"/>
      <c r="D845" s="406"/>
      <c r="E845" s="407"/>
      <c r="F845" s="408"/>
      <c r="G845" s="408"/>
      <c r="H845" s="409"/>
      <c r="I845" s="408"/>
      <c r="J845" s="408"/>
      <c r="K845" s="408"/>
    </row>
    <row r="846" ht="12.75" customHeight="1">
      <c r="A846" s="406"/>
      <c r="B846" s="406"/>
      <c r="C846" s="406"/>
      <c r="D846" s="406"/>
      <c r="E846" s="407"/>
      <c r="F846" s="408"/>
      <c r="G846" s="408"/>
      <c r="H846" s="409"/>
      <c r="I846" s="408"/>
      <c r="J846" s="408"/>
      <c r="K846" s="408"/>
    </row>
    <row r="847" ht="12.75" customHeight="1">
      <c r="A847" s="404" t="s">
        <v>800</v>
      </c>
      <c r="B847" s="405" t="s">
        <v>1978</v>
      </c>
      <c r="C847" s="405"/>
      <c r="D847" s="404" t="s">
        <v>776</v>
      </c>
      <c r="E847" s="410">
        <v>7.28</v>
      </c>
      <c r="F847" s="411">
        <v>177.72</v>
      </c>
      <c r="G847" s="411">
        <v>1293.8</v>
      </c>
      <c r="H847" s="412"/>
      <c r="I847" s="411"/>
      <c r="J847" s="411"/>
      <c r="K847" s="411"/>
    </row>
    <row r="848" ht="12.75" customHeight="1">
      <c r="A848" s="406"/>
      <c r="B848" s="406"/>
      <c r="C848" s="406"/>
      <c r="D848" s="406"/>
      <c r="E848" s="407"/>
      <c r="F848" s="408"/>
      <c r="G848" s="408"/>
      <c r="H848" s="409"/>
      <c r="I848" s="408"/>
      <c r="J848" s="408"/>
      <c r="K848" s="408"/>
    </row>
    <row r="849" ht="12.75" customHeight="1">
      <c r="A849" s="404" t="s">
        <v>802</v>
      </c>
      <c r="B849" s="405" t="s">
        <v>1981</v>
      </c>
      <c r="C849" s="405"/>
      <c r="D849" s="404" t="s">
        <v>776</v>
      </c>
      <c r="E849" s="410">
        <v>27.46</v>
      </c>
      <c r="F849" s="411">
        <v>177.72</v>
      </c>
      <c r="G849" s="411">
        <v>4880.19</v>
      </c>
      <c r="H849" s="412"/>
      <c r="I849" s="411"/>
      <c r="J849" s="411"/>
      <c r="K849" s="411"/>
    </row>
    <row r="850" ht="12.75" customHeight="1">
      <c r="A850" s="406"/>
      <c r="B850" s="406"/>
      <c r="C850" s="406"/>
      <c r="D850" s="406"/>
      <c r="E850" s="407"/>
      <c r="F850" s="408"/>
      <c r="G850" s="408"/>
      <c r="H850" s="409"/>
      <c r="I850" s="408"/>
      <c r="J850" s="408"/>
      <c r="K850" s="408"/>
    </row>
    <row r="851" ht="12.75" customHeight="1">
      <c r="A851" s="404" t="s">
        <v>798</v>
      </c>
      <c r="B851" s="405" t="s">
        <v>4053</v>
      </c>
      <c r="C851" s="405"/>
      <c r="D851" s="406"/>
      <c r="E851" s="407"/>
      <c r="F851" s="408"/>
      <c r="G851" s="408"/>
      <c r="H851" s="409"/>
      <c r="I851" s="408"/>
      <c r="J851" s="408"/>
      <c r="K851" s="408"/>
    </row>
    <row r="852" ht="12.75" customHeight="1">
      <c r="A852" s="406"/>
      <c r="B852" s="406"/>
      <c r="C852" s="406"/>
      <c r="D852" s="406"/>
      <c r="E852" s="407"/>
      <c r="F852" s="408"/>
      <c r="G852" s="408"/>
      <c r="H852" s="409"/>
      <c r="I852" s="408"/>
      <c r="J852" s="408"/>
      <c r="K852" s="408"/>
    </row>
    <row r="853" ht="12.75" customHeight="1">
      <c r="A853" s="404" t="s">
        <v>805</v>
      </c>
      <c r="B853" s="405" t="s">
        <v>1985</v>
      </c>
      <c r="C853" s="405"/>
      <c r="D853" s="404" t="s">
        <v>776</v>
      </c>
      <c r="E853" s="410">
        <v>52.37</v>
      </c>
      <c r="F853" s="411">
        <v>182.74</v>
      </c>
      <c r="G853" s="411">
        <v>9570.09</v>
      </c>
      <c r="H853" s="412"/>
      <c r="I853" s="411"/>
      <c r="J853" s="411"/>
      <c r="K853" s="411"/>
    </row>
    <row r="854" ht="12.75" customHeight="1">
      <c r="A854" s="406"/>
      <c r="B854" s="406"/>
      <c r="C854" s="406"/>
      <c r="D854" s="406"/>
      <c r="E854" s="407"/>
      <c r="F854" s="408"/>
      <c r="G854" s="408"/>
      <c r="H854" s="409"/>
      <c r="I854" s="408"/>
      <c r="J854" s="408"/>
      <c r="K854" s="408"/>
    </row>
    <row r="855" ht="12.75" customHeight="1">
      <c r="A855" s="404" t="s">
        <v>807</v>
      </c>
      <c r="B855" s="405" t="s">
        <v>1988</v>
      </c>
      <c r="C855" s="405"/>
      <c r="D855" s="404" t="s">
        <v>776</v>
      </c>
      <c r="E855" s="410">
        <v>60.12</v>
      </c>
      <c r="F855" s="411">
        <v>182.74</v>
      </c>
      <c r="G855" s="411">
        <v>10986.33</v>
      </c>
      <c r="H855" s="412"/>
      <c r="I855" s="411"/>
      <c r="J855" s="411"/>
      <c r="K855" s="411"/>
    </row>
    <row r="856" ht="12.75" customHeight="1">
      <c r="A856" s="406"/>
      <c r="B856" s="406"/>
      <c r="C856" s="406"/>
      <c r="D856" s="406"/>
      <c r="E856" s="407"/>
      <c r="F856" s="408"/>
      <c r="G856" s="408"/>
      <c r="H856" s="409"/>
      <c r="I856" s="408"/>
      <c r="J856" s="408"/>
      <c r="K856" s="408"/>
    </row>
    <row r="857" ht="12.75" customHeight="1">
      <c r="A857" s="404" t="s">
        <v>809</v>
      </c>
      <c r="B857" s="405" t="s">
        <v>1991</v>
      </c>
      <c r="C857" s="405"/>
      <c r="D857" s="404" t="s">
        <v>776</v>
      </c>
      <c r="E857" s="410">
        <v>50.41</v>
      </c>
      <c r="F857" s="411">
        <v>182.74</v>
      </c>
      <c r="G857" s="411">
        <v>9211.92</v>
      </c>
      <c r="H857" s="412"/>
      <c r="I857" s="411"/>
      <c r="J857" s="411"/>
      <c r="K857" s="411"/>
    </row>
    <row r="858" ht="12.75" customHeight="1">
      <c r="A858" s="406"/>
      <c r="B858" s="406"/>
      <c r="C858" s="406"/>
      <c r="D858" s="406"/>
      <c r="E858" s="407"/>
      <c r="F858" s="408"/>
      <c r="G858" s="408"/>
      <c r="H858" s="409"/>
      <c r="I858" s="408"/>
      <c r="J858" s="408"/>
      <c r="K858" s="408"/>
    </row>
    <row r="859" ht="12.75" customHeight="1">
      <c r="A859" s="404" t="s">
        <v>811</v>
      </c>
      <c r="B859" s="405" t="s">
        <v>1994</v>
      </c>
      <c r="C859" s="405"/>
      <c r="D859" s="404" t="s">
        <v>776</v>
      </c>
      <c r="E859" s="410">
        <v>1.91</v>
      </c>
      <c r="F859" s="411">
        <v>182.74</v>
      </c>
      <c r="G859" s="411">
        <v>349.03</v>
      </c>
      <c r="H859" s="412"/>
      <c r="I859" s="411"/>
      <c r="J859" s="411"/>
      <c r="K859" s="411"/>
    </row>
    <row r="860" ht="12.75" customHeight="1">
      <c r="A860" s="406"/>
      <c r="B860" s="406"/>
      <c r="C860" s="406"/>
      <c r="D860" s="406"/>
      <c r="E860" s="407"/>
      <c r="F860" s="408"/>
      <c r="G860" s="408"/>
      <c r="H860" s="409"/>
      <c r="I860" s="408"/>
      <c r="J860" s="408"/>
      <c r="K860" s="408"/>
    </row>
    <row r="861" ht="12.75" customHeight="1">
      <c r="A861" s="404" t="s">
        <v>813</v>
      </c>
      <c r="B861" s="405" t="s">
        <v>4054</v>
      </c>
      <c r="C861" s="405"/>
      <c r="D861" s="406"/>
      <c r="E861" s="407"/>
      <c r="F861" s="408"/>
      <c r="G861" s="408"/>
      <c r="H861" s="409"/>
      <c r="I861" s="408"/>
      <c r="J861" s="408"/>
      <c r="K861" s="408"/>
    </row>
    <row r="862" ht="12.75" customHeight="1">
      <c r="A862" s="406"/>
      <c r="B862" s="406"/>
      <c r="C862" s="406"/>
      <c r="D862" s="406"/>
      <c r="E862" s="407"/>
      <c r="F862" s="408"/>
      <c r="G862" s="408"/>
      <c r="H862" s="409"/>
      <c r="I862" s="408"/>
      <c r="J862" s="408"/>
      <c r="K862" s="408"/>
    </row>
    <row r="863" ht="12.75" customHeight="1">
      <c r="A863" s="404" t="s">
        <v>815</v>
      </c>
      <c r="B863" s="405" t="s">
        <v>1981</v>
      </c>
      <c r="C863" s="405"/>
      <c r="D863" s="404" t="s">
        <v>776</v>
      </c>
      <c r="E863" s="410">
        <v>30.26</v>
      </c>
      <c r="F863" s="411">
        <v>177.72</v>
      </c>
      <c r="G863" s="411">
        <v>5377.81</v>
      </c>
      <c r="H863" s="412"/>
      <c r="I863" s="411"/>
      <c r="J863" s="411"/>
      <c r="K863" s="411"/>
    </row>
    <row r="864" ht="12.75" customHeight="1">
      <c r="A864" s="406"/>
      <c r="B864" s="406"/>
      <c r="C864" s="406"/>
      <c r="D864" s="406"/>
      <c r="E864" s="407"/>
      <c r="F864" s="408"/>
      <c r="G864" s="408"/>
      <c r="H864" s="409"/>
      <c r="I864" s="408"/>
      <c r="J864" s="408"/>
      <c r="K864" s="408"/>
    </row>
    <row r="865" ht="12.75" customHeight="1">
      <c r="A865" s="404" t="s">
        <v>816</v>
      </c>
      <c r="B865" s="405" t="s">
        <v>2001</v>
      </c>
      <c r="C865" s="405"/>
      <c r="D865" s="404" t="s">
        <v>776</v>
      </c>
      <c r="E865" s="410">
        <v>21.41</v>
      </c>
      <c r="F865" s="411">
        <v>177.72</v>
      </c>
      <c r="G865" s="411">
        <v>3804.99</v>
      </c>
      <c r="H865" s="412"/>
      <c r="I865" s="411"/>
      <c r="J865" s="411"/>
      <c r="K865" s="411"/>
    </row>
    <row r="866" ht="12.75" customHeight="1">
      <c r="A866" s="406"/>
      <c r="B866" s="406"/>
      <c r="C866" s="406"/>
      <c r="D866" s="406"/>
      <c r="E866" s="407"/>
      <c r="F866" s="408"/>
      <c r="G866" s="408"/>
      <c r="H866" s="409"/>
      <c r="I866" s="408"/>
      <c r="J866" s="408"/>
      <c r="K866" s="408"/>
    </row>
    <row r="867" ht="12.75" customHeight="1">
      <c r="A867" s="404" t="s">
        <v>818</v>
      </c>
      <c r="B867" s="405" t="s">
        <v>2004</v>
      </c>
      <c r="C867" s="405"/>
      <c r="D867" s="404" t="s">
        <v>776</v>
      </c>
      <c r="E867" s="410">
        <v>3.06</v>
      </c>
      <c r="F867" s="411">
        <v>177.72</v>
      </c>
      <c r="G867" s="411">
        <v>543.82</v>
      </c>
      <c r="H867" s="412"/>
      <c r="I867" s="411"/>
      <c r="J867" s="411"/>
      <c r="K867" s="411"/>
    </row>
    <row r="868" ht="12.75" customHeight="1">
      <c r="A868" s="406"/>
      <c r="B868" s="406"/>
      <c r="C868" s="406"/>
      <c r="D868" s="406"/>
      <c r="E868" s="407"/>
      <c r="F868" s="408"/>
      <c r="G868" s="408"/>
      <c r="H868" s="409"/>
      <c r="I868" s="408"/>
      <c r="J868" s="408"/>
      <c r="K868" s="408"/>
    </row>
    <row r="869" ht="12.75" customHeight="1">
      <c r="A869" s="404" t="s">
        <v>820</v>
      </c>
      <c r="B869" s="405" t="s">
        <v>2007</v>
      </c>
      <c r="C869" s="405"/>
      <c r="D869" s="404" t="s">
        <v>776</v>
      </c>
      <c r="E869" s="410">
        <v>1.18</v>
      </c>
      <c r="F869" s="411">
        <v>177.72</v>
      </c>
      <c r="G869" s="411">
        <v>209.71</v>
      </c>
      <c r="H869" s="412"/>
      <c r="I869" s="411"/>
      <c r="J869" s="411"/>
      <c r="K869" s="411"/>
    </row>
    <row r="870" ht="12.75" customHeight="1">
      <c r="A870" s="406"/>
      <c r="B870" s="406"/>
      <c r="C870" s="406"/>
      <c r="D870" s="406"/>
      <c r="E870" s="407"/>
      <c r="F870" s="408"/>
      <c r="G870" s="408"/>
      <c r="H870" s="409"/>
      <c r="I870" s="408"/>
      <c r="J870" s="408"/>
      <c r="K870" s="408"/>
    </row>
    <row r="871" ht="12.75" customHeight="1">
      <c r="A871" s="404" t="s">
        <v>784</v>
      </c>
      <c r="B871" s="405" t="s">
        <v>4042</v>
      </c>
      <c r="C871" s="405"/>
      <c r="D871" s="406"/>
      <c r="E871" s="407"/>
      <c r="F871" s="408"/>
      <c r="G871" s="411">
        <v>86037.11</v>
      </c>
      <c r="H871" s="412">
        <f>G871</f>
        <v>86037.11</v>
      </c>
      <c r="I871" s="411"/>
      <c r="J871" s="411"/>
      <c r="K871" s="411"/>
    </row>
    <row r="872" ht="12.75" customHeight="1">
      <c r="A872" s="406"/>
      <c r="B872" s="406"/>
      <c r="C872" s="406"/>
      <c r="D872" s="406"/>
      <c r="E872" s="407"/>
      <c r="F872" s="408"/>
      <c r="G872" s="408"/>
      <c r="H872" s="409"/>
      <c r="I872" s="408"/>
      <c r="J872" s="408"/>
      <c r="K872" s="408"/>
    </row>
    <row r="873" ht="12.75" customHeight="1">
      <c r="A873" s="406"/>
      <c r="B873" s="406"/>
      <c r="C873" s="406"/>
      <c r="D873" s="406"/>
      <c r="E873" s="407"/>
      <c r="F873" s="408"/>
      <c r="G873" s="408"/>
      <c r="H873" s="409"/>
      <c r="I873" s="408"/>
      <c r="J873" s="408"/>
      <c r="K873" s="408"/>
    </row>
    <row r="874" ht="12.75" customHeight="1">
      <c r="A874" s="404" t="s">
        <v>822</v>
      </c>
      <c r="B874" s="405" t="s">
        <v>4055</v>
      </c>
      <c r="C874" s="405"/>
      <c r="D874" s="406"/>
      <c r="E874" s="407"/>
      <c r="F874" s="408"/>
      <c r="G874" s="408"/>
      <c r="H874" s="409"/>
      <c r="I874" s="408"/>
      <c r="J874" s="408"/>
      <c r="K874" s="408"/>
    </row>
    <row r="875" ht="12.75" customHeight="1">
      <c r="A875" s="406"/>
      <c r="B875" s="406"/>
      <c r="C875" s="406"/>
      <c r="D875" s="406"/>
      <c r="E875" s="407"/>
      <c r="F875" s="408"/>
      <c r="G875" s="408"/>
      <c r="H875" s="409"/>
      <c r="I875" s="408"/>
      <c r="J875" s="408"/>
      <c r="K875" s="408"/>
    </row>
    <row r="876" ht="12.75" customHeight="1">
      <c r="A876" s="404" t="s">
        <v>69</v>
      </c>
      <c r="B876" s="405" t="s">
        <v>4056</v>
      </c>
      <c r="C876" s="405"/>
      <c r="D876" s="406"/>
      <c r="E876" s="407"/>
      <c r="F876" s="408"/>
      <c r="G876" s="408"/>
      <c r="H876" s="409"/>
      <c r="I876" s="408"/>
      <c r="J876" s="408"/>
      <c r="K876" s="408"/>
    </row>
    <row r="877" ht="12.75" customHeight="1">
      <c r="A877" s="406"/>
      <c r="B877" s="406"/>
      <c r="C877" s="406"/>
      <c r="D877" s="406"/>
      <c r="E877" s="407"/>
      <c r="F877" s="408"/>
      <c r="G877" s="408"/>
      <c r="H877" s="409"/>
      <c r="I877" s="408"/>
      <c r="J877" s="408"/>
      <c r="K877" s="408"/>
    </row>
    <row r="878" ht="12.75" customHeight="1">
      <c r="A878" s="404" t="s">
        <v>71</v>
      </c>
      <c r="B878" s="405" t="s">
        <v>4057</v>
      </c>
      <c r="C878" s="405"/>
      <c r="D878" s="406"/>
      <c r="E878" s="407"/>
      <c r="F878" s="408"/>
      <c r="G878" s="408"/>
      <c r="H878" s="409"/>
      <c r="I878" s="408"/>
      <c r="J878" s="408"/>
      <c r="K878" s="408"/>
    </row>
    <row r="879" ht="12.75" customHeight="1">
      <c r="A879" s="406"/>
      <c r="B879" s="406"/>
      <c r="C879" s="406"/>
      <c r="D879" s="406"/>
      <c r="E879" s="407"/>
      <c r="F879" s="408"/>
      <c r="G879" s="408"/>
      <c r="H879" s="409"/>
      <c r="I879" s="408"/>
      <c r="J879" s="408"/>
      <c r="K879" s="408"/>
    </row>
    <row r="880" ht="12.75" customHeight="1">
      <c r="A880" s="406"/>
      <c r="B880" s="405" t="s">
        <v>826</v>
      </c>
      <c r="C880" s="405"/>
      <c r="D880" s="404" t="s">
        <v>827</v>
      </c>
      <c r="E880" s="410">
        <v>421.74</v>
      </c>
      <c r="F880" s="411">
        <v>1.7</v>
      </c>
      <c r="G880" s="411">
        <v>716.96</v>
      </c>
      <c r="H880" s="412"/>
      <c r="I880" s="411"/>
      <c r="J880" s="411"/>
      <c r="K880" s="411"/>
    </row>
    <row r="881" ht="12.75" customHeight="1">
      <c r="A881" s="406"/>
      <c r="B881" s="406"/>
      <c r="C881" s="406"/>
      <c r="D881" s="406"/>
      <c r="E881" s="407"/>
      <c r="F881" s="408"/>
      <c r="G881" s="408"/>
      <c r="H881" s="409"/>
      <c r="I881" s="408"/>
      <c r="J881" s="408"/>
      <c r="K881" s="408"/>
    </row>
    <row r="882" ht="12.75" customHeight="1">
      <c r="A882" s="404" t="s">
        <v>82</v>
      </c>
      <c r="B882" s="405" t="s">
        <v>4058</v>
      </c>
      <c r="C882" s="405"/>
      <c r="D882" s="406"/>
      <c r="E882" s="407"/>
      <c r="F882" s="408"/>
      <c r="G882" s="408"/>
      <c r="H882" s="409"/>
      <c r="I882" s="408"/>
      <c r="J882" s="408"/>
      <c r="K882" s="408"/>
    </row>
    <row r="883" ht="12.75" customHeight="1">
      <c r="A883" s="406"/>
      <c r="B883" s="406"/>
      <c r="C883" s="406"/>
      <c r="D883" s="406"/>
      <c r="E883" s="407"/>
      <c r="F883" s="408"/>
      <c r="G883" s="408"/>
      <c r="H883" s="409"/>
      <c r="I883" s="408"/>
      <c r="J883" s="408"/>
      <c r="K883" s="408"/>
    </row>
    <row r="884" ht="12.75" customHeight="1">
      <c r="A884" s="406"/>
      <c r="B884" s="405" t="s">
        <v>829</v>
      </c>
      <c r="C884" s="405"/>
      <c r="D884" s="404" t="s">
        <v>827</v>
      </c>
      <c r="E884" s="410">
        <v>1572.83</v>
      </c>
      <c r="F884" s="411">
        <v>1.59</v>
      </c>
      <c r="G884" s="411">
        <v>2500.8</v>
      </c>
      <c r="H884" s="412"/>
      <c r="I884" s="411"/>
      <c r="J884" s="411"/>
      <c r="K884" s="411"/>
    </row>
    <row r="885" ht="12.75" customHeight="1">
      <c r="A885" s="406"/>
      <c r="B885" s="406"/>
      <c r="C885" s="406"/>
      <c r="D885" s="406"/>
      <c r="E885" s="407"/>
      <c r="F885" s="408"/>
      <c r="G885" s="408"/>
      <c r="H885" s="409"/>
      <c r="I885" s="408"/>
      <c r="J885" s="408"/>
      <c r="K885" s="408"/>
    </row>
    <row r="886" ht="12.75" customHeight="1">
      <c r="A886" s="406"/>
      <c r="B886" s="405" t="s">
        <v>826</v>
      </c>
      <c r="C886" s="405"/>
      <c r="D886" s="404" t="s">
        <v>827</v>
      </c>
      <c r="E886" s="410">
        <v>3799.07</v>
      </c>
      <c r="F886" s="411">
        <v>1.7</v>
      </c>
      <c r="G886" s="411">
        <v>6458.42</v>
      </c>
      <c r="H886" s="412"/>
      <c r="I886" s="411"/>
      <c r="J886" s="411"/>
      <c r="K886" s="411"/>
    </row>
    <row r="887" ht="12.75" customHeight="1">
      <c r="A887" s="406"/>
      <c r="B887" s="406"/>
      <c r="C887" s="406"/>
      <c r="D887" s="406"/>
      <c r="E887" s="407"/>
      <c r="F887" s="408"/>
      <c r="G887" s="408"/>
      <c r="H887" s="409"/>
      <c r="I887" s="408"/>
      <c r="J887" s="408"/>
      <c r="K887" s="408"/>
    </row>
    <row r="888" ht="12.75" customHeight="1">
      <c r="A888" s="404" t="s">
        <v>830</v>
      </c>
      <c r="B888" s="405" t="s">
        <v>4059</v>
      </c>
      <c r="C888" s="405"/>
      <c r="D888" s="406"/>
      <c r="E888" s="407"/>
      <c r="F888" s="408"/>
      <c r="G888" s="408"/>
      <c r="H888" s="409"/>
      <c r="I888" s="408"/>
      <c r="J888" s="408"/>
      <c r="K888" s="408"/>
    </row>
    <row r="889" ht="12.75" customHeight="1">
      <c r="A889" s="406"/>
      <c r="B889" s="406"/>
      <c r="C889" s="406"/>
      <c r="D889" s="406"/>
      <c r="E889" s="407"/>
      <c r="F889" s="408"/>
      <c r="G889" s="408"/>
      <c r="H889" s="409"/>
      <c r="I889" s="408"/>
      <c r="J889" s="408"/>
      <c r="K889" s="408"/>
    </row>
    <row r="890" ht="12.75" customHeight="1">
      <c r="A890" s="406"/>
      <c r="B890" s="405" t="s">
        <v>826</v>
      </c>
      <c r="C890" s="405"/>
      <c r="D890" s="404" t="s">
        <v>827</v>
      </c>
      <c r="E890" s="410">
        <v>289.81</v>
      </c>
      <c r="F890" s="411">
        <v>1.7</v>
      </c>
      <c r="G890" s="411">
        <v>492.68</v>
      </c>
      <c r="H890" s="412"/>
      <c r="I890" s="411"/>
      <c r="J890" s="411"/>
      <c r="K890" s="411"/>
    </row>
    <row r="891" ht="12.75" customHeight="1">
      <c r="A891" s="406"/>
      <c r="B891" s="406"/>
      <c r="C891" s="406"/>
      <c r="D891" s="406"/>
      <c r="E891" s="407"/>
      <c r="F891" s="408"/>
      <c r="G891" s="408"/>
      <c r="H891" s="409"/>
      <c r="I891" s="408"/>
      <c r="J891" s="408"/>
      <c r="K891" s="408"/>
    </row>
    <row r="892" ht="12.75" customHeight="1">
      <c r="A892" s="406"/>
      <c r="B892" s="405" t="s">
        <v>832</v>
      </c>
      <c r="C892" s="405"/>
      <c r="D892" s="404" t="s">
        <v>827</v>
      </c>
      <c r="E892" s="410">
        <v>412.85</v>
      </c>
      <c r="F892" s="411">
        <v>1.7</v>
      </c>
      <c r="G892" s="411">
        <v>701.85</v>
      </c>
      <c r="H892" s="412"/>
      <c r="I892" s="411"/>
      <c r="J892" s="411"/>
      <c r="K892" s="411"/>
    </row>
    <row r="893" ht="12.75" customHeight="1">
      <c r="A893" s="406"/>
      <c r="B893" s="406"/>
      <c r="C893" s="406"/>
      <c r="D893" s="406"/>
      <c r="E893" s="407"/>
      <c r="F893" s="408"/>
      <c r="G893" s="408"/>
      <c r="H893" s="409"/>
      <c r="I893" s="408"/>
      <c r="J893" s="408"/>
      <c r="K893" s="408"/>
    </row>
    <row r="894" ht="12.75" customHeight="1">
      <c r="A894" s="404" t="s">
        <v>833</v>
      </c>
      <c r="B894" s="405" t="s">
        <v>2023</v>
      </c>
      <c r="C894" s="405"/>
      <c r="D894" s="406"/>
      <c r="E894" s="407"/>
      <c r="F894" s="408"/>
      <c r="G894" s="408"/>
      <c r="H894" s="409"/>
      <c r="I894" s="408"/>
      <c r="J894" s="408"/>
      <c r="K894" s="408"/>
    </row>
    <row r="895" ht="12.75" customHeight="1">
      <c r="A895" s="406"/>
      <c r="B895" s="406"/>
      <c r="C895" s="406"/>
      <c r="D895" s="406"/>
      <c r="E895" s="407"/>
      <c r="F895" s="408"/>
      <c r="G895" s="408"/>
      <c r="H895" s="409"/>
      <c r="I895" s="408"/>
      <c r="J895" s="408"/>
      <c r="K895" s="408"/>
    </row>
    <row r="896" ht="12.75" customHeight="1">
      <c r="A896" s="406"/>
      <c r="B896" s="405" t="s">
        <v>829</v>
      </c>
      <c r="C896" s="405"/>
      <c r="D896" s="404" t="s">
        <v>827</v>
      </c>
      <c r="E896" s="410">
        <v>651.95</v>
      </c>
      <c r="F896" s="411">
        <v>1.59</v>
      </c>
      <c r="G896" s="411">
        <v>1036.6</v>
      </c>
      <c r="H896" s="412"/>
      <c r="I896" s="411"/>
      <c r="J896" s="411"/>
      <c r="K896" s="411"/>
    </row>
    <row r="897" ht="12.75" customHeight="1">
      <c r="A897" s="406"/>
      <c r="B897" s="406"/>
      <c r="C897" s="406"/>
      <c r="D897" s="406"/>
      <c r="E897" s="407"/>
      <c r="F897" s="408"/>
      <c r="G897" s="408"/>
      <c r="H897" s="409"/>
      <c r="I897" s="408"/>
      <c r="J897" s="408"/>
      <c r="K897" s="408"/>
    </row>
    <row r="898" ht="12.75" customHeight="1">
      <c r="A898" s="406"/>
      <c r="B898" s="405" t="s">
        <v>826</v>
      </c>
      <c r="C898" s="405"/>
      <c r="D898" s="404" t="s">
        <v>827</v>
      </c>
      <c r="E898" s="410">
        <v>132.8</v>
      </c>
      <c r="F898" s="411">
        <v>1.7</v>
      </c>
      <c r="G898" s="411">
        <v>225.76</v>
      </c>
      <c r="H898" s="412"/>
      <c r="I898" s="411"/>
      <c r="J898" s="411"/>
      <c r="K898" s="411"/>
    </row>
    <row r="899" ht="12.75" customHeight="1">
      <c r="A899" s="406"/>
      <c r="B899" s="406"/>
      <c r="C899" s="406"/>
      <c r="D899" s="406"/>
      <c r="E899" s="407"/>
      <c r="F899" s="408"/>
      <c r="G899" s="408"/>
      <c r="H899" s="409"/>
      <c r="I899" s="408"/>
      <c r="J899" s="408"/>
      <c r="K899" s="408"/>
    </row>
    <row r="900" ht="12.75" customHeight="1">
      <c r="A900" s="406"/>
      <c r="B900" s="405" t="s">
        <v>832</v>
      </c>
      <c r="C900" s="405"/>
      <c r="D900" s="404" t="s">
        <v>827</v>
      </c>
      <c r="E900" s="410">
        <v>477.82</v>
      </c>
      <c r="F900" s="411">
        <v>1.7</v>
      </c>
      <c r="G900" s="411">
        <v>812.29</v>
      </c>
      <c r="H900" s="412"/>
      <c r="I900" s="411"/>
      <c r="J900" s="411"/>
      <c r="K900" s="411"/>
    </row>
    <row r="901" ht="12.75" customHeight="1">
      <c r="A901" s="406"/>
      <c r="B901" s="406"/>
      <c r="C901" s="406"/>
      <c r="D901" s="406"/>
      <c r="E901" s="407"/>
      <c r="F901" s="408"/>
      <c r="G901" s="408"/>
      <c r="H901" s="409"/>
      <c r="I901" s="408"/>
      <c r="J901" s="408"/>
      <c r="K901" s="408"/>
    </row>
    <row r="902" ht="12.75" customHeight="1">
      <c r="A902" s="406"/>
      <c r="B902" s="405" t="s">
        <v>835</v>
      </c>
      <c r="C902" s="405"/>
      <c r="D902" s="404" t="s">
        <v>827</v>
      </c>
      <c r="E902" s="410">
        <v>1878.6</v>
      </c>
      <c r="F902" s="411">
        <v>1.78</v>
      </c>
      <c r="G902" s="411">
        <v>3343.91</v>
      </c>
      <c r="H902" s="412"/>
      <c r="I902" s="411"/>
      <c r="J902" s="411"/>
      <c r="K902" s="411"/>
    </row>
    <row r="903" ht="12.75" customHeight="1">
      <c r="A903" s="406"/>
      <c r="B903" s="406"/>
      <c r="C903" s="406"/>
      <c r="D903" s="406"/>
      <c r="E903" s="407"/>
      <c r="F903" s="408"/>
      <c r="G903" s="408"/>
      <c r="H903" s="409"/>
      <c r="I903" s="408"/>
      <c r="J903" s="408"/>
      <c r="K903" s="408"/>
    </row>
    <row r="904" ht="12.75" customHeight="1">
      <c r="A904" s="404" t="s">
        <v>836</v>
      </c>
      <c r="B904" s="405" t="s">
        <v>4060</v>
      </c>
      <c r="C904" s="405"/>
      <c r="D904" s="406"/>
      <c r="E904" s="407"/>
      <c r="F904" s="408"/>
      <c r="G904" s="408"/>
      <c r="H904" s="409"/>
      <c r="I904" s="408"/>
      <c r="J904" s="408"/>
      <c r="K904" s="408"/>
    </row>
    <row r="905" ht="12.75" customHeight="1">
      <c r="A905" s="406"/>
      <c r="B905" s="406"/>
      <c r="C905" s="406"/>
      <c r="D905" s="406"/>
      <c r="E905" s="407"/>
      <c r="F905" s="408"/>
      <c r="G905" s="408"/>
      <c r="H905" s="409"/>
      <c r="I905" s="408"/>
      <c r="J905" s="408"/>
      <c r="K905" s="408"/>
    </row>
    <row r="906" ht="12.75" customHeight="1">
      <c r="A906" s="406"/>
      <c r="B906" s="405" t="s">
        <v>829</v>
      </c>
      <c r="C906" s="405"/>
      <c r="D906" s="404" t="s">
        <v>827</v>
      </c>
      <c r="E906" s="410">
        <v>861.38</v>
      </c>
      <c r="F906" s="411">
        <v>1.59</v>
      </c>
      <c r="G906" s="411">
        <v>1369.59</v>
      </c>
      <c r="H906" s="412"/>
      <c r="I906" s="411"/>
      <c r="J906" s="411"/>
      <c r="K906" s="411"/>
    </row>
    <row r="907" ht="12.75" customHeight="1">
      <c r="A907" s="406"/>
      <c r="B907" s="406"/>
      <c r="C907" s="406"/>
      <c r="D907" s="406"/>
      <c r="E907" s="407"/>
      <c r="F907" s="408"/>
      <c r="G907" s="408"/>
      <c r="H907" s="409"/>
      <c r="I907" s="408"/>
      <c r="J907" s="408"/>
      <c r="K907" s="408"/>
    </row>
    <row r="908" ht="12.75" customHeight="1">
      <c r="A908" s="406"/>
      <c r="B908" s="405" t="s">
        <v>826</v>
      </c>
      <c r="C908" s="405"/>
      <c r="D908" s="404" t="s">
        <v>827</v>
      </c>
      <c r="E908" s="410">
        <v>4610.89</v>
      </c>
      <c r="F908" s="411">
        <v>1.7</v>
      </c>
      <c r="G908" s="411">
        <v>7838.51</v>
      </c>
      <c r="H908" s="412"/>
      <c r="I908" s="411"/>
      <c r="J908" s="411"/>
      <c r="K908" s="411"/>
    </row>
    <row r="909" ht="12.75" customHeight="1">
      <c r="A909" s="406"/>
      <c r="B909" s="406"/>
      <c r="C909" s="406"/>
      <c r="D909" s="406"/>
      <c r="E909" s="407"/>
      <c r="F909" s="408"/>
      <c r="G909" s="408"/>
      <c r="H909" s="409"/>
      <c r="I909" s="408"/>
      <c r="J909" s="408"/>
      <c r="K909" s="408"/>
    </row>
    <row r="910" ht="12.75" customHeight="1">
      <c r="A910" s="406"/>
      <c r="B910" s="405" t="s">
        <v>832</v>
      </c>
      <c r="C910" s="405"/>
      <c r="D910" s="404" t="s">
        <v>827</v>
      </c>
      <c r="E910" s="410">
        <v>12447.9</v>
      </c>
      <c r="F910" s="411">
        <v>1.7</v>
      </c>
      <c r="G910" s="411">
        <v>21161.43</v>
      </c>
      <c r="H910" s="412"/>
      <c r="I910" s="411"/>
      <c r="J910" s="411"/>
      <c r="K910" s="411"/>
    </row>
    <row r="911" ht="12.75" customHeight="1">
      <c r="A911" s="406"/>
      <c r="B911" s="406"/>
      <c r="C911" s="406"/>
      <c r="D911" s="406"/>
      <c r="E911" s="407"/>
      <c r="F911" s="408"/>
      <c r="G911" s="408"/>
      <c r="H911" s="409"/>
      <c r="I911" s="408"/>
      <c r="J911" s="408"/>
      <c r="K911" s="408"/>
    </row>
    <row r="912" ht="12.75" customHeight="1">
      <c r="A912" s="404" t="s">
        <v>838</v>
      </c>
      <c r="B912" s="405" t="s">
        <v>2034</v>
      </c>
      <c r="C912" s="405"/>
      <c r="D912" s="406"/>
      <c r="E912" s="407"/>
      <c r="F912" s="408"/>
      <c r="G912" s="408"/>
      <c r="H912" s="409"/>
      <c r="I912" s="408"/>
      <c r="J912" s="408"/>
      <c r="K912" s="408"/>
    </row>
    <row r="913" ht="12.75" customHeight="1">
      <c r="A913" s="406"/>
      <c r="B913" s="406"/>
      <c r="C913" s="406"/>
      <c r="D913" s="406"/>
      <c r="E913" s="407"/>
      <c r="F913" s="408"/>
      <c r="G913" s="408"/>
      <c r="H913" s="409"/>
      <c r="I913" s="408"/>
      <c r="J913" s="408"/>
      <c r="K913" s="408"/>
    </row>
    <row r="914" ht="12.75" customHeight="1">
      <c r="A914" s="406"/>
      <c r="B914" s="405" t="s">
        <v>829</v>
      </c>
      <c r="C914" s="405"/>
      <c r="D914" s="404" t="s">
        <v>827</v>
      </c>
      <c r="E914" s="410">
        <v>873.77</v>
      </c>
      <c r="F914" s="411">
        <v>1.59</v>
      </c>
      <c r="G914" s="411">
        <v>1389.29</v>
      </c>
      <c r="H914" s="412"/>
      <c r="I914" s="411"/>
      <c r="J914" s="411"/>
      <c r="K914" s="411"/>
    </row>
    <row r="915" ht="12.75" customHeight="1">
      <c r="A915" s="406"/>
      <c r="B915" s="406"/>
      <c r="C915" s="406"/>
      <c r="D915" s="406"/>
      <c r="E915" s="407"/>
      <c r="F915" s="408"/>
      <c r="G915" s="408"/>
      <c r="H915" s="409"/>
      <c r="I915" s="408"/>
      <c r="J915" s="408"/>
      <c r="K915" s="408"/>
    </row>
    <row r="916" ht="12.75" customHeight="1">
      <c r="A916" s="406"/>
      <c r="B916" s="405" t="s">
        <v>832</v>
      </c>
      <c r="C916" s="405"/>
      <c r="D916" s="404" t="s">
        <v>827</v>
      </c>
      <c r="E916" s="410">
        <v>1173.14</v>
      </c>
      <c r="F916" s="411">
        <v>1.7</v>
      </c>
      <c r="G916" s="411">
        <v>1994.34</v>
      </c>
      <c r="H916" s="412"/>
      <c r="I916" s="411"/>
      <c r="J916" s="411"/>
      <c r="K916" s="411"/>
    </row>
    <row r="917" ht="12.75" customHeight="1">
      <c r="A917" s="406"/>
      <c r="B917" s="406"/>
      <c r="C917" s="406"/>
      <c r="D917" s="406"/>
      <c r="E917" s="407"/>
      <c r="F917" s="408"/>
      <c r="G917" s="408"/>
      <c r="H917" s="409"/>
      <c r="I917" s="408"/>
      <c r="J917" s="408"/>
      <c r="K917" s="408"/>
    </row>
    <row r="918" ht="12.75" customHeight="1">
      <c r="A918" s="406"/>
      <c r="B918" s="405" t="s">
        <v>835</v>
      </c>
      <c r="C918" s="405"/>
      <c r="D918" s="404" t="s">
        <v>827</v>
      </c>
      <c r="E918" s="410">
        <v>851.86</v>
      </c>
      <c r="F918" s="411">
        <v>1.78</v>
      </c>
      <c r="G918" s="411">
        <v>1516.31</v>
      </c>
      <c r="H918" s="412"/>
      <c r="I918" s="411"/>
      <c r="J918" s="411"/>
      <c r="K918" s="411"/>
    </row>
    <row r="919" ht="12.75" customHeight="1">
      <c r="A919" s="406"/>
      <c r="B919" s="406"/>
      <c r="C919" s="406"/>
      <c r="D919" s="406"/>
      <c r="E919" s="407"/>
      <c r="F919" s="408"/>
      <c r="G919" s="408"/>
      <c r="H919" s="409"/>
      <c r="I919" s="408"/>
      <c r="J919" s="408"/>
      <c r="K919" s="408"/>
    </row>
    <row r="920" ht="12.75" customHeight="1">
      <c r="A920" s="404" t="s">
        <v>840</v>
      </c>
      <c r="B920" s="405" t="s">
        <v>2039</v>
      </c>
      <c r="C920" s="405"/>
      <c r="D920" s="406"/>
      <c r="E920" s="407"/>
      <c r="F920" s="408"/>
      <c r="G920" s="408"/>
      <c r="H920" s="409"/>
      <c r="I920" s="408"/>
      <c r="J920" s="408"/>
      <c r="K920" s="408"/>
    </row>
    <row r="921" ht="12.75" customHeight="1">
      <c r="A921" s="406"/>
      <c r="B921" s="406"/>
      <c r="C921" s="406"/>
      <c r="D921" s="406"/>
      <c r="E921" s="407"/>
      <c r="F921" s="408"/>
      <c r="G921" s="408"/>
      <c r="H921" s="409"/>
      <c r="I921" s="408"/>
      <c r="J921" s="408"/>
      <c r="K921" s="408"/>
    </row>
    <row r="922" ht="12.75" customHeight="1">
      <c r="A922" s="406"/>
      <c r="B922" s="405" t="s">
        <v>829</v>
      </c>
      <c r="C922" s="405"/>
      <c r="D922" s="404" t="s">
        <v>827</v>
      </c>
      <c r="E922" s="410">
        <v>2505.02</v>
      </c>
      <c r="F922" s="411">
        <v>1.59</v>
      </c>
      <c r="G922" s="411">
        <v>3982.98</v>
      </c>
      <c r="H922" s="412"/>
      <c r="I922" s="411"/>
      <c r="J922" s="411"/>
      <c r="K922" s="411"/>
    </row>
    <row r="923" ht="12.75" customHeight="1">
      <c r="A923" s="406"/>
      <c r="B923" s="406"/>
      <c r="C923" s="406"/>
      <c r="D923" s="406"/>
      <c r="E923" s="407"/>
      <c r="F923" s="408"/>
      <c r="G923" s="408"/>
      <c r="H923" s="409"/>
      <c r="I923" s="408"/>
      <c r="J923" s="408"/>
      <c r="K923" s="408"/>
    </row>
    <row r="924" ht="12.75" customHeight="1">
      <c r="A924" s="406"/>
      <c r="B924" s="405" t="s">
        <v>826</v>
      </c>
      <c r="C924" s="405"/>
      <c r="D924" s="404" t="s">
        <v>827</v>
      </c>
      <c r="E924" s="410">
        <v>113.14</v>
      </c>
      <c r="F924" s="411">
        <v>1.7</v>
      </c>
      <c r="G924" s="411">
        <v>192.34</v>
      </c>
      <c r="H924" s="412"/>
      <c r="I924" s="411"/>
      <c r="J924" s="411"/>
      <c r="K924" s="411"/>
    </row>
    <row r="925" ht="12.75" customHeight="1">
      <c r="A925" s="406"/>
      <c r="B925" s="406"/>
      <c r="C925" s="406"/>
      <c r="D925" s="406"/>
      <c r="E925" s="407"/>
      <c r="F925" s="408"/>
      <c r="G925" s="408"/>
      <c r="H925" s="409"/>
      <c r="I925" s="408"/>
      <c r="J925" s="408"/>
      <c r="K925" s="408"/>
    </row>
    <row r="926" ht="12.75" customHeight="1">
      <c r="A926" s="406"/>
      <c r="B926" s="405" t="s">
        <v>832</v>
      </c>
      <c r="C926" s="405"/>
      <c r="D926" s="404" t="s">
        <v>827</v>
      </c>
      <c r="E926" s="410">
        <v>145.88</v>
      </c>
      <c r="F926" s="411">
        <v>1.7</v>
      </c>
      <c r="G926" s="411">
        <v>248.0</v>
      </c>
      <c r="H926" s="412"/>
      <c r="I926" s="411"/>
      <c r="J926" s="411"/>
      <c r="K926" s="411"/>
    </row>
    <row r="927" ht="12.75" customHeight="1">
      <c r="A927" s="406"/>
      <c r="B927" s="406"/>
      <c r="C927" s="406"/>
      <c r="D927" s="406"/>
      <c r="E927" s="407"/>
      <c r="F927" s="408"/>
      <c r="G927" s="408"/>
      <c r="H927" s="409"/>
      <c r="I927" s="408"/>
      <c r="J927" s="408"/>
      <c r="K927" s="408"/>
    </row>
    <row r="928" ht="12.75" customHeight="1">
      <c r="A928" s="406"/>
      <c r="B928" s="405" t="s">
        <v>835</v>
      </c>
      <c r="C928" s="405"/>
      <c r="D928" s="404" t="s">
        <v>827</v>
      </c>
      <c r="E928" s="410">
        <v>6059.68</v>
      </c>
      <c r="F928" s="411">
        <v>1.78</v>
      </c>
      <c r="G928" s="411">
        <v>10786.23</v>
      </c>
      <c r="H928" s="412"/>
      <c r="I928" s="411"/>
      <c r="J928" s="411"/>
      <c r="K928" s="411"/>
    </row>
    <row r="929" ht="12.75" customHeight="1">
      <c r="A929" s="406"/>
      <c r="B929" s="406"/>
      <c r="C929" s="406"/>
      <c r="D929" s="406"/>
      <c r="E929" s="407"/>
      <c r="F929" s="408"/>
      <c r="G929" s="408"/>
      <c r="H929" s="409"/>
      <c r="I929" s="408"/>
      <c r="J929" s="408"/>
      <c r="K929" s="408"/>
    </row>
    <row r="930" ht="12.75" customHeight="1">
      <c r="A930" s="404" t="s">
        <v>842</v>
      </c>
      <c r="B930" s="405" t="s">
        <v>2045</v>
      </c>
      <c r="C930" s="405"/>
      <c r="D930" s="406"/>
      <c r="E930" s="407"/>
      <c r="F930" s="408"/>
      <c r="G930" s="408"/>
      <c r="H930" s="409"/>
      <c r="I930" s="408"/>
      <c r="J930" s="408"/>
      <c r="K930" s="408"/>
    </row>
    <row r="931" ht="12.75" customHeight="1">
      <c r="A931" s="406"/>
      <c r="B931" s="406"/>
      <c r="C931" s="406"/>
      <c r="D931" s="406"/>
      <c r="E931" s="407"/>
      <c r="F931" s="408"/>
      <c r="G931" s="408"/>
      <c r="H931" s="409"/>
      <c r="I931" s="408"/>
      <c r="J931" s="408"/>
      <c r="K931" s="408"/>
    </row>
    <row r="932" ht="12.75" customHeight="1">
      <c r="A932" s="406"/>
      <c r="B932" s="405" t="s">
        <v>826</v>
      </c>
      <c r="C932" s="405"/>
      <c r="D932" s="404" t="s">
        <v>827</v>
      </c>
      <c r="E932" s="410">
        <v>3007.17</v>
      </c>
      <c r="F932" s="411">
        <v>1.7</v>
      </c>
      <c r="G932" s="411">
        <v>5112.19</v>
      </c>
      <c r="H932" s="412"/>
      <c r="I932" s="411"/>
      <c r="J932" s="411"/>
      <c r="K932" s="411"/>
    </row>
    <row r="933" ht="12.75" customHeight="1">
      <c r="A933" s="406"/>
      <c r="B933" s="406"/>
      <c r="C933" s="406"/>
      <c r="D933" s="406"/>
      <c r="E933" s="407"/>
      <c r="F933" s="408"/>
      <c r="G933" s="408"/>
      <c r="H933" s="409"/>
      <c r="I933" s="408"/>
      <c r="J933" s="408"/>
      <c r="K933" s="408"/>
    </row>
    <row r="934" ht="12.75" customHeight="1">
      <c r="A934" s="406"/>
      <c r="B934" s="405" t="s">
        <v>832</v>
      </c>
      <c r="C934" s="405"/>
      <c r="D934" s="404" t="s">
        <v>827</v>
      </c>
      <c r="E934" s="410">
        <v>14406.06</v>
      </c>
      <c r="F934" s="411">
        <v>1.7</v>
      </c>
      <c r="G934" s="411">
        <v>24490.3</v>
      </c>
      <c r="H934" s="412"/>
      <c r="I934" s="411"/>
      <c r="J934" s="411"/>
      <c r="K934" s="411"/>
    </row>
    <row r="935" ht="12.75" customHeight="1">
      <c r="A935" s="406"/>
      <c r="B935" s="406"/>
      <c r="C935" s="406"/>
      <c r="D935" s="406"/>
      <c r="E935" s="407"/>
      <c r="F935" s="408"/>
      <c r="G935" s="408"/>
      <c r="H935" s="409"/>
      <c r="I935" s="408"/>
      <c r="J935" s="408"/>
      <c r="K935" s="408"/>
    </row>
    <row r="936" ht="12.75" customHeight="1">
      <c r="A936" s="404" t="s">
        <v>844</v>
      </c>
      <c r="B936" s="405" t="s">
        <v>2049</v>
      </c>
      <c r="C936" s="405"/>
      <c r="D936" s="406"/>
      <c r="E936" s="407"/>
      <c r="F936" s="408"/>
      <c r="G936" s="408"/>
      <c r="H936" s="409"/>
      <c r="I936" s="408"/>
      <c r="J936" s="408"/>
      <c r="K936" s="408"/>
    </row>
    <row r="937" ht="12.75" customHeight="1">
      <c r="A937" s="406"/>
      <c r="B937" s="406"/>
      <c r="C937" s="406"/>
      <c r="D937" s="406"/>
      <c r="E937" s="407"/>
      <c r="F937" s="408"/>
      <c r="G937" s="408"/>
      <c r="H937" s="409"/>
      <c r="I937" s="408"/>
      <c r="J937" s="408"/>
      <c r="K937" s="408"/>
    </row>
    <row r="938" ht="12.75" customHeight="1">
      <c r="A938" s="406"/>
      <c r="B938" s="405" t="s">
        <v>826</v>
      </c>
      <c r="C938" s="405"/>
      <c r="D938" s="404" t="s">
        <v>827</v>
      </c>
      <c r="E938" s="410">
        <v>601.06</v>
      </c>
      <c r="F938" s="411">
        <v>1.7</v>
      </c>
      <c r="G938" s="411">
        <v>1021.8</v>
      </c>
      <c r="H938" s="412"/>
      <c r="I938" s="411"/>
      <c r="J938" s="411"/>
      <c r="K938" s="411"/>
    </row>
    <row r="939" ht="12.75" customHeight="1">
      <c r="A939" s="406"/>
      <c r="B939" s="406"/>
      <c r="C939" s="406"/>
      <c r="D939" s="406"/>
      <c r="E939" s="407"/>
      <c r="F939" s="408"/>
      <c r="G939" s="408"/>
      <c r="H939" s="409"/>
      <c r="I939" s="408"/>
      <c r="J939" s="408"/>
      <c r="K939" s="408"/>
    </row>
    <row r="940" ht="12.75" customHeight="1">
      <c r="A940" s="404" t="s">
        <v>846</v>
      </c>
      <c r="B940" s="405" t="s">
        <v>4061</v>
      </c>
      <c r="C940" s="405"/>
      <c r="D940" s="406"/>
      <c r="E940" s="407"/>
      <c r="F940" s="408"/>
      <c r="G940" s="408"/>
      <c r="H940" s="409"/>
      <c r="I940" s="408"/>
      <c r="J940" s="408"/>
      <c r="K940" s="408"/>
    </row>
    <row r="941" ht="12.75" customHeight="1">
      <c r="A941" s="406"/>
      <c r="B941" s="406"/>
      <c r="C941" s="406"/>
      <c r="D941" s="406"/>
      <c r="E941" s="407"/>
      <c r="F941" s="408"/>
      <c r="G941" s="408"/>
      <c r="H941" s="409"/>
      <c r="I941" s="408"/>
      <c r="J941" s="408"/>
      <c r="K941" s="408"/>
    </row>
    <row r="942" ht="12.75" customHeight="1">
      <c r="A942" s="406"/>
      <c r="B942" s="405" t="s">
        <v>829</v>
      </c>
      <c r="C942" s="405"/>
      <c r="D942" s="404" t="s">
        <v>827</v>
      </c>
      <c r="E942" s="410">
        <v>977.88</v>
      </c>
      <c r="F942" s="411">
        <v>1.59</v>
      </c>
      <c r="G942" s="411">
        <v>1554.83</v>
      </c>
      <c r="H942" s="412"/>
      <c r="I942" s="411"/>
      <c r="J942" s="411"/>
      <c r="K942" s="411"/>
    </row>
    <row r="943" ht="12.75" customHeight="1">
      <c r="A943" s="406"/>
      <c r="B943" s="406"/>
      <c r="C943" s="406"/>
      <c r="D943" s="406"/>
      <c r="E943" s="407"/>
      <c r="F943" s="408"/>
      <c r="G943" s="408"/>
      <c r="H943" s="409"/>
      <c r="I943" s="408"/>
      <c r="J943" s="408"/>
      <c r="K943" s="408"/>
    </row>
    <row r="944" ht="12.75" customHeight="1">
      <c r="A944" s="406"/>
      <c r="B944" s="405" t="s">
        <v>826</v>
      </c>
      <c r="C944" s="405"/>
      <c r="D944" s="404" t="s">
        <v>827</v>
      </c>
      <c r="E944" s="410">
        <v>2445.29</v>
      </c>
      <c r="F944" s="411">
        <v>1.7</v>
      </c>
      <c r="G944" s="411">
        <v>4156.99</v>
      </c>
      <c r="H944" s="412"/>
      <c r="I944" s="411"/>
      <c r="J944" s="411"/>
      <c r="K944" s="411"/>
    </row>
    <row r="945" ht="12.75" customHeight="1">
      <c r="A945" s="406"/>
      <c r="B945" s="406"/>
      <c r="C945" s="406"/>
      <c r="D945" s="406"/>
      <c r="E945" s="407"/>
      <c r="F945" s="408"/>
      <c r="G945" s="408"/>
      <c r="H945" s="409"/>
      <c r="I945" s="408"/>
      <c r="J945" s="408"/>
      <c r="K945" s="408"/>
    </row>
    <row r="946" ht="12.75" customHeight="1">
      <c r="A946" s="406"/>
      <c r="B946" s="405" t="s">
        <v>832</v>
      </c>
      <c r="C946" s="405"/>
      <c r="D946" s="404" t="s">
        <v>827</v>
      </c>
      <c r="E946" s="410">
        <v>4767.93</v>
      </c>
      <c r="F946" s="411">
        <v>1.7</v>
      </c>
      <c r="G946" s="411">
        <v>8105.48</v>
      </c>
      <c r="H946" s="412"/>
      <c r="I946" s="411"/>
      <c r="J946" s="411"/>
      <c r="K946" s="411"/>
    </row>
    <row r="947" ht="12.75" customHeight="1">
      <c r="A947" s="406"/>
      <c r="B947" s="406"/>
      <c r="C947" s="406"/>
      <c r="D947" s="406"/>
      <c r="E947" s="407"/>
      <c r="F947" s="408"/>
      <c r="G947" s="408"/>
      <c r="H947" s="409"/>
      <c r="I947" s="408"/>
      <c r="J947" s="408"/>
      <c r="K947" s="408"/>
    </row>
    <row r="948" ht="12.75" customHeight="1">
      <c r="A948" s="404" t="s">
        <v>848</v>
      </c>
      <c r="B948" s="405" t="s">
        <v>2057</v>
      </c>
      <c r="C948" s="405"/>
      <c r="D948" s="406"/>
      <c r="E948" s="407"/>
      <c r="F948" s="408"/>
      <c r="G948" s="408"/>
      <c r="H948" s="409"/>
      <c r="I948" s="408"/>
      <c r="J948" s="408"/>
      <c r="K948" s="408"/>
    </row>
    <row r="949" ht="12.75" customHeight="1">
      <c r="A949" s="406"/>
      <c r="B949" s="406"/>
      <c r="C949" s="406"/>
      <c r="D949" s="406"/>
      <c r="E949" s="407"/>
      <c r="F949" s="408"/>
      <c r="G949" s="408"/>
      <c r="H949" s="409"/>
      <c r="I949" s="408"/>
      <c r="J949" s="408"/>
      <c r="K949" s="408"/>
    </row>
    <row r="950" ht="12.75" customHeight="1">
      <c r="A950" s="406"/>
      <c r="B950" s="405" t="s">
        <v>829</v>
      </c>
      <c r="C950" s="405"/>
      <c r="D950" s="404" t="s">
        <v>827</v>
      </c>
      <c r="E950" s="410">
        <v>539.19</v>
      </c>
      <c r="F950" s="411">
        <v>1.59</v>
      </c>
      <c r="G950" s="411">
        <v>857.31</v>
      </c>
      <c r="H950" s="412"/>
      <c r="I950" s="411"/>
      <c r="J950" s="411"/>
      <c r="K950" s="411"/>
    </row>
    <row r="951" ht="12.75" customHeight="1">
      <c r="A951" s="406"/>
      <c r="B951" s="406"/>
      <c r="C951" s="406"/>
      <c r="D951" s="406"/>
      <c r="E951" s="407"/>
      <c r="F951" s="408"/>
      <c r="G951" s="408"/>
      <c r="H951" s="409"/>
      <c r="I951" s="408"/>
      <c r="J951" s="408"/>
      <c r="K951" s="408"/>
    </row>
    <row r="952" ht="12.75" customHeight="1">
      <c r="A952" s="406"/>
      <c r="B952" s="405" t="s">
        <v>832</v>
      </c>
      <c r="C952" s="405"/>
      <c r="D952" s="404" t="s">
        <v>827</v>
      </c>
      <c r="E952" s="410">
        <v>44.55</v>
      </c>
      <c r="F952" s="411">
        <v>1.7</v>
      </c>
      <c r="G952" s="411">
        <v>75.74</v>
      </c>
      <c r="H952" s="412"/>
      <c r="I952" s="411"/>
      <c r="J952" s="411"/>
      <c r="K952" s="411"/>
    </row>
    <row r="953" ht="12.75" customHeight="1">
      <c r="A953" s="406"/>
      <c r="B953" s="406"/>
      <c r="C953" s="406"/>
      <c r="D953" s="406"/>
      <c r="E953" s="407"/>
      <c r="F953" s="408"/>
      <c r="G953" s="408"/>
      <c r="H953" s="409"/>
      <c r="I953" s="408"/>
      <c r="J953" s="408"/>
      <c r="K953" s="408"/>
    </row>
    <row r="954" ht="12.75" customHeight="1">
      <c r="A954" s="404" t="s">
        <v>822</v>
      </c>
      <c r="B954" s="405" t="s">
        <v>4055</v>
      </c>
      <c r="C954" s="405"/>
      <c r="D954" s="406"/>
      <c r="E954" s="407"/>
      <c r="F954" s="408"/>
      <c r="G954" s="411">
        <v>112142.93</v>
      </c>
      <c r="H954" s="412">
        <f>G954</f>
        <v>112142.93</v>
      </c>
      <c r="I954" s="411"/>
      <c r="J954" s="411"/>
      <c r="K954" s="411"/>
    </row>
    <row r="955" ht="12.75" customHeight="1">
      <c r="A955" s="406"/>
      <c r="B955" s="406"/>
      <c r="C955" s="406"/>
      <c r="D955" s="406"/>
      <c r="E955" s="407"/>
      <c r="F955" s="408"/>
      <c r="G955" s="408"/>
      <c r="H955" s="409"/>
      <c r="I955" s="408"/>
      <c r="J955" s="408"/>
      <c r="K955" s="408"/>
    </row>
    <row r="956" ht="12.75" customHeight="1">
      <c r="A956" s="406"/>
      <c r="B956" s="406"/>
      <c r="C956" s="406"/>
      <c r="D956" s="406"/>
      <c r="E956" s="407"/>
      <c r="F956" s="408"/>
      <c r="G956" s="408"/>
      <c r="H956" s="409"/>
      <c r="I956" s="408"/>
      <c r="J956" s="408"/>
      <c r="K956" s="408"/>
    </row>
    <row r="957" ht="12.75" customHeight="1">
      <c r="A957" s="404" t="s">
        <v>850</v>
      </c>
      <c r="B957" s="405" t="s">
        <v>4062</v>
      </c>
      <c r="C957" s="405"/>
      <c r="D957" s="406"/>
      <c r="E957" s="407"/>
      <c r="F957" s="408"/>
      <c r="G957" s="408"/>
      <c r="H957" s="409"/>
      <c r="I957" s="408"/>
      <c r="J957" s="408"/>
      <c r="K957" s="408"/>
    </row>
    <row r="958" ht="12.75" customHeight="1">
      <c r="A958" s="406"/>
      <c r="B958" s="406"/>
      <c r="C958" s="406"/>
      <c r="D958" s="406"/>
      <c r="E958" s="407"/>
      <c r="F958" s="408"/>
      <c r="G958" s="408"/>
      <c r="H958" s="409"/>
      <c r="I958" s="408"/>
      <c r="J958" s="408"/>
      <c r="K958" s="408"/>
    </row>
    <row r="959" ht="12.75" customHeight="1">
      <c r="A959" s="404" t="s">
        <v>96</v>
      </c>
      <c r="B959" s="405" t="s">
        <v>4063</v>
      </c>
      <c r="C959" s="405"/>
      <c r="D959" s="406"/>
      <c r="E959" s="407"/>
      <c r="F959" s="408"/>
      <c r="G959" s="408"/>
      <c r="H959" s="409"/>
      <c r="I959" s="408"/>
      <c r="J959" s="408"/>
      <c r="K959" s="408"/>
    </row>
    <row r="960" ht="12.75" customHeight="1">
      <c r="A960" s="406"/>
      <c r="B960" s="406"/>
      <c r="C960" s="406"/>
      <c r="D960" s="406"/>
      <c r="E960" s="407"/>
      <c r="F960" s="408"/>
      <c r="G960" s="408"/>
      <c r="H960" s="409"/>
      <c r="I960" s="408"/>
      <c r="J960" s="408"/>
      <c r="K960" s="408"/>
    </row>
    <row r="961" ht="12.75" customHeight="1">
      <c r="A961" s="404" t="s">
        <v>98</v>
      </c>
      <c r="B961" s="405" t="s">
        <v>1954</v>
      </c>
      <c r="C961" s="405"/>
      <c r="D961" s="404" t="s">
        <v>40</v>
      </c>
      <c r="E961" s="410">
        <v>166.13</v>
      </c>
      <c r="F961" s="411">
        <v>36.21</v>
      </c>
      <c r="G961" s="411">
        <v>6015.57</v>
      </c>
      <c r="H961" s="412"/>
      <c r="I961" s="411"/>
      <c r="J961" s="411"/>
      <c r="K961" s="411"/>
    </row>
    <row r="962" ht="12.75" customHeight="1">
      <c r="A962" s="406"/>
      <c r="B962" s="406"/>
      <c r="C962" s="406"/>
      <c r="D962" s="406"/>
      <c r="E962" s="407"/>
      <c r="F962" s="408"/>
      <c r="G962" s="408"/>
      <c r="H962" s="409"/>
      <c r="I962" s="408"/>
      <c r="J962" s="408"/>
      <c r="K962" s="408"/>
    </row>
    <row r="963" ht="12.75" customHeight="1">
      <c r="A963" s="404" t="s">
        <v>853</v>
      </c>
      <c r="B963" s="405" t="s">
        <v>4057</v>
      </c>
      <c r="C963" s="405"/>
      <c r="D963" s="404" t="s">
        <v>40</v>
      </c>
      <c r="E963" s="410">
        <v>17.75</v>
      </c>
      <c r="F963" s="411">
        <v>36.21</v>
      </c>
      <c r="G963" s="411">
        <v>642.73</v>
      </c>
      <c r="H963" s="412"/>
      <c r="I963" s="411"/>
      <c r="J963" s="411"/>
      <c r="K963" s="411"/>
    </row>
    <row r="964" ht="12.75" customHeight="1">
      <c r="A964" s="406"/>
      <c r="B964" s="406"/>
      <c r="C964" s="406"/>
      <c r="D964" s="406"/>
      <c r="E964" s="407"/>
      <c r="F964" s="408"/>
      <c r="G964" s="408"/>
      <c r="H964" s="409"/>
      <c r="I964" s="408"/>
      <c r="J964" s="408"/>
      <c r="K964" s="408"/>
    </row>
    <row r="965" ht="12.75" customHeight="1">
      <c r="A965" s="404" t="s">
        <v>854</v>
      </c>
      <c r="B965" s="405" t="s">
        <v>4064</v>
      </c>
      <c r="C965" s="405"/>
      <c r="D965" s="404" t="s">
        <v>40</v>
      </c>
      <c r="E965" s="410">
        <v>188.65</v>
      </c>
      <c r="F965" s="411">
        <v>36.21</v>
      </c>
      <c r="G965" s="411">
        <v>6831.02</v>
      </c>
      <c r="H965" s="412"/>
      <c r="I965" s="411"/>
      <c r="J965" s="411"/>
      <c r="K965" s="411"/>
    </row>
    <row r="966" ht="12.75" customHeight="1">
      <c r="A966" s="406"/>
      <c r="B966" s="406"/>
      <c r="C966" s="406"/>
      <c r="D966" s="406"/>
      <c r="E966" s="407"/>
      <c r="F966" s="408"/>
      <c r="G966" s="408"/>
      <c r="H966" s="409"/>
      <c r="I966" s="408"/>
      <c r="J966" s="408"/>
      <c r="K966" s="408"/>
    </row>
    <row r="967" ht="12.75" customHeight="1">
      <c r="A967" s="404" t="s">
        <v>856</v>
      </c>
      <c r="B967" s="405" t="s">
        <v>4065</v>
      </c>
      <c r="C967" s="405"/>
      <c r="D967" s="404" t="s">
        <v>40</v>
      </c>
      <c r="E967" s="410">
        <v>913.44</v>
      </c>
      <c r="F967" s="411">
        <v>36.21</v>
      </c>
      <c r="G967" s="411">
        <v>33075.66</v>
      </c>
      <c r="H967" s="412"/>
      <c r="I967" s="411"/>
      <c r="J967" s="411"/>
      <c r="K967" s="411"/>
    </row>
    <row r="968" ht="12.75" customHeight="1">
      <c r="A968" s="406"/>
      <c r="B968" s="406"/>
      <c r="C968" s="406"/>
      <c r="D968" s="406"/>
      <c r="E968" s="407"/>
      <c r="F968" s="408"/>
      <c r="G968" s="408"/>
      <c r="H968" s="409"/>
      <c r="I968" s="408"/>
      <c r="J968" s="408"/>
      <c r="K968" s="408"/>
    </row>
    <row r="969" ht="12.75" customHeight="1">
      <c r="A969" s="404" t="s">
        <v>858</v>
      </c>
      <c r="B969" s="405" t="s">
        <v>1978</v>
      </c>
      <c r="C969" s="405"/>
      <c r="D969" s="404" t="s">
        <v>40</v>
      </c>
      <c r="E969" s="410">
        <v>127.0</v>
      </c>
      <c r="F969" s="411">
        <v>36.21</v>
      </c>
      <c r="G969" s="411">
        <v>4598.67</v>
      </c>
      <c r="H969" s="412"/>
      <c r="I969" s="411"/>
      <c r="J969" s="411"/>
      <c r="K969" s="411"/>
    </row>
    <row r="970" ht="12.75" customHeight="1">
      <c r="A970" s="406"/>
      <c r="B970" s="406"/>
      <c r="C970" s="406"/>
      <c r="D970" s="406"/>
      <c r="E970" s="407"/>
      <c r="F970" s="408"/>
      <c r="G970" s="408"/>
      <c r="H970" s="409"/>
      <c r="I970" s="408"/>
      <c r="J970" s="408"/>
      <c r="K970" s="408"/>
    </row>
    <row r="971" ht="12.75" customHeight="1">
      <c r="A971" s="404" t="s">
        <v>859</v>
      </c>
      <c r="B971" s="405" t="s">
        <v>2070</v>
      </c>
      <c r="C971" s="405"/>
      <c r="D971" s="404" t="s">
        <v>40</v>
      </c>
      <c r="E971" s="410">
        <v>280.94</v>
      </c>
      <c r="F971" s="411">
        <v>36.21</v>
      </c>
      <c r="G971" s="411">
        <v>10172.84</v>
      </c>
      <c r="H971" s="412"/>
      <c r="I971" s="411"/>
      <c r="J971" s="411"/>
      <c r="K971" s="411"/>
    </row>
    <row r="972" ht="12.75" customHeight="1">
      <c r="A972" s="406"/>
      <c r="B972" s="406"/>
      <c r="C972" s="406"/>
      <c r="D972" s="406"/>
      <c r="E972" s="407"/>
      <c r="F972" s="408"/>
      <c r="G972" s="408"/>
      <c r="H972" s="409"/>
      <c r="I972" s="408"/>
      <c r="J972" s="408"/>
      <c r="K972" s="408"/>
    </row>
    <row r="973" ht="12.75" customHeight="1">
      <c r="A973" s="404" t="s">
        <v>861</v>
      </c>
      <c r="B973" s="405" t="s">
        <v>2001</v>
      </c>
      <c r="C973" s="405"/>
      <c r="D973" s="404" t="s">
        <v>40</v>
      </c>
      <c r="E973" s="410">
        <v>17.46</v>
      </c>
      <c r="F973" s="411">
        <v>36.21</v>
      </c>
      <c r="G973" s="411">
        <v>632.23</v>
      </c>
      <c r="H973" s="412"/>
      <c r="I973" s="411"/>
      <c r="J973" s="411"/>
      <c r="K973" s="411"/>
    </row>
    <row r="974" ht="12.75" customHeight="1">
      <c r="A974" s="406"/>
      <c r="B974" s="406"/>
      <c r="C974" s="406"/>
      <c r="D974" s="406"/>
      <c r="E974" s="407"/>
      <c r="F974" s="408"/>
      <c r="G974" s="408"/>
      <c r="H974" s="409"/>
      <c r="I974" s="408"/>
      <c r="J974" s="408"/>
      <c r="K974" s="408"/>
    </row>
    <row r="975" ht="12.75" customHeight="1">
      <c r="A975" s="404" t="s">
        <v>862</v>
      </c>
      <c r="B975" s="405" t="s">
        <v>2073</v>
      </c>
      <c r="C975" s="405"/>
      <c r="D975" s="404" t="s">
        <v>40</v>
      </c>
      <c r="E975" s="410">
        <v>268.51</v>
      </c>
      <c r="F975" s="411">
        <v>36.21</v>
      </c>
      <c r="G975" s="411">
        <v>9722.75</v>
      </c>
      <c r="H975" s="412"/>
      <c r="I975" s="411"/>
      <c r="J975" s="411"/>
      <c r="K975" s="411"/>
    </row>
    <row r="976" ht="12.75" customHeight="1">
      <c r="A976" s="406"/>
      <c r="B976" s="406"/>
      <c r="C976" s="406"/>
      <c r="D976" s="406"/>
      <c r="E976" s="407"/>
      <c r="F976" s="408"/>
      <c r="G976" s="408"/>
      <c r="H976" s="409"/>
      <c r="I976" s="408"/>
      <c r="J976" s="408"/>
      <c r="K976" s="408"/>
    </row>
    <row r="977" ht="12.75" customHeight="1">
      <c r="A977" s="404" t="s">
        <v>864</v>
      </c>
      <c r="B977" s="405" t="s">
        <v>2075</v>
      </c>
      <c r="C977" s="405"/>
      <c r="D977" s="404" t="s">
        <v>40</v>
      </c>
      <c r="E977" s="410">
        <v>7.58</v>
      </c>
      <c r="F977" s="411">
        <v>36.21</v>
      </c>
      <c r="G977" s="411">
        <v>274.47</v>
      </c>
      <c r="H977" s="412"/>
      <c r="I977" s="411"/>
      <c r="J977" s="411"/>
      <c r="K977" s="411"/>
    </row>
    <row r="978" ht="12.75" customHeight="1">
      <c r="A978" s="406"/>
      <c r="B978" s="406"/>
      <c r="C978" s="406"/>
      <c r="D978" s="406"/>
      <c r="E978" s="407"/>
      <c r="F978" s="408"/>
      <c r="G978" s="408"/>
      <c r="H978" s="409"/>
      <c r="I978" s="408"/>
      <c r="J978" s="408"/>
      <c r="K978" s="408"/>
    </row>
    <row r="979" ht="12.75" customHeight="1">
      <c r="A979" s="404" t="s">
        <v>866</v>
      </c>
      <c r="B979" s="405" t="s">
        <v>2077</v>
      </c>
      <c r="C979" s="405"/>
      <c r="D979" s="404" t="s">
        <v>40</v>
      </c>
      <c r="E979" s="410">
        <v>29.03</v>
      </c>
      <c r="F979" s="411">
        <v>36.21</v>
      </c>
      <c r="G979" s="411">
        <v>1051.18</v>
      </c>
      <c r="H979" s="412"/>
      <c r="I979" s="411"/>
      <c r="J979" s="411"/>
      <c r="K979" s="411"/>
    </row>
    <row r="980" ht="12.75" customHeight="1">
      <c r="A980" s="406"/>
      <c r="B980" s="406"/>
      <c r="C980" s="406"/>
      <c r="D980" s="406"/>
      <c r="E980" s="407"/>
      <c r="F980" s="408"/>
      <c r="G980" s="408"/>
      <c r="H980" s="409"/>
      <c r="I980" s="408"/>
      <c r="J980" s="408"/>
      <c r="K980" s="408"/>
    </row>
    <row r="981" ht="12.75" customHeight="1">
      <c r="A981" s="404" t="s">
        <v>138</v>
      </c>
      <c r="B981" s="405" t="s">
        <v>4066</v>
      </c>
      <c r="C981" s="405"/>
      <c r="D981" s="406"/>
      <c r="E981" s="407"/>
      <c r="F981" s="408"/>
      <c r="G981" s="408"/>
      <c r="H981" s="409"/>
      <c r="I981" s="408"/>
      <c r="J981" s="408"/>
      <c r="K981" s="408"/>
    </row>
    <row r="982" ht="12.75" customHeight="1">
      <c r="A982" s="406"/>
      <c r="B982" s="406"/>
      <c r="C982" s="406"/>
      <c r="D982" s="406"/>
      <c r="E982" s="407"/>
      <c r="F982" s="408"/>
      <c r="G982" s="408"/>
      <c r="H982" s="409"/>
      <c r="I982" s="408"/>
      <c r="J982" s="408"/>
      <c r="K982" s="408"/>
    </row>
    <row r="983" ht="12.75" customHeight="1">
      <c r="A983" s="404" t="s">
        <v>869</v>
      </c>
      <c r="B983" s="405" t="s">
        <v>4067</v>
      </c>
      <c r="C983" s="405"/>
      <c r="D983" s="404" t="s">
        <v>40</v>
      </c>
      <c r="E983" s="410">
        <v>157.61</v>
      </c>
      <c r="F983" s="411">
        <v>64.66</v>
      </c>
      <c r="G983" s="411">
        <v>10191.06</v>
      </c>
      <c r="H983" s="412"/>
      <c r="I983" s="411"/>
      <c r="J983" s="411"/>
      <c r="K983" s="411"/>
    </row>
    <row r="984" ht="12.75" customHeight="1">
      <c r="A984" s="406"/>
      <c r="B984" s="406"/>
      <c r="C984" s="406"/>
      <c r="D984" s="406"/>
      <c r="E984" s="407"/>
      <c r="F984" s="408"/>
      <c r="G984" s="408"/>
      <c r="H984" s="409"/>
      <c r="I984" s="408"/>
      <c r="J984" s="408"/>
      <c r="K984" s="408"/>
    </row>
    <row r="985" ht="12.75" customHeight="1">
      <c r="A985" s="404" t="s">
        <v>871</v>
      </c>
      <c r="B985" s="405" t="s">
        <v>2070</v>
      </c>
      <c r="C985" s="405"/>
      <c r="D985" s="404" t="s">
        <v>40</v>
      </c>
      <c r="E985" s="410">
        <v>81.58</v>
      </c>
      <c r="F985" s="411">
        <v>64.66</v>
      </c>
      <c r="G985" s="411">
        <v>5274.96</v>
      </c>
      <c r="H985" s="412"/>
      <c r="I985" s="411"/>
      <c r="J985" s="411"/>
      <c r="K985" s="411"/>
    </row>
    <row r="986" ht="12.75" customHeight="1">
      <c r="A986" s="406"/>
      <c r="B986" s="406"/>
      <c r="C986" s="406"/>
      <c r="D986" s="406"/>
      <c r="E986" s="407"/>
      <c r="F986" s="408"/>
      <c r="G986" s="408"/>
      <c r="H986" s="409"/>
      <c r="I986" s="408"/>
      <c r="J986" s="408"/>
      <c r="K986" s="408"/>
    </row>
    <row r="987" ht="12.75" customHeight="1">
      <c r="A987" s="404" t="s">
        <v>872</v>
      </c>
      <c r="B987" s="405" t="s">
        <v>2001</v>
      </c>
      <c r="C987" s="405"/>
      <c r="D987" s="404" t="s">
        <v>40</v>
      </c>
      <c r="E987" s="410">
        <v>515.45</v>
      </c>
      <c r="F987" s="411">
        <v>64.66</v>
      </c>
      <c r="G987" s="411">
        <v>33329.0</v>
      </c>
      <c r="H987" s="412"/>
      <c r="I987" s="411"/>
      <c r="J987" s="411"/>
      <c r="K987" s="411"/>
    </row>
    <row r="988" ht="12.75" customHeight="1">
      <c r="A988" s="406"/>
      <c r="B988" s="406"/>
      <c r="C988" s="406"/>
      <c r="D988" s="406"/>
      <c r="E988" s="407"/>
      <c r="F988" s="408"/>
      <c r="G988" s="408"/>
      <c r="H988" s="409"/>
      <c r="I988" s="408"/>
      <c r="J988" s="408"/>
      <c r="K988" s="408"/>
    </row>
    <row r="989" ht="12.75" customHeight="1">
      <c r="A989" s="404" t="s">
        <v>850</v>
      </c>
      <c r="B989" s="405" t="s">
        <v>4062</v>
      </c>
      <c r="C989" s="405"/>
      <c r="D989" s="406"/>
      <c r="E989" s="407"/>
      <c r="F989" s="408"/>
      <c r="G989" s="411">
        <v>121812.14</v>
      </c>
      <c r="H989" s="412">
        <f>G989</f>
        <v>121812.14</v>
      </c>
      <c r="I989" s="411"/>
      <c r="J989" s="411"/>
      <c r="K989" s="411"/>
    </row>
    <row r="990" ht="12.75" customHeight="1">
      <c r="A990" s="406"/>
      <c r="B990" s="406"/>
      <c r="C990" s="406"/>
      <c r="D990" s="406"/>
      <c r="E990" s="407"/>
      <c r="F990" s="408"/>
      <c r="G990" s="408"/>
      <c r="H990" s="409"/>
      <c r="I990" s="408"/>
      <c r="J990" s="408"/>
      <c r="K990" s="408"/>
    </row>
    <row r="991" ht="12.75" customHeight="1">
      <c r="A991" s="406"/>
      <c r="B991" s="406"/>
      <c r="C991" s="406"/>
      <c r="D991" s="406"/>
      <c r="E991" s="407"/>
      <c r="F991" s="408"/>
      <c r="G991" s="408"/>
      <c r="H991" s="409"/>
      <c r="I991" s="408"/>
      <c r="J991" s="408"/>
      <c r="K991" s="408"/>
    </row>
    <row r="992" ht="12.75" customHeight="1">
      <c r="A992" s="404" t="s">
        <v>873</v>
      </c>
      <c r="B992" s="405" t="s">
        <v>4068</v>
      </c>
      <c r="C992" s="405"/>
      <c r="D992" s="406"/>
      <c r="E992" s="407"/>
      <c r="F992" s="408"/>
      <c r="G992" s="408"/>
      <c r="H992" s="409"/>
      <c r="I992" s="408"/>
      <c r="J992" s="408"/>
      <c r="K992" s="408"/>
    </row>
    <row r="993" ht="12.75" customHeight="1">
      <c r="A993" s="406"/>
      <c r="B993" s="406"/>
      <c r="C993" s="406"/>
      <c r="D993" s="406"/>
      <c r="E993" s="407"/>
      <c r="F993" s="408"/>
      <c r="G993" s="408"/>
      <c r="H993" s="409"/>
      <c r="I993" s="408"/>
      <c r="J993" s="408"/>
      <c r="K993" s="408"/>
    </row>
    <row r="994" ht="12.75" customHeight="1">
      <c r="A994" s="404" t="s">
        <v>147</v>
      </c>
      <c r="B994" s="405" t="s">
        <v>4069</v>
      </c>
      <c r="C994" s="405"/>
      <c r="D994" s="406"/>
      <c r="E994" s="407"/>
      <c r="F994" s="408"/>
      <c r="G994" s="408"/>
      <c r="H994" s="409"/>
      <c r="I994" s="408"/>
      <c r="J994" s="408"/>
      <c r="K994" s="408"/>
    </row>
    <row r="995" ht="12.75" customHeight="1">
      <c r="A995" s="406"/>
      <c r="B995" s="406"/>
      <c r="C995" s="406"/>
      <c r="D995" s="406"/>
      <c r="E995" s="407"/>
      <c r="F995" s="408"/>
      <c r="G995" s="408"/>
      <c r="H995" s="409"/>
      <c r="I995" s="408"/>
      <c r="J995" s="408"/>
      <c r="K995" s="408"/>
    </row>
    <row r="996" ht="12.75" customHeight="1">
      <c r="A996" s="404" t="s">
        <v>149</v>
      </c>
      <c r="B996" s="405" t="s">
        <v>4070</v>
      </c>
      <c r="C996" s="405"/>
      <c r="D996" s="404" t="s">
        <v>877</v>
      </c>
      <c r="E996" s="410">
        <v>1218.48</v>
      </c>
      <c r="F996" s="411">
        <v>16.28</v>
      </c>
      <c r="G996" s="411">
        <v>19836.85</v>
      </c>
      <c r="H996" s="412"/>
      <c r="I996" s="411"/>
      <c r="J996" s="411"/>
      <c r="K996" s="411"/>
    </row>
    <row r="997" ht="12.75" customHeight="1">
      <c r="A997" s="406"/>
      <c r="B997" s="406"/>
      <c r="C997" s="406"/>
      <c r="D997" s="406"/>
      <c r="E997" s="407"/>
      <c r="F997" s="408"/>
      <c r="G997" s="408"/>
      <c r="H997" s="409"/>
      <c r="I997" s="408"/>
      <c r="J997" s="408"/>
      <c r="K997" s="408"/>
    </row>
    <row r="998" ht="12.75" customHeight="1">
      <c r="A998" s="404" t="s">
        <v>878</v>
      </c>
      <c r="B998" s="405" t="s">
        <v>2088</v>
      </c>
      <c r="C998" s="405"/>
      <c r="D998" s="404" t="s">
        <v>75</v>
      </c>
      <c r="E998" s="410">
        <v>58.0</v>
      </c>
      <c r="F998" s="408"/>
      <c r="G998" s="413" t="s">
        <v>880</v>
      </c>
      <c r="H998" s="414"/>
      <c r="I998" s="413"/>
      <c r="J998" s="413"/>
      <c r="K998" s="413"/>
    </row>
    <row r="999" ht="12.75" customHeight="1">
      <c r="A999" s="406"/>
      <c r="B999" s="406"/>
      <c r="C999" s="406"/>
      <c r="D999" s="406"/>
      <c r="E999" s="407"/>
      <c r="F999" s="408"/>
      <c r="G999" s="408"/>
      <c r="H999" s="409"/>
      <c r="I999" s="408"/>
      <c r="J999" s="408"/>
      <c r="K999" s="408"/>
    </row>
    <row r="1000" ht="12.75" customHeight="1">
      <c r="A1000" s="404" t="s">
        <v>881</v>
      </c>
      <c r="B1000" s="405" t="s">
        <v>2090</v>
      </c>
      <c r="C1000" s="405"/>
      <c r="D1000" s="404" t="s">
        <v>75</v>
      </c>
      <c r="E1000" s="410">
        <v>58.0</v>
      </c>
      <c r="F1000" s="408"/>
      <c r="G1000" s="413" t="s">
        <v>880</v>
      </c>
      <c r="H1000" s="414"/>
      <c r="I1000" s="413"/>
      <c r="J1000" s="413"/>
      <c r="K1000" s="413"/>
    </row>
    <row r="1001" ht="12.75" customHeight="1">
      <c r="A1001" s="406"/>
      <c r="B1001" s="406"/>
      <c r="C1001" s="406"/>
      <c r="D1001" s="406"/>
      <c r="E1001" s="407"/>
      <c r="F1001" s="408"/>
      <c r="G1001" s="408"/>
      <c r="H1001" s="409"/>
      <c r="I1001" s="408"/>
      <c r="J1001" s="408"/>
      <c r="K1001" s="408"/>
    </row>
    <row r="1002" ht="12.75" customHeight="1">
      <c r="A1002" s="404" t="s">
        <v>873</v>
      </c>
      <c r="B1002" s="405" t="s">
        <v>4068</v>
      </c>
      <c r="C1002" s="405"/>
      <c r="D1002" s="406"/>
      <c r="E1002" s="407"/>
      <c r="F1002" s="408"/>
      <c r="G1002" s="411">
        <v>19836.85</v>
      </c>
      <c r="H1002" s="412">
        <f>G1002</f>
        <v>19836.85</v>
      </c>
      <c r="I1002" s="411"/>
      <c r="J1002" s="411"/>
      <c r="K1002" s="411"/>
    </row>
    <row r="1003" ht="12.75" customHeight="1">
      <c r="A1003" s="406"/>
      <c r="B1003" s="406"/>
      <c r="C1003" s="406"/>
      <c r="D1003" s="406"/>
      <c r="E1003" s="407"/>
      <c r="F1003" s="408"/>
      <c r="G1003" s="408"/>
      <c r="H1003" s="409"/>
      <c r="I1003" s="408"/>
      <c r="J1003" s="408"/>
      <c r="K1003" s="408"/>
    </row>
    <row r="1004" ht="12.75" customHeight="1">
      <c r="A1004" s="406"/>
      <c r="B1004" s="406"/>
      <c r="C1004" s="406"/>
      <c r="D1004" s="406"/>
      <c r="E1004" s="407"/>
      <c r="F1004" s="408"/>
      <c r="G1004" s="408"/>
      <c r="H1004" s="409"/>
      <c r="I1004" s="408"/>
      <c r="J1004" s="408"/>
      <c r="K1004" s="408"/>
    </row>
    <row r="1005" ht="12.75" customHeight="1">
      <c r="A1005" s="404" t="s">
        <v>883</v>
      </c>
      <c r="B1005" s="405" t="s">
        <v>2091</v>
      </c>
      <c r="C1005" s="405"/>
      <c r="D1005" s="406"/>
      <c r="E1005" s="407"/>
      <c r="F1005" s="408"/>
      <c r="G1005" s="408"/>
      <c r="H1005" s="409"/>
      <c r="I1005" s="408"/>
      <c r="J1005" s="408"/>
      <c r="K1005" s="408"/>
    </row>
    <row r="1006" ht="12.75" customHeight="1">
      <c r="A1006" s="406"/>
      <c r="B1006" s="406"/>
      <c r="C1006" s="406"/>
      <c r="D1006" s="406"/>
      <c r="E1006" s="407"/>
      <c r="F1006" s="408"/>
      <c r="G1006" s="408"/>
      <c r="H1006" s="409"/>
      <c r="I1006" s="408"/>
      <c r="J1006" s="408"/>
      <c r="K1006" s="408"/>
    </row>
    <row r="1007" ht="12.75" customHeight="1">
      <c r="A1007" s="404" t="s">
        <v>166</v>
      </c>
      <c r="B1007" s="405" t="s">
        <v>4071</v>
      </c>
      <c r="C1007" s="405"/>
      <c r="D1007" s="406"/>
      <c r="E1007" s="407"/>
      <c r="F1007" s="408"/>
      <c r="G1007" s="408"/>
      <c r="H1007" s="409"/>
      <c r="I1007" s="408"/>
      <c r="J1007" s="408"/>
      <c r="K1007" s="408"/>
    </row>
    <row r="1008" ht="12.75" customHeight="1">
      <c r="A1008" s="406"/>
      <c r="B1008" s="406"/>
      <c r="C1008" s="406"/>
      <c r="D1008" s="406"/>
      <c r="E1008" s="407"/>
      <c r="F1008" s="408"/>
      <c r="G1008" s="408"/>
      <c r="H1008" s="409"/>
      <c r="I1008" s="408"/>
      <c r="J1008" s="408"/>
      <c r="K1008" s="408"/>
    </row>
    <row r="1009" ht="12.75" customHeight="1">
      <c r="A1009" s="404" t="s">
        <v>170</v>
      </c>
      <c r="B1009" s="405" t="s">
        <v>2094</v>
      </c>
      <c r="C1009" s="405"/>
      <c r="D1009" s="404" t="s">
        <v>75</v>
      </c>
      <c r="E1009" s="410">
        <v>638.0</v>
      </c>
      <c r="F1009" s="411">
        <v>4.08</v>
      </c>
      <c r="G1009" s="411">
        <v>2603.04</v>
      </c>
      <c r="H1009" s="412"/>
      <c r="I1009" s="411"/>
      <c r="J1009" s="411"/>
      <c r="K1009" s="411"/>
    </row>
    <row r="1010" ht="12.75" customHeight="1">
      <c r="A1010" s="406"/>
      <c r="B1010" s="406"/>
      <c r="C1010" s="406"/>
      <c r="D1010" s="406"/>
      <c r="E1010" s="407"/>
      <c r="F1010" s="408"/>
      <c r="G1010" s="408"/>
      <c r="H1010" s="409"/>
      <c r="I1010" s="408"/>
      <c r="J1010" s="408"/>
      <c r="K1010" s="408"/>
    </row>
    <row r="1011" ht="12.75" customHeight="1">
      <c r="A1011" s="404" t="s">
        <v>883</v>
      </c>
      <c r="B1011" s="405" t="s">
        <v>2091</v>
      </c>
      <c r="C1011" s="405"/>
      <c r="D1011" s="406"/>
      <c r="E1011" s="407"/>
      <c r="F1011" s="408"/>
      <c r="G1011" s="411">
        <v>2603.04</v>
      </c>
      <c r="H1011" s="412">
        <f>G1011</f>
        <v>2603.04</v>
      </c>
      <c r="I1011" s="411"/>
      <c r="J1011" s="411"/>
      <c r="K1011" s="411"/>
    </row>
    <row r="1012" ht="12.75" customHeight="1">
      <c r="A1012" s="406"/>
      <c r="B1012" s="406"/>
      <c r="C1012" s="406"/>
      <c r="D1012" s="406"/>
      <c r="E1012" s="407"/>
      <c r="F1012" s="408"/>
      <c r="G1012" s="408"/>
      <c r="H1012" s="409"/>
      <c r="I1012" s="408"/>
      <c r="J1012" s="408"/>
      <c r="K1012" s="408"/>
    </row>
    <row r="1013" ht="12.75" customHeight="1">
      <c r="A1013" s="406"/>
      <c r="B1013" s="406"/>
      <c r="C1013" s="406"/>
      <c r="D1013" s="406"/>
      <c r="E1013" s="407"/>
      <c r="F1013" s="408"/>
      <c r="G1013" s="408"/>
      <c r="H1013" s="409"/>
      <c r="I1013" s="408"/>
      <c r="J1013" s="408"/>
      <c r="K1013" s="408"/>
    </row>
    <row r="1014" ht="12.75" customHeight="1">
      <c r="A1014" s="404" t="s">
        <v>887</v>
      </c>
      <c r="B1014" s="405" t="s">
        <v>4072</v>
      </c>
      <c r="C1014" s="405"/>
      <c r="D1014" s="406"/>
      <c r="E1014" s="407"/>
      <c r="F1014" s="408"/>
      <c r="G1014" s="408"/>
      <c r="H1014" s="409"/>
      <c r="I1014" s="408"/>
      <c r="J1014" s="408"/>
      <c r="K1014" s="408"/>
    </row>
    <row r="1015" ht="12.75" customHeight="1">
      <c r="A1015" s="406"/>
      <c r="B1015" s="406"/>
      <c r="C1015" s="406"/>
      <c r="D1015" s="406"/>
      <c r="E1015" s="407"/>
      <c r="F1015" s="408"/>
      <c r="G1015" s="408"/>
      <c r="H1015" s="409"/>
      <c r="I1015" s="408"/>
      <c r="J1015" s="408"/>
      <c r="K1015" s="408"/>
    </row>
    <row r="1016" ht="12.75" customHeight="1">
      <c r="A1016" s="404" t="s">
        <v>198</v>
      </c>
      <c r="B1016" s="405" t="s">
        <v>4073</v>
      </c>
      <c r="C1016" s="405"/>
      <c r="D1016" s="406"/>
      <c r="E1016" s="407"/>
      <c r="F1016" s="408"/>
      <c r="G1016" s="408"/>
      <c r="H1016" s="409"/>
      <c r="I1016" s="408"/>
      <c r="J1016" s="408"/>
      <c r="K1016" s="408"/>
    </row>
    <row r="1017" ht="12.75" customHeight="1">
      <c r="A1017" s="406"/>
      <c r="B1017" s="406"/>
      <c r="C1017" s="406"/>
      <c r="D1017" s="406"/>
      <c r="E1017" s="407"/>
      <c r="F1017" s="408"/>
      <c r="G1017" s="408"/>
      <c r="H1017" s="409"/>
      <c r="I1017" s="408"/>
      <c r="J1017" s="408"/>
      <c r="K1017" s="408"/>
    </row>
    <row r="1018" ht="12.75" customHeight="1">
      <c r="A1018" s="406"/>
      <c r="B1018" s="405" t="s">
        <v>2098</v>
      </c>
      <c r="C1018" s="405"/>
      <c r="D1018" s="404" t="s">
        <v>827</v>
      </c>
      <c r="E1018" s="410">
        <v>4360.88</v>
      </c>
      <c r="F1018" s="411">
        <v>11.64</v>
      </c>
      <c r="G1018" s="411">
        <v>50760.64</v>
      </c>
      <c r="H1018" s="412"/>
      <c r="I1018" s="411"/>
      <c r="J1018" s="411"/>
      <c r="K1018" s="411"/>
    </row>
    <row r="1019" ht="12.75" customHeight="1">
      <c r="A1019" s="406"/>
      <c r="B1019" s="406"/>
      <c r="C1019" s="406"/>
      <c r="D1019" s="406"/>
      <c r="E1019" s="407"/>
      <c r="F1019" s="408"/>
      <c r="G1019" s="408"/>
      <c r="H1019" s="409"/>
      <c r="I1019" s="408"/>
      <c r="J1019" s="408"/>
      <c r="K1019" s="408"/>
    </row>
    <row r="1020" ht="12.75" customHeight="1">
      <c r="A1020" s="406"/>
      <c r="B1020" s="405" t="s">
        <v>2100</v>
      </c>
      <c r="C1020" s="405"/>
      <c r="D1020" s="404" t="s">
        <v>827</v>
      </c>
      <c r="E1020" s="410">
        <v>112.9</v>
      </c>
      <c r="F1020" s="411">
        <v>11.64</v>
      </c>
      <c r="G1020" s="411">
        <v>1314.16</v>
      </c>
      <c r="H1020" s="412"/>
      <c r="I1020" s="411"/>
      <c r="J1020" s="411"/>
      <c r="K1020" s="411"/>
    </row>
    <row r="1021" ht="12.75" customHeight="1">
      <c r="A1021" s="406"/>
      <c r="B1021" s="406"/>
      <c r="C1021" s="406"/>
      <c r="D1021" s="406"/>
      <c r="E1021" s="407"/>
      <c r="F1021" s="408"/>
      <c r="G1021" s="408"/>
      <c r="H1021" s="409"/>
      <c r="I1021" s="408"/>
      <c r="J1021" s="408"/>
      <c r="K1021" s="408"/>
    </row>
    <row r="1022" ht="12.75" customHeight="1">
      <c r="A1022" s="404" t="s">
        <v>230</v>
      </c>
      <c r="B1022" s="405" t="s">
        <v>4074</v>
      </c>
      <c r="C1022" s="405"/>
      <c r="D1022" s="404" t="s">
        <v>827</v>
      </c>
      <c r="E1022" s="410">
        <v>1501.78</v>
      </c>
      <c r="F1022" s="411">
        <v>11.64</v>
      </c>
      <c r="G1022" s="411">
        <v>17480.72</v>
      </c>
      <c r="H1022" s="412"/>
      <c r="I1022" s="411"/>
      <c r="J1022" s="411"/>
      <c r="K1022" s="411"/>
    </row>
    <row r="1023" ht="12.75" customHeight="1">
      <c r="A1023" s="406"/>
      <c r="B1023" s="406"/>
      <c r="C1023" s="406"/>
      <c r="D1023" s="406"/>
      <c r="E1023" s="407"/>
      <c r="F1023" s="408"/>
      <c r="G1023" s="408"/>
      <c r="H1023" s="409"/>
      <c r="I1023" s="408"/>
      <c r="J1023" s="408"/>
      <c r="K1023" s="408"/>
    </row>
    <row r="1024" ht="12.75" customHeight="1">
      <c r="A1024" s="404" t="s">
        <v>240</v>
      </c>
      <c r="B1024" s="405" t="s">
        <v>4075</v>
      </c>
      <c r="C1024" s="405"/>
      <c r="D1024" s="406"/>
      <c r="E1024" s="407"/>
      <c r="F1024" s="408"/>
      <c r="G1024" s="408"/>
      <c r="H1024" s="409"/>
      <c r="I1024" s="408"/>
      <c r="J1024" s="408"/>
      <c r="K1024" s="408"/>
    </row>
    <row r="1025" ht="12.75" customHeight="1">
      <c r="A1025" s="406"/>
      <c r="B1025" s="406"/>
      <c r="C1025" s="406"/>
      <c r="D1025" s="406"/>
      <c r="E1025" s="407"/>
      <c r="F1025" s="408"/>
      <c r="G1025" s="408"/>
      <c r="H1025" s="409"/>
      <c r="I1025" s="408"/>
      <c r="J1025" s="408"/>
      <c r="K1025" s="408"/>
    </row>
    <row r="1026" ht="12.75" customHeight="1">
      <c r="A1026" s="406"/>
      <c r="B1026" s="405" t="s">
        <v>2103</v>
      </c>
      <c r="C1026" s="405"/>
      <c r="D1026" s="404" t="s">
        <v>827</v>
      </c>
      <c r="E1026" s="410">
        <v>3972.81</v>
      </c>
      <c r="F1026" s="411">
        <v>11.64</v>
      </c>
      <c r="G1026" s="411">
        <v>46243.51</v>
      </c>
      <c r="H1026" s="412"/>
      <c r="I1026" s="411"/>
      <c r="J1026" s="411"/>
      <c r="K1026" s="411"/>
    </row>
    <row r="1027" ht="12.75" customHeight="1">
      <c r="A1027" s="406"/>
      <c r="B1027" s="406"/>
      <c r="C1027" s="406"/>
      <c r="D1027" s="406"/>
      <c r="E1027" s="407"/>
      <c r="F1027" s="408"/>
      <c r="G1027" s="408"/>
      <c r="H1027" s="409"/>
      <c r="I1027" s="408"/>
      <c r="J1027" s="408"/>
      <c r="K1027" s="408"/>
    </row>
    <row r="1028" ht="12.75" customHeight="1">
      <c r="A1028" s="404" t="s">
        <v>895</v>
      </c>
      <c r="B1028" s="405" t="s">
        <v>4076</v>
      </c>
      <c r="C1028" s="405"/>
      <c r="D1028" s="404" t="s">
        <v>33</v>
      </c>
      <c r="E1028" s="410">
        <v>1.0</v>
      </c>
      <c r="F1028" s="411">
        <v>16163.75</v>
      </c>
      <c r="G1028" s="411">
        <v>16163.75</v>
      </c>
      <c r="H1028" s="412"/>
      <c r="I1028" s="411"/>
      <c r="J1028" s="411"/>
      <c r="K1028" s="411"/>
    </row>
    <row r="1029" ht="12.75" customHeight="1">
      <c r="A1029" s="406"/>
      <c r="B1029" s="406"/>
      <c r="C1029" s="406"/>
      <c r="D1029" s="406"/>
      <c r="E1029" s="407"/>
      <c r="F1029" s="408"/>
      <c r="G1029" s="408"/>
      <c r="H1029" s="409"/>
      <c r="I1029" s="408"/>
      <c r="J1029" s="408"/>
      <c r="K1029" s="408"/>
    </row>
    <row r="1030" ht="12.75" customHeight="1">
      <c r="A1030" s="404" t="s">
        <v>897</v>
      </c>
      <c r="B1030" s="405" t="s">
        <v>4077</v>
      </c>
      <c r="C1030" s="405"/>
      <c r="D1030" s="406"/>
      <c r="E1030" s="407"/>
      <c r="F1030" s="408"/>
      <c r="G1030" s="408"/>
      <c r="H1030" s="409"/>
      <c r="I1030" s="408"/>
      <c r="J1030" s="408"/>
      <c r="K1030" s="408"/>
    </row>
    <row r="1031" ht="12.75" customHeight="1">
      <c r="A1031" s="406"/>
      <c r="B1031" s="406"/>
      <c r="C1031" s="406"/>
      <c r="D1031" s="406"/>
      <c r="E1031" s="407"/>
      <c r="F1031" s="408"/>
      <c r="G1031" s="408"/>
      <c r="H1031" s="409"/>
      <c r="I1031" s="408"/>
      <c r="J1031" s="408"/>
      <c r="K1031" s="408"/>
    </row>
    <row r="1032" ht="12.75" customHeight="1">
      <c r="A1032" s="404" t="s">
        <v>246</v>
      </c>
      <c r="B1032" s="405" t="s">
        <v>4078</v>
      </c>
      <c r="C1032" s="405"/>
      <c r="D1032" s="406"/>
      <c r="E1032" s="407"/>
      <c r="F1032" s="408"/>
      <c r="G1032" s="408"/>
      <c r="H1032" s="409"/>
      <c r="I1032" s="408"/>
      <c r="J1032" s="408"/>
      <c r="K1032" s="408"/>
    </row>
    <row r="1033" ht="12.75" customHeight="1">
      <c r="A1033" s="406"/>
      <c r="B1033" s="406"/>
      <c r="C1033" s="406"/>
      <c r="D1033" s="406"/>
      <c r="E1033" s="407"/>
      <c r="F1033" s="408"/>
      <c r="G1033" s="408"/>
      <c r="H1033" s="409"/>
      <c r="I1033" s="408"/>
      <c r="J1033" s="408"/>
      <c r="K1033" s="408"/>
    </row>
    <row r="1034" ht="12.75" customHeight="1">
      <c r="A1034" s="406"/>
      <c r="B1034" s="405" t="s">
        <v>900</v>
      </c>
      <c r="C1034" s="405"/>
      <c r="D1034" s="404" t="s">
        <v>827</v>
      </c>
      <c r="E1034" s="410">
        <v>4.79</v>
      </c>
      <c r="F1034" s="411">
        <v>11.64</v>
      </c>
      <c r="G1034" s="411">
        <v>55.76</v>
      </c>
      <c r="H1034" s="412"/>
      <c r="I1034" s="411"/>
      <c r="J1034" s="411"/>
      <c r="K1034" s="411"/>
    </row>
    <row r="1035" ht="12.75" customHeight="1">
      <c r="A1035" s="406"/>
      <c r="B1035" s="406"/>
      <c r="C1035" s="406"/>
      <c r="D1035" s="406"/>
      <c r="E1035" s="407"/>
      <c r="F1035" s="408"/>
      <c r="G1035" s="408"/>
      <c r="H1035" s="409"/>
      <c r="I1035" s="408"/>
      <c r="J1035" s="408"/>
      <c r="K1035" s="408"/>
    </row>
    <row r="1036" ht="12.75" customHeight="1">
      <c r="A1036" s="406"/>
      <c r="B1036" s="405" t="s">
        <v>901</v>
      </c>
      <c r="C1036" s="405"/>
      <c r="D1036" s="404" t="s">
        <v>827</v>
      </c>
      <c r="E1036" s="410">
        <v>2265.99</v>
      </c>
      <c r="F1036" s="411">
        <v>11.64</v>
      </c>
      <c r="G1036" s="411">
        <v>26376.12</v>
      </c>
      <c r="H1036" s="412"/>
      <c r="I1036" s="411"/>
      <c r="J1036" s="411"/>
      <c r="K1036" s="411"/>
    </row>
    <row r="1037" ht="12.75" customHeight="1">
      <c r="A1037" s="406"/>
      <c r="B1037" s="406"/>
      <c r="C1037" s="406"/>
      <c r="D1037" s="406"/>
      <c r="E1037" s="407"/>
      <c r="F1037" s="408"/>
      <c r="G1037" s="408"/>
      <c r="H1037" s="409"/>
      <c r="I1037" s="408"/>
      <c r="J1037" s="408"/>
      <c r="K1037" s="408"/>
    </row>
    <row r="1038" ht="12.75" customHeight="1">
      <c r="A1038" s="406"/>
      <c r="B1038" s="405" t="s">
        <v>902</v>
      </c>
      <c r="C1038" s="405"/>
      <c r="D1038" s="404" t="s">
        <v>827</v>
      </c>
      <c r="E1038" s="410">
        <v>5.44</v>
      </c>
      <c r="F1038" s="411">
        <v>11.64</v>
      </c>
      <c r="G1038" s="411">
        <v>63.32</v>
      </c>
      <c r="H1038" s="412"/>
      <c r="I1038" s="411"/>
      <c r="J1038" s="411"/>
      <c r="K1038" s="411"/>
    </row>
    <row r="1039" ht="12.75" customHeight="1">
      <c r="A1039" s="406"/>
      <c r="B1039" s="406"/>
      <c r="C1039" s="406"/>
      <c r="D1039" s="406"/>
      <c r="E1039" s="407"/>
      <c r="F1039" s="408"/>
      <c r="G1039" s="408"/>
      <c r="H1039" s="409"/>
      <c r="I1039" s="408"/>
      <c r="J1039" s="408"/>
      <c r="K1039" s="408"/>
    </row>
    <row r="1040" ht="12.75" customHeight="1">
      <c r="A1040" s="406"/>
      <c r="B1040" s="405" t="s">
        <v>903</v>
      </c>
      <c r="C1040" s="405"/>
      <c r="D1040" s="404" t="s">
        <v>827</v>
      </c>
      <c r="E1040" s="410">
        <v>220.49</v>
      </c>
      <c r="F1040" s="411">
        <v>11.64</v>
      </c>
      <c r="G1040" s="411">
        <v>2566.5</v>
      </c>
      <c r="H1040" s="412"/>
      <c r="I1040" s="411"/>
      <c r="J1040" s="411"/>
      <c r="K1040" s="411"/>
    </row>
    <row r="1041" ht="12.75" customHeight="1">
      <c r="A1041" s="406"/>
      <c r="B1041" s="406"/>
      <c r="C1041" s="406"/>
      <c r="D1041" s="406"/>
      <c r="E1041" s="407"/>
      <c r="F1041" s="408"/>
      <c r="G1041" s="408"/>
      <c r="H1041" s="409"/>
      <c r="I1041" s="408"/>
      <c r="J1041" s="408"/>
      <c r="K1041" s="408"/>
    </row>
    <row r="1042" ht="12.75" customHeight="1">
      <c r="A1042" s="406"/>
      <c r="B1042" s="405" t="s">
        <v>2112</v>
      </c>
      <c r="C1042" s="405"/>
      <c r="D1042" s="404" t="s">
        <v>827</v>
      </c>
      <c r="E1042" s="410">
        <v>256.76</v>
      </c>
      <c r="F1042" s="411">
        <v>11.64</v>
      </c>
      <c r="G1042" s="411">
        <v>2988.69</v>
      </c>
      <c r="H1042" s="412"/>
      <c r="I1042" s="411"/>
      <c r="J1042" s="411"/>
      <c r="K1042" s="411"/>
    </row>
    <row r="1043" ht="12.75" customHeight="1">
      <c r="A1043" s="406"/>
      <c r="B1043" s="406"/>
      <c r="C1043" s="406"/>
      <c r="D1043" s="406"/>
      <c r="E1043" s="407"/>
      <c r="F1043" s="408"/>
      <c r="G1043" s="408"/>
      <c r="H1043" s="409"/>
      <c r="I1043" s="408"/>
      <c r="J1043" s="408"/>
      <c r="K1043" s="408"/>
    </row>
    <row r="1044" ht="12.75" customHeight="1">
      <c r="A1044" s="404" t="s">
        <v>887</v>
      </c>
      <c r="B1044" s="405" t="s">
        <v>4072</v>
      </c>
      <c r="C1044" s="405"/>
      <c r="D1044" s="406"/>
      <c r="E1044" s="407"/>
      <c r="F1044" s="408"/>
      <c r="G1044" s="411">
        <v>164013.17</v>
      </c>
      <c r="H1044" s="412"/>
      <c r="I1044" s="411"/>
      <c r="J1044" s="411"/>
      <c r="K1044" s="411"/>
    </row>
    <row r="1045" ht="12.75" customHeight="1">
      <c r="A1045" s="406"/>
      <c r="B1045" s="406"/>
      <c r="C1045" s="406"/>
      <c r="D1045" s="406"/>
      <c r="E1045" s="407"/>
      <c r="F1045" s="408"/>
      <c r="G1045" s="408"/>
      <c r="H1045" s="409"/>
      <c r="I1045" s="408"/>
      <c r="J1045" s="408"/>
      <c r="K1045" s="408"/>
    </row>
    <row r="1046" ht="12.75" customHeight="1">
      <c r="A1046" s="406"/>
      <c r="B1046" s="406"/>
      <c r="C1046" s="406"/>
      <c r="D1046" s="406"/>
      <c r="E1046" s="407"/>
      <c r="F1046" s="408"/>
      <c r="G1046" s="408"/>
      <c r="H1046" s="409"/>
      <c r="I1046" s="408"/>
      <c r="J1046" s="408"/>
      <c r="K1046" s="408"/>
    </row>
    <row r="1047" ht="12.75" customHeight="1">
      <c r="A1047" s="404" t="s">
        <v>905</v>
      </c>
      <c r="B1047" s="405" t="s">
        <v>2113</v>
      </c>
      <c r="C1047" s="405"/>
      <c r="D1047" s="406"/>
      <c r="E1047" s="407"/>
      <c r="F1047" s="408"/>
      <c r="G1047" s="408"/>
      <c r="H1047" s="409"/>
      <c r="I1047" s="408"/>
      <c r="J1047" s="408"/>
      <c r="K1047" s="408"/>
    </row>
    <row r="1048" ht="12.75" customHeight="1">
      <c r="A1048" s="406"/>
      <c r="B1048" s="406"/>
      <c r="C1048" s="406"/>
      <c r="D1048" s="406"/>
      <c r="E1048" s="407"/>
      <c r="F1048" s="408"/>
      <c r="G1048" s="408"/>
      <c r="H1048" s="409"/>
      <c r="I1048" s="408"/>
      <c r="J1048" s="408"/>
      <c r="K1048" s="408"/>
    </row>
    <row r="1049" ht="12.75" customHeight="1">
      <c r="A1049" s="404" t="s">
        <v>381</v>
      </c>
      <c r="B1049" s="405" t="s">
        <v>4079</v>
      </c>
      <c r="C1049" s="405"/>
      <c r="D1049" s="406"/>
      <c r="E1049" s="407"/>
      <c r="F1049" s="408"/>
      <c r="G1049" s="408"/>
      <c r="H1049" s="409"/>
      <c r="I1049" s="408"/>
      <c r="J1049" s="408"/>
      <c r="K1049" s="408"/>
    </row>
    <row r="1050" ht="12.75" customHeight="1">
      <c r="A1050" s="406"/>
      <c r="B1050" s="406"/>
      <c r="C1050" s="406"/>
      <c r="D1050" s="406"/>
      <c r="E1050" s="407"/>
      <c r="F1050" s="408"/>
      <c r="G1050" s="408"/>
      <c r="H1050" s="409"/>
      <c r="I1050" s="408"/>
      <c r="J1050" s="408"/>
      <c r="K1050" s="408"/>
    </row>
    <row r="1051" ht="12.75" customHeight="1">
      <c r="A1051" s="404" t="s">
        <v>384</v>
      </c>
      <c r="B1051" s="405" t="s">
        <v>4080</v>
      </c>
      <c r="C1051" s="405"/>
      <c r="D1051" s="406"/>
      <c r="E1051" s="407"/>
      <c r="F1051" s="408"/>
      <c r="G1051" s="408"/>
      <c r="H1051" s="409"/>
      <c r="I1051" s="408"/>
      <c r="J1051" s="408"/>
      <c r="K1051" s="408"/>
    </row>
    <row r="1052" ht="12.75" customHeight="1">
      <c r="A1052" s="406"/>
      <c r="B1052" s="406"/>
      <c r="C1052" s="406"/>
      <c r="D1052" s="406"/>
      <c r="E1052" s="407"/>
      <c r="F1052" s="408"/>
      <c r="G1052" s="408"/>
      <c r="H1052" s="409"/>
      <c r="I1052" s="408"/>
      <c r="J1052" s="408"/>
      <c r="K1052" s="408"/>
    </row>
    <row r="1053" ht="12.75" customHeight="1">
      <c r="A1053" s="406"/>
      <c r="B1053" s="405" t="s">
        <v>909</v>
      </c>
      <c r="C1053" s="405"/>
      <c r="D1053" s="404" t="s">
        <v>40</v>
      </c>
      <c r="E1053" s="410">
        <v>246.48</v>
      </c>
      <c r="F1053" s="411">
        <v>43.62</v>
      </c>
      <c r="G1053" s="411">
        <v>10751.46</v>
      </c>
      <c r="H1053" s="412"/>
      <c r="I1053" s="411"/>
      <c r="J1053" s="411"/>
      <c r="K1053" s="411"/>
    </row>
    <row r="1054" ht="12.75" customHeight="1">
      <c r="A1054" s="406"/>
      <c r="B1054" s="406"/>
      <c r="C1054" s="406"/>
      <c r="D1054" s="406"/>
      <c r="E1054" s="407"/>
      <c r="F1054" s="408"/>
      <c r="G1054" s="408"/>
      <c r="H1054" s="409"/>
      <c r="I1054" s="408"/>
      <c r="J1054" s="408"/>
      <c r="K1054" s="408"/>
    </row>
    <row r="1055" ht="12.75" customHeight="1">
      <c r="A1055" s="406"/>
      <c r="B1055" s="405" t="s">
        <v>910</v>
      </c>
      <c r="C1055" s="405"/>
      <c r="D1055" s="404" t="s">
        <v>40</v>
      </c>
      <c r="E1055" s="410">
        <v>11.46</v>
      </c>
      <c r="F1055" s="411">
        <v>43.62</v>
      </c>
      <c r="G1055" s="411">
        <v>499.89</v>
      </c>
      <c r="H1055" s="412"/>
      <c r="I1055" s="411"/>
      <c r="J1055" s="411"/>
      <c r="K1055" s="411"/>
    </row>
    <row r="1056" ht="12.75" customHeight="1">
      <c r="A1056" s="406"/>
      <c r="B1056" s="406"/>
      <c r="C1056" s="406"/>
      <c r="D1056" s="406"/>
      <c r="E1056" s="407"/>
      <c r="F1056" s="408"/>
      <c r="G1056" s="408"/>
      <c r="H1056" s="409"/>
      <c r="I1056" s="408"/>
      <c r="J1056" s="408"/>
      <c r="K1056" s="408"/>
    </row>
    <row r="1057" ht="12.75" customHeight="1">
      <c r="A1057" s="404" t="s">
        <v>384</v>
      </c>
      <c r="B1057" s="405" t="s">
        <v>4081</v>
      </c>
      <c r="C1057" s="405"/>
      <c r="D1057" s="406"/>
      <c r="E1057" s="407"/>
      <c r="F1057" s="408"/>
      <c r="G1057" s="408"/>
      <c r="H1057" s="409"/>
      <c r="I1057" s="408"/>
      <c r="J1057" s="408"/>
      <c r="K1057" s="408"/>
    </row>
    <row r="1058" ht="12.75" customHeight="1">
      <c r="A1058" s="406"/>
      <c r="B1058" s="406"/>
      <c r="C1058" s="406"/>
      <c r="D1058" s="406"/>
      <c r="E1058" s="407"/>
      <c r="F1058" s="408"/>
      <c r="G1058" s="408"/>
      <c r="H1058" s="409"/>
      <c r="I1058" s="408"/>
      <c r="J1058" s="408"/>
      <c r="K1058" s="408"/>
    </row>
    <row r="1059" ht="12.75" customHeight="1">
      <c r="A1059" s="406"/>
      <c r="B1059" s="405" t="s">
        <v>912</v>
      </c>
      <c r="C1059" s="405"/>
      <c r="D1059" s="404" t="s">
        <v>40</v>
      </c>
      <c r="E1059" s="410">
        <v>63.73</v>
      </c>
      <c r="F1059" s="411">
        <v>45.47</v>
      </c>
      <c r="G1059" s="411">
        <v>2897.8</v>
      </c>
      <c r="H1059" s="412"/>
      <c r="I1059" s="411"/>
      <c r="J1059" s="411"/>
      <c r="K1059" s="411"/>
    </row>
    <row r="1060" ht="12.75" customHeight="1">
      <c r="A1060" s="406"/>
      <c r="B1060" s="406"/>
      <c r="C1060" s="406"/>
      <c r="D1060" s="406"/>
      <c r="E1060" s="407"/>
      <c r="F1060" s="408"/>
      <c r="G1060" s="408"/>
      <c r="H1060" s="409"/>
      <c r="I1060" s="408"/>
      <c r="J1060" s="408"/>
      <c r="K1060" s="408"/>
    </row>
    <row r="1061" ht="12.75" customHeight="1">
      <c r="A1061" s="406"/>
      <c r="B1061" s="405" t="s">
        <v>913</v>
      </c>
      <c r="C1061" s="405"/>
      <c r="D1061" s="404" t="s">
        <v>40</v>
      </c>
      <c r="E1061" s="410">
        <v>24.52</v>
      </c>
      <c r="F1061" s="411">
        <v>45.47</v>
      </c>
      <c r="G1061" s="411">
        <v>1114.92</v>
      </c>
      <c r="H1061" s="412"/>
      <c r="I1061" s="411"/>
      <c r="J1061" s="411"/>
      <c r="K1061" s="411"/>
    </row>
    <row r="1062" ht="12.75" customHeight="1">
      <c r="A1062" s="406"/>
      <c r="B1062" s="406"/>
      <c r="C1062" s="406"/>
      <c r="D1062" s="406"/>
      <c r="E1062" s="407"/>
      <c r="F1062" s="408"/>
      <c r="G1062" s="408"/>
      <c r="H1062" s="409"/>
      <c r="I1062" s="408"/>
      <c r="J1062" s="408"/>
      <c r="K1062" s="408"/>
    </row>
    <row r="1063" ht="12.75" customHeight="1">
      <c r="A1063" s="406"/>
      <c r="B1063" s="405" t="s">
        <v>914</v>
      </c>
      <c r="C1063" s="405"/>
      <c r="D1063" s="404" t="s">
        <v>40</v>
      </c>
      <c r="E1063" s="410">
        <v>15.37</v>
      </c>
      <c r="F1063" s="411">
        <v>45.47</v>
      </c>
      <c r="G1063" s="411">
        <v>698.87</v>
      </c>
      <c r="H1063" s="412"/>
      <c r="I1063" s="411"/>
      <c r="J1063" s="411"/>
      <c r="K1063" s="411"/>
    </row>
    <row r="1064" ht="12.75" customHeight="1">
      <c r="A1064" s="406"/>
      <c r="B1064" s="406"/>
      <c r="C1064" s="406"/>
      <c r="D1064" s="406"/>
      <c r="E1064" s="407"/>
      <c r="F1064" s="408"/>
      <c r="G1064" s="408"/>
      <c r="H1064" s="409"/>
      <c r="I1064" s="408"/>
      <c r="J1064" s="408"/>
      <c r="K1064" s="408"/>
    </row>
    <row r="1065" ht="12.75" customHeight="1">
      <c r="A1065" s="406"/>
      <c r="B1065" s="405" t="s">
        <v>915</v>
      </c>
      <c r="C1065" s="405"/>
      <c r="D1065" s="404" t="s">
        <v>40</v>
      </c>
      <c r="E1065" s="410">
        <v>21.88</v>
      </c>
      <c r="F1065" s="411">
        <v>45.47</v>
      </c>
      <c r="G1065" s="411">
        <v>994.88</v>
      </c>
      <c r="H1065" s="412"/>
      <c r="I1065" s="411"/>
      <c r="J1065" s="411"/>
      <c r="K1065" s="411"/>
    </row>
    <row r="1066" ht="12.75" customHeight="1">
      <c r="A1066" s="406"/>
      <c r="B1066" s="406"/>
      <c r="C1066" s="406"/>
      <c r="D1066" s="406"/>
      <c r="E1066" s="407"/>
      <c r="F1066" s="408"/>
      <c r="G1066" s="408"/>
      <c r="H1066" s="409"/>
      <c r="I1066" s="408"/>
      <c r="J1066" s="408"/>
      <c r="K1066" s="408"/>
    </row>
    <row r="1067" ht="12.75" customHeight="1">
      <c r="A1067" s="404" t="s">
        <v>905</v>
      </c>
      <c r="B1067" s="405" t="s">
        <v>2113</v>
      </c>
      <c r="C1067" s="405"/>
      <c r="D1067" s="406"/>
      <c r="E1067" s="407"/>
      <c r="F1067" s="408"/>
      <c r="G1067" s="411">
        <v>16957.82</v>
      </c>
      <c r="H1067" s="412">
        <f>G1067</f>
        <v>16957.82</v>
      </c>
      <c r="I1067" s="411"/>
      <c r="J1067" s="411"/>
      <c r="K1067" s="411"/>
    </row>
    <row r="1068" ht="12.75" customHeight="1">
      <c r="A1068" s="406"/>
      <c r="B1068" s="406"/>
      <c r="C1068" s="406"/>
      <c r="D1068" s="406"/>
      <c r="E1068" s="407"/>
      <c r="F1068" s="408"/>
      <c r="G1068" s="408"/>
      <c r="H1068" s="409"/>
      <c r="I1068" s="408"/>
      <c r="J1068" s="408"/>
      <c r="K1068" s="408"/>
    </row>
    <row r="1069" ht="12.75" customHeight="1">
      <c r="A1069" s="406"/>
      <c r="B1069" s="406"/>
      <c r="C1069" s="406"/>
      <c r="D1069" s="406"/>
      <c r="E1069" s="407"/>
      <c r="F1069" s="408"/>
      <c r="G1069" s="408"/>
      <c r="H1069" s="409"/>
      <c r="I1069" s="408"/>
      <c r="J1069" s="408"/>
      <c r="K1069" s="408"/>
    </row>
    <row r="1070" ht="12.75" customHeight="1">
      <c r="A1070" s="404" t="s">
        <v>916</v>
      </c>
      <c r="B1070" s="405" t="s">
        <v>2122</v>
      </c>
      <c r="C1070" s="405"/>
      <c r="D1070" s="406"/>
      <c r="E1070" s="407"/>
      <c r="F1070" s="408"/>
      <c r="G1070" s="408"/>
      <c r="H1070" s="409"/>
      <c r="I1070" s="408"/>
      <c r="J1070" s="408"/>
      <c r="K1070" s="408"/>
    </row>
    <row r="1071" ht="12.75" customHeight="1">
      <c r="A1071" s="406"/>
      <c r="B1071" s="406"/>
      <c r="C1071" s="406"/>
      <c r="D1071" s="406"/>
      <c r="E1071" s="407"/>
      <c r="F1071" s="408"/>
      <c r="G1071" s="408"/>
      <c r="H1071" s="409"/>
      <c r="I1071" s="408"/>
      <c r="J1071" s="408"/>
      <c r="K1071" s="408"/>
    </row>
    <row r="1072" ht="12.75" customHeight="1">
      <c r="A1072" s="404" t="s">
        <v>537</v>
      </c>
      <c r="B1072" s="405" t="s">
        <v>4082</v>
      </c>
      <c r="C1072" s="405"/>
      <c r="D1072" s="406"/>
      <c r="E1072" s="407"/>
      <c r="F1072" s="408"/>
      <c r="G1072" s="408"/>
      <c r="H1072" s="409"/>
      <c r="I1072" s="408"/>
      <c r="J1072" s="408"/>
      <c r="K1072" s="408"/>
    </row>
    <row r="1073" ht="12.75" customHeight="1">
      <c r="A1073" s="406"/>
      <c r="B1073" s="406"/>
      <c r="C1073" s="406"/>
      <c r="D1073" s="406"/>
      <c r="E1073" s="407"/>
      <c r="F1073" s="408"/>
      <c r="G1073" s="408"/>
      <c r="H1073" s="409"/>
      <c r="I1073" s="408"/>
      <c r="J1073" s="408"/>
      <c r="K1073" s="408"/>
    </row>
    <row r="1074" ht="12.75" customHeight="1">
      <c r="A1074" s="404" t="s">
        <v>539</v>
      </c>
      <c r="B1074" s="405" t="s">
        <v>4083</v>
      </c>
      <c r="C1074" s="405"/>
      <c r="D1074" s="406"/>
      <c r="E1074" s="407"/>
      <c r="F1074" s="408"/>
      <c r="G1074" s="408"/>
      <c r="H1074" s="409"/>
      <c r="I1074" s="408"/>
      <c r="J1074" s="408"/>
      <c r="K1074" s="408"/>
    </row>
    <row r="1075" ht="12.75" customHeight="1">
      <c r="A1075" s="406"/>
      <c r="B1075" s="406"/>
      <c r="C1075" s="406"/>
      <c r="D1075" s="406"/>
      <c r="E1075" s="407"/>
      <c r="F1075" s="408"/>
      <c r="G1075" s="408"/>
      <c r="H1075" s="409"/>
      <c r="I1075" s="408"/>
      <c r="J1075" s="408"/>
      <c r="K1075" s="408"/>
    </row>
    <row r="1076" ht="12.75" customHeight="1">
      <c r="A1076" s="406"/>
      <c r="B1076" s="405" t="s">
        <v>920</v>
      </c>
      <c r="C1076" s="405"/>
      <c r="D1076" s="404" t="s">
        <v>877</v>
      </c>
      <c r="E1076" s="410">
        <v>42.55</v>
      </c>
      <c r="F1076" s="411">
        <v>308.17</v>
      </c>
      <c r="G1076" s="411">
        <v>13112.63</v>
      </c>
      <c r="H1076" s="412"/>
      <c r="I1076" s="411"/>
      <c r="J1076" s="411"/>
      <c r="K1076" s="411"/>
    </row>
    <row r="1077" ht="12.75" customHeight="1">
      <c r="A1077" s="406"/>
      <c r="B1077" s="406"/>
      <c r="C1077" s="406"/>
      <c r="D1077" s="406"/>
      <c r="E1077" s="407"/>
      <c r="F1077" s="408"/>
      <c r="G1077" s="408"/>
      <c r="H1077" s="409"/>
      <c r="I1077" s="408"/>
      <c r="J1077" s="408"/>
      <c r="K1077" s="408"/>
    </row>
    <row r="1078" ht="12.75" customHeight="1">
      <c r="A1078" s="406"/>
      <c r="B1078" s="405" t="s">
        <v>921</v>
      </c>
      <c r="C1078" s="405"/>
      <c r="D1078" s="404" t="s">
        <v>877</v>
      </c>
      <c r="E1078" s="410">
        <v>3.92</v>
      </c>
      <c r="F1078" s="411">
        <v>376.42</v>
      </c>
      <c r="G1078" s="411">
        <v>1475.57</v>
      </c>
      <c r="H1078" s="412"/>
      <c r="I1078" s="411"/>
      <c r="J1078" s="411"/>
      <c r="K1078" s="411"/>
    </row>
    <row r="1079" ht="12.75" customHeight="1">
      <c r="A1079" s="406"/>
      <c r="B1079" s="406"/>
      <c r="C1079" s="406"/>
      <c r="D1079" s="406"/>
      <c r="E1079" s="407"/>
      <c r="F1079" s="408"/>
      <c r="G1079" s="408"/>
      <c r="H1079" s="409"/>
      <c r="I1079" s="408"/>
      <c r="J1079" s="408"/>
      <c r="K1079" s="408"/>
    </row>
    <row r="1080" ht="12.75" customHeight="1">
      <c r="A1080" s="406"/>
      <c r="B1080" s="405" t="s">
        <v>922</v>
      </c>
      <c r="C1080" s="405"/>
      <c r="D1080" s="404" t="s">
        <v>877</v>
      </c>
      <c r="E1080" s="410">
        <v>3.88</v>
      </c>
      <c r="F1080" s="411">
        <v>470.49</v>
      </c>
      <c r="G1080" s="411">
        <v>1825.5</v>
      </c>
      <c r="H1080" s="412"/>
      <c r="I1080" s="411"/>
      <c r="J1080" s="411"/>
      <c r="K1080" s="411"/>
    </row>
    <row r="1081" ht="12.75" customHeight="1">
      <c r="A1081" s="406"/>
      <c r="B1081" s="406"/>
      <c r="C1081" s="406"/>
      <c r="D1081" s="406"/>
      <c r="E1081" s="407"/>
      <c r="F1081" s="408"/>
      <c r="G1081" s="408"/>
      <c r="H1081" s="409"/>
      <c r="I1081" s="408"/>
      <c r="J1081" s="408"/>
      <c r="K1081" s="408"/>
    </row>
    <row r="1082" ht="12.75" customHeight="1">
      <c r="A1082" s="406"/>
      <c r="B1082" s="405" t="s">
        <v>923</v>
      </c>
      <c r="C1082" s="405"/>
      <c r="D1082" s="404" t="s">
        <v>877</v>
      </c>
      <c r="E1082" s="410">
        <v>4.5</v>
      </c>
      <c r="F1082" s="411">
        <v>376.42</v>
      </c>
      <c r="G1082" s="411">
        <v>1693.89</v>
      </c>
      <c r="H1082" s="412"/>
      <c r="I1082" s="411"/>
      <c r="J1082" s="411"/>
      <c r="K1082" s="411"/>
    </row>
    <row r="1083" ht="12.75" customHeight="1">
      <c r="A1083" s="406"/>
      <c r="B1083" s="406"/>
      <c r="C1083" s="406"/>
      <c r="D1083" s="406"/>
      <c r="E1083" s="407"/>
      <c r="F1083" s="408"/>
      <c r="G1083" s="408"/>
      <c r="H1083" s="409"/>
      <c r="I1083" s="408"/>
      <c r="J1083" s="408"/>
      <c r="K1083" s="408"/>
    </row>
    <row r="1084" ht="12.75" customHeight="1">
      <c r="A1084" s="404" t="s">
        <v>924</v>
      </c>
      <c r="B1084" s="405" t="s">
        <v>4084</v>
      </c>
      <c r="C1084" s="405"/>
      <c r="D1084" s="406"/>
      <c r="E1084" s="407"/>
      <c r="F1084" s="408"/>
      <c r="G1084" s="408"/>
      <c r="H1084" s="409"/>
      <c r="I1084" s="408"/>
      <c r="J1084" s="408"/>
      <c r="K1084" s="408"/>
    </row>
    <row r="1085" ht="12.75" customHeight="1">
      <c r="A1085" s="406"/>
      <c r="B1085" s="406"/>
      <c r="C1085" s="406"/>
      <c r="D1085" s="406"/>
      <c r="E1085" s="407"/>
      <c r="F1085" s="408"/>
      <c r="G1085" s="408"/>
      <c r="H1085" s="409"/>
      <c r="I1085" s="408"/>
      <c r="J1085" s="408"/>
      <c r="K1085" s="408"/>
    </row>
    <row r="1086" ht="12.75" customHeight="1">
      <c r="A1086" s="406"/>
      <c r="B1086" s="405" t="s">
        <v>922</v>
      </c>
      <c r="C1086" s="405"/>
      <c r="D1086" s="404" t="s">
        <v>877</v>
      </c>
      <c r="E1086" s="410">
        <v>3.88</v>
      </c>
      <c r="F1086" s="411">
        <v>470.49</v>
      </c>
      <c r="G1086" s="411">
        <v>1825.5</v>
      </c>
      <c r="H1086" s="412"/>
      <c r="I1086" s="411"/>
      <c r="J1086" s="411"/>
      <c r="K1086" s="411"/>
    </row>
    <row r="1087" ht="12.75" customHeight="1">
      <c r="A1087" s="406"/>
      <c r="B1087" s="406"/>
      <c r="C1087" s="406"/>
      <c r="D1087" s="406"/>
      <c r="E1087" s="407"/>
      <c r="F1087" s="408"/>
      <c r="G1087" s="408"/>
      <c r="H1087" s="409"/>
      <c r="I1087" s="408"/>
      <c r="J1087" s="408"/>
      <c r="K1087" s="408"/>
    </row>
    <row r="1088" ht="12.75" customHeight="1">
      <c r="A1088" s="406"/>
      <c r="B1088" s="405" t="s">
        <v>926</v>
      </c>
      <c r="C1088" s="405"/>
      <c r="D1088" s="404" t="s">
        <v>877</v>
      </c>
      <c r="E1088" s="410">
        <v>6.39</v>
      </c>
      <c r="F1088" s="411">
        <v>338.74</v>
      </c>
      <c r="G1088" s="411">
        <v>2164.55</v>
      </c>
      <c r="H1088" s="412"/>
      <c r="I1088" s="411"/>
      <c r="J1088" s="411"/>
      <c r="K1088" s="411"/>
    </row>
    <row r="1089" ht="12.75" customHeight="1">
      <c r="A1089" s="406"/>
      <c r="B1089" s="406"/>
      <c r="C1089" s="406"/>
      <c r="D1089" s="406"/>
      <c r="E1089" s="407"/>
      <c r="F1089" s="408"/>
      <c r="G1089" s="408"/>
      <c r="H1089" s="409"/>
      <c r="I1089" s="408"/>
      <c r="J1089" s="408"/>
      <c r="K1089" s="408"/>
    </row>
    <row r="1090" ht="12.75" customHeight="1">
      <c r="A1090" s="404" t="s">
        <v>916</v>
      </c>
      <c r="B1090" s="405" t="s">
        <v>2122</v>
      </c>
      <c r="C1090" s="405"/>
      <c r="D1090" s="406"/>
      <c r="E1090" s="407"/>
      <c r="F1090" s="408"/>
      <c r="G1090" s="411">
        <v>22097.64</v>
      </c>
      <c r="H1090" s="412">
        <f>G1090</f>
        <v>22097.64</v>
      </c>
      <c r="I1090" s="411"/>
      <c r="J1090" s="411"/>
      <c r="K1090" s="411"/>
    </row>
    <row r="1091" ht="12.75" customHeight="1">
      <c r="A1091" s="406"/>
      <c r="B1091" s="406"/>
      <c r="C1091" s="406"/>
      <c r="D1091" s="406"/>
      <c r="E1091" s="407"/>
      <c r="F1091" s="408"/>
      <c r="G1091" s="408"/>
      <c r="H1091" s="409"/>
      <c r="I1091" s="408"/>
      <c r="J1091" s="408"/>
      <c r="K1091" s="408"/>
    </row>
    <row r="1092" ht="12.75" customHeight="1">
      <c r="A1092" s="406"/>
      <c r="B1092" s="406"/>
      <c r="C1092" s="406"/>
      <c r="D1092" s="406"/>
      <c r="E1092" s="407"/>
      <c r="F1092" s="408"/>
      <c r="G1092" s="408"/>
      <c r="H1092" s="409"/>
      <c r="I1092" s="408"/>
      <c r="J1092" s="408"/>
      <c r="K1092" s="408"/>
    </row>
    <row r="1093" ht="12.75" customHeight="1">
      <c r="A1093" s="404" t="s">
        <v>927</v>
      </c>
      <c r="B1093" s="405" t="s">
        <v>2132</v>
      </c>
      <c r="C1093" s="405"/>
      <c r="D1093" s="406"/>
      <c r="E1093" s="407"/>
      <c r="F1093" s="408"/>
      <c r="G1093" s="408"/>
      <c r="H1093" s="409"/>
      <c r="I1093" s="408"/>
      <c r="J1093" s="408"/>
      <c r="K1093" s="408"/>
    </row>
    <row r="1094" ht="12.75" customHeight="1">
      <c r="A1094" s="406"/>
      <c r="B1094" s="406"/>
      <c r="C1094" s="406"/>
      <c r="D1094" s="406"/>
      <c r="E1094" s="407"/>
      <c r="F1094" s="408"/>
      <c r="G1094" s="408"/>
      <c r="H1094" s="409"/>
      <c r="I1094" s="408"/>
      <c r="J1094" s="408"/>
      <c r="K1094" s="408"/>
    </row>
    <row r="1095" ht="12.75" customHeight="1">
      <c r="A1095" s="404" t="s">
        <v>610</v>
      </c>
      <c r="B1095" s="405" t="s">
        <v>2133</v>
      </c>
      <c r="C1095" s="405"/>
      <c r="D1095" s="406"/>
      <c r="E1095" s="407"/>
      <c r="F1095" s="408"/>
      <c r="G1095" s="408"/>
      <c r="H1095" s="409"/>
      <c r="I1095" s="408"/>
      <c r="J1095" s="408"/>
      <c r="K1095" s="408"/>
    </row>
    <row r="1096" ht="12.75" customHeight="1">
      <c r="A1096" s="406"/>
      <c r="B1096" s="406"/>
      <c r="C1096" s="406"/>
      <c r="D1096" s="406"/>
      <c r="E1096" s="407"/>
      <c r="F1096" s="408"/>
      <c r="G1096" s="408"/>
      <c r="H1096" s="409"/>
      <c r="I1096" s="408"/>
      <c r="J1096" s="408"/>
      <c r="K1096" s="408"/>
    </row>
    <row r="1097" ht="12.75" customHeight="1">
      <c r="A1097" s="404" t="s">
        <v>612</v>
      </c>
      <c r="B1097" s="405" t="s">
        <v>4085</v>
      </c>
      <c r="C1097" s="405"/>
      <c r="D1097" s="404" t="s">
        <v>877</v>
      </c>
      <c r="E1097" s="410">
        <v>45.8</v>
      </c>
      <c r="F1097" s="411">
        <v>28.45</v>
      </c>
      <c r="G1097" s="411">
        <v>1303.01</v>
      </c>
      <c r="H1097" s="412"/>
      <c r="I1097" s="411"/>
      <c r="J1097" s="411"/>
      <c r="K1097" s="411"/>
    </row>
    <row r="1098" ht="12.75" customHeight="1">
      <c r="A1098" s="406"/>
      <c r="B1098" s="406"/>
      <c r="C1098" s="406"/>
      <c r="D1098" s="406"/>
      <c r="E1098" s="407"/>
      <c r="F1098" s="408"/>
      <c r="G1098" s="408"/>
      <c r="H1098" s="409"/>
      <c r="I1098" s="408"/>
      <c r="J1098" s="408"/>
      <c r="K1098" s="408"/>
    </row>
    <row r="1099" ht="12.75" customHeight="1">
      <c r="A1099" s="404" t="s">
        <v>620</v>
      </c>
      <c r="B1099" s="405" t="s">
        <v>4086</v>
      </c>
      <c r="C1099" s="405"/>
      <c r="D1099" s="404" t="s">
        <v>877</v>
      </c>
      <c r="E1099" s="410">
        <v>10.42</v>
      </c>
      <c r="F1099" s="411">
        <v>35.56</v>
      </c>
      <c r="G1099" s="411">
        <v>370.54</v>
      </c>
      <c r="H1099" s="412"/>
      <c r="I1099" s="411"/>
      <c r="J1099" s="411"/>
      <c r="K1099" s="411"/>
    </row>
    <row r="1100" ht="12.75" customHeight="1">
      <c r="A1100" s="406"/>
      <c r="B1100" s="406"/>
      <c r="C1100" s="406"/>
      <c r="D1100" s="406"/>
      <c r="E1100" s="407"/>
      <c r="F1100" s="408"/>
      <c r="G1100" s="408"/>
      <c r="H1100" s="409"/>
      <c r="I1100" s="408"/>
      <c r="J1100" s="408"/>
      <c r="K1100" s="408"/>
    </row>
    <row r="1101" ht="12.75" customHeight="1">
      <c r="A1101" s="404" t="s">
        <v>626</v>
      </c>
      <c r="B1101" s="405" t="s">
        <v>4087</v>
      </c>
      <c r="C1101" s="405"/>
      <c r="D1101" s="404" t="s">
        <v>933</v>
      </c>
      <c r="E1101" s="410">
        <v>41.25</v>
      </c>
      <c r="F1101" s="411">
        <v>179.17</v>
      </c>
      <c r="G1101" s="411">
        <v>7390.76</v>
      </c>
      <c r="H1101" s="412"/>
      <c r="I1101" s="411"/>
      <c r="J1101" s="411"/>
      <c r="K1101" s="411"/>
    </row>
    <row r="1102" ht="12.75" customHeight="1">
      <c r="A1102" s="406"/>
      <c r="B1102" s="406"/>
      <c r="C1102" s="406"/>
      <c r="D1102" s="406"/>
      <c r="E1102" s="407"/>
      <c r="F1102" s="408"/>
      <c r="G1102" s="408"/>
      <c r="H1102" s="409"/>
      <c r="I1102" s="408"/>
      <c r="J1102" s="408"/>
      <c r="K1102" s="408"/>
    </row>
    <row r="1103" ht="12.75" customHeight="1">
      <c r="A1103" s="404" t="s">
        <v>628</v>
      </c>
      <c r="B1103" s="405" t="s">
        <v>4088</v>
      </c>
      <c r="C1103" s="405"/>
      <c r="D1103" s="406"/>
      <c r="E1103" s="407"/>
      <c r="F1103" s="408"/>
      <c r="G1103" s="408"/>
      <c r="H1103" s="409"/>
      <c r="I1103" s="408"/>
      <c r="J1103" s="408"/>
      <c r="K1103" s="408"/>
    </row>
    <row r="1104" ht="12.75" customHeight="1">
      <c r="A1104" s="406"/>
      <c r="B1104" s="406"/>
      <c r="C1104" s="406"/>
      <c r="D1104" s="406"/>
      <c r="E1104" s="407"/>
      <c r="F1104" s="408"/>
      <c r="G1104" s="408"/>
      <c r="H1104" s="409"/>
      <c r="I1104" s="408"/>
      <c r="J1104" s="408"/>
      <c r="K1104" s="408"/>
    </row>
    <row r="1105" ht="12.75" customHeight="1">
      <c r="A1105" s="404" t="s">
        <v>935</v>
      </c>
      <c r="B1105" s="405" t="s">
        <v>4089</v>
      </c>
      <c r="C1105" s="405"/>
      <c r="D1105" s="404" t="s">
        <v>33</v>
      </c>
      <c r="E1105" s="410">
        <v>1.0</v>
      </c>
      <c r="F1105" s="411">
        <v>3827.24</v>
      </c>
      <c r="G1105" s="411">
        <v>3827.24</v>
      </c>
      <c r="H1105" s="412"/>
      <c r="I1105" s="411"/>
      <c r="J1105" s="411"/>
      <c r="K1105" s="411"/>
    </row>
    <row r="1106" ht="12.75" customHeight="1">
      <c r="A1106" s="406"/>
      <c r="B1106" s="406"/>
      <c r="C1106" s="406"/>
      <c r="D1106" s="406"/>
      <c r="E1106" s="407"/>
      <c r="F1106" s="408"/>
      <c r="G1106" s="408"/>
      <c r="H1106" s="409"/>
      <c r="I1106" s="408"/>
      <c r="J1106" s="408"/>
      <c r="K1106" s="408"/>
    </row>
    <row r="1107" ht="12.75" customHeight="1">
      <c r="A1107" s="404" t="s">
        <v>927</v>
      </c>
      <c r="B1107" s="405" t="s">
        <v>2132</v>
      </c>
      <c r="C1107" s="405"/>
      <c r="D1107" s="406"/>
      <c r="E1107" s="407"/>
      <c r="F1107" s="408"/>
      <c r="G1107" s="411">
        <v>12891.55</v>
      </c>
      <c r="H1107" s="412">
        <f>G1107</f>
        <v>12891.55</v>
      </c>
      <c r="I1107" s="411"/>
      <c r="J1107" s="411"/>
      <c r="K1107" s="411"/>
    </row>
    <row r="1108" ht="12.75" customHeight="1">
      <c r="A1108" s="406"/>
      <c r="B1108" s="406"/>
      <c r="C1108" s="406"/>
      <c r="D1108" s="406"/>
      <c r="E1108" s="407"/>
      <c r="F1108" s="408"/>
      <c r="G1108" s="408"/>
      <c r="H1108" s="409"/>
      <c r="I1108" s="408"/>
      <c r="J1108" s="408"/>
      <c r="K1108" s="408"/>
    </row>
    <row r="1109" ht="12.75" customHeight="1">
      <c r="A1109" s="404" t="s">
        <v>3696</v>
      </c>
      <c r="B1109" s="405" t="s">
        <v>4041</v>
      </c>
      <c r="C1109" s="405"/>
      <c r="D1109" s="406"/>
      <c r="E1109" s="407"/>
      <c r="F1109" s="408"/>
      <c r="G1109" s="411">
        <v>558392.25</v>
      </c>
      <c r="H1109" s="412"/>
      <c r="I1109" s="411"/>
      <c r="J1109" s="411"/>
      <c r="K1109" s="411"/>
    </row>
    <row r="1110" ht="12.75" customHeight="1">
      <c r="A1110" s="406"/>
      <c r="B1110" s="406"/>
      <c r="C1110" s="406"/>
      <c r="D1110" s="406"/>
      <c r="E1110" s="407"/>
      <c r="F1110" s="408"/>
      <c r="G1110" s="408"/>
      <c r="H1110" s="409"/>
      <c r="I1110" s="408"/>
      <c r="J1110" s="408"/>
      <c r="K1110" s="408"/>
    </row>
    <row r="1111" ht="12.75" customHeight="1">
      <c r="E1111" s="79"/>
      <c r="F1111" s="80"/>
      <c r="G1111" s="80"/>
      <c r="H1111" s="81"/>
      <c r="I1111" s="80"/>
      <c r="J1111" s="80"/>
      <c r="K1111" s="80"/>
    </row>
    <row r="1112" ht="12.75" customHeight="1">
      <c r="A1112" s="89" t="s">
        <v>4090</v>
      </c>
      <c r="B1112" s="90" t="s">
        <v>4091</v>
      </c>
      <c r="C1112" s="90"/>
      <c r="E1112" s="79"/>
      <c r="F1112" s="80"/>
      <c r="G1112" s="80"/>
      <c r="H1112" s="81"/>
      <c r="I1112" s="80"/>
      <c r="J1112" s="80"/>
      <c r="K1112" s="80"/>
    </row>
    <row r="1113" ht="12.75" customHeight="1">
      <c r="E1113" s="79"/>
      <c r="F1113" s="80"/>
      <c r="G1113" s="80"/>
      <c r="H1113" s="81"/>
      <c r="I1113" s="80"/>
      <c r="J1113" s="80"/>
      <c r="K1113" s="80"/>
    </row>
    <row r="1114" ht="12.75" customHeight="1">
      <c r="A1114" s="89" t="s">
        <v>4090</v>
      </c>
      <c r="B1114" s="90" t="s">
        <v>4092</v>
      </c>
      <c r="C1114" s="90"/>
      <c r="E1114" s="79"/>
      <c r="F1114" s="80"/>
      <c r="G1114" s="80"/>
      <c r="H1114" s="81"/>
      <c r="I1114" s="80"/>
      <c r="J1114" s="80"/>
      <c r="K1114" s="80"/>
    </row>
    <row r="1115" ht="12.75" customHeight="1">
      <c r="E1115" s="79"/>
      <c r="F1115" s="80"/>
      <c r="G1115" s="80"/>
      <c r="H1115" s="81"/>
      <c r="I1115" s="80"/>
      <c r="J1115" s="80"/>
      <c r="K1115" s="80"/>
    </row>
    <row r="1116" ht="12.75" customHeight="1">
      <c r="A1116" s="89" t="s">
        <v>4093</v>
      </c>
      <c r="B1116" s="90" t="s">
        <v>4094</v>
      </c>
      <c r="C1116" s="90"/>
      <c r="E1116" s="79"/>
      <c r="F1116" s="80"/>
      <c r="G1116" s="80"/>
      <c r="H1116" s="81"/>
      <c r="I1116" s="80"/>
      <c r="J1116" s="80"/>
      <c r="K1116" s="80"/>
    </row>
    <row r="1117" ht="12.75" customHeight="1">
      <c r="E1117" s="79"/>
      <c r="F1117" s="80"/>
      <c r="G1117" s="80"/>
      <c r="H1117" s="81"/>
      <c r="I1117" s="80"/>
      <c r="J1117" s="80"/>
      <c r="K1117" s="80"/>
    </row>
    <row r="1118" ht="12.75" customHeight="1">
      <c r="A1118" s="89" t="s">
        <v>940</v>
      </c>
      <c r="B1118" s="90" t="s">
        <v>4095</v>
      </c>
      <c r="C1118" s="90"/>
      <c r="E1118" s="79"/>
      <c r="F1118" s="80"/>
      <c r="G1118" s="80"/>
      <c r="H1118" s="81"/>
      <c r="I1118" s="80"/>
      <c r="J1118" s="80"/>
      <c r="K1118" s="80"/>
    </row>
    <row r="1119" ht="12.75" customHeight="1">
      <c r="E1119" s="79"/>
      <c r="F1119" s="80"/>
      <c r="G1119" s="80"/>
      <c r="H1119" s="81"/>
      <c r="I1119" s="80"/>
      <c r="J1119" s="80"/>
      <c r="K1119" s="80"/>
    </row>
    <row r="1120" ht="12.75" customHeight="1">
      <c r="A1120" s="89" t="s">
        <v>942</v>
      </c>
      <c r="B1120" s="90" t="s">
        <v>2613</v>
      </c>
      <c r="C1120" s="90"/>
      <c r="D1120" s="89" t="s">
        <v>161</v>
      </c>
      <c r="E1120" s="91">
        <v>111.35</v>
      </c>
      <c r="F1120" s="92">
        <v>4.54</v>
      </c>
      <c r="G1120" s="92">
        <v>505.53</v>
      </c>
      <c r="H1120" s="93"/>
      <c r="I1120" s="92"/>
      <c r="J1120" s="92"/>
      <c r="K1120" s="92"/>
    </row>
    <row r="1121" ht="12.75" customHeight="1">
      <c r="E1121" s="79"/>
      <c r="F1121" s="80"/>
      <c r="G1121" s="80"/>
      <c r="H1121" s="81"/>
      <c r="I1121" s="80"/>
      <c r="J1121" s="80"/>
      <c r="K1121" s="80"/>
    </row>
    <row r="1122" ht="12.75" customHeight="1">
      <c r="A1122" s="89" t="s">
        <v>944</v>
      </c>
      <c r="B1122" s="90" t="s">
        <v>2615</v>
      </c>
      <c r="C1122" s="90"/>
      <c r="D1122" s="89" t="s">
        <v>161</v>
      </c>
      <c r="E1122" s="91">
        <v>1.7</v>
      </c>
      <c r="F1122" s="92">
        <v>6.23</v>
      </c>
      <c r="G1122" s="92">
        <v>10.59</v>
      </c>
      <c r="H1122" s="93"/>
      <c r="I1122" s="92"/>
      <c r="J1122" s="92"/>
      <c r="K1122" s="92"/>
    </row>
    <row r="1123" ht="12.75" customHeight="1">
      <c r="E1123" s="79"/>
      <c r="F1123" s="80"/>
      <c r="G1123" s="80"/>
      <c r="H1123" s="81"/>
      <c r="I1123" s="80"/>
      <c r="J1123" s="80"/>
      <c r="K1123" s="80"/>
    </row>
    <row r="1124" ht="12.75" customHeight="1">
      <c r="A1124" s="89" t="s">
        <v>946</v>
      </c>
      <c r="B1124" s="90" t="s">
        <v>2617</v>
      </c>
      <c r="C1124" s="90"/>
      <c r="D1124" s="89" t="s">
        <v>161</v>
      </c>
      <c r="E1124" s="91">
        <v>42.4</v>
      </c>
      <c r="F1124" s="92">
        <v>8.74</v>
      </c>
      <c r="G1124" s="92">
        <v>370.58</v>
      </c>
      <c r="H1124" s="93"/>
      <c r="I1124" s="92"/>
      <c r="J1124" s="92"/>
      <c r="K1124" s="92"/>
    </row>
    <row r="1125" ht="12.75" customHeight="1">
      <c r="E1125" s="79"/>
      <c r="F1125" s="80"/>
      <c r="G1125" s="80"/>
      <c r="H1125" s="81"/>
      <c r="I1125" s="80"/>
      <c r="J1125" s="80"/>
      <c r="K1125" s="80"/>
    </row>
    <row r="1126" ht="12.75" customHeight="1">
      <c r="A1126" s="89" t="s">
        <v>948</v>
      </c>
      <c r="B1126" s="90" t="s">
        <v>4096</v>
      </c>
      <c r="C1126" s="90"/>
      <c r="E1126" s="79"/>
      <c r="F1126" s="80"/>
      <c r="G1126" s="80"/>
      <c r="H1126" s="81"/>
      <c r="I1126" s="80"/>
      <c r="J1126" s="80"/>
      <c r="K1126" s="80"/>
    </row>
    <row r="1127" ht="12.75" customHeight="1">
      <c r="E1127" s="79"/>
      <c r="F1127" s="80"/>
      <c r="G1127" s="80"/>
      <c r="H1127" s="81"/>
      <c r="I1127" s="80"/>
      <c r="J1127" s="80"/>
      <c r="K1127" s="80"/>
    </row>
    <row r="1128" ht="12.75" customHeight="1">
      <c r="A1128" s="89" t="s">
        <v>950</v>
      </c>
      <c r="B1128" s="90" t="s">
        <v>2620</v>
      </c>
      <c r="C1128" s="90"/>
      <c r="D1128" s="89" t="s">
        <v>161</v>
      </c>
      <c r="E1128" s="91">
        <v>64.54</v>
      </c>
      <c r="F1128" s="92">
        <v>11.64</v>
      </c>
      <c r="G1128" s="92">
        <v>751.25</v>
      </c>
      <c r="H1128" s="93"/>
      <c r="I1128" s="92"/>
      <c r="J1128" s="92"/>
      <c r="K1128" s="92"/>
    </row>
    <row r="1129" ht="12.75" customHeight="1">
      <c r="E1129" s="79"/>
      <c r="F1129" s="80"/>
      <c r="G1129" s="80"/>
      <c r="H1129" s="81"/>
      <c r="I1129" s="80"/>
      <c r="J1129" s="80"/>
      <c r="K1129" s="80"/>
    </row>
    <row r="1130" ht="12.75" customHeight="1">
      <c r="A1130" s="89" t="s">
        <v>952</v>
      </c>
      <c r="B1130" s="90" t="s">
        <v>2622</v>
      </c>
      <c r="C1130" s="90"/>
      <c r="D1130" s="89" t="s">
        <v>161</v>
      </c>
      <c r="E1130" s="91">
        <v>82.73</v>
      </c>
      <c r="F1130" s="92">
        <v>12.59</v>
      </c>
      <c r="G1130" s="92">
        <v>1041.57</v>
      </c>
      <c r="H1130" s="93"/>
      <c r="I1130" s="92"/>
      <c r="J1130" s="92"/>
      <c r="K1130" s="92"/>
    </row>
    <row r="1131" ht="12.75" customHeight="1">
      <c r="E1131" s="79"/>
      <c r="F1131" s="80"/>
      <c r="G1131" s="80"/>
      <c r="H1131" s="81"/>
      <c r="I1131" s="80"/>
      <c r="J1131" s="80"/>
      <c r="K1131" s="80"/>
    </row>
    <row r="1132" ht="12.75" customHeight="1">
      <c r="A1132" s="89" t="s">
        <v>954</v>
      </c>
      <c r="B1132" s="90" t="s">
        <v>2624</v>
      </c>
      <c r="C1132" s="90"/>
      <c r="D1132" s="89" t="s">
        <v>161</v>
      </c>
      <c r="E1132" s="91">
        <v>39.6</v>
      </c>
      <c r="F1132" s="92">
        <v>16.77</v>
      </c>
      <c r="G1132" s="92">
        <v>664.09</v>
      </c>
      <c r="H1132" s="93"/>
      <c r="I1132" s="92"/>
      <c r="J1132" s="92"/>
      <c r="K1132" s="92"/>
    </row>
    <row r="1133" ht="12.75" customHeight="1">
      <c r="E1133" s="79"/>
      <c r="F1133" s="80"/>
      <c r="G1133" s="80"/>
      <c r="H1133" s="81"/>
      <c r="I1133" s="80"/>
      <c r="J1133" s="80"/>
      <c r="K1133" s="80"/>
    </row>
    <row r="1134" ht="12.75" customHeight="1">
      <c r="A1134" s="89" t="s">
        <v>956</v>
      </c>
      <c r="B1134" s="90" t="s">
        <v>2626</v>
      </c>
      <c r="C1134" s="90"/>
      <c r="D1134" s="89" t="s">
        <v>161</v>
      </c>
      <c r="E1134" s="91">
        <v>27.8</v>
      </c>
      <c r="F1134" s="92">
        <v>20.75</v>
      </c>
      <c r="G1134" s="92">
        <v>576.85</v>
      </c>
      <c r="H1134" s="93"/>
      <c r="I1134" s="92"/>
      <c r="J1134" s="92"/>
      <c r="K1134" s="92"/>
    </row>
    <row r="1135" ht="12.75" customHeight="1">
      <c r="E1135" s="79"/>
      <c r="F1135" s="80"/>
      <c r="G1135" s="80"/>
      <c r="H1135" s="81"/>
      <c r="I1135" s="80"/>
      <c r="J1135" s="80"/>
      <c r="K1135" s="80"/>
    </row>
    <row r="1136" ht="12.75" customHeight="1">
      <c r="A1136" s="89" t="s">
        <v>958</v>
      </c>
      <c r="B1136" s="90" t="s">
        <v>2628</v>
      </c>
      <c r="C1136" s="90"/>
      <c r="D1136" s="89" t="s">
        <v>161</v>
      </c>
      <c r="E1136" s="91">
        <v>17.28</v>
      </c>
      <c r="F1136" s="92">
        <v>32.69</v>
      </c>
      <c r="G1136" s="92">
        <v>564.88</v>
      </c>
      <c r="H1136" s="93"/>
      <c r="I1136" s="92"/>
      <c r="J1136" s="92"/>
      <c r="K1136" s="92"/>
    </row>
    <row r="1137" ht="12.75" customHeight="1">
      <c r="E1137" s="79"/>
      <c r="F1137" s="80"/>
      <c r="G1137" s="80"/>
      <c r="H1137" s="81"/>
      <c r="I1137" s="80"/>
      <c r="J1137" s="80"/>
      <c r="K1137" s="80"/>
    </row>
    <row r="1138" ht="12.75" customHeight="1">
      <c r="A1138" s="89" t="s">
        <v>4097</v>
      </c>
      <c r="B1138" s="90" t="s">
        <v>4098</v>
      </c>
      <c r="C1138" s="90"/>
      <c r="E1138" s="79"/>
      <c r="F1138" s="80"/>
      <c r="G1138" s="80"/>
      <c r="H1138" s="81"/>
      <c r="I1138" s="80"/>
      <c r="J1138" s="80"/>
      <c r="K1138" s="80"/>
    </row>
    <row r="1139" ht="12.75" customHeight="1">
      <c r="E1139" s="79"/>
      <c r="F1139" s="80"/>
      <c r="G1139" s="80"/>
      <c r="H1139" s="81"/>
      <c r="I1139" s="80"/>
      <c r="J1139" s="80"/>
      <c r="K1139" s="80"/>
    </row>
    <row r="1140" ht="12.75" customHeight="1">
      <c r="A1140" s="89" t="s">
        <v>961</v>
      </c>
      <c r="B1140" s="90" t="s">
        <v>4099</v>
      </c>
      <c r="C1140" s="90"/>
      <c r="E1140" s="79"/>
      <c r="F1140" s="80"/>
      <c r="G1140" s="80"/>
      <c r="H1140" s="81"/>
      <c r="I1140" s="80"/>
      <c r="J1140" s="80"/>
      <c r="K1140" s="80"/>
    </row>
    <row r="1141" ht="12.75" customHeight="1">
      <c r="E1141" s="79"/>
      <c r="F1141" s="80"/>
      <c r="G1141" s="80"/>
      <c r="H1141" s="81"/>
      <c r="I1141" s="80"/>
      <c r="J1141" s="80"/>
      <c r="K1141" s="80"/>
    </row>
    <row r="1142" ht="12.75" customHeight="1">
      <c r="A1142" s="89" t="s">
        <v>963</v>
      </c>
      <c r="B1142" s="90" t="s">
        <v>2620</v>
      </c>
      <c r="C1142" s="90"/>
      <c r="D1142" s="89" t="s">
        <v>161</v>
      </c>
      <c r="E1142" s="91">
        <v>33.18</v>
      </c>
      <c r="F1142" s="92">
        <v>11.64</v>
      </c>
      <c r="G1142" s="92">
        <v>386.22</v>
      </c>
      <c r="H1142" s="93"/>
      <c r="I1142" s="92"/>
      <c r="J1142" s="92"/>
      <c r="K1142" s="92"/>
    </row>
    <row r="1143" ht="12.75" customHeight="1">
      <c r="E1143" s="79"/>
      <c r="F1143" s="80"/>
      <c r="G1143" s="80"/>
      <c r="H1143" s="81"/>
      <c r="I1143" s="80"/>
      <c r="J1143" s="80"/>
      <c r="K1143" s="80"/>
    </row>
    <row r="1144" ht="12.75" customHeight="1">
      <c r="A1144" s="89" t="s">
        <v>964</v>
      </c>
      <c r="B1144" s="90" t="s">
        <v>2622</v>
      </c>
      <c r="C1144" s="90"/>
      <c r="D1144" s="89" t="s">
        <v>161</v>
      </c>
      <c r="E1144" s="91">
        <v>87.49</v>
      </c>
      <c r="F1144" s="92">
        <v>12.59</v>
      </c>
      <c r="G1144" s="92">
        <v>1101.5</v>
      </c>
      <c r="H1144" s="93"/>
      <c r="I1144" s="92"/>
      <c r="J1144" s="92"/>
      <c r="K1144" s="92"/>
    </row>
    <row r="1145" ht="12.75" customHeight="1">
      <c r="E1145" s="79"/>
      <c r="F1145" s="80"/>
      <c r="G1145" s="80"/>
      <c r="H1145" s="81"/>
      <c r="I1145" s="80"/>
      <c r="J1145" s="80"/>
      <c r="K1145" s="80"/>
    </row>
    <row r="1146" ht="12.75" customHeight="1">
      <c r="A1146" s="89" t="s">
        <v>965</v>
      </c>
      <c r="B1146" s="90" t="s">
        <v>2624</v>
      </c>
      <c r="C1146" s="90"/>
      <c r="D1146" s="89" t="s">
        <v>161</v>
      </c>
      <c r="E1146" s="91">
        <v>45.63</v>
      </c>
      <c r="F1146" s="92">
        <v>16.77</v>
      </c>
      <c r="G1146" s="92">
        <v>765.22</v>
      </c>
      <c r="H1146" s="93"/>
      <c r="I1146" s="92"/>
      <c r="J1146" s="92"/>
      <c r="K1146" s="92"/>
    </row>
    <row r="1147" ht="12.75" customHeight="1">
      <c r="E1147" s="79"/>
      <c r="F1147" s="80"/>
      <c r="G1147" s="80"/>
      <c r="H1147" s="81"/>
      <c r="I1147" s="80"/>
      <c r="J1147" s="80"/>
      <c r="K1147" s="80"/>
    </row>
    <row r="1148" ht="12.75" customHeight="1">
      <c r="A1148" s="89" t="s">
        <v>966</v>
      </c>
      <c r="B1148" s="90" t="s">
        <v>2626</v>
      </c>
      <c r="C1148" s="90"/>
      <c r="D1148" s="89" t="s">
        <v>161</v>
      </c>
      <c r="E1148" s="91">
        <v>13.94</v>
      </c>
      <c r="F1148" s="92">
        <v>20.75</v>
      </c>
      <c r="G1148" s="92">
        <v>289.26</v>
      </c>
      <c r="H1148" s="93"/>
      <c r="I1148" s="92"/>
      <c r="J1148" s="92"/>
      <c r="K1148" s="92"/>
    </row>
    <row r="1149" ht="12.75" customHeight="1">
      <c r="E1149" s="79"/>
      <c r="F1149" s="80"/>
      <c r="G1149" s="80"/>
      <c r="H1149" s="81"/>
      <c r="I1149" s="80"/>
      <c r="J1149" s="80"/>
      <c r="K1149" s="80"/>
    </row>
    <row r="1150" ht="12.75" customHeight="1">
      <c r="A1150" s="89" t="s">
        <v>4100</v>
      </c>
      <c r="B1150" s="90" t="s">
        <v>4101</v>
      </c>
      <c r="C1150" s="90"/>
      <c r="E1150" s="79"/>
      <c r="F1150" s="80"/>
      <c r="G1150" s="80"/>
      <c r="H1150" s="81"/>
      <c r="I1150" s="80"/>
      <c r="J1150" s="80"/>
      <c r="K1150" s="80"/>
    </row>
    <row r="1151" ht="12.75" customHeight="1">
      <c r="E1151" s="79"/>
      <c r="F1151" s="80"/>
      <c r="G1151" s="80"/>
      <c r="H1151" s="81"/>
      <c r="I1151" s="80"/>
      <c r="J1151" s="80"/>
      <c r="K1151" s="80"/>
    </row>
    <row r="1152" ht="12.75" customHeight="1">
      <c r="A1152" s="89" t="s">
        <v>968</v>
      </c>
      <c r="B1152" s="90" t="s">
        <v>4102</v>
      </c>
      <c r="C1152" s="90"/>
      <c r="E1152" s="79"/>
      <c r="F1152" s="80"/>
      <c r="G1152" s="80"/>
      <c r="H1152" s="81"/>
      <c r="I1152" s="80"/>
      <c r="J1152" s="80"/>
      <c r="K1152" s="80"/>
    </row>
    <row r="1153" ht="12.75" customHeight="1">
      <c r="E1153" s="79"/>
      <c r="F1153" s="80"/>
      <c r="G1153" s="80"/>
      <c r="H1153" s="81"/>
      <c r="I1153" s="80"/>
      <c r="J1153" s="80"/>
      <c r="K1153" s="80"/>
    </row>
    <row r="1154" ht="12.75" customHeight="1">
      <c r="A1154" s="89" t="s">
        <v>970</v>
      </c>
      <c r="B1154" s="90" t="s">
        <v>2620</v>
      </c>
      <c r="C1154" s="90"/>
      <c r="D1154" s="89" t="s">
        <v>161</v>
      </c>
      <c r="E1154" s="91">
        <v>121.86</v>
      </c>
      <c r="F1154" s="92">
        <v>11.64</v>
      </c>
      <c r="G1154" s="92">
        <v>1418.45</v>
      </c>
      <c r="H1154" s="93"/>
      <c r="I1154" s="92"/>
      <c r="J1154" s="92"/>
      <c r="K1154" s="92"/>
    </row>
    <row r="1155" ht="12.75" customHeight="1">
      <c r="E1155" s="79"/>
      <c r="F1155" s="80"/>
      <c r="G1155" s="80"/>
      <c r="H1155" s="81"/>
      <c r="I1155" s="80"/>
      <c r="J1155" s="80"/>
      <c r="K1155" s="80"/>
    </row>
    <row r="1156" ht="12.75" customHeight="1">
      <c r="A1156" s="89" t="s">
        <v>971</v>
      </c>
      <c r="B1156" s="90" t="s">
        <v>2622</v>
      </c>
      <c r="C1156" s="90"/>
      <c r="D1156" s="89" t="s">
        <v>161</v>
      </c>
      <c r="E1156" s="91">
        <v>22.29</v>
      </c>
      <c r="F1156" s="92">
        <v>12.59</v>
      </c>
      <c r="G1156" s="92">
        <v>280.63</v>
      </c>
      <c r="H1156" s="93"/>
      <c r="I1156" s="92"/>
      <c r="J1156" s="92"/>
      <c r="K1156" s="92"/>
    </row>
    <row r="1157" ht="12.75" customHeight="1">
      <c r="E1157" s="79"/>
      <c r="F1157" s="80"/>
      <c r="G1157" s="80"/>
      <c r="H1157" s="81"/>
      <c r="I1157" s="80"/>
      <c r="J1157" s="80"/>
      <c r="K1157" s="80"/>
    </row>
    <row r="1158" ht="12.75" customHeight="1">
      <c r="A1158" s="89" t="s">
        <v>4103</v>
      </c>
      <c r="B1158" s="90" t="s">
        <v>4104</v>
      </c>
      <c r="C1158" s="90"/>
      <c r="D1158" s="89" t="s">
        <v>75</v>
      </c>
      <c r="E1158" s="91">
        <v>1.0</v>
      </c>
      <c r="F1158" s="92">
        <v>1016.69</v>
      </c>
      <c r="G1158" s="92">
        <v>1016.69</v>
      </c>
      <c r="H1158" s="93"/>
      <c r="I1158" s="92"/>
      <c r="J1158" s="92"/>
      <c r="K1158" s="92"/>
    </row>
    <row r="1159" ht="12.75" customHeight="1">
      <c r="E1159" s="79"/>
      <c r="F1159" s="80"/>
      <c r="G1159" s="80"/>
      <c r="H1159" s="81"/>
      <c r="I1159" s="80"/>
      <c r="J1159" s="80"/>
      <c r="K1159" s="80"/>
    </row>
    <row r="1160" ht="12.75" customHeight="1">
      <c r="A1160" s="89" t="s">
        <v>4105</v>
      </c>
      <c r="B1160" s="90" t="s">
        <v>4106</v>
      </c>
      <c r="C1160" s="90"/>
      <c r="D1160" s="89" t="s">
        <v>75</v>
      </c>
      <c r="E1160" s="91">
        <v>1.0</v>
      </c>
      <c r="F1160" s="92">
        <v>7027.17</v>
      </c>
      <c r="G1160" s="92">
        <v>7027.17</v>
      </c>
      <c r="H1160" s="93"/>
      <c r="I1160" s="92"/>
      <c r="J1160" s="92"/>
      <c r="K1160" s="92"/>
    </row>
    <row r="1161" ht="12.75" customHeight="1">
      <c r="E1161" s="79"/>
      <c r="F1161" s="80"/>
      <c r="G1161" s="80"/>
      <c r="H1161" s="81"/>
      <c r="I1161" s="80"/>
      <c r="J1161" s="80"/>
      <c r="K1161" s="80"/>
    </row>
    <row r="1162" ht="12.75" customHeight="1">
      <c r="A1162" s="89" t="s">
        <v>4107</v>
      </c>
      <c r="B1162" s="90" t="s">
        <v>4108</v>
      </c>
      <c r="C1162" s="90"/>
      <c r="D1162" s="89" t="s">
        <v>75</v>
      </c>
      <c r="E1162" s="91">
        <v>3.0</v>
      </c>
      <c r="F1162" s="92">
        <v>28.63</v>
      </c>
      <c r="G1162" s="92">
        <v>85.89</v>
      </c>
      <c r="H1162" s="93"/>
      <c r="I1162" s="92"/>
      <c r="J1162" s="92"/>
      <c r="K1162" s="92"/>
    </row>
    <row r="1163" ht="12.75" customHeight="1">
      <c r="E1163" s="79"/>
      <c r="F1163" s="80"/>
      <c r="G1163" s="80"/>
      <c r="H1163" s="81"/>
      <c r="I1163" s="80"/>
      <c r="J1163" s="80"/>
      <c r="K1163" s="80"/>
    </row>
    <row r="1164" ht="12.75" customHeight="1">
      <c r="A1164" s="89" t="s">
        <v>4109</v>
      </c>
      <c r="B1164" s="90" t="s">
        <v>4110</v>
      </c>
      <c r="C1164" s="90"/>
      <c r="D1164" s="89" t="s">
        <v>75</v>
      </c>
      <c r="E1164" s="91">
        <v>1.0</v>
      </c>
      <c r="F1164" s="92">
        <v>28.63</v>
      </c>
      <c r="G1164" s="92">
        <v>28.63</v>
      </c>
      <c r="H1164" s="93"/>
      <c r="I1164" s="92"/>
      <c r="J1164" s="92"/>
      <c r="K1164" s="92"/>
    </row>
    <row r="1165" ht="12.75" customHeight="1">
      <c r="E1165" s="79"/>
      <c r="F1165" s="80"/>
      <c r="G1165" s="80"/>
      <c r="H1165" s="81"/>
      <c r="I1165" s="80"/>
      <c r="J1165" s="80"/>
      <c r="K1165" s="80"/>
    </row>
    <row r="1166" ht="12.75" customHeight="1">
      <c r="A1166" s="89" t="s">
        <v>4111</v>
      </c>
      <c r="B1166" s="90" t="s">
        <v>4112</v>
      </c>
      <c r="C1166" s="90"/>
      <c r="D1166" s="89" t="s">
        <v>75</v>
      </c>
      <c r="E1166" s="91">
        <v>19.0</v>
      </c>
      <c r="F1166" s="92">
        <v>36.94</v>
      </c>
      <c r="G1166" s="92">
        <v>701.86</v>
      </c>
      <c r="H1166" s="93"/>
      <c r="I1166" s="92"/>
      <c r="J1166" s="92"/>
      <c r="K1166" s="92"/>
    </row>
    <row r="1167" ht="12.75" customHeight="1">
      <c r="E1167" s="79"/>
      <c r="F1167" s="80"/>
      <c r="G1167" s="80"/>
      <c r="H1167" s="81"/>
      <c r="I1167" s="80"/>
      <c r="J1167" s="80"/>
      <c r="K1167" s="80"/>
    </row>
    <row r="1168" ht="12.75" customHeight="1">
      <c r="A1168" s="89" t="s">
        <v>4113</v>
      </c>
      <c r="B1168" s="90" t="s">
        <v>4114</v>
      </c>
      <c r="C1168" s="90"/>
      <c r="D1168" s="89" t="s">
        <v>75</v>
      </c>
      <c r="E1168" s="91">
        <v>4.0</v>
      </c>
      <c r="F1168" s="92">
        <v>335.0</v>
      </c>
      <c r="G1168" s="92">
        <v>1340.0</v>
      </c>
      <c r="H1168" s="93"/>
      <c r="I1168" s="92"/>
      <c r="J1168" s="92"/>
      <c r="K1168" s="92"/>
    </row>
    <row r="1169" ht="12.75" customHeight="1">
      <c r="E1169" s="79"/>
      <c r="F1169" s="80"/>
      <c r="G1169" s="80"/>
      <c r="H1169" s="81"/>
      <c r="I1169" s="80"/>
      <c r="J1169" s="80"/>
      <c r="K1169" s="80"/>
    </row>
    <row r="1170" ht="12.75" customHeight="1">
      <c r="A1170" s="89" t="s">
        <v>4115</v>
      </c>
      <c r="B1170" s="90" t="s">
        <v>4116</v>
      </c>
      <c r="C1170" s="90"/>
      <c r="D1170" s="89" t="s">
        <v>75</v>
      </c>
      <c r="E1170" s="91">
        <v>1.0</v>
      </c>
      <c r="F1170" s="92">
        <v>657.85</v>
      </c>
      <c r="G1170" s="92">
        <v>657.85</v>
      </c>
      <c r="H1170" s="93"/>
      <c r="I1170" s="92"/>
      <c r="J1170" s="92"/>
      <c r="K1170" s="92"/>
    </row>
    <row r="1171" ht="12.75" customHeight="1">
      <c r="E1171" s="79"/>
      <c r="F1171" s="80"/>
      <c r="G1171" s="80"/>
      <c r="H1171" s="81"/>
      <c r="I1171" s="80"/>
      <c r="J1171" s="80"/>
      <c r="K1171" s="80"/>
    </row>
    <row r="1172" ht="12.75" customHeight="1">
      <c r="A1172" s="89" t="s">
        <v>4117</v>
      </c>
      <c r="B1172" s="90" t="s">
        <v>4118</v>
      </c>
      <c r="C1172" s="90"/>
      <c r="D1172" s="89" t="s">
        <v>33</v>
      </c>
      <c r="E1172" s="91">
        <v>1.0</v>
      </c>
      <c r="F1172" s="92">
        <v>3232.75</v>
      </c>
      <c r="G1172" s="92">
        <v>3232.75</v>
      </c>
      <c r="H1172" s="93"/>
      <c r="I1172" s="92"/>
      <c r="J1172" s="92"/>
      <c r="K1172" s="92"/>
    </row>
    <row r="1173" ht="12.75" customHeight="1">
      <c r="E1173" s="79"/>
      <c r="F1173" s="80"/>
      <c r="G1173" s="80"/>
      <c r="H1173" s="81"/>
      <c r="I1173" s="80"/>
      <c r="J1173" s="80"/>
      <c r="K1173" s="80"/>
    </row>
    <row r="1174" ht="12.75" customHeight="1">
      <c r="A1174" s="89" t="s">
        <v>4119</v>
      </c>
      <c r="B1174" s="90" t="s">
        <v>4120</v>
      </c>
      <c r="C1174" s="90"/>
      <c r="D1174" s="89" t="s">
        <v>75</v>
      </c>
      <c r="E1174" s="91">
        <v>1.0</v>
      </c>
      <c r="F1174" s="92">
        <v>1326.02</v>
      </c>
      <c r="G1174" s="92">
        <v>1326.02</v>
      </c>
      <c r="H1174" s="93"/>
      <c r="I1174" s="92"/>
      <c r="J1174" s="92"/>
      <c r="K1174" s="92"/>
    </row>
    <row r="1175" ht="12.75" customHeight="1">
      <c r="E1175" s="79"/>
      <c r="F1175" s="80"/>
      <c r="G1175" s="80"/>
      <c r="H1175" s="81"/>
      <c r="I1175" s="80"/>
      <c r="J1175" s="80"/>
      <c r="K1175" s="80"/>
    </row>
    <row r="1176" ht="12.75" customHeight="1">
      <c r="A1176" s="89" t="s">
        <v>4121</v>
      </c>
      <c r="B1176" s="90" t="s">
        <v>4122</v>
      </c>
      <c r="C1176" s="90"/>
      <c r="E1176" s="79"/>
      <c r="F1176" s="80"/>
      <c r="G1176" s="80"/>
      <c r="H1176" s="81"/>
      <c r="I1176" s="80"/>
      <c r="J1176" s="80"/>
      <c r="K1176" s="80"/>
    </row>
    <row r="1177" ht="12.75" customHeight="1">
      <c r="E1177" s="79"/>
      <c r="F1177" s="80"/>
      <c r="G1177" s="80"/>
      <c r="H1177" s="81"/>
      <c r="I1177" s="80"/>
      <c r="J1177" s="80"/>
      <c r="K1177" s="80"/>
    </row>
    <row r="1178" ht="12.75" customHeight="1">
      <c r="A1178" s="89" t="s">
        <v>982</v>
      </c>
      <c r="B1178" s="90" t="s">
        <v>4123</v>
      </c>
      <c r="C1178" s="90"/>
      <c r="E1178" s="79"/>
      <c r="F1178" s="80"/>
      <c r="G1178" s="80"/>
      <c r="H1178" s="81"/>
      <c r="I1178" s="80"/>
      <c r="J1178" s="80"/>
      <c r="K1178" s="80"/>
    </row>
    <row r="1179" ht="12.75" customHeight="1">
      <c r="E1179" s="79"/>
      <c r="F1179" s="80"/>
      <c r="G1179" s="80"/>
      <c r="H1179" s="81"/>
      <c r="I1179" s="80"/>
      <c r="J1179" s="80"/>
      <c r="K1179" s="80"/>
    </row>
    <row r="1180" ht="12.75" customHeight="1">
      <c r="A1180" s="89" t="s">
        <v>984</v>
      </c>
      <c r="B1180" s="90" t="s">
        <v>2659</v>
      </c>
      <c r="C1180" s="90"/>
      <c r="D1180" s="89" t="s">
        <v>161</v>
      </c>
      <c r="E1180" s="91">
        <v>52.18</v>
      </c>
      <c r="F1180" s="92">
        <v>11.59</v>
      </c>
      <c r="G1180" s="92">
        <v>604.77</v>
      </c>
      <c r="H1180" s="93"/>
      <c r="I1180" s="92"/>
      <c r="J1180" s="92"/>
      <c r="K1180" s="92"/>
    </row>
    <row r="1181" ht="12.75" customHeight="1">
      <c r="E1181" s="79"/>
      <c r="F1181" s="80"/>
      <c r="G1181" s="80"/>
      <c r="H1181" s="81"/>
      <c r="I1181" s="80"/>
      <c r="J1181" s="80"/>
      <c r="K1181" s="80"/>
    </row>
    <row r="1182" ht="12.75" customHeight="1">
      <c r="A1182" s="89" t="s">
        <v>986</v>
      </c>
      <c r="B1182" s="90" t="s">
        <v>4124</v>
      </c>
      <c r="C1182" s="90"/>
      <c r="E1182" s="79"/>
      <c r="F1182" s="80"/>
      <c r="G1182" s="80"/>
      <c r="H1182" s="81"/>
      <c r="I1182" s="80"/>
      <c r="J1182" s="80"/>
      <c r="K1182" s="80"/>
    </row>
    <row r="1183" ht="12.75" customHeight="1">
      <c r="E1183" s="79"/>
      <c r="F1183" s="80"/>
      <c r="G1183" s="80"/>
      <c r="H1183" s="81"/>
      <c r="I1183" s="80"/>
      <c r="J1183" s="80"/>
      <c r="K1183" s="80"/>
    </row>
    <row r="1184" ht="12.75" customHeight="1">
      <c r="A1184" s="89" t="s">
        <v>988</v>
      </c>
      <c r="B1184" s="90" t="s">
        <v>2663</v>
      </c>
      <c r="C1184" s="90"/>
      <c r="D1184" s="89" t="s">
        <v>161</v>
      </c>
      <c r="E1184" s="91">
        <v>30.19</v>
      </c>
      <c r="F1184" s="92">
        <v>21.58</v>
      </c>
      <c r="G1184" s="92">
        <v>651.5</v>
      </c>
      <c r="H1184" s="93"/>
      <c r="I1184" s="92"/>
      <c r="J1184" s="92"/>
      <c r="K1184" s="92"/>
    </row>
    <row r="1185" ht="12.75" customHeight="1">
      <c r="E1185" s="79"/>
      <c r="F1185" s="80"/>
      <c r="G1185" s="80"/>
      <c r="H1185" s="81"/>
      <c r="I1185" s="80"/>
      <c r="J1185" s="80"/>
      <c r="K1185" s="80"/>
    </row>
    <row r="1186" ht="12.75" customHeight="1">
      <c r="A1186" s="89" t="s">
        <v>990</v>
      </c>
      <c r="B1186" s="90" t="s">
        <v>4125</v>
      </c>
      <c r="C1186" s="90"/>
      <c r="E1186" s="79"/>
      <c r="F1186" s="80"/>
      <c r="G1186" s="80"/>
      <c r="H1186" s="81"/>
      <c r="I1186" s="80"/>
      <c r="J1186" s="80"/>
      <c r="K1186" s="80"/>
    </row>
    <row r="1187" ht="12.75" customHeight="1">
      <c r="E1187" s="79"/>
      <c r="F1187" s="80"/>
      <c r="G1187" s="80"/>
      <c r="H1187" s="81"/>
      <c r="I1187" s="80"/>
      <c r="J1187" s="80"/>
      <c r="K1187" s="80"/>
    </row>
    <row r="1188" ht="12.75" customHeight="1">
      <c r="A1188" s="89" t="s">
        <v>992</v>
      </c>
      <c r="B1188" s="90" t="s">
        <v>4126</v>
      </c>
      <c r="C1188" s="90"/>
      <c r="D1188" s="89" t="s">
        <v>75</v>
      </c>
      <c r="E1188" s="91">
        <v>1.0</v>
      </c>
      <c r="F1188" s="92">
        <v>4411.7</v>
      </c>
      <c r="G1188" s="92">
        <v>4411.7</v>
      </c>
      <c r="H1188" s="93"/>
      <c r="I1188" s="92"/>
      <c r="J1188" s="92"/>
      <c r="K1188" s="92"/>
    </row>
    <row r="1189" ht="12.75" customHeight="1">
      <c r="E1189" s="79"/>
      <c r="F1189" s="80"/>
      <c r="G1189" s="80"/>
      <c r="H1189" s="81"/>
      <c r="I1189" s="80"/>
      <c r="J1189" s="80"/>
      <c r="K1189" s="80"/>
    </row>
    <row r="1190" ht="12.75" customHeight="1">
      <c r="A1190" s="89" t="s">
        <v>994</v>
      </c>
      <c r="B1190" s="90" t="s">
        <v>4127</v>
      </c>
      <c r="C1190" s="90"/>
      <c r="E1190" s="79"/>
      <c r="F1190" s="80"/>
      <c r="G1190" s="80"/>
      <c r="H1190" s="81"/>
      <c r="I1190" s="80"/>
      <c r="J1190" s="80"/>
      <c r="K1190" s="80"/>
    </row>
    <row r="1191" ht="12.75" customHeight="1">
      <c r="E1191" s="79"/>
      <c r="F1191" s="80"/>
      <c r="G1191" s="80"/>
      <c r="H1191" s="81"/>
      <c r="I1191" s="80"/>
      <c r="J1191" s="80"/>
      <c r="K1191" s="80"/>
    </row>
    <row r="1192" ht="12.75" customHeight="1">
      <c r="A1192" s="89" t="s">
        <v>996</v>
      </c>
      <c r="B1192" s="90" t="s">
        <v>4128</v>
      </c>
      <c r="C1192" s="90"/>
      <c r="D1192" s="89" t="s">
        <v>75</v>
      </c>
      <c r="E1192" s="91">
        <v>1.0</v>
      </c>
      <c r="F1192" s="92">
        <v>2797.12</v>
      </c>
      <c r="G1192" s="92">
        <v>2797.12</v>
      </c>
      <c r="H1192" s="93"/>
      <c r="I1192" s="92"/>
      <c r="J1192" s="92"/>
      <c r="K1192" s="92"/>
    </row>
    <row r="1193" ht="12.75" customHeight="1">
      <c r="E1193" s="79"/>
      <c r="F1193" s="80"/>
      <c r="G1193" s="80"/>
      <c r="H1193" s="81"/>
      <c r="I1193" s="80"/>
      <c r="J1193" s="80"/>
      <c r="K1193" s="80"/>
    </row>
    <row r="1194" ht="12.75" customHeight="1">
      <c r="A1194" s="89" t="s">
        <v>998</v>
      </c>
      <c r="B1194" s="90" t="s">
        <v>4129</v>
      </c>
      <c r="C1194" s="90"/>
      <c r="D1194" s="89" t="s">
        <v>75</v>
      </c>
      <c r="E1194" s="91">
        <v>1.0</v>
      </c>
      <c r="F1194" s="92">
        <v>149.43</v>
      </c>
      <c r="G1194" s="92">
        <v>149.43</v>
      </c>
      <c r="H1194" s="93"/>
      <c r="I1194" s="92"/>
      <c r="J1194" s="92"/>
      <c r="K1194" s="92"/>
    </row>
    <row r="1195" ht="12.75" customHeight="1">
      <c r="E1195" s="79"/>
      <c r="F1195" s="80"/>
      <c r="G1195" s="80"/>
      <c r="H1195" s="81"/>
      <c r="I1195" s="80"/>
      <c r="J1195" s="80"/>
      <c r="K1195" s="80"/>
    </row>
    <row r="1196" ht="12.75" customHeight="1">
      <c r="A1196" s="89" t="s">
        <v>1000</v>
      </c>
      <c r="B1196" s="90" t="s">
        <v>4130</v>
      </c>
      <c r="C1196" s="90"/>
      <c r="D1196" s="89" t="s">
        <v>75</v>
      </c>
      <c r="E1196" s="91">
        <v>5.0</v>
      </c>
      <c r="F1196" s="92">
        <v>94.18</v>
      </c>
      <c r="G1196" s="92">
        <v>470.9</v>
      </c>
      <c r="H1196" s="93"/>
      <c r="I1196" s="92"/>
      <c r="J1196" s="92"/>
      <c r="K1196" s="92"/>
    </row>
    <row r="1197" ht="12.75" customHeight="1">
      <c r="E1197" s="79"/>
      <c r="F1197" s="80"/>
      <c r="G1197" s="80"/>
      <c r="H1197" s="81"/>
      <c r="I1197" s="80"/>
      <c r="J1197" s="80"/>
      <c r="K1197" s="80"/>
    </row>
    <row r="1198" ht="12.75" customHeight="1">
      <c r="A1198" s="89" t="s">
        <v>1002</v>
      </c>
      <c r="B1198" s="90" t="s">
        <v>4131</v>
      </c>
      <c r="C1198" s="90"/>
      <c r="D1198" s="89" t="s">
        <v>75</v>
      </c>
      <c r="E1198" s="91">
        <v>1.0</v>
      </c>
      <c r="F1198" s="92">
        <v>62.75</v>
      </c>
      <c r="G1198" s="92">
        <v>62.75</v>
      </c>
      <c r="H1198" s="93"/>
      <c r="I1198" s="92"/>
      <c r="J1198" s="92"/>
      <c r="K1198" s="92"/>
    </row>
    <row r="1199" ht="12.75" customHeight="1">
      <c r="E1199" s="79"/>
      <c r="F1199" s="80"/>
      <c r="G1199" s="80"/>
      <c r="H1199" s="81"/>
      <c r="I1199" s="80"/>
      <c r="J1199" s="80"/>
      <c r="K1199" s="80"/>
    </row>
    <row r="1200" ht="12.75" customHeight="1">
      <c r="A1200" s="89" t="s">
        <v>1004</v>
      </c>
      <c r="B1200" s="90" t="s">
        <v>4132</v>
      </c>
      <c r="C1200" s="90"/>
      <c r="D1200" s="89" t="s">
        <v>75</v>
      </c>
      <c r="E1200" s="91">
        <v>1.0</v>
      </c>
      <c r="F1200" s="92">
        <v>44.17</v>
      </c>
      <c r="G1200" s="92">
        <v>44.17</v>
      </c>
      <c r="H1200" s="93"/>
      <c r="I1200" s="92"/>
      <c r="J1200" s="92"/>
      <c r="K1200" s="92"/>
    </row>
    <row r="1201" ht="12.75" customHeight="1">
      <c r="E1201" s="79"/>
      <c r="F1201" s="80"/>
      <c r="G1201" s="80"/>
      <c r="H1201" s="81"/>
      <c r="I1201" s="80"/>
      <c r="J1201" s="80"/>
      <c r="K1201" s="80"/>
    </row>
    <row r="1202" ht="12.75" customHeight="1">
      <c r="A1202" s="89" t="s">
        <v>1006</v>
      </c>
      <c r="B1202" s="90" t="s">
        <v>4133</v>
      </c>
      <c r="C1202" s="90"/>
      <c r="D1202" s="89" t="s">
        <v>75</v>
      </c>
      <c r="E1202" s="91">
        <v>5.0</v>
      </c>
      <c r="F1202" s="92">
        <v>53.77</v>
      </c>
      <c r="G1202" s="92">
        <v>268.85</v>
      </c>
      <c r="H1202" s="93"/>
      <c r="I1202" s="92"/>
      <c r="J1202" s="92"/>
      <c r="K1202" s="92"/>
    </row>
    <row r="1203" ht="12.75" customHeight="1">
      <c r="E1203" s="79"/>
      <c r="F1203" s="80"/>
      <c r="G1203" s="80"/>
      <c r="H1203" s="81"/>
      <c r="I1203" s="80"/>
      <c r="J1203" s="80"/>
      <c r="K1203" s="80"/>
    </row>
    <row r="1204" ht="12.75" customHeight="1">
      <c r="A1204" s="89" t="s">
        <v>1008</v>
      </c>
      <c r="B1204" s="90" t="s">
        <v>4134</v>
      </c>
      <c r="C1204" s="90"/>
      <c r="D1204" s="89" t="s">
        <v>75</v>
      </c>
      <c r="E1204" s="91">
        <v>1.0</v>
      </c>
      <c r="F1204" s="92">
        <v>107.09</v>
      </c>
      <c r="G1204" s="92">
        <v>107.09</v>
      </c>
      <c r="H1204" s="93"/>
      <c r="I1204" s="92"/>
      <c r="J1204" s="92"/>
      <c r="K1204" s="92"/>
    </row>
    <row r="1205" ht="12.75" customHeight="1">
      <c r="E1205" s="79"/>
      <c r="F1205" s="80"/>
      <c r="G1205" s="80"/>
      <c r="H1205" s="81"/>
      <c r="I1205" s="80"/>
      <c r="J1205" s="80"/>
      <c r="K1205" s="80"/>
    </row>
    <row r="1206" ht="12.75" customHeight="1">
      <c r="A1206" s="89" t="s">
        <v>1010</v>
      </c>
      <c r="B1206" s="90" t="s">
        <v>4135</v>
      </c>
      <c r="C1206" s="90"/>
      <c r="D1206" s="89" t="s">
        <v>75</v>
      </c>
      <c r="E1206" s="91">
        <v>1.0</v>
      </c>
      <c r="F1206" s="92">
        <v>764.0</v>
      </c>
      <c r="G1206" s="92">
        <v>764.0</v>
      </c>
      <c r="H1206" s="93"/>
      <c r="I1206" s="92"/>
      <c r="J1206" s="92"/>
      <c r="K1206" s="92"/>
    </row>
    <row r="1207" ht="12.75" customHeight="1">
      <c r="E1207" s="79"/>
      <c r="F1207" s="80"/>
      <c r="G1207" s="80"/>
      <c r="H1207" s="81"/>
      <c r="I1207" s="80"/>
      <c r="J1207" s="80"/>
      <c r="K1207" s="80"/>
    </row>
    <row r="1208" ht="12.75" customHeight="1">
      <c r="A1208" s="89" t="s">
        <v>1012</v>
      </c>
      <c r="B1208" s="90" t="s">
        <v>4136</v>
      </c>
      <c r="C1208" s="90"/>
      <c r="D1208" s="89" t="s">
        <v>75</v>
      </c>
      <c r="E1208" s="91">
        <v>15.0</v>
      </c>
      <c r="F1208" s="92">
        <v>18.03</v>
      </c>
      <c r="G1208" s="92">
        <v>270.45</v>
      </c>
      <c r="H1208" s="93"/>
      <c r="I1208" s="92"/>
      <c r="J1208" s="92"/>
      <c r="K1208" s="92"/>
    </row>
    <row r="1209" ht="12.75" customHeight="1">
      <c r="E1209" s="79"/>
      <c r="F1209" s="80"/>
      <c r="G1209" s="80"/>
      <c r="H1209" s="81"/>
      <c r="I1209" s="80"/>
      <c r="J1209" s="80"/>
      <c r="K1209" s="80"/>
    </row>
    <row r="1210" ht="12.75" customHeight="1">
      <c r="A1210" s="89" t="s">
        <v>1014</v>
      </c>
      <c r="B1210" s="90" t="s">
        <v>4137</v>
      </c>
      <c r="C1210" s="90"/>
      <c r="D1210" s="89" t="s">
        <v>75</v>
      </c>
      <c r="E1210" s="91">
        <v>1.0</v>
      </c>
      <c r="F1210" s="92">
        <v>28.72</v>
      </c>
      <c r="G1210" s="92">
        <v>28.72</v>
      </c>
      <c r="H1210" s="93"/>
      <c r="I1210" s="92"/>
      <c r="J1210" s="92"/>
      <c r="K1210" s="92"/>
    </row>
    <row r="1211" ht="12.75" customHeight="1">
      <c r="E1211" s="79"/>
      <c r="F1211" s="80"/>
      <c r="G1211" s="80"/>
      <c r="H1211" s="81"/>
      <c r="I1211" s="80"/>
      <c r="J1211" s="80"/>
      <c r="K1211" s="80"/>
    </row>
    <row r="1212" ht="12.75" customHeight="1">
      <c r="A1212" s="89" t="s">
        <v>4138</v>
      </c>
      <c r="B1212" s="90" t="s">
        <v>4139</v>
      </c>
      <c r="C1212" s="90"/>
      <c r="E1212" s="79"/>
      <c r="F1212" s="80"/>
      <c r="G1212" s="80"/>
      <c r="H1212" s="81"/>
      <c r="I1212" s="80"/>
      <c r="J1212" s="80"/>
      <c r="K1212" s="80"/>
    </row>
    <row r="1213" ht="12.75" customHeight="1">
      <c r="E1213" s="79"/>
      <c r="F1213" s="80"/>
      <c r="G1213" s="80"/>
      <c r="H1213" s="81"/>
      <c r="I1213" s="80"/>
      <c r="J1213" s="80"/>
      <c r="K1213" s="80"/>
    </row>
    <row r="1214" ht="12.75" customHeight="1">
      <c r="A1214" s="89" t="s">
        <v>1017</v>
      </c>
      <c r="B1214" s="90" t="s">
        <v>4140</v>
      </c>
      <c r="C1214" s="90"/>
      <c r="E1214" s="79"/>
      <c r="F1214" s="80"/>
      <c r="G1214" s="80"/>
      <c r="H1214" s="81"/>
      <c r="I1214" s="80"/>
      <c r="J1214" s="80"/>
      <c r="K1214" s="80"/>
    </row>
    <row r="1215" ht="12.75" customHeight="1">
      <c r="E1215" s="79"/>
      <c r="F1215" s="80"/>
      <c r="G1215" s="80"/>
      <c r="H1215" s="81"/>
      <c r="I1215" s="80"/>
      <c r="J1215" s="80"/>
      <c r="K1215" s="80"/>
    </row>
    <row r="1216" ht="12.75" customHeight="1">
      <c r="A1216" s="89" t="s">
        <v>1019</v>
      </c>
      <c r="B1216" s="90" t="s">
        <v>2659</v>
      </c>
      <c r="C1216" s="90"/>
      <c r="D1216" s="89" t="s">
        <v>161</v>
      </c>
      <c r="E1216" s="91">
        <v>34.84</v>
      </c>
      <c r="F1216" s="92">
        <v>11.59</v>
      </c>
      <c r="G1216" s="92">
        <v>403.8</v>
      </c>
      <c r="H1216" s="93"/>
      <c r="I1216" s="92"/>
      <c r="J1216" s="92"/>
      <c r="K1216" s="92"/>
    </row>
    <row r="1217" ht="12.75" customHeight="1">
      <c r="E1217" s="79"/>
      <c r="F1217" s="80"/>
      <c r="G1217" s="80"/>
      <c r="H1217" s="81"/>
      <c r="I1217" s="80"/>
      <c r="J1217" s="80"/>
      <c r="K1217" s="80"/>
    </row>
    <row r="1218" ht="12.75" customHeight="1">
      <c r="A1218" s="89" t="s">
        <v>1020</v>
      </c>
      <c r="B1218" s="90" t="s">
        <v>4141</v>
      </c>
      <c r="C1218" s="90"/>
      <c r="E1218" s="79"/>
      <c r="F1218" s="80"/>
      <c r="G1218" s="80"/>
      <c r="H1218" s="81"/>
      <c r="I1218" s="80"/>
      <c r="J1218" s="80"/>
      <c r="K1218" s="80"/>
    </row>
    <row r="1219" ht="12.75" customHeight="1">
      <c r="E1219" s="79"/>
      <c r="F1219" s="80"/>
      <c r="G1219" s="80"/>
      <c r="H1219" s="81"/>
      <c r="I1219" s="80"/>
      <c r="J1219" s="80"/>
      <c r="K1219" s="80"/>
    </row>
    <row r="1220" ht="12.75" customHeight="1">
      <c r="A1220" s="89" t="s">
        <v>1022</v>
      </c>
      <c r="B1220" s="90" t="s">
        <v>4142</v>
      </c>
      <c r="C1220" s="90"/>
      <c r="D1220" s="89" t="s">
        <v>75</v>
      </c>
      <c r="E1220" s="91">
        <v>1.0</v>
      </c>
      <c r="F1220" s="92">
        <v>1657.88</v>
      </c>
      <c r="G1220" s="92">
        <v>1657.88</v>
      </c>
      <c r="H1220" s="93"/>
      <c r="I1220" s="92"/>
      <c r="J1220" s="92"/>
      <c r="K1220" s="92"/>
    </row>
    <row r="1221" ht="12.75" customHeight="1">
      <c r="E1221" s="79"/>
      <c r="F1221" s="80"/>
      <c r="G1221" s="80"/>
      <c r="H1221" s="81"/>
      <c r="I1221" s="80"/>
      <c r="J1221" s="80"/>
      <c r="K1221" s="80"/>
    </row>
    <row r="1222" ht="12.75" customHeight="1">
      <c r="A1222" s="89" t="s">
        <v>1024</v>
      </c>
      <c r="B1222" s="90" t="s">
        <v>4143</v>
      </c>
      <c r="C1222" s="90"/>
      <c r="D1222" s="89" t="s">
        <v>75</v>
      </c>
      <c r="E1222" s="91">
        <v>1.0</v>
      </c>
      <c r="F1222" s="92">
        <v>301.74</v>
      </c>
      <c r="G1222" s="92">
        <v>301.74</v>
      </c>
      <c r="H1222" s="93"/>
      <c r="I1222" s="92"/>
      <c r="J1222" s="92"/>
      <c r="K1222" s="92"/>
    </row>
    <row r="1223" ht="12.75" customHeight="1">
      <c r="E1223" s="79"/>
      <c r="F1223" s="80"/>
      <c r="G1223" s="80"/>
      <c r="H1223" s="81"/>
      <c r="I1223" s="80"/>
      <c r="J1223" s="80"/>
      <c r="K1223" s="80"/>
    </row>
    <row r="1224" ht="12.75" customHeight="1">
      <c r="A1224" s="89" t="s">
        <v>1026</v>
      </c>
      <c r="B1224" s="90" t="s">
        <v>4144</v>
      </c>
      <c r="C1224" s="90"/>
      <c r="D1224" s="89" t="s">
        <v>75</v>
      </c>
      <c r="E1224" s="91">
        <v>4.0</v>
      </c>
      <c r="F1224" s="92">
        <v>70.62</v>
      </c>
      <c r="G1224" s="92">
        <v>282.48</v>
      </c>
      <c r="H1224" s="93"/>
      <c r="I1224" s="92"/>
      <c r="J1224" s="92"/>
      <c r="K1224" s="92"/>
    </row>
    <row r="1225" ht="12.75" customHeight="1">
      <c r="E1225" s="79"/>
      <c r="F1225" s="80"/>
      <c r="G1225" s="80"/>
      <c r="H1225" s="81"/>
      <c r="I1225" s="80"/>
      <c r="J1225" s="80"/>
      <c r="K1225" s="80"/>
    </row>
    <row r="1226" ht="12.75" customHeight="1">
      <c r="A1226" s="89" t="s">
        <v>1028</v>
      </c>
      <c r="B1226" s="90" t="s">
        <v>4145</v>
      </c>
      <c r="C1226" s="90"/>
      <c r="D1226" s="89" t="s">
        <v>75</v>
      </c>
      <c r="E1226" s="91">
        <v>1.0</v>
      </c>
      <c r="F1226" s="92">
        <v>109.63</v>
      </c>
      <c r="G1226" s="92">
        <v>109.63</v>
      </c>
      <c r="H1226" s="93"/>
      <c r="I1226" s="92"/>
      <c r="J1226" s="92"/>
      <c r="K1226" s="92"/>
    </row>
    <row r="1227" ht="12.75" customHeight="1">
      <c r="E1227" s="79"/>
      <c r="F1227" s="80"/>
      <c r="G1227" s="80"/>
      <c r="H1227" s="81"/>
      <c r="I1227" s="80"/>
      <c r="J1227" s="80"/>
      <c r="K1227" s="80"/>
    </row>
    <row r="1228" ht="12.75" customHeight="1">
      <c r="A1228" s="89" t="s">
        <v>1030</v>
      </c>
      <c r="B1228" s="90" t="s">
        <v>4146</v>
      </c>
      <c r="C1228" s="90"/>
      <c r="D1228" s="89" t="s">
        <v>75</v>
      </c>
      <c r="E1228" s="91">
        <v>1.0</v>
      </c>
      <c r="F1228" s="92">
        <v>685.01</v>
      </c>
      <c r="G1228" s="92">
        <v>685.01</v>
      </c>
      <c r="H1228" s="93"/>
      <c r="I1228" s="92"/>
      <c r="J1228" s="92"/>
      <c r="K1228" s="92"/>
    </row>
    <row r="1229" ht="12.75" customHeight="1">
      <c r="E1229" s="79"/>
      <c r="F1229" s="80"/>
      <c r="G1229" s="80"/>
      <c r="H1229" s="81"/>
      <c r="I1229" s="80"/>
      <c r="J1229" s="80"/>
      <c r="K1229" s="80"/>
    </row>
    <row r="1230" ht="12.75" customHeight="1">
      <c r="A1230" s="89" t="s">
        <v>1032</v>
      </c>
      <c r="B1230" s="90" t="s">
        <v>4147</v>
      </c>
      <c r="C1230" s="90"/>
      <c r="D1230" s="89" t="s">
        <v>75</v>
      </c>
      <c r="E1230" s="91">
        <v>1.0</v>
      </c>
      <c r="F1230" s="92">
        <v>183.48</v>
      </c>
      <c r="G1230" s="92">
        <v>183.48</v>
      </c>
      <c r="H1230" s="93"/>
      <c r="I1230" s="92"/>
      <c r="J1230" s="92"/>
      <c r="K1230" s="92"/>
    </row>
    <row r="1231" ht="12.75" customHeight="1">
      <c r="E1231" s="79"/>
      <c r="F1231" s="80"/>
      <c r="G1231" s="80"/>
      <c r="H1231" s="81"/>
      <c r="I1231" s="80"/>
      <c r="J1231" s="80"/>
      <c r="K1231" s="80"/>
    </row>
    <row r="1232" ht="12.75" customHeight="1">
      <c r="A1232" s="89" t="s">
        <v>1034</v>
      </c>
      <c r="B1232" s="90" t="s">
        <v>4118</v>
      </c>
      <c r="C1232" s="90"/>
      <c r="D1232" s="89" t="s">
        <v>33</v>
      </c>
      <c r="E1232" s="91">
        <v>1.0</v>
      </c>
      <c r="F1232" s="92">
        <v>1939.65</v>
      </c>
      <c r="G1232" s="92">
        <v>1939.65</v>
      </c>
      <c r="H1232" s="93"/>
      <c r="I1232" s="92"/>
      <c r="J1232" s="92"/>
      <c r="K1232" s="92"/>
    </row>
    <row r="1233" ht="12.75" customHeight="1">
      <c r="E1233" s="79"/>
      <c r="F1233" s="80"/>
      <c r="G1233" s="80"/>
      <c r="H1233" s="81"/>
      <c r="I1233" s="80"/>
      <c r="J1233" s="80"/>
      <c r="K1233" s="80"/>
    </row>
    <row r="1234" ht="12.75" customHeight="1">
      <c r="A1234" s="89" t="s">
        <v>4090</v>
      </c>
      <c r="B1234" s="90" t="s">
        <v>4091</v>
      </c>
      <c r="C1234" s="90"/>
      <c r="E1234" s="79"/>
      <c r="F1234" s="80"/>
      <c r="G1234" s="92">
        <v>40338.6</v>
      </c>
      <c r="H1234" s="93">
        <f>G1234</f>
        <v>40338.6</v>
      </c>
      <c r="I1234" s="92"/>
      <c r="J1234" s="92"/>
      <c r="K1234" s="92"/>
    </row>
    <row r="1235" ht="12.75" customHeight="1">
      <c r="E1235" s="79"/>
      <c r="F1235" s="80"/>
      <c r="G1235" s="80"/>
      <c r="H1235" s="81"/>
      <c r="I1235" s="80"/>
      <c r="J1235" s="80"/>
      <c r="K1235" s="80"/>
    </row>
    <row r="1236" ht="12.75" customHeight="1">
      <c r="E1236" s="79"/>
      <c r="F1236" s="80"/>
      <c r="G1236" s="80"/>
      <c r="H1236" s="81"/>
      <c r="I1236" s="80"/>
      <c r="J1236" s="80"/>
      <c r="K1236" s="80"/>
    </row>
    <row r="1237" ht="12.75" customHeight="1">
      <c r="A1237" s="89" t="s">
        <v>4148</v>
      </c>
      <c r="B1237" s="90" t="s">
        <v>4149</v>
      </c>
      <c r="C1237" s="90"/>
      <c r="E1237" s="79"/>
      <c r="F1237" s="80"/>
      <c r="G1237" s="80"/>
      <c r="H1237" s="81"/>
      <c r="I1237" s="80"/>
      <c r="J1237" s="80"/>
      <c r="K1237" s="80"/>
    </row>
    <row r="1238" ht="12.75" customHeight="1">
      <c r="E1238" s="79"/>
      <c r="F1238" s="80"/>
      <c r="G1238" s="80"/>
      <c r="H1238" s="81"/>
      <c r="I1238" s="80"/>
      <c r="J1238" s="80"/>
      <c r="K1238" s="80"/>
    </row>
    <row r="1239" ht="12.75" customHeight="1">
      <c r="A1239" s="89" t="s">
        <v>4150</v>
      </c>
      <c r="B1239" s="90" t="s">
        <v>4151</v>
      </c>
      <c r="C1239" s="90"/>
      <c r="E1239" s="79"/>
      <c r="F1239" s="80"/>
      <c r="G1239" s="80"/>
      <c r="H1239" s="81"/>
      <c r="I1239" s="80"/>
      <c r="J1239" s="80"/>
      <c r="K1239" s="80"/>
    </row>
    <row r="1240" ht="12.75" customHeight="1">
      <c r="E1240" s="79"/>
      <c r="F1240" s="80"/>
      <c r="G1240" s="80"/>
      <c r="H1240" s="81"/>
      <c r="I1240" s="80"/>
      <c r="J1240" s="80"/>
      <c r="K1240" s="80"/>
    </row>
    <row r="1241" ht="12.75" customHeight="1">
      <c r="A1241" s="89" t="s">
        <v>1037</v>
      </c>
      <c r="B1241" s="90" t="s">
        <v>4152</v>
      </c>
      <c r="C1241" s="90"/>
      <c r="E1241" s="79"/>
      <c r="F1241" s="80"/>
      <c r="G1241" s="80"/>
      <c r="H1241" s="81"/>
      <c r="I1241" s="80"/>
      <c r="J1241" s="80"/>
      <c r="K1241" s="80"/>
    </row>
    <row r="1242" ht="12.75" customHeight="1">
      <c r="E1242" s="79"/>
      <c r="F1242" s="80"/>
      <c r="G1242" s="80"/>
      <c r="H1242" s="81"/>
      <c r="I1242" s="80"/>
      <c r="J1242" s="80"/>
      <c r="K1242" s="80"/>
    </row>
    <row r="1243" ht="12.75" customHeight="1">
      <c r="A1243" s="89" t="s">
        <v>1039</v>
      </c>
      <c r="B1243" s="90" t="s">
        <v>4153</v>
      </c>
      <c r="C1243" s="90"/>
      <c r="D1243" s="89" t="s">
        <v>161</v>
      </c>
      <c r="E1243" s="91">
        <v>45.73</v>
      </c>
      <c r="F1243" s="92">
        <v>14.95</v>
      </c>
      <c r="G1243" s="92">
        <v>683.66</v>
      </c>
      <c r="H1243" s="93"/>
      <c r="I1243" s="92"/>
      <c r="J1243" s="92"/>
      <c r="K1243" s="92"/>
    </row>
    <row r="1244" ht="12.75" customHeight="1">
      <c r="E1244" s="79"/>
      <c r="F1244" s="80"/>
      <c r="G1244" s="80"/>
      <c r="H1244" s="81"/>
      <c r="I1244" s="80"/>
      <c r="J1244" s="80"/>
      <c r="K1244" s="80"/>
    </row>
    <row r="1245" ht="12.75" customHeight="1">
      <c r="A1245" s="89" t="s">
        <v>1041</v>
      </c>
      <c r="B1245" s="90" t="s">
        <v>4154</v>
      </c>
      <c r="C1245" s="90"/>
      <c r="E1245" s="79"/>
      <c r="F1245" s="80"/>
      <c r="G1245" s="80"/>
      <c r="H1245" s="81"/>
      <c r="I1245" s="80"/>
      <c r="J1245" s="80"/>
      <c r="K1245" s="80"/>
    </row>
    <row r="1246" ht="12.75" customHeight="1">
      <c r="E1246" s="79"/>
      <c r="F1246" s="80"/>
      <c r="G1246" s="80"/>
      <c r="H1246" s="81"/>
      <c r="I1246" s="80"/>
      <c r="J1246" s="80"/>
      <c r="K1246" s="80"/>
    </row>
    <row r="1247" ht="12.75" customHeight="1">
      <c r="A1247" s="89" t="s">
        <v>1043</v>
      </c>
      <c r="B1247" s="90" t="s">
        <v>4155</v>
      </c>
      <c r="C1247" s="90"/>
      <c r="D1247" s="89" t="s">
        <v>161</v>
      </c>
      <c r="E1247" s="91">
        <v>15.56</v>
      </c>
      <c r="F1247" s="92">
        <v>19.85</v>
      </c>
      <c r="G1247" s="92">
        <v>308.87</v>
      </c>
      <c r="H1247" s="93"/>
      <c r="I1247" s="92"/>
      <c r="J1247" s="92"/>
      <c r="K1247" s="92"/>
    </row>
    <row r="1248" ht="12.75" customHeight="1">
      <c r="E1248" s="79"/>
      <c r="F1248" s="80"/>
      <c r="G1248" s="80"/>
      <c r="H1248" s="81"/>
      <c r="I1248" s="80"/>
      <c r="J1248" s="80"/>
      <c r="K1248" s="80"/>
    </row>
    <row r="1249" ht="12.75" customHeight="1">
      <c r="A1249" s="89" t="s">
        <v>1045</v>
      </c>
      <c r="B1249" s="90" t="s">
        <v>4156</v>
      </c>
      <c r="C1249" s="90"/>
      <c r="D1249" s="89" t="s">
        <v>161</v>
      </c>
      <c r="E1249" s="91">
        <v>14.62</v>
      </c>
      <c r="F1249" s="92">
        <v>20.92</v>
      </c>
      <c r="G1249" s="92">
        <v>305.85</v>
      </c>
      <c r="H1249" s="93"/>
      <c r="I1249" s="92"/>
      <c r="J1249" s="92"/>
      <c r="K1249" s="92"/>
    </row>
    <row r="1250" ht="12.75" customHeight="1">
      <c r="E1250" s="79"/>
      <c r="F1250" s="80"/>
      <c r="G1250" s="80"/>
      <c r="H1250" s="81"/>
      <c r="I1250" s="80"/>
      <c r="J1250" s="80"/>
      <c r="K1250" s="80"/>
    </row>
    <row r="1251" ht="12.75" customHeight="1">
      <c r="A1251" s="89" t="s">
        <v>1047</v>
      </c>
      <c r="B1251" s="90" t="s">
        <v>4157</v>
      </c>
      <c r="C1251" s="90"/>
      <c r="D1251" s="89" t="s">
        <v>161</v>
      </c>
      <c r="E1251" s="91">
        <v>18.36</v>
      </c>
      <c r="F1251" s="92">
        <v>25.05</v>
      </c>
      <c r="G1251" s="92">
        <v>459.92</v>
      </c>
      <c r="H1251" s="93"/>
      <c r="I1251" s="92"/>
      <c r="J1251" s="92"/>
      <c r="K1251" s="92"/>
    </row>
    <row r="1252" ht="12.75" customHeight="1">
      <c r="E1252" s="79"/>
      <c r="F1252" s="80"/>
      <c r="G1252" s="80"/>
      <c r="H1252" s="81"/>
      <c r="I1252" s="80"/>
      <c r="J1252" s="80"/>
      <c r="K1252" s="80"/>
    </row>
    <row r="1253" ht="12.75" customHeight="1">
      <c r="A1253" s="89" t="s">
        <v>1049</v>
      </c>
      <c r="B1253" s="90" t="s">
        <v>4158</v>
      </c>
      <c r="C1253" s="90"/>
      <c r="D1253" s="89" t="s">
        <v>161</v>
      </c>
      <c r="E1253" s="91">
        <v>68.48</v>
      </c>
      <c r="F1253" s="92">
        <v>26.43</v>
      </c>
      <c r="G1253" s="92">
        <v>1809.93</v>
      </c>
      <c r="H1253" s="93"/>
      <c r="I1253" s="92"/>
      <c r="J1253" s="92"/>
      <c r="K1253" s="92"/>
    </row>
    <row r="1254" ht="12.75" customHeight="1">
      <c r="E1254" s="79"/>
      <c r="F1254" s="80"/>
      <c r="G1254" s="80"/>
      <c r="H1254" s="81"/>
      <c r="I1254" s="80"/>
      <c r="J1254" s="80"/>
      <c r="K1254" s="80"/>
    </row>
    <row r="1255" ht="12.75" customHeight="1">
      <c r="A1255" s="89" t="s">
        <v>1051</v>
      </c>
      <c r="B1255" s="90" t="s">
        <v>4159</v>
      </c>
      <c r="C1255" s="90"/>
      <c r="E1255" s="79"/>
      <c r="F1255" s="80"/>
      <c r="G1255" s="80"/>
      <c r="H1255" s="81"/>
      <c r="I1255" s="80"/>
      <c r="J1255" s="80"/>
      <c r="K1255" s="80"/>
    </row>
    <row r="1256" ht="12.75" customHeight="1">
      <c r="E1256" s="79"/>
      <c r="F1256" s="80"/>
      <c r="G1256" s="80"/>
      <c r="H1256" s="81"/>
      <c r="I1256" s="80"/>
      <c r="J1256" s="80"/>
      <c r="K1256" s="80"/>
    </row>
    <row r="1257" ht="12.75" customHeight="1">
      <c r="A1257" s="89" t="s">
        <v>1053</v>
      </c>
      <c r="B1257" s="90" t="s">
        <v>4157</v>
      </c>
      <c r="C1257" s="90"/>
      <c r="D1257" s="89" t="s">
        <v>161</v>
      </c>
      <c r="E1257" s="91">
        <v>6.58</v>
      </c>
      <c r="F1257" s="92">
        <v>112.47</v>
      </c>
      <c r="G1257" s="92">
        <v>740.05</v>
      </c>
      <c r="H1257" s="93"/>
      <c r="I1257" s="92"/>
      <c r="J1257" s="92"/>
      <c r="K1257" s="92"/>
    </row>
    <row r="1258" ht="12.75" customHeight="1">
      <c r="E1258" s="79"/>
      <c r="F1258" s="80"/>
      <c r="G1258" s="80"/>
      <c r="H1258" s="81"/>
      <c r="I1258" s="80"/>
      <c r="J1258" s="80"/>
      <c r="K1258" s="80"/>
    </row>
    <row r="1259" ht="12.75" customHeight="1">
      <c r="A1259" s="89" t="s">
        <v>1054</v>
      </c>
      <c r="B1259" s="90" t="s">
        <v>4158</v>
      </c>
      <c r="C1259" s="90"/>
      <c r="D1259" s="89" t="s">
        <v>161</v>
      </c>
      <c r="E1259" s="91">
        <v>17.65</v>
      </c>
      <c r="F1259" s="92">
        <v>119.78</v>
      </c>
      <c r="G1259" s="92">
        <v>2114.12</v>
      </c>
      <c r="H1259" s="93"/>
      <c r="I1259" s="92"/>
      <c r="J1259" s="92"/>
      <c r="K1259" s="92"/>
    </row>
    <row r="1260" ht="12.75" customHeight="1">
      <c r="E1260" s="79"/>
      <c r="F1260" s="80"/>
      <c r="G1260" s="80"/>
      <c r="H1260" s="81"/>
      <c r="I1260" s="80"/>
      <c r="J1260" s="80"/>
      <c r="K1260" s="80"/>
    </row>
    <row r="1261" ht="12.75" customHeight="1">
      <c r="A1261" s="89" t="s">
        <v>1055</v>
      </c>
      <c r="B1261" s="90" t="s">
        <v>4160</v>
      </c>
      <c r="C1261" s="90"/>
      <c r="D1261" s="89" t="s">
        <v>161</v>
      </c>
      <c r="E1261" s="91">
        <v>17.62</v>
      </c>
      <c r="F1261" s="92">
        <v>13.94</v>
      </c>
      <c r="G1261" s="92">
        <v>245.62</v>
      </c>
      <c r="H1261" s="93"/>
      <c r="I1261" s="92"/>
      <c r="J1261" s="92"/>
      <c r="K1261" s="92"/>
    </row>
    <row r="1262" ht="12.75" customHeight="1">
      <c r="E1262" s="79"/>
      <c r="F1262" s="80"/>
      <c r="G1262" s="80"/>
      <c r="H1262" s="81"/>
      <c r="I1262" s="80"/>
      <c r="J1262" s="80"/>
      <c r="K1262" s="80"/>
    </row>
    <row r="1263" ht="12.75" customHeight="1">
      <c r="A1263" s="89" t="s">
        <v>4161</v>
      </c>
      <c r="B1263" s="90" t="s">
        <v>4162</v>
      </c>
      <c r="C1263" s="90"/>
      <c r="D1263" s="89" t="s">
        <v>161</v>
      </c>
      <c r="E1263" s="91">
        <v>3.84</v>
      </c>
      <c r="F1263" s="92">
        <v>16.81</v>
      </c>
      <c r="G1263" s="92">
        <v>64.55</v>
      </c>
      <c r="H1263" s="93"/>
      <c r="I1263" s="92"/>
      <c r="J1263" s="92"/>
      <c r="K1263" s="92"/>
    </row>
    <row r="1264" ht="12.75" customHeight="1">
      <c r="E1264" s="79"/>
      <c r="F1264" s="80"/>
      <c r="G1264" s="80"/>
      <c r="H1264" s="81"/>
      <c r="I1264" s="80"/>
      <c r="J1264" s="80"/>
      <c r="K1264" s="80"/>
    </row>
    <row r="1265" ht="12.75" customHeight="1">
      <c r="A1265" s="89" t="s">
        <v>4163</v>
      </c>
      <c r="B1265" s="90" t="s">
        <v>4164</v>
      </c>
      <c r="C1265" s="90"/>
      <c r="E1265" s="79"/>
      <c r="F1265" s="80"/>
      <c r="G1265" s="80"/>
      <c r="H1265" s="81"/>
      <c r="I1265" s="80"/>
      <c r="J1265" s="80"/>
      <c r="K1265" s="80"/>
    </row>
    <row r="1266" ht="12.75" customHeight="1">
      <c r="E1266" s="79"/>
      <c r="F1266" s="80"/>
      <c r="G1266" s="80"/>
      <c r="H1266" s="81"/>
      <c r="I1266" s="80"/>
      <c r="J1266" s="80"/>
      <c r="K1266" s="80"/>
    </row>
    <row r="1267" ht="12.75" customHeight="1">
      <c r="A1267" s="89" t="s">
        <v>1059</v>
      </c>
      <c r="B1267" s="90" t="s">
        <v>4165</v>
      </c>
      <c r="C1267" s="90"/>
      <c r="E1267" s="79"/>
      <c r="F1267" s="80"/>
      <c r="G1267" s="80"/>
      <c r="H1267" s="81"/>
      <c r="I1267" s="80"/>
      <c r="J1267" s="80"/>
      <c r="K1267" s="80"/>
    </row>
    <row r="1268" ht="12.75" customHeight="1">
      <c r="E1268" s="79"/>
      <c r="F1268" s="80"/>
      <c r="G1268" s="80"/>
      <c r="H1268" s="81"/>
      <c r="I1268" s="80"/>
      <c r="J1268" s="80"/>
      <c r="K1268" s="80"/>
    </row>
    <row r="1269" ht="12.75" customHeight="1">
      <c r="A1269" s="89" t="s">
        <v>1061</v>
      </c>
      <c r="B1269" s="90" t="s">
        <v>4166</v>
      </c>
      <c r="C1269" s="90"/>
      <c r="D1269" s="89" t="s">
        <v>75</v>
      </c>
      <c r="E1269" s="91">
        <v>1.0</v>
      </c>
      <c r="F1269" s="92">
        <v>226.29</v>
      </c>
      <c r="G1269" s="92">
        <v>226.29</v>
      </c>
      <c r="H1269" s="93"/>
      <c r="I1269" s="92"/>
      <c r="J1269" s="92"/>
      <c r="K1269" s="92"/>
    </row>
    <row r="1270" ht="12.75" customHeight="1">
      <c r="E1270" s="79"/>
      <c r="F1270" s="80"/>
      <c r="G1270" s="80"/>
      <c r="H1270" s="81"/>
      <c r="I1270" s="80"/>
      <c r="J1270" s="80"/>
      <c r="K1270" s="80"/>
    </row>
    <row r="1271" ht="12.75" customHeight="1">
      <c r="A1271" s="89" t="s">
        <v>1063</v>
      </c>
      <c r="B1271" s="90" t="s">
        <v>4167</v>
      </c>
      <c r="C1271" s="90"/>
      <c r="D1271" s="89" t="s">
        <v>75</v>
      </c>
      <c r="E1271" s="91">
        <v>1.0</v>
      </c>
      <c r="F1271" s="92">
        <v>232.76</v>
      </c>
      <c r="G1271" s="92">
        <v>232.76</v>
      </c>
      <c r="H1271" s="93"/>
      <c r="I1271" s="92"/>
      <c r="J1271" s="92"/>
      <c r="K1271" s="92"/>
    </row>
    <row r="1272" ht="12.75" customHeight="1">
      <c r="E1272" s="79"/>
      <c r="F1272" s="80"/>
      <c r="G1272" s="80"/>
      <c r="H1272" s="81"/>
      <c r="I1272" s="80"/>
      <c r="J1272" s="80"/>
      <c r="K1272" s="80"/>
    </row>
    <row r="1273" ht="12.75" customHeight="1">
      <c r="A1273" s="89" t="s">
        <v>1065</v>
      </c>
      <c r="B1273" s="90" t="s">
        <v>4168</v>
      </c>
      <c r="C1273" s="90"/>
      <c r="D1273" s="89" t="s">
        <v>75</v>
      </c>
      <c r="E1273" s="91">
        <v>1.0</v>
      </c>
      <c r="F1273" s="92">
        <v>258.62</v>
      </c>
      <c r="G1273" s="92">
        <v>258.62</v>
      </c>
      <c r="H1273" s="93"/>
      <c r="I1273" s="92"/>
      <c r="J1273" s="92"/>
      <c r="K1273" s="92"/>
    </row>
    <row r="1274" ht="12.75" customHeight="1">
      <c r="E1274" s="79"/>
      <c r="F1274" s="80"/>
      <c r="G1274" s="80"/>
      <c r="H1274" s="81"/>
      <c r="I1274" s="80"/>
      <c r="J1274" s="80"/>
      <c r="K1274" s="80"/>
    </row>
    <row r="1275" ht="12.75" customHeight="1">
      <c r="A1275" s="89" t="s">
        <v>1067</v>
      </c>
      <c r="B1275" s="90" t="s">
        <v>4169</v>
      </c>
      <c r="C1275" s="90"/>
      <c r="D1275" s="89" t="s">
        <v>75</v>
      </c>
      <c r="E1275" s="91">
        <v>2.0</v>
      </c>
      <c r="F1275" s="92">
        <v>646.55</v>
      </c>
      <c r="G1275" s="92">
        <v>1293.1</v>
      </c>
      <c r="H1275" s="93"/>
      <c r="I1275" s="92"/>
      <c r="J1275" s="92"/>
      <c r="K1275" s="92"/>
    </row>
    <row r="1276" ht="12.75" customHeight="1">
      <c r="E1276" s="79"/>
      <c r="F1276" s="80"/>
      <c r="G1276" s="80"/>
      <c r="H1276" s="81"/>
      <c r="I1276" s="80"/>
      <c r="J1276" s="80"/>
      <c r="K1276" s="80"/>
    </row>
    <row r="1277" ht="12.75" customHeight="1">
      <c r="A1277" s="89" t="s">
        <v>1069</v>
      </c>
      <c r="B1277" s="90" t="s">
        <v>4170</v>
      </c>
      <c r="C1277" s="90"/>
      <c r="D1277" s="89" t="s">
        <v>75</v>
      </c>
      <c r="E1277" s="91">
        <v>1.0</v>
      </c>
      <c r="F1277" s="92">
        <v>711.21</v>
      </c>
      <c r="G1277" s="92">
        <v>711.21</v>
      </c>
      <c r="H1277" s="93"/>
      <c r="I1277" s="92"/>
      <c r="J1277" s="92"/>
      <c r="K1277" s="92"/>
    </row>
    <row r="1278" ht="12.75" customHeight="1">
      <c r="E1278" s="79"/>
      <c r="F1278" s="80"/>
      <c r="G1278" s="80"/>
      <c r="H1278" s="81"/>
      <c r="I1278" s="80"/>
      <c r="J1278" s="80"/>
      <c r="K1278" s="80"/>
    </row>
    <row r="1279" ht="12.75" customHeight="1">
      <c r="A1279" s="89" t="s">
        <v>4171</v>
      </c>
      <c r="B1279" s="90" t="s">
        <v>4172</v>
      </c>
      <c r="C1279" s="90"/>
      <c r="D1279" s="89" t="s">
        <v>75</v>
      </c>
      <c r="E1279" s="91">
        <v>1.0</v>
      </c>
      <c r="F1279" s="92">
        <v>52.12</v>
      </c>
      <c r="G1279" s="92">
        <v>52.12</v>
      </c>
      <c r="H1279" s="93"/>
      <c r="I1279" s="92"/>
      <c r="J1279" s="92"/>
      <c r="K1279" s="92"/>
    </row>
    <row r="1280" ht="12.75" customHeight="1">
      <c r="E1280" s="79"/>
      <c r="F1280" s="80"/>
      <c r="G1280" s="80"/>
      <c r="H1280" s="81"/>
      <c r="I1280" s="80"/>
      <c r="J1280" s="80"/>
      <c r="K1280" s="80"/>
    </row>
    <row r="1281" ht="12.75" customHeight="1">
      <c r="A1281" s="89" t="s">
        <v>4173</v>
      </c>
      <c r="B1281" s="90" t="s">
        <v>4174</v>
      </c>
      <c r="C1281" s="90"/>
      <c r="D1281" s="89" t="s">
        <v>75</v>
      </c>
      <c r="E1281" s="91">
        <v>1.0</v>
      </c>
      <c r="F1281" s="92">
        <v>8234.62</v>
      </c>
      <c r="G1281" s="92">
        <v>8234.62</v>
      </c>
      <c r="H1281" s="93"/>
      <c r="I1281" s="92"/>
      <c r="J1281" s="92"/>
      <c r="K1281" s="92"/>
    </row>
    <row r="1282" ht="12.75" customHeight="1">
      <c r="E1282" s="79"/>
      <c r="F1282" s="80"/>
      <c r="G1282" s="80"/>
      <c r="H1282" s="81"/>
      <c r="I1282" s="80"/>
      <c r="J1282" s="80"/>
      <c r="K1282" s="80"/>
    </row>
    <row r="1283" ht="12.75" customHeight="1">
      <c r="A1283" s="89" t="s">
        <v>4175</v>
      </c>
      <c r="B1283" s="90" t="s">
        <v>4120</v>
      </c>
      <c r="C1283" s="90"/>
      <c r="D1283" s="89" t="s">
        <v>75</v>
      </c>
      <c r="E1283" s="91">
        <v>1.0</v>
      </c>
      <c r="F1283" s="92">
        <v>1326.02</v>
      </c>
      <c r="G1283" s="92">
        <v>1326.02</v>
      </c>
      <c r="H1283" s="93"/>
      <c r="I1283" s="92"/>
      <c r="J1283" s="92"/>
      <c r="K1283" s="92"/>
    </row>
    <row r="1284" ht="12.75" customHeight="1">
      <c r="E1284" s="79"/>
      <c r="F1284" s="80"/>
      <c r="G1284" s="80"/>
      <c r="H1284" s="81"/>
      <c r="I1284" s="80"/>
      <c r="J1284" s="80"/>
      <c r="K1284" s="80"/>
    </row>
    <row r="1285" ht="12.75" customHeight="1">
      <c r="A1285" s="89" t="s">
        <v>4176</v>
      </c>
      <c r="B1285" s="90" t="s">
        <v>4177</v>
      </c>
      <c r="C1285" s="90"/>
      <c r="D1285" s="89" t="s">
        <v>33</v>
      </c>
      <c r="E1285" s="91">
        <v>1.0</v>
      </c>
      <c r="F1285" s="92">
        <v>3232.75</v>
      </c>
      <c r="G1285" s="92">
        <v>3232.75</v>
      </c>
      <c r="H1285" s="93"/>
      <c r="I1285" s="92"/>
      <c r="J1285" s="92"/>
      <c r="K1285" s="92"/>
    </row>
    <row r="1286" ht="12.75" customHeight="1">
      <c r="E1286" s="79"/>
      <c r="F1286" s="80"/>
      <c r="G1286" s="80"/>
      <c r="H1286" s="81"/>
      <c r="I1286" s="80"/>
      <c r="J1286" s="80"/>
      <c r="K1286" s="80"/>
    </row>
    <row r="1287" ht="12.75" customHeight="1">
      <c r="A1287" s="89" t="s">
        <v>4178</v>
      </c>
      <c r="B1287" s="90" t="s">
        <v>4179</v>
      </c>
      <c r="C1287" s="90"/>
      <c r="E1287" s="79"/>
      <c r="F1287" s="80"/>
      <c r="G1287" s="80"/>
      <c r="H1287" s="81"/>
      <c r="I1287" s="80"/>
      <c r="J1287" s="80"/>
      <c r="K1287" s="80"/>
    </row>
    <row r="1288" ht="12.75" customHeight="1">
      <c r="E1288" s="79"/>
      <c r="F1288" s="80"/>
      <c r="G1288" s="80"/>
      <c r="H1288" s="81"/>
      <c r="I1288" s="80"/>
      <c r="J1288" s="80"/>
      <c r="K1288" s="80"/>
    </row>
    <row r="1289" ht="12.75" customHeight="1">
      <c r="A1289" s="89" t="s">
        <v>1075</v>
      </c>
      <c r="B1289" s="90" t="s">
        <v>4152</v>
      </c>
      <c r="C1289" s="90"/>
      <c r="E1289" s="79"/>
      <c r="F1289" s="80"/>
      <c r="G1289" s="80"/>
      <c r="H1289" s="81"/>
      <c r="I1289" s="80"/>
      <c r="J1289" s="80"/>
      <c r="K1289" s="80"/>
    </row>
    <row r="1290" ht="12.75" customHeight="1">
      <c r="E1290" s="79"/>
      <c r="F1290" s="80"/>
      <c r="G1290" s="80"/>
      <c r="H1290" s="81"/>
      <c r="I1290" s="80"/>
      <c r="J1290" s="80"/>
      <c r="K1290" s="80"/>
    </row>
    <row r="1291" ht="12.75" customHeight="1">
      <c r="A1291" s="89" t="s">
        <v>1076</v>
      </c>
      <c r="B1291" s="90" t="s">
        <v>4153</v>
      </c>
      <c r="C1291" s="90"/>
      <c r="D1291" s="89" t="s">
        <v>161</v>
      </c>
      <c r="E1291" s="91">
        <v>80.05</v>
      </c>
      <c r="F1291" s="92">
        <v>14.95</v>
      </c>
      <c r="G1291" s="92">
        <v>1196.75</v>
      </c>
      <c r="H1291" s="93"/>
      <c r="I1291" s="92"/>
      <c r="J1291" s="92"/>
      <c r="K1291" s="92"/>
    </row>
    <row r="1292" ht="12.75" customHeight="1">
      <c r="E1292" s="79"/>
      <c r="F1292" s="80"/>
      <c r="G1292" s="80"/>
      <c r="H1292" s="81"/>
      <c r="I1292" s="80"/>
      <c r="J1292" s="80"/>
      <c r="K1292" s="80"/>
    </row>
    <row r="1293" ht="12.75" customHeight="1">
      <c r="A1293" s="89" t="s">
        <v>1077</v>
      </c>
      <c r="B1293" s="90" t="s">
        <v>4180</v>
      </c>
      <c r="C1293" s="90"/>
      <c r="D1293" s="89" t="s">
        <v>161</v>
      </c>
      <c r="E1293" s="91">
        <v>12.6</v>
      </c>
      <c r="F1293" s="92">
        <v>16.81</v>
      </c>
      <c r="G1293" s="92">
        <v>211.81</v>
      </c>
      <c r="H1293" s="93"/>
      <c r="I1293" s="92"/>
      <c r="J1293" s="92"/>
      <c r="K1293" s="92"/>
    </row>
    <row r="1294" ht="12.75" customHeight="1">
      <c r="E1294" s="79"/>
      <c r="F1294" s="80"/>
      <c r="G1294" s="80"/>
      <c r="H1294" s="81"/>
      <c r="I1294" s="80"/>
      <c r="J1294" s="80"/>
      <c r="K1294" s="80"/>
    </row>
    <row r="1295" ht="12.75" customHeight="1">
      <c r="A1295" s="89" t="s">
        <v>1079</v>
      </c>
      <c r="B1295" s="90" t="s">
        <v>4181</v>
      </c>
      <c r="C1295" s="90"/>
      <c r="E1295" s="79"/>
      <c r="F1295" s="80"/>
      <c r="G1295" s="80"/>
      <c r="H1295" s="81"/>
      <c r="I1295" s="80"/>
      <c r="J1295" s="80"/>
      <c r="K1295" s="80"/>
    </row>
    <row r="1296" ht="12.75" customHeight="1">
      <c r="E1296" s="79"/>
      <c r="F1296" s="80"/>
      <c r="G1296" s="80"/>
      <c r="H1296" s="81"/>
      <c r="I1296" s="80"/>
      <c r="J1296" s="80"/>
      <c r="K1296" s="80"/>
    </row>
    <row r="1297" ht="12.75" customHeight="1">
      <c r="A1297" s="89" t="s">
        <v>1081</v>
      </c>
      <c r="B1297" s="90" t="s">
        <v>4156</v>
      </c>
      <c r="C1297" s="90"/>
      <c r="D1297" s="89" t="s">
        <v>161</v>
      </c>
      <c r="E1297" s="91">
        <v>37.36</v>
      </c>
      <c r="F1297" s="92">
        <v>20.92</v>
      </c>
      <c r="G1297" s="92">
        <v>781.57</v>
      </c>
      <c r="H1297" s="93"/>
      <c r="I1297" s="92"/>
      <c r="J1297" s="92"/>
      <c r="K1297" s="92"/>
    </row>
    <row r="1298" ht="12.75" customHeight="1">
      <c r="E1298" s="79"/>
      <c r="F1298" s="80"/>
      <c r="G1298" s="80"/>
      <c r="H1298" s="81"/>
      <c r="I1298" s="80"/>
      <c r="J1298" s="80"/>
      <c r="K1298" s="80"/>
    </row>
    <row r="1299" ht="12.75" customHeight="1">
      <c r="A1299" s="89" t="s">
        <v>1082</v>
      </c>
      <c r="B1299" s="90" t="s">
        <v>4157</v>
      </c>
      <c r="C1299" s="90"/>
      <c r="D1299" s="89" t="s">
        <v>161</v>
      </c>
      <c r="E1299" s="91">
        <v>11.41</v>
      </c>
      <c r="F1299" s="92">
        <v>25.05</v>
      </c>
      <c r="G1299" s="92">
        <v>285.82</v>
      </c>
      <c r="H1299" s="93"/>
      <c r="I1299" s="92"/>
      <c r="J1299" s="92"/>
      <c r="K1299" s="92"/>
    </row>
    <row r="1300" ht="12.75" customHeight="1">
      <c r="E1300" s="79"/>
      <c r="F1300" s="80"/>
      <c r="G1300" s="80"/>
      <c r="H1300" s="81"/>
      <c r="I1300" s="80"/>
      <c r="J1300" s="80"/>
      <c r="K1300" s="80"/>
    </row>
    <row r="1301" ht="12.75" customHeight="1">
      <c r="A1301" s="89" t="s">
        <v>1083</v>
      </c>
      <c r="B1301" s="90" t="s">
        <v>4158</v>
      </c>
      <c r="C1301" s="90"/>
      <c r="D1301" s="89" t="s">
        <v>161</v>
      </c>
      <c r="E1301" s="91">
        <v>23.75</v>
      </c>
      <c r="F1301" s="92">
        <v>26.43</v>
      </c>
      <c r="G1301" s="92">
        <v>627.71</v>
      </c>
      <c r="H1301" s="93"/>
      <c r="I1301" s="92"/>
      <c r="J1301" s="92"/>
      <c r="K1301" s="92"/>
    </row>
    <row r="1302" ht="12.75" customHeight="1">
      <c r="E1302" s="79"/>
      <c r="F1302" s="80"/>
      <c r="G1302" s="80"/>
      <c r="H1302" s="81"/>
      <c r="I1302" s="80"/>
      <c r="J1302" s="80"/>
      <c r="K1302" s="80"/>
    </row>
    <row r="1303" ht="12.75" customHeight="1">
      <c r="A1303" s="89" t="s">
        <v>1084</v>
      </c>
      <c r="B1303" s="90" t="s">
        <v>4153</v>
      </c>
      <c r="C1303" s="90"/>
      <c r="D1303" s="89" t="s">
        <v>161</v>
      </c>
      <c r="E1303" s="91">
        <v>3.22</v>
      </c>
      <c r="F1303" s="92">
        <v>30.63</v>
      </c>
      <c r="G1303" s="92">
        <v>98.63</v>
      </c>
      <c r="H1303" s="93"/>
      <c r="I1303" s="92"/>
      <c r="J1303" s="92"/>
      <c r="K1303" s="92"/>
    </row>
    <row r="1304" ht="12.75" customHeight="1">
      <c r="E1304" s="79"/>
      <c r="F1304" s="80"/>
      <c r="G1304" s="80"/>
      <c r="H1304" s="81"/>
      <c r="I1304" s="80"/>
      <c r="J1304" s="80"/>
      <c r="K1304" s="80"/>
    </row>
    <row r="1305" ht="12.75" customHeight="1">
      <c r="A1305" s="89" t="s">
        <v>1085</v>
      </c>
      <c r="B1305" s="90" t="s">
        <v>4159</v>
      </c>
      <c r="C1305" s="90"/>
      <c r="E1305" s="79"/>
      <c r="F1305" s="80"/>
      <c r="G1305" s="80"/>
      <c r="H1305" s="81"/>
      <c r="I1305" s="80"/>
      <c r="J1305" s="80"/>
      <c r="K1305" s="80"/>
    </row>
    <row r="1306" ht="12.75" customHeight="1">
      <c r="E1306" s="79"/>
      <c r="F1306" s="80"/>
      <c r="G1306" s="80"/>
      <c r="H1306" s="81"/>
      <c r="I1306" s="80"/>
      <c r="J1306" s="80"/>
      <c r="K1306" s="80"/>
    </row>
    <row r="1307" ht="12.75" customHeight="1">
      <c r="A1307" s="89" t="s">
        <v>1086</v>
      </c>
      <c r="B1307" s="90" t="s">
        <v>4158</v>
      </c>
      <c r="C1307" s="90"/>
      <c r="D1307" s="89" t="s">
        <v>161</v>
      </c>
      <c r="E1307" s="91">
        <v>54.39</v>
      </c>
      <c r="F1307" s="92">
        <v>119.78</v>
      </c>
      <c r="G1307" s="92">
        <v>6514.83</v>
      </c>
      <c r="H1307" s="93"/>
      <c r="I1307" s="92"/>
      <c r="J1307" s="92"/>
      <c r="K1307" s="92"/>
    </row>
    <row r="1308" ht="12.75" customHeight="1">
      <c r="E1308" s="79"/>
      <c r="F1308" s="80"/>
      <c r="G1308" s="80"/>
      <c r="H1308" s="81"/>
      <c r="I1308" s="80"/>
      <c r="J1308" s="80"/>
      <c r="K1308" s="80"/>
    </row>
    <row r="1309" ht="12.75" customHeight="1">
      <c r="A1309" s="89" t="s">
        <v>1087</v>
      </c>
      <c r="B1309" s="90" t="s">
        <v>4153</v>
      </c>
      <c r="C1309" s="90"/>
      <c r="D1309" s="89" t="s">
        <v>161</v>
      </c>
      <c r="E1309" s="91">
        <v>5.52</v>
      </c>
      <c r="F1309" s="92">
        <v>122.75</v>
      </c>
      <c r="G1309" s="92">
        <v>677.58</v>
      </c>
      <c r="H1309" s="93"/>
      <c r="I1309" s="92"/>
      <c r="J1309" s="92"/>
      <c r="K1309" s="92"/>
    </row>
    <row r="1310" ht="12.75" customHeight="1">
      <c r="E1310" s="79"/>
      <c r="F1310" s="80"/>
      <c r="G1310" s="80"/>
      <c r="H1310" s="81"/>
      <c r="I1310" s="80"/>
      <c r="J1310" s="80"/>
      <c r="K1310" s="80"/>
    </row>
    <row r="1311" ht="12.75" customHeight="1">
      <c r="A1311" s="89" t="s">
        <v>1088</v>
      </c>
      <c r="B1311" s="90" t="s">
        <v>4182</v>
      </c>
      <c r="C1311" s="90"/>
      <c r="D1311" s="89" t="s">
        <v>161</v>
      </c>
      <c r="E1311" s="91">
        <v>8.24</v>
      </c>
      <c r="F1311" s="92">
        <v>25.42</v>
      </c>
      <c r="G1311" s="92">
        <v>209.46</v>
      </c>
      <c r="H1311" s="93"/>
      <c r="I1311" s="92"/>
      <c r="J1311" s="92"/>
      <c r="K1311" s="92"/>
    </row>
    <row r="1312" ht="12.75" customHeight="1">
      <c r="E1312" s="79"/>
      <c r="F1312" s="80"/>
      <c r="G1312" s="80"/>
      <c r="H1312" s="81"/>
      <c r="I1312" s="80"/>
      <c r="J1312" s="80"/>
      <c r="K1312" s="80"/>
    </row>
    <row r="1313" ht="12.75" customHeight="1">
      <c r="A1313" s="89" t="s">
        <v>1090</v>
      </c>
      <c r="B1313" s="90" t="s">
        <v>4183</v>
      </c>
      <c r="C1313" s="90"/>
      <c r="D1313" s="89" t="s">
        <v>161</v>
      </c>
      <c r="E1313" s="91">
        <v>23.04</v>
      </c>
      <c r="F1313" s="92">
        <v>10.64</v>
      </c>
      <c r="G1313" s="92">
        <v>245.15</v>
      </c>
      <c r="H1313" s="93"/>
      <c r="I1313" s="92"/>
      <c r="J1313" s="92"/>
      <c r="K1313" s="92"/>
    </row>
    <row r="1314" ht="12.75" customHeight="1">
      <c r="E1314" s="79"/>
      <c r="F1314" s="80"/>
      <c r="G1314" s="80"/>
      <c r="H1314" s="81"/>
      <c r="I1314" s="80"/>
      <c r="J1314" s="80"/>
      <c r="K1314" s="80"/>
    </row>
    <row r="1315" ht="12.75" customHeight="1">
      <c r="A1315" s="89" t="s">
        <v>1092</v>
      </c>
      <c r="B1315" s="90" t="s">
        <v>4184</v>
      </c>
      <c r="C1315" s="90"/>
      <c r="D1315" s="89" t="s">
        <v>161</v>
      </c>
      <c r="E1315" s="91">
        <v>21.36</v>
      </c>
      <c r="F1315" s="92">
        <v>10.64</v>
      </c>
      <c r="G1315" s="92">
        <v>227.27</v>
      </c>
      <c r="H1315" s="93"/>
      <c r="I1315" s="92"/>
      <c r="J1315" s="92"/>
      <c r="K1315" s="92"/>
    </row>
    <row r="1316" ht="12.75" customHeight="1">
      <c r="E1316" s="79"/>
      <c r="F1316" s="80"/>
      <c r="G1316" s="80"/>
      <c r="H1316" s="81"/>
      <c r="I1316" s="80"/>
      <c r="J1316" s="80"/>
      <c r="K1316" s="80"/>
    </row>
    <row r="1317" ht="12.75" customHeight="1">
      <c r="A1317" s="89" t="s">
        <v>1094</v>
      </c>
      <c r="B1317" s="90" t="s">
        <v>4185</v>
      </c>
      <c r="C1317" s="90"/>
      <c r="D1317" s="89" t="s">
        <v>161</v>
      </c>
      <c r="E1317" s="91">
        <v>2.25</v>
      </c>
      <c r="F1317" s="92">
        <v>21.58</v>
      </c>
      <c r="G1317" s="92">
        <v>48.56</v>
      </c>
      <c r="H1317" s="93"/>
      <c r="I1317" s="92"/>
      <c r="J1317" s="92"/>
      <c r="K1317" s="92"/>
    </row>
    <row r="1318" ht="12.75" customHeight="1">
      <c r="E1318" s="79"/>
      <c r="F1318" s="80"/>
      <c r="G1318" s="80"/>
      <c r="H1318" s="81"/>
      <c r="I1318" s="80"/>
      <c r="J1318" s="80"/>
      <c r="K1318" s="80"/>
    </row>
    <row r="1319" ht="12.75" customHeight="1">
      <c r="A1319" s="89" t="s">
        <v>1096</v>
      </c>
      <c r="B1319" s="90" t="s">
        <v>4186</v>
      </c>
      <c r="C1319" s="90"/>
      <c r="D1319" s="89" t="s">
        <v>161</v>
      </c>
      <c r="E1319" s="91">
        <v>50.2</v>
      </c>
      <c r="F1319" s="92">
        <v>6.76</v>
      </c>
      <c r="G1319" s="92">
        <v>339.35</v>
      </c>
      <c r="H1319" s="93"/>
      <c r="I1319" s="92"/>
      <c r="J1319" s="92"/>
      <c r="K1319" s="92"/>
    </row>
    <row r="1320" ht="12.75" customHeight="1">
      <c r="E1320" s="79"/>
      <c r="F1320" s="80"/>
      <c r="G1320" s="80"/>
      <c r="H1320" s="81"/>
      <c r="I1320" s="80"/>
      <c r="J1320" s="80"/>
      <c r="K1320" s="80"/>
    </row>
    <row r="1321" ht="12.75" customHeight="1">
      <c r="A1321" s="89" t="s">
        <v>4187</v>
      </c>
      <c r="B1321" s="90" t="s">
        <v>4188</v>
      </c>
      <c r="C1321" s="90"/>
      <c r="D1321" s="89" t="s">
        <v>161</v>
      </c>
      <c r="E1321" s="91">
        <v>278.97</v>
      </c>
      <c r="F1321" s="92">
        <v>16.16</v>
      </c>
      <c r="G1321" s="92">
        <v>4508.16</v>
      </c>
      <c r="H1321" s="93"/>
      <c r="I1321" s="92"/>
      <c r="J1321" s="92"/>
      <c r="K1321" s="92"/>
    </row>
    <row r="1322" ht="12.75" customHeight="1">
      <c r="E1322" s="79"/>
      <c r="F1322" s="80"/>
      <c r="G1322" s="80"/>
      <c r="H1322" s="81"/>
      <c r="I1322" s="80"/>
      <c r="J1322" s="80"/>
      <c r="K1322" s="80"/>
    </row>
    <row r="1323" ht="12.75" customHeight="1">
      <c r="A1323" s="89" t="s">
        <v>4189</v>
      </c>
      <c r="B1323" s="90" t="s">
        <v>4190</v>
      </c>
      <c r="C1323" s="90"/>
      <c r="D1323" s="89" t="s">
        <v>161</v>
      </c>
      <c r="E1323" s="91">
        <v>7.4</v>
      </c>
      <c r="F1323" s="92">
        <v>16.81</v>
      </c>
      <c r="G1323" s="92">
        <v>124.39</v>
      </c>
      <c r="H1323" s="93"/>
      <c r="I1323" s="92"/>
      <c r="J1323" s="92"/>
      <c r="K1323" s="92"/>
    </row>
    <row r="1324" ht="12.75" customHeight="1">
      <c r="E1324" s="79"/>
      <c r="F1324" s="80"/>
      <c r="G1324" s="80"/>
      <c r="H1324" s="81"/>
      <c r="I1324" s="80"/>
      <c r="J1324" s="80"/>
      <c r="K1324" s="80"/>
    </row>
    <row r="1325" ht="12.75" customHeight="1">
      <c r="A1325" s="89" t="s">
        <v>4191</v>
      </c>
      <c r="B1325" s="90" t="s">
        <v>4164</v>
      </c>
      <c r="C1325" s="90"/>
      <c r="E1325" s="79"/>
      <c r="F1325" s="80"/>
      <c r="G1325" s="80"/>
      <c r="H1325" s="81"/>
      <c r="I1325" s="80"/>
      <c r="J1325" s="80"/>
      <c r="K1325" s="80"/>
    </row>
    <row r="1326" ht="12.75" customHeight="1">
      <c r="E1326" s="79"/>
      <c r="F1326" s="80"/>
      <c r="G1326" s="80"/>
      <c r="H1326" s="81"/>
      <c r="I1326" s="80"/>
      <c r="J1326" s="80"/>
      <c r="K1326" s="80"/>
    </row>
    <row r="1327" ht="12.75" customHeight="1">
      <c r="A1327" s="89" t="s">
        <v>1100</v>
      </c>
      <c r="B1327" s="90" t="s">
        <v>4165</v>
      </c>
      <c r="C1327" s="90"/>
      <c r="E1327" s="79"/>
      <c r="F1327" s="80"/>
      <c r="G1327" s="80"/>
      <c r="H1327" s="81"/>
      <c r="I1327" s="80"/>
      <c r="J1327" s="80"/>
      <c r="K1327" s="80"/>
    </row>
    <row r="1328" ht="12.75" customHeight="1">
      <c r="E1328" s="79"/>
      <c r="F1328" s="80"/>
      <c r="G1328" s="80"/>
      <c r="H1328" s="81"/>
      <c r="I1328" s="80"/>
      <c r="J1328" s="80"/>
      <c r="K1328" s="80"/>
    </row>
    <row r="1329" ht="12.75" customHeight="1">
      <c r="A1329" s="89" t="s">
        <v>1101</v>
      </c>
      <c r="B1329" s="90" t="s">
        <v>4166</v>
      </c>
      <c r="C1329" s="90"/>
      <c r="D1329" s="89" t="s">
        <v>75</v>
      </c>
      <c r="E1329" s="91">
        <v>3.0</v>
      </c>
      <c r="F1329" s="92">
        <v>226.29</v>
      </c>
      <c r="G1329" s="92">
        <v>678.87</v>
      </c>
      <c r="H1329" s="93"/>
      <c r="I1329" s="92"/>
      <c r="J1329" s="92"/>
      <c r="K1329" s="92"/>
    </row>
    <row r="1330" ht="12.75" customHeight="1">
      <c r="E1330" s="79"/>
      <c r="F1330" s="80"/>
      <c r="G1330" s="80"/>
      <c r="H1330" s="81"/>
      <c r="I1330" s="80"/>
      <c r="J1330" s="80"/>
      <c r="K1330" s="80"/>
    </row>
    <row r="1331" ht="12.75" customHeight="1">
      <c r="A1331" s="89" t="s">
        <v>1102</v>
      </c>
      <c r="B1331" s="90" t="s">
        <v>4167</v>
      </c>
      <c r="C1331" s="90"/>
      <c r="D1331" s="89" t="s">
        <v>75</v>
      </c>
      <c r="E1331" s="91">
        <v>1.0</v>
      </c>
      <c r="F1331" s="92">
        <v>232.76</v>
      </c>
      <c r="G1331" s="92">
        <v>232.76</v>
      </c>
      <c r="H1331" s="93"/>
      <c r="I1331" s="92"/>
      <c r="J1331" s="92"/>
      <c r="K1331" s="92"/>
    </row>
    <row r="1332" ht="12.75" customHeight="1">
      <c r="E1332" s="79"/>
      <c r="F1332" s="80"/>
      <c r="G1332" s="80"/>
      <c r="H1332" s="81"/>
      <c r="I1332" s="80"/>
      <c r="J1332" s="80"/>
      <c r="K1332" s="80"/>
    </row>
    <row r="1333" ht="12.75" customHeight="1">
      <c r="A1333" s="89" t="s">
        <v>1103</v>
      </c>
      <c r="B1333" s="90" t="s">
        <v>4168</v>
      </c>
      <c r="C1333" s="90"/>
      <c r="D1333" s="89" t="s">
        <v>75</v>
      </c>
      <c r="E1333" s="91">
        <v>3.0</v>
      </c>
      <c r="F1333" s="92">
        <v>258.62</v>
      </c>
      <c r="G1333" s="92">
        <v>775.86</v>
      </c>
      <c r="H1333" s="93"/>
      <c r="I1333" s="92"/>
      <c r="J1333" s="92"/>
      <c r="K1333" s="92"/>
    </row>
    <row r="1334" ht="12.75" customHeight="1">
      <c r="E1334" s="79"/>
      <c r="F1334" s="80"/>
      <c r="G1334" s="80"/>
      <c r="H1334" s="81"/>
      <c r="I1334" s="80"/>
      <c r="J1334" s="80"/>
      <c r="K1334" s="80"/>
    </row>
    <row r="1335" ht="12.75" customHeight="1">
      <c r="A1335" s="89" t="s">
        <v>1104</v>
      </c>
      <c r="B1335" s="90" t="s">
        <v>4192</v>
      </c>
      <c r="C1335" s="90"/>
      <c r="D1335" s="89" t="s">
        <v>75</v>
      </c>
      <c r="E1335" s="91">
        <v>2.0</v>
      </c>
      <c r="F1335" s="92">
        <v>646.55</v>
      </c>
      <c r="G1335" s="92">
        <v>1293.1</v>
      </c>
      <c r="H1335" s="93"/>
      <c r="I1335" s="92"/>
      <c r="J1335" s="92"/>
      <c r="K1335" s="92"/>
    </row>
    <row r="1336" ht="12.75" customHeight="1">
      <c r="E1336" s="79"/>
      <c r="F1336" s="80"/>
      <c r="G1336" s="80"/>
      <c r="H1336" s="81"/>
      <c r="I1336" s="80"/>
      <c r="J1336" s="80"/>
      <c r="K1336" s="80"/>
    </row>
    <row r="1337" ht="12.75" customHeight="1">
      <c r="A1337" s="89" t="s">
        <v>1106</v>
      </c>
      <c r="B1337" s="90" t="s">
        <v>4169</v>
      </c>
      <c r="C1337" s="90"/>
      <c r="D1337" s="89" t="s">
        <v>75</v>
      </c>
      <c r="E1337" s="91">
        <v>4.0</v>
      </c>
      <c r="F1337" s="92">
        <v>646.55</v>
      </c>
      <c r="G1337" s="92">
        <v>2586.2</v>
      </c>
      <c r="H1337" s="93"/>
      <c r="I1337" s="92"/>
      <c r="J1337" s="92"/>
      <c r="K1337" s="92"/>
    </row>
    <row r="1338" ht="12.75" customHeight="1">
      <c r="E1338" s="79"/>
      <c r="F1338" s="80"/>
      <c r="G1338" s="80"/>
      <c r="H1338" s="81"/>
      <c r="I1338" s="80"/>
      <c r="J1338" s="80"/>
      <c r="K1338" s="80"/>
    </row>
    <row r="1339" ht="12.75" customHeight="1">
      <c r="A1339" s="89" t="s">
        <v>1107</v>
      </c>
      <c r="B1339" s="90" t="s">
        <v>4193</v>
      </c>
      <c r="C1339" s="90"/>
      <c r="D1339" s="89" t="s">
        <v>75</v>
      </c>
      <c r="E1339" s="91">
        <v>1.0</v>
      </c>
      <c r="F1339" s="92">
        <v>711.21</v>
      </c>
      <c r="G1339" s="92">
        <v>711.21</v>
      </c>
      <c r="H1339" s="93"/>
      <c r="I1339" s="92"/>
      <c r="J1339" s="92"/>
      <c r="K1339" s="92"/>
    </row>
    <row r="1340" ht="12.75" customHeight="1">
      <c r="E1340" s="79"/>
      <c r="F1340" s="80"/>
      <c r="G1340" s="80"/>
      <c r="H1340" s="81"/>
      <c r="I1340" s="80"/>
      <c r="J1340" s="80"/>
      <c r="K1340" s="80"/>
    </row>
    <row r="1341" ht="12.75" customHeight="1">
      <c r="A1341" s="89" t="s">
        <v>4194</v>
      </c>
      <c r="B1341" s="90" t="s">
        <v>4195</v>
      </c>
      <c r="C1341" s="90"/>
      <c r="D1341" s="89" t="s">
        <v>75</v>
      </c>
      <c r="E1341" s="91">
        <v>8.0</v>
      </c>
      <c r="F1341" s="92">
        <v>711.21</v>
      </c>
      <c r="G1341" s="92">
        <v>5689.68</v>
      </c>
      <c r="H1341" s="93"/>
      <c r="I1341" s="92"/>
      <c r="J1341" s="92"/>
      <c r="K1341" s="92"/>
    </row>
    <row r="1342" ht="12.75" customHeight="1">
      <c r="E1342" s="79"/>
      <c r="F1342" s="80"/>
      <c r="G1342" s="80"/>
      <c r="H1342" s="81"/>
      <c r="I1342" s="80"/>
      <c r="J1342" s="80"/>
      <c r="K1342" s="80"/>
    </row>
    <row r="1343" ht="12.75" customHeight="1">
      <c r="A1343" s="89" t="s">
        <v>4196</v>
      </c>
      <c r="B1343" s="90" t="s">
        <v>4197</v>
      </c>
      <c r="C1343" s="90"/>
      <c r="D1343" s="89" t="s">
        <v>75</v>
      </c>
      <c r="E1343" s="91">
        <v>9.0</v>
      </c>
      <c r="F1343" s="92">
        <v>58.19</v>
      </c>
      <c r="G1343" s="92">
        <v>523.71</v>
      </c>
      <c r="H1343" s="93"/>
      <c r="I1343" s="92"/>
      <c r="J1343" s="92"/>
      <c r="K1343" s="92"/>
    </row>
    <row r="1344" ht="12.75" customHeight="1">
      <c r="E1344" s="79"/>
      <c r="F1344" s="80"/>
      <c r="G1344" s="80"/>
      <c r="H1344" s="81"/>
      <c r="I1344" s="80"/>
      <c r="J1344" s="80"/>
      <c r="K1344" s="80"/>
    </row>
    <row r="1345" ht="12.75" customHeight="1">
      <c r="A1345" s="89" t="s">
        <v>4198</v>
      </c>
      <c r="B1345" s="90" t="s">
        <v>4199</v>
      </c>
      <c r="C1345" s="90"/>
      <c r="D1345" s="89" t="s">
        <v>75</v>
      </c>
      <c r="E1345" s="91">
        <v>3.0</v>
      </c>
      <c r="F1345" s="92">
        <v>58.19</v>
      </c>
      <c r="G1345" s="92">
        <v>174.57</v>
      </c>
      <c r="H1345" s="93"/>
      <c r="I1345" s="92"/>
      <c r="J1345" s="92"/>
      <c r="K1345" s="92"/>
    </row>
    <row r="1346" ht="12.75" customHeight="1">
      <c r="E1346" s="79"/>
      <c r="F1346" s="80"/>
      <c r="G1346" s="80"/>
      <c r="H1346" s="81"/>
      <c r="I1346" s="80"/>
      <c r="J1346" s="80"/>
      <c r="K1346" s="80"/>
    </row>
    <row r="1347" ht="12.75" customHeight="1">
      <c r="A1347" s="89" t="s">
        <v>4200</v>
      </c>
      <c r="B1347" s="90" t="s">
        <v>4201</v>
      </c>
      <c r="C1347" s="90"/>
      <c r="D1347" s="89" t="s">
        <v>161</v>
      </c>
      <c r="E1347" s="91">
        <v>5.5</v>
      </c>
      <c r="F1347" s="92">
        <v>323.28</v>
      </c>
      <c r="G1347" s="92">
        <v>1778.04</v>
      </c>
      <c r="H1347" s="93"/>
      <c r="I1347" s="92"/>
      <c r="J1347" s="92"/>
      <c r="K1347" s="92"/>
    </row>
    <row r="1348" ht="12.75" customHeight="1">
      <c r="E1348" s="79"/>
      <c r="F1348" s="80"/>
      <c r="G1348" s="80"/>
      <c r="H1348" s="81"/>
      <c r="I1348" s="80"/>
      <c r="J1348" s="80"/>
      <c r="K1348" s="80"/>
    </row>
    <row r="1349" ht="12.75" customHeight="1">
      <c r="A1349" s="89" t="s">
        <v>4202</v>
      </c>
      <c r="B1349" s="90" t="s">
        <v>4203</v>
      </c>
      <c r="C1349" s="90"/>
      <c r="D1349" s="89" t="s">
        <v>161</v>
      </c>
      <c r="E1349" s="91">
        <v>2.0</v>
      </c>
      <c r="F1349" s="92">
        <v>187.9</v>
      </c>
      <c r="G1349" s="92">
        <v>375.8</v>
      </c>
      <c r="H1349" s="93"/>
      <c r="I1349" s="92"/>
      <c r="J1349" s="92"/>
      <c r="K1349" s="92"/>
    </row>
    <row r="1350" ht="12.75" customHeight="1">
      <c r="E1350" s="79"/>
      <c r="F1350" s="80"/>
      <c r="G1350" s="80"/>
      <c r="H1350" s="81"/>
      <c r="I1350" s="80"/>
      <c r="J1350" s="80"/>
      <c r="K1350" s="80"/>
    </row>
    <row r="1351" ht="12.75" customHeight="1">
      <c r="A1351" s="89" t="s">
        <v>4204</v>
      </c>
      <c r="B1351" s="90" t="s">
        <v>4205</v>
      </c>
      <c r="C1351" s="90"/>
      <c r="E1351" s="79"/>
      <c r="F1351" s="80"/>
      <c r="G1351" s="80"/>
      <c r="H1351" s="81"/>
      <c r="I1351" s="80"/>
      <c r="J1351" s="80"/>
      <c r="K1351" s="80"/>
    </row>
    <row r="1352" ht="12.75" customHeight="1">
      <c r="E1352" s="79"/>
      <c r="F1352" s="80"/>
      <c r="G1352" s="80"/>
      <c r="H1352" s="81"/>
      <c r="I1352" s="80"/>
      <c r="J1352" s="80"/>
      <c r="K1352" s="80"/>
    </row>
    <row r="1353" ht="12.75" customHeight="1">
      <c r="B1353" s="90" t="s">
        <v>1115</v>
      </c>
      <c r="C1353" s="90"/>
      <c r="D1353" s="89" t="s">
        <v>75</v>
      </c>
      <c r="E1353" s="91">
        <v>1.0</v>
      </c>
      <c r="F1353" s="92">
        <v>229.38</v>
      </c>
      <c r="G1353" s="92">
        <v>229.38</v>
      </c>
      <c r="H1353" s="93"/>
      <c r="I1353" s="92"/>
      <c r="J1353" s="92"/>
      <c r="K1353" s="92"/>
    </row>
    <row r="1354" ht="12.75" customHeight="1">
      <c r="E1354" s="79"/>
      <c r="F1354" s="80"/>
      <c r="G1354" s="80"/>
      <c r="H1354" s="81"/>
      <c r="I1354" s="80"/>
      <c r="J1354" s="80"/>
      <c r="K1354" s="80"/>
    </row>
    <row r="1355" ht="12.75" customHeight="1">
      <c r="B1355" s="90" t="s">
        <v>1116</v>
      </c>
      <c r="C1355" s="90"/>
      <c r="D1355" s="89" t="s">
        <v>75</v>
      </c>
      <c r="E1355" s="91">
        <v>1.0</v>
      </c>
      <c r="F1355" s="92">
        <v>304.28</v>
      </c>
      <c r="G1355" s="92">
        <v>304.28</v>
      </c>
      <c r="H1355" s="93"/>
      <c r="I1355" s="92"/>
      <c r="J1355" s="92"/>
      <c r="K1355" s="92"/>
    </row>
    <row r="1356" ht="12.75" customHeight="1">
      <c r="E1356" s="79"/>
      <c r="F1356" s="80"/>
      <c r="G1356" s="80"/>
      <c r="H1356" s="81"/>
      <c r="I1356" s="80"/>
      <c r="J1356" s="80"/>
      <c r="K1356" s="80"/>
    </row>
    <row r="1357" ht="12.75" customHeight="1">
      <c r="A1357" s="89" t="s">
        <v>4206</v>
      </c>
      <c r="B1357" s="90" t="s">
        <v>4207</v>
      </c>
      <c r="C1357" s="90"/>
      <c r="E1357" s="79"/>
      <c r="F1357" s="80"/>
      <c r="G1357" s="80"/>
      <c r="H1357" s="81"/>
      <c r="I1357" s="80"/>
      <c r="J1357" s="80"/>
      <c r="K1357" s="80"/>
    </row>
    <row r="1358" ht="12.75" customHeight="1">
      <c r="E1358" s="79"/>
      <c r="F1358" s="80"/>
      <c r="G1358" s="80"/>
      <c r="H1358" s="81"/>
      <c r="I1358" s="80"/>
      <c r="J1358" s="80"/>
      <c r="K1358" s="80"/>
    </row>
    <row r="1359" ht="12.75" customHeight="1">
      <c r="A1359" s="89" t="s">
        <v>1118</v>
      </c>
      <c r="B1359" s="90" t="s">
        <v>4208</v>
      </c>
      <c r="C1359" s="90"/>
      <c r="D1359" s="89" t="s">
        <v>75</v>
      </c>
      <c r="E1359" s="91">
        <v>2.0</v>
      </c>
      <c r="F1359" s="92">
        <v>193.97</v>
      </c>
      <c r="G1359" s="92">
        <v>387.94</v>
      </c>
      <c r="H1359" s="93"/>
      <c r="I1359" s="92"/>
      <c r="J1359" s="92"/>
      <c r="K1359" s="92"/>
    </row>
    <row r="1360" ht="12.75" customHeight="1">
      <c r="E1360" s="79"/>
      <c r="F1360" s="80"/>
      <c r="G1360" s="80"/>
      <c r="H1360" s="81"/>
      <c r="I1360" s="80"/>
      <c r="J1360" s="80"/>
      <c r="K1360" s="80"/>
    </row>
    <row r="1361" ht="12.75" customHeight="1">
      <c r="A1361" s="89" t="s">
        <v>4209</v>
      </c>
      <c r="B1361" s="90" t="s">
        <v>4210</v>
      </c>
      <c r="C1361" s="90"/>
      <c r="D1361" s="89" t="s">
        <v>75</v>
      </c>
      <c r="E1361" s="91">
        <v>1.0</v>
      </c>
      <c r="F1361" s="92">
        <v>14107.38</v>
      </c>
      <c r="G1361" s="92">
        <v>14107.38</v>
      </c>
      <c r="H1361" s="93"/>
      <c r="I1361" s="92"/>
      <c r="J1361" s="92"/>
      <c r="K1361" s="92"/>
    </row>
    <row r="1362" ht="12.75" customHeight="1">
      <c r="E1362" s="79"/>
      <c r="F1362" s="80"/>
      <c r="G1362" s="80"/>
      <c r="H1362" s="81"/>
      <c r="I1362" s="80"/>
      <c r="J1362" s="80"/>
      <c r="K1362" s="80"/>
    </row>
    <row r="1363" ht="12.75" customHeight="1">
      <c r="A1363" s="89" t="s">
        <v>4211</v>
      </c>
      <c r="B1363" s="90" t="s">
        <v>4212</v>
      </c>
      <c r="C1363" s="90"/>
      <c r="D1363" s="89" t="s">
        <v>75</v>
      </c>
      <c r="E1363" s="91">
        <v>2.0</v>
      </c>
      <c r="F1363" s="92">
        <v>708.05</v>
      </c>
      <c r="G1363" s="92">
        <v>1416.1</v>
      </c>
      <c r="H1363" s="93"/>
      <c r="I1363" s="92"/>
      <c r="J1363" s="92"/>
      <c r="K1363" s="92"/>
    </row>
    <row r="1364" ht="12.75" customHeight="1">
      <c r="E1364" s="79"/>
      <c r="F1364" s="80"/>
      <c r="G1364" s="80"/>
      <c r="H1364" s="81"/>
      <c r="I1364" s="80"/>
      <c r="J1364" s="80"/>
      <c r="K1364" s="80"/>
    </row>
    <row r="1365" ht="12.75" customHeight="1">
      <c r="A1365" s="89" t="s">
        <v>4213</v>
      </c>
      <c r="B1365" s="90" t="s">
        <v>4120</v>
      </c>
      <c r="C1365" s="90"/>
      <c r="D1365" s="89" t="s">
        <v>75</v>
      </c>
      <c r="E1365" s="91">
        <v>1.0</v>
      </c>
      <c r="F1365" s="92">
        <v>1326.02</v>
      </c>
      <c r="G1365" s="92">
        <v>1326.02</v>
      </c>
      <c r="H1365" s="93"/>
      <c r="I1365" s="92"/>
      <c r="J1365" s="92"/>
      <c r="K1365" s="92"/>
    </row>
    <row r="1366" ht="12.75" customHeight="1">
      <c r="E1366" s="79"/>
      <c r="F1366" s="80"/>
      <c r="G1366" s="80"/>
      <c r="H1366" s="81"/>
      <c r="I1366" s="80"/>
      <c r="J1366" s="80"/>
      <c r="K1366" s="80"/>
    </row>
    <row r="1367" ht="12.75" customHeight="1">
      <c r="A1367" s="89" t="s">
        <v>4214</v>
      </c>
      <c r="B1367" s="90" t="s">
        <v>4177</v>
      </c>
      <c r="C1367" s="90"/>
      <c r="D1367" s="89" t="s">
        <v>33</v>
      </c>
      <c r="E1367" s="91">
        <v>1.0</v>
      </c>
      <c r="F1367" s="92">
        <v>3232.75</v>
      </c>
      <c r="G1367" s="92">
        <v>3232.75</v>
      </c>
      <c r="H1367" s="93"/>
      <c r="I1367" s="92"/>
      <c r="J1367" s="92"/>
      <c r="K1367" s="92"/>
    </row>
    <row r="1368" ht="12.75" customHeight="1">
      <c r="E1368" s="79"/>
      <c r="F1368" s="80"/>
      <c r="G1368" s="80"/>
      <c r="H1368" s="81"/>
      <c r="I1368" s="80"/>
      <c r="J1368" s="80"/>
      <c r="K1368" s="80"/>
    </row>
    <row r="1369" ht="12.75" customHeight="1">
      <c r="A1369" s="89" t="s">
        <v>4148</v>
      </c>
      <c r="B1369" s="90" t="s">
        <v>4149</v>
      </c>
      <c r="C1369" s="90"/>
      <c r="E1369" s="79"/>
      <c r="F1369" s="80"/>
      <c r="G1369" s="92">
        <v>74220.75</v>
      </c>
      <c r="H1369" s="93">
        <f>G1369</f>
        <v>74220.75</v>
      </c>
      <c r="I1369" s="92"/>
      <c r="J1369" s="92"/>
      <c r="K1369" s="92"/>
    </row>
    <row r="1370" ht="12.75" customHeight="1">
      <c r="E1370" s="79"/>
      <c r="F1370" s="80"/>
      <c r="G1370" s="80"/>
      <c r="H1370" s="81"/>
      <c r="I1370" s="80"/>
      <c r="J1370" s="80"/>
      <c r="K1370" s="80"/>
    </row>
    <row r="1371" ht="12.75" customHeight="1">
      <c r="E1371" s="79"/>
      <c r="F1371" s="80"/>
      <c r="G1371" s="80"/>
      <c r="H1371" s="81"/>
      <c r="I1371" s="80"/>
      <c r="J1371" s="80"/>
      <c r="K1371" s="80"/>
    </row>
    <row r="1372" ht="12.75" customHeight="1">
      <c r="A1372" s="89" t="s">
        <v>4215</v>
      </c>
      <c r="B1372" s="90" t="s">
        <v>2696</v>
      </c>
      <c r="C1372" s="90"/>
      <c r="E1372" s="79"/>
      <c r="F1372" s="80"/>
      <c r="G1372" s="80"/>
      <c r="H1372" s="81"/>
      <c r="I1372" s="80"/>
      <c r="J1372" s="80"/>
      <c r="K1372" s="80"/>
    </row>
    <row r="1373" ht="12.75" customHeight="1">
      <c r="E1373" s="79"/>
      <c r="F1373" s="80"/>
      <c r="G1373" s="80"/>
      <c r="H1373" s="81"/>
      <c r="I1373" s="80"/>
      <c r="J1373" s="80"/>
      <c r="K1373" s="80"/>
    </row>
    <row r="1374" ht="12.75" customHeight="1">
      <c r="A1374" s="89" t="s">
        <v>4216</v>
      </c>
      <c r="B1374" s="90" t="s">
        <v>2697</v>
      </c>
      <c r="C1374" s="90"/>
      <c r="E1374" s="79"/>
      <c r="F1374" s="80"/>
      <c r="G1374" s="80"/>
      <c r="H1374" s="81"/>
      <c r="I1374" s="80"/>
      <c r="J1374" s="80"/>
      <c r="K1374" s="80"/>
    </row>
    <row r="1375" ht="12.75" customHeight="1">
      <c r="E1375" s="79"/>
      <c r="F1375" s="80"/>
      <c r="G1375" s="80"/>
      <c r="H1375" s="81"/>
      <c r="I1375" s="80"/>
      <c r="J1375" s="80"/>
      <c r="K1375" s="80"/>
    </row>
    <row r="1376" ht="12.75" customHeight="1">
      <c r="A1376" s="89" t="s">
        <v>1124</v>
      </c>
      <c r="B1376" s="90" t="s">
        <v>4217</v>
      </c>
      <c r="C1376" s="90"/>
      <c r="D1376" s="89" t="s">
        <v>161</v>
      </c>
      <c r="E1376" s="91">
        <v>19.19</v>
      </c>
      <c r="F1376" s="92">
        <v>12.93</v>
      </c>
      <c r="G1376" s="92">
        <v>248.13</v>
      </c>
      <c r="H1376" s="93"/>
      <c r="I1376" s="92"/>
      <c r="J1376" s="92"/>
      <c r="K1376" s="92"/>
    </row>
    <row r="1377" ht="12.75" customHeight="1">
      <c r="E1377" s="79"/>
      <c r="F1377" s="80"/>
      <c r="G1377" s="80"/>
      <c r="H1377" s="81"/>
      <c r="I1377" s="80"/>
      <c r="J1377" s="80"/>
      <c r="K1377" s="80"/>
    </row>
    <row r="1378" ht="12.75" customHeight="1">
      <c r="A1378" s="89" t="s">
        <v>1126</v>
      </c>
      <c r="B1378" s="90" t="s">
        <v>4218</v>
      </c>
      <c r="C1378" s="90"/>
      <c r="D1378" s="89" t="s">
        <v>161</v>
      </c>
      <c r="E1378" s="91">
        <v>13.91</v>
      </c>
      <c r="F1378" s="92">
        <v>16.16</v>
      </c>
      <c r="G1378" s="92">
        <v>224.79</v>
      </c>
      <c r="H1378" s="93"/>
      <c r="I1378" s="92"/>
      <c r="J1378" s="92"/>
      <c r="K1378" s="92"/>
    </row>
    <row r="1379" ht="12.75" customHeight="1">
      <c r="E1379" s="79"/>
      <c r="F1379" s="80"/>
      <c r="G1379" s="80"/>
      <c r="H1379" s="81"/>
      <c r="I1379" s="80"/>
      <c r="J1379" s="80"/>
      <c r="K1379" s="80"/>
    </row>
    <row r="1380" ht="12.75" customHeight="1">
      <c r="A1380" s="89" t="s">
        <v>4219</v>
      </c>
      <c r="B1380" s="90" t="s">
        <v>2702</v>
      </c>
      <c r="C1380" s="90"/>
      <c r="E1380" s="79"/>
      <c r="F1380" s="80"/>
      <c r="G1380" s="80"/>
      <c r="H1380" s="81"/>
      <c r="I1380" s="80"/>
      <c r="J1380" s="80"/>
      <c r="K1380" s="80"/>
    </row>
    <row r="1381" ht="12.75" customHeight="1">
      <c r="E1381" s="79"/>
      <c r="F1381" s="80"/>
      <c r="G1381" s="80"/>
      <c r="H1381" s="81"/>
      <c r="I1381" s="80"/>
      <c r="J1381" s="80"/>
      <c r="K1381" s="80"/>
    </row>
    <row r="1382" ht="12.75" customHeight="1">
      <c r="A1382" s="89" t="s">
        <v>1129</v>
      </c>
      <c r="B1382" s="90" t="s">
        <v>4220</v>
      </c>
      <c r="C1382" s="90"/>
      <c r="D1382" s="89" t="s">
        <v>33</v>
      </c>
      <c r="E1382" s="91">
        <v>1.0</v>
      </c>
      <c r="F1382" s="92">
        <v>323.28</v>
      </c>
      <c r="G1382" s="92">
        <v>323.28</v>
      </c>
      <c r="H1382" s="93"/>
      <c r="I1382" s="92"/>
      <c r="J1382" s="92"/>
      <c r="K1382" s="92"/>
    </row>
    <row r="1383" ht="12.75" customHeight="1">
      <c r="E1383" s="79"/>
      <c r="F1383" s="80"/>
      <c r="G1383" s="80"/>
      <c r="H1383" s="81"/>
      <c r="I1383" s="80"/>
      <c r="J1383" s="80"/>
      <c r="K1383" s="80"/>
    </row>
    <row r="1384" ht="12.75" customHeight="1">
      <c r="A1384" s="89" t="s">
        <v>1131</v>
      </c>
      <c r="B1384" s="90" t="s">
        <v>4221</v>
      </c>
      <c r="C1384" s="90"/>
      <c r="D1384" s="89" t="s">
        <v>33</v>
      </c>
      <c r="E1384" s="91">
        <v>1.0</v>
      </c>
      <c r="F1384" s="92">
        <v>484.91</v>
      </c>
      <c r="G1384" s="92">
        <v>484.91</v>
      </c>
      <c r="H1384" s="93"/>
      <c r="I1384" s="92"/>
      <c r="J1384" s="92"/>
      <c r="K1384" s="92"/>
    </row>
    <row r="1385" ht="12.75" customHeight="1">
      <c r="E1385" s="79"/>
      <c r="F1385" s="80"/>
      <c r="G1385" s="80"/>
      <c r="H1385" s="81"/>
      <c r="I1385" s="80"/>
      <c r="J1385" s="80"/>
      <c r="K1385" s="80"/>
    </row>
    <row r="1386" ht="12.75" customHeight="1">
      <c r="A1386" s="89" t="s">
        <v>4222</v>
      </c>
      <c r="B1386" s="90" t="s">
        <v>2132</v>
      </c>
      <c r="C1386" s="90"/>
      <c r="E1386" s="79"/>
      <c r="F1386" s="80"/>
      <c r="G1386" s="80"/>
      <c r="H1386" s="81"/>
      <c r="I1386" s="80"/>
      <c r="J1386" s="80"/>
      <c r="K1386" s="80"/>
    </row>
    <row r="1387" ht="12.75" customHeight="1">
      <c r="E1387" s="79"/>
      <c r="F1387" s="80"/>
      <c r="G1387" s="80"/>
      <c r="H1387" s="81"/>
      <c r="I1387" s="80"/>
      <c r="J1387" s="80"/>
      <c r="K1387" s="80"/>
    </row>
    <row r="1388" ht="12.75" customHeight="1">
      <c r="A1388" s="89" t="s">
        <v>1133</v>
      </c>
      <c r="B1388" s="90" t="s">
        <v>4223</v>
      </c>
      <c r="C1388" s="90"/>
      <c r="D1388" s="89" t="s">
        <v>33</v>
      </c>
      <c r="E1388" s="91">
        <v>1.0</v>
      </c>
      <c r="F1388" s="92">
        <v>1293.1</v>
      </c>
      <c r="G1388" s="92">
        <v>1293.1</v>
      </c>
      <c r="H1388" s="93"/>
      <c r="I1388" s="92"/>
      <c r="J1388" s="92"/>
      <c r="K1388" s="92"/>
    </row>
    <row r="1389" ht="12.75" customHeight="1">
      <c r="E1389" s="79"/>
      <c r="F1389" s="80"/>
      <c r="G1389" s="80"/>
      <c r="H1389" s="81"/>
      <c r="I1389" s="80"/>
      <c r="J1389" s="80"/>
      <c r="K1389" s="80"/>
    </row>
    <row r="1390" ht="12.75" customHeight="1">
      <c r="A1390" s="89" t="s">
        <v>1134</v>
      </c>
      <c r="B1390" s="90" t="s">
        <v>4224</v>
      </c>
      <c r="C1390" s="90"/>
      <c r="D1390" s="89" t="s">
        <v>33</v>
      </c>
      <c r="E1390" s="91">
        <v>1.0</v>
      </c>
      <c r="F1390" s="92">
        <v>193.97</v>
      </c>
      <c r="G1390" s="92">
        <v>193.97</v>
      </c>
      <c r="H1390" s="93"/>
      <c r="I1390" s="92"/>
      <c r="J1390" s="92"/>
      <c r="K1390" s="92"/>
    </row>
    <row r="1391" ht="12.75" customHeight="1">
      <c r="E1391" s="79"/>
      <c r="F1391" s="80"/>
      <c r="G1391" s="80"/>
      <c r="H1391" s="81"/>
      <c r="I1391" s="80"/>
      <c r="J1391" s="80"/>
      <c r="K1391" s="80"/>
    </row>
    <row r="1392" ht="12.75" customHeight="1">
      <c r="A1392" s="89" t="s">
        <v>4215</v>
      </c>
      <c r="B1392" s="90" t="s">
        <v>2696</v>
      </c>
      <c r="C1392" s="90"/>
      <c r="E1392" s="79"/>
      <c r="F1392" s="80"/>
      <c r="G1392" s="92">
        <v>2768.18</v>
      </c>
      <c r="H1392" s="93">
        <f>G1392</f>
        <v>2768.18</v>
      </c>
      <c r="I1392" s="92"/>
      <c r="J1392" s="92"/>
      <c r="K1392" s="92"/>
    </row>
    <row r="1393" ht="12.75" customHeight="1">
      <c r="E1393" s="79"/>
      <c r="F1393" s="80"/>
      <c r="G1393" s="80"/>
      <c r="H1393" s="81"/>
      <c r="I1393" s="80"/>
      <c r="J1393" s="80"/>
      <c r="K1393" s="80"/>
    </row>
    <row r="1394" ht="12.75" customHeight="1">
      <c r="E1394" s="79"/>
      <c r="F1394" s="80"/>
      <c r="G1394" s="80"/>
      <c r="H1394" s="81"/>
      <c r="I1394" s="80"/>
      <c r="J1394" s="80"/>
      <c r="K1394" s="80"/>
    </row>
    <row r="1395" ht="12.75" customHeight="1">
      <c r="A1395" s="89" t="s">
        <v>4225</v>
      </c>
      <c r="B1395" s="90" t="s">
        <v>4226</v>
      </c>
      <c r="C1395" s="90"/>
      <c r="E1395" s="79"/>
      <c r="F1395" s="80"/>
      <c r="G1395" s="80"/>
      <c r="H1395" s="81"/>
      <c r="I1395" s="80"/>
      <c r="J1395" s="80"/>
      <c r="K1395" s="80"/>
    </row>
    <row r="1396" ht="12.75" customHeight="1">
      <c r="E1396" s="79"/>
      <c r="F1396" s="80"/>
      <c r="G1396" s="80"/>
      <c r="H1396" s="81"/>
      <c r="I1396" s="80"/>
      <c r="J1396" s="80"/>
      <c r="K1396" s="80"/>
    </row>
    <row r="1397" ht="12.75" customHeight="1">
      <c r="A1397" s="89" t="s">
        <v>1137</v>
      </c>
      <c r="B1397" s="90" t="s">
        <v>4227</v>
      </c>
      <c r="C1397" s="90"/>
      <c r="D1397" s="89" t="s">
        <v>75</v>
      </c>
      <c r="E1397" s="91">
        <v>1.0</v>
      </c>
      <c r="F1397" s="92">
        <v>13774.59</v>
      </c>
      <c r="G1397" s="92">
        <v>13774.59</v>
      </c>
      <c r="H1397" s="93"/>
      <c r="I1397" s="92"/>
      <c r="J1397" s="92"/>
      <c r="K1397" s="92"/>
    </row>
    <row r="1398" ht="12.75" customHeight="1">
      <c r="E1398" s="79"/>
      <c r="F1398" s="80"/>
      <c r="G1398" s="80"/>
      <c r="H1398" s="81"/>
      <c r="I1398" s="80"/>
      <c r="J1398" s="80"/>
      <c r="K1398" s="80"/>
    </row>
    <row r="1399" ht="12.75" customHeight="1">
      <c r="A1399" s="89" t="s">
        <v>1139</v>
      </c>
      <c r="B1399" s="90" t="s">
        <v>4228</v>
      </c>
      <c r="C1399" s="90"/>
      <c r="E1399" s="79"/>
      <c r="F1399" s="80"/>
      <c r="G1399" s="80"/>
      <c r="H1399" s="81"/>
      <c r="I1399" s="80"/>
      <c r="J1399" s="80"/>
      <c r="K1399" s="80"/>
    </row>
    <row r="1400" ht="12.75" customHeight="1">
      <c r="E1400" s="79"/>
      <c r="F1400" s="80"/>
      <c r="G1400" s="80"/>
      <c r="H1400" s="81"/>
      <c r="I1400" s="80"/>
      <c r="J1400" s="80"/>
      <c r="K1400" s="80"/>
    </row>
    <row r="1401" ht="12.75" customHeight="1">
      <c r="B1401" s="90" t="s">
        <v>1141</v>
      </c>
      <c r="C1401" s="90"/>
      <c r="D1401" s="89" t="s">
        <v>75</v>
      </c>
      <c r="E1401" s="91">
        <v>2.0</v>
      </c>
      <c r="F1401" s="92">
        <v>1668.93</v>
      </c>
      <c r="G1401" s="92">
        <v>3337.86</v>
      </c>
      <c r="H1401" s="93"/>
      <c r="I1401" s="92"/>
      <c r="J1401" s="92"/>
      <c r="K1401" s="92"/>
    </row>
    <row r="1402" ht="12.75" customHeight="1">
      <c r="E1402" s="79"/>
      <c r="F1402" s="80"/>
      <c r="G1402" s="80"/>
      <c r="H1402" s="81"/>
      <c r="I1402" s="80"/>
      <c r="J1402" s="80"/>
      <c r="K1402" s="80"/>
    </row>
    <row r="1403" ht="12.75" customHeight="1">
      <c r="B1403" s="90" t="s">
        <v>1142</v>
      </c>
      <c r="C1403" s="90"/>
      <c r="D1403" s="89" t="s">
        <v>75</v>
      </c>
      <c r="E1403" s="91">
        <v>4.0</v>
      </c>
      <c r="F1403" s="92">
        <v>1773.41</v>
      </c>
      <c r="G1403" s="92">
        <v>7093.64</v>
      </c>
      <c r="H1403" s="93"/>
      <c r="I1403" s="92"/>
      <c r="J1403" s="92"/>
      <c r="K1403" s="92"/>
    </row>
    <row r="1404" ht="12.75" customHeight="1">
      <c r="E1404" s="79"/>
      <c r="F1404" s="80"/>
      <c r="G1404" s="80"/>
      <c r="H1404" s="81"/>
      <c r="I1404" s="80"/>
      <c r="J1404" s="80"/>
      <c r="K1404" s="80"/>
    </row>
    <row r="1405" ht="12.75" customHeight="1">
      <c r="B1405" s="90" t="s">
        <v>1143</v>
      </c>
      <c r="C1405" s="90"/>
      <c r="D1405" s="89" t="s">
        <v>75</v>
      </c>
      <c r="E1405" s="91">
        <v>1.0</v>
      </c>
      <c r="F1405" s="92">
        <v>2703.28</v>
      </c>
      <c r="G1405" s="92">
        <v>2703.28</v>
      </c>
      <c r="H1405" s="93"/>
      <c r="I1405" s="92"/>
      <c r="J1405" s="92"/>
      <c r="K1405" s="92"/>
    </row>
    <row r="1406" ht="12.75" customHeight="1">
      <c r="E1406" s="79"/>
      <c r="F1406" s="80"/>
      <c r="G1406" s="80"/>
      <c r="H1406" s="81"/>
      <c r="I1406" s="80"/>
      <c r="J1406" s="80"/>
      <c r="K1406" s="80"/>
    </row>
    <row r="1407" ht="12.75" customHeight="1">
      <c r="A1407" s="89" t="s">
        <v>1144</v>
      </c>
      <c r="B1407" s="90" t="s">
        <v>4229</v>
      </c>
      <c r="C1407" s="90"/>
      <c r="E1407" s="79"/>
      <c r="F1407" s="80"/>
      <c r="G1407" s="80"/>
      <c r="H1407" s="81"/>
      <c r="I1407" s="80"/>
      <c r="J1407" s="80"/>
      <c r="K1407" s="80"/>
    </row>
    <row r="1408" ht="12.75" customHeight="1">
      <c r="E1408" s="79"/>
      <c r="F1408" s="80"/>
      <c r="G1408" s="80"/>
      <c r="H1408" s="81"/>
      <c r="I1408" s="80"/>
      <c r="J1408" s="80"/>
      <c r="K1408" s="80"/>
    </row>
    <row r="1409" ht="12.75" customHeight="1">
      <c r="B1409" s="90" t="s">
        <v>2723</v>
      </c>
      <c r="C1409" s="90"/>
      <c r="D1409" s="89" t="s">
        <v>75</v>
      </c>
      <c r="E1409" s="91">
        <v>7.0</v>
      </c>
      <c r="F1409" s="92">
        <v>41.9</v>
      </c>
      <c r="G1409" s="92">
        <v>293.3</v>
      </c>
      <c r="H1409" s="93"/>
      <c r="I1409" s="92"/>
      <c r="J1409" s="92"/>
      <c r="K1409" s="92"/>
    </row>
    <row r="1410" ht="12.75" customHeight="1">
      <c r="E1410" s="79"/>
      <c r="F1410" s="80"/>
      <c r="G1410" s="80"/>
      <c r="H1410" s="81"/>
      <c r="I1410" s="80"/>
      <c r="J1410" s="80"/>
      <c r="K1410" s="80"/>
    </row>
    <row r="1411" ht="12.75" customHeight="1">
      <c r="A1411" s="89" t="s">
        <v>1147</v>
      </c>
      <c r="B1411" s="90" t="s">
        <v>4230</v>
      </c>
      <c r="C1411" s="90"/>
      <c r="E1411" s="79"/>
      <c r="F1411" s="80"/>
      <c r="G1411" s="80"/>
      <c r="H1411" s="81"/>
      <c r="I1411" s="80"/>
      <c r="J1411" s="80"/>
      <c r="K1411" s="80"/>
    </row>
    <row r="1412" ht="12.75" customHeight="1">
      <c r="E1412" s="79"/>
      <c r="F1412" s="80"/>
      <c r="G1412" s="80"/>
      <c r="H1412" s="81"/>
      <c r="I1412" s="80"/>
      <c r="J1412" s="80"/>
      <c r="K1412" s="80"/>
    </row>
    <row r="1413" ht="12.75" customHeight="1">
      <c r="B1413" s="90" t="s">
        <v>1149</v>
      </c>
      <c r="C1413" s="90"/>
      <c r="D1413" s="89" t="s">
        <v>75</v>
      </c>
      <c r="E1413" s="91">
        <v>6.0</v>
      </c>
      <c r="F1413" s="92">
        <v>214.72</v>
      </c>
      <c r="G1413" s="92">
        <v>1288.32</v>
      </c>
      <c r="H1413" s="93"/>
      <c r="I1413" s="92"/>
      <c r="J1413" s="92"/>
      <c r="K1413" s="92"/>
    </row>
    <row r="1414" ht="12.75" customHeight="1">
      <c r="E1414" s="79"/>
      <c r="F1414" s="80"/>
      <c r="G1414" s="80"/>
      <c r="H1414" s="81"/>
      <c r="I1414" s="80"/>
      <c r="J1414" s="80"/>
      <c r="K1414" s="80"/>
    </row>
    <row r="1415" ht="12.75" customHeight="1">
      <c r="A1415" s="89" t="s">
        <v>1150</v>
      </c>
      <c r="B1415" s="90" t="s">
        <v>4231</v>
      </c>
      <c r="C1415" s="90"/>
      <c r="E1415" s="79"/>
      <c r="F1415" s="80"/>
      <c r="G1415" s="80"/>
      <c r="H1415" s="81"/>
      <c r="I1415" s="80"/>
      <c r="J1415" s="80"/>
      <c r="K1415" s="80"/>
    </row>
    <row r="1416" ht="12.75" customHeight="1">
      <c r="E1416" s="79"/>
      <c r="F1416" s="80"/>
      <c r="G1416" s="80"/>
      <c r="H1416" s="81"/>
      <c r="I1416" s="80"/>
      <c r="J1416" s="80"/>
      <c r="K1416" s="80"/>
    </row>
    <row r="1417" ht="12.75" customHeight="1">
      <c r="B1417" s="90" t="s">
        <v>1152</v>
      </c>
      <c r="C1417" s="90"/>
      <c r="D1417" s="89" t="s">
        <v>75</v>
      </c>
      <c r="E1417" s="91">
        <v>1.0</v>
      </c>
      <c r="F1417" s="92">
        <v>13551.34</v>
      </c>
      <c r="G1417" s="92">
        <v>13551.34</v>
      </c>
      <c r="H1417" s="93"/>
      <c r="I1417" s="92"/>
      <c r="J1417" s="92"/>
      <c r="K1417" s="92"/>
    </row>
    <row r="1418" ht="12.75" customHeight="1">
      <c r="E1418" s="79"/>
      <c r="F1418" s="80"/>
      <c r="G1418" s="80"/>
      <c r="H1418" s="81"/>
      <c r="I1418" s="80"/>
      <c r="J1418" s="80"/>
      <c r="K1418" s="80"/>
    </row>
    <row r="1419" ht="12.75" customHeight="1">
      <c r="A1419" s="89" t="s">
        <v>1153</v>
      </c>
      <c r="B1419" s="90" t="s">
        <v>4232</v>
      </c>
      <c r="C1419" s="90"/>
      <c r="D1419" s="89" t="s">
        <v>75</v>
      </c>
      <c r="E1419" s="91">
        <v>1.0</v>
      </c>
      <c r="F1419" s="92">
        <v>4023.77</v>
      </c>
      <c r="G1419" s="92">
        <v>4023.77</v>
      </c>
      <c r="H1419" s="93"/>
      <c r="I1419" s="92"/>
      <c r="J1419" s="92"/>
      <c r="K1419" s="92"/>
    </row>
    <row r="1420" ht="12.75" customHeight="1">
      <c r="E1420" s="79"/>
      <c r="F1420" s="80"/>
      <c r="G1420" s="80"/>
      <c r="H1420" s="81"/>
      <c r="I1420" s="80"/>
      <c r="J1420" s="80"/>
      <c r="K1420" s="80"/>
    </row>
    <row r="1421" ht="12.75" customHeight="1">
      <c r="A1421" s="89" t="s">
        <v>1155</v>
      </c>
      <c r="B1421" s="90" t="s">
        <v>4233</v>
      </c>
      <c r="C1421" s="90"/>
      <c r="D1421" s="89" t="s">
        <v>75</v>
      </c>
      <c r="E1421" s="91">
        <v>7.0</v>
      </c>
      <c r="F1421" s="92">
        <v>176.82</v>
      </c>
      <c r="G1421" s="92">
        <v>1237.74</v>
      </c>
      <c r="H1421" s="93"/>
      <c r="I1421" s="92"/>
      <c r="J1421" s="92"/>
      <c r="K1421" s="92"/>
    </row>
    <row r="1422" ht="12.75" customHeight="1">
      <c r="E1422" s="79"/>
      <c r="F1422" s="80"/>
      <c r="G1422" s="80"/>
      <c r="H1422" s="81"/>
      <c r="I1422" s="80"/>
      <c r="J1422" s="80"/>
      <c r="K1422" s="80"/>
    </row>
    <row r="1423" ht="12.75" customHeight="1">
      <c r="A1423" s="89" t="s">
        <v>1157</v>
      </c>
      <c r="B1423" s="90" t="s">
        <v>4234</v>
      </c>
      <c r="C1423" s="90"/>
      <c r="E1423" s="79"/>
      <c r="F1423" s="80"/>
      <c r="G1423" s="80"/>
      <c r="H1423" s="81"/>
      <c r="I1423" s="80"/>
      <c r="J1423" s="80"/>
      <c r="K1423" s="80"/>
    </row>
    <row r="1424" ht="12.75" customHeight="1">
      <c r="E1424" s="79"/>
      <c r="F1424" s="80"/>
      <c r="G1424" s="80"/>
      <c r="H1424" s="81"/>
      <c r="I1424" s="80"/>
      <c r="J1424" s="80"/>
      <c r="K1424" s="80"/>
    </row>
    <row r="1425" ht="12.75" customHeight="1">
      <c r="B1425" s="90" t="s">
        <v>1159</v>
      </c>
      <c r="C1425" s="90"/>
      <c r="D1425" s="89" t="s">
        <v>877</v>
      </c>
      <c r="E1425" s="91">
        <v>54.0</v>
      </c>
      <c r="F1425" s="92">
        <v>11.52</v>
      </c>
      <c r="G1425" s="92">
        <v>622.08</v>
      </c>
      <c r="H1425" s="93"/>
      <c r="I1425" s="92"/>
      <c r="J1425" s="92"/>
      <c r="K1425" s="92"/>
    </row>
    <row r="1426" ht="12.75" customHeight="1">
      <c r="E1426" s="79"/>
      <c r="F1426" s="80"/>
      <c r="G1426" s="80"/>
      <c r="H1426" s="81"/>
      <c r="I1426" s="80"/>
      <c r="J1426" s="80"/>
      <c r="K1426" s="80"/>
    </row>
    <row r="1427" ht="12.75" customHeight="1">
      <c r="B1427" s="90" t="s">
        <v>1160</v>
      </c>
      <c r="C1427" s="90"/>
      <c r="D1427" s="89" t="s">
        <v>877</v>
      </c>
      <c r="E1427" s="91">
        <v>22.0</v>
      </c>
      <c r="F1427" s="92">
        <v>14.24</v>
      </c>
      <c r="G1427" s="92">
        <v>313.28</v>
      </c>
      <c r="H1427" s="93"/>
      <c r="I1427" s="92"/>
      <c r="J1427" s="92"/>
      <c r="K1427" s="92"/>
    </row>
    <row r="1428" ht="12.75" customHeight="1">
      <c r="E1428" s="79"/>
      <c r="F1428" s="80"/>
      <c r="G1428" s="80"/>
      <c r="H1428" s="81"/>
      <c r="I1428" s="80"/>
      <c r="J1428" s="80"/>
      <c r="K1428" s="80"/>
    </row>
    <row r="1429" ht="12.75" customHeight="1">
      <c r="B1429" s="90" t="s">
        <v>1161</v>
      </c>
      <c r="C1429" s="90"/>
      <c r="D1429" s="89" t="s">
        <v>877</v>
      </c>
      <c r="E1429" s="91">
        <v>72.0</v>
      </c>
      <c r="F1429" s="92">
        <v>17.57</v>
      </c>
      <c r="G1429" s="92">
        <v>1265.04</v>
      </c>
      <c r="H1429" s="93"/>
      <c r="I1429" s="92"/>
      <c r="J1429" s="92"/>
      <c r="K1429" s="92"/>
    </row>
    <row r="1430" ht="12.75" customHeight="1">
      <c r="E1430" s="79"/>
      <c r="F1430" s="80"/>
      <c r="G1430" s="80"/>
      <c r="H1430" s="81"/>
      <c r="I1430" s="80"/>
      <c r="J1430" s="80"/>
      <c r="K1430" s="80"/>
    </row>
    <row r="1431" ht="12.75" customHeight="1">
      <c r="B1431" s="90" t="s">
        <v>1162</v>
      </c>
      <c r="C1431" s="90"/>
      <c r="D1431" s="89" t="s">
        <v>877</v>
      </c>
      <c r="E1431" s="91">
        <v>56.0</v>
      </c>
      <c r="F1431" s="92">
        <v>21.06</v>
      </c>
      <c r="G1431" s="92">
        <v>1179.36</v>
      </c>
      <c r="H1431" s="93"/>
      <c r="I1431" s="92"/>
      <c r="J1431" s="92"/>
      <c r="K1431" s="92"/>
    </row>
    <row r="1432" ht="12.75" customHeight="1">
      <c r="E1432" s="79"/>
      <c r="F1432" s="80"/>
      <c r="G1432" s="80"/>
      <c r="H1432" s="81"/>
      <c r="I1432" s="80"/>
      <c r="J1432" s="80"/>
      <c r="K1432" s="80"/>
    </row>
    <row r="1433" ht="12.75" customHeight="1">
      <c r="B1433" s="90" t="s">
        <v>1163</v>
      </c>
      <c r="C1433" s="90"/>
      <c r="D1433" s="89" t="s">
        <v>877</v>
      </c>
      <c r="E1433" s="91">
        <v>10.0</v>
      </c>
      <c r="F1433" s="92">
        <v>27.21</v>
      </c>
      <c r="G1433" s="92">
        <v>272.1</v>
      </c>
      <c r="H1433" s="93"/>
      <c r="I1433" s="92"/>
      <c r="J1433" s="92"/>
      <c r="K1433" s="92"/>
    </row>
    <row r="1434" ht="12.75" customHeight="1">
      <c r="E1434" s="79"/>
      <c r="F1434" s="80"/>
      <c r="G1434" s="80"/>
      <c r="H1434" s="81"/>
      <c r="I1434" s="80"/>
      <c r="J1434" s="80"/>
      <c r="K1434" s="80"/>
    </row>
    <row r="1435" ht="12.75" customHeight="1">
      <c r="B1435" s="90" t="s">
        <v>1164</v>
      </c>
      <c r="C1435" s="90"/>
      <c r="D1435" s="89" t="s">
        <v>877</v>
      </c>
      <c r="E1435" s="91">
        <v>8.0</v>
      </c>
      <c r="F1435" s="92">
        <v>28.33</v>
      </c>
      <c r="G1435" s="92">
        <v>226.64</v>
      </c>
      <c r="H1435" s="93"/>
      <c r="I1435" s="92"/>
      <c r="J1435" s="92"/>
      <c r="K1435" s="92"/>
    </row>
    <row r="1436" ht="12.75" customHeight="1">
      <c r="E1436" s="79"/>
      <c r="F1436" s="80"/>
      <c r="G1436" s="80"/>
      <c r="H1436" s="81"/>
      <c r="I1436" s="80"/>
      <c r="J1436" s="80"/>
      <c r="K1436" s="80"/>
    </row>
    <row r="1437" ht="12.75" customHeight="1">
      <c r="B1437" s="90" t="s">
        <v>1165</v>
      </c>
      <c r="C1437" s="90"/>
      <c r="D1437" s="89" t="s">
        <v>877</v>
      </c>
      <c r="E1437" s="91">
        <v>34.0</v>
      </c>
      <c r="F1437" s="92">
        <v>35.55</v>
      </c>
      <c r="G1437" s="92">
        <v>1208.7</v>
      </c>
      <c r="H1437" s="93"/>
      <c r="I1437" s="92"/>
      <c r="J1437" s="92"/>
      <c r="K1437" s="92"/>
    </row>
    <row r="1438" ht="12.75" customHeight="1">
      <c r="E1438" s="79"/>
      <c r="F1438" s="80"/>
      <c r="G1438" s="80"/>
      <c r="H1438" s="81"/>
      <c r="I1438" s="80"/>
      <c r="J1438" s="80"/>
      <c r="K1438" s="80"/>
    </row>
    <row r="1439" ht="12.75" customHeight="1">
      <c r="A1439" s="89" t="s">
        <v>4235</v>
      </c>
      <c r="B1439" s="90" t="s">
        <v>4236</v>
      </c>
      <c r="C1439" s="90"/>
      <c r="E1439" s="79"/>
      <c r="F1439" s="80"/>
      <c r="G1439" s="80"/>
      <c r="H1439" s="81"/>
      <c r="I1439" s="80"/>
      <c r="J1439" s="80"/>
      <c r="K1439" s="80"/>
    </row>
    <row r="1440" ht="12.75" customHeight="1">
      <c r="E1440" s="79"/>
      <c r="F1440" s="80"/>
      <c r="G1440" s="80"/>
      <c r="H1440" s="81"/>
      <c r="I1440" s="80"/>
      <c r="J1440" s="80"/>
      <c r="K1440" s="80"/>
    </row>
    <row r="1441" ht="12.75" customHeight="1">
      <c r="B1441" s="90" t="s">
        <v>1167</v>
      </c>
      <c r="C1441" s="90"/>
      <c r="D1441" s="89" t="s">
        <v>877</v>
      </c>
      <c r="E1441" s="91">
        <v>56.0</v>
      </c>
      <c r="F1441" s="92">
        <v>12.93</v>
      </c>
      <c r="G1441" s="92">
        <v>724.08</v>
      </c>
      <c r="H1441" s="93"/>
      <c r="I1441" s="92"/>
      <c r="J1441" s="92"/>
      <c r="K1441" s="92"/>
    </row>
    <row r="1442" ht="12.75" customHeight="1">
      <c r="E1442" s="79"/>
      <c r="F1442" s="80"/>
      <c r="G1442" s="80"/>
      <c r="H1442" s="81"/>
      <c r="I1442" s="80"/>
      <c r="J1442" s="80"/>
      <c r="K1442" s="80"/>
    </row>
    <row r="1443" ht="12.75" customHeight="1">
      <c r="A1443" s="89" t="s">
        <v>4237</v>
      </c>
      <c r="B1443" s="90" t="s">
        <v>4238</v>
      </c>
      <c r="C1443" s="90"/>
      <c r="E1443" s="79"/>
      <c r="F1443" s="80"/>
      <c r="G1443" s="80"/>
      <c r="H1443" s="81"/>
      <c r="I1443" s="80"/>
      <c r="J1443" s="80"/>
      <c r="K1443" s="80"/>
    </row>
    <row r="1444" ht="12.75" customHeight="1">
      <c r="E1444" s="79"/>
      <c r="F1444" s="80"/>
      <c r="G1444" s="80"/>
      <c r="H1444" s="81"/>
      <c r="I1444" s="80"/>
      <c r="J1444" s="80"/>
      <c r="K1444" s="80"/>
    </row>
    <row r="1445" ht="12.75" customHeight="1">
      <c r="B1445" s="90" t="s">
        <v>1169</v>
      </c>
      <c r="C1445" s="90"/>
      <c r="D1445" s="89" t="s">
        <v>877</v>
      </c>
      <c r="E1445" s="91">
        <v>28.0</v>
      </c>
      <c r="F1445" s="92">
        <v>12.59</v>
      </c>
      <c r="G1445" s="92">
        <v>352.52</v>
      </c>
      <c r="H1445" s="93"/>
      <c r="I1445" s="92"/>
      <c r="J1445" s="92"/>
      <c r="K1445" s="92"/>
    </row>
    <row r="1446" ht="12.75" customHeight="1">
      <c r="E1446" s="79"/>
      <c r="F1446" s="80"/>
      <c r="G1446" s="80"/>
      <c r="H1446" s="81"/>
      <c r="I1446" s="80"/>
      <c r="J1446" s="80"/>
      <c r="K1446" s="80"/>
    </row>
    <row r="1447" ht="12.75" customHeight="1">
      <c r="B1447" s="90" t="s">
        <v>1170</v>
      </c>
      <c r="C1447" s="90"/>
      <c r="D1447" s="89" t="s">
        <v>877</v>
      </c>
      <c r="E1447" s="91">
        <v>52.0</v>
      </c>
      <c r="F1447" s="92">
        <v>16.77</v>
      </c>
      <c r="G1447" s="92">
        <v>872.04</v>
      </c>
      <c r="H1447" s="93"/>
      <c r="I1447" s="92"/>
      <c r="J1447" s="92"/>
      <c r="K1447" s="92"/>
    </row>
    <row r="1448" ht="12.75" customHeight="1">
      <c r="E1448" s="79"/>
      <c r="F1448" s="80"/>
      <c r="G1448" s="80"/>
      <c r="H1448" s="81"/>
      <c r="I1448" s="80"/>
      <c r="J1448" s="80"/>
      <c r="K1448" s="80"/>
    </row>
    <row r="1449" ht="12.75" customHeight="1">
      <c r="B1449" s="90" t="s">
        <v>1167</v>
      </c>
      <c r="C1449" s="90"/>
      <c r="D1449" s="89" t="s">
        <v>877</v>
      </c>
      <c r="E1449" s="91">
        <v>76.0</v>
      </c>
      <c r="F1449" s="92">
        <v>20.75</v>
      </c>
      <c r="G1449" s="92">
        <v>1577.0</v>
      </c>
      <c r="H1449" s="93"/>
      <c r="I1449" s="92"/>
      <c r="J1449" s="92"/>
      <c r="K1449" s="92"/>
    </row>
    <row r="1450" ht="12.75" customHeight="1">
      <c r="E1450" s="79"/>
      <c r="F1450" s="80"/>
      <c r="G1450" s="80"/>
      <c r="H1450" s="81"/>
      <c r="I1450" s="80"/>
      <c r="J1450" s="80"/>
      <c r="K1450" s="80"/>
    </row>
    <row r="1451" ht="12.75" customHeight="1">
      <c r="B1451" s="90" t="s">
        <v>1171</v>
      </c>
      <c r="C1451" s="90"/>
      <c r="D1451" s="89" t="s">
        <v>877</v>
      </c>
      <c r="E1451" s="91">
        <v>20.0</v>
      </c>
      <c r="F1451" s="92">
        <v>32.69</v>
      </c>
      <c r="G1451" s="92">
        <v>653.8</v>
      </c>
      <c r="H1451" s="93"/>
      <c r="I1451" s="92"/>
      <c r="J1451" s="92"/>
      <c r="K1451" s="92"/>
    </row>
    <row r="1452" ht="12.75" customHeight="1">
      <c r="E1452" s="79"/>
      <c r="F1452" s="80"/>
      <c r="G1452" s="80"/>
      <c r="H1452" s="81"/>
      <c r="I1452" s="80"/>
      <c r="J1452" s="80"/>
      <c r="K1452" s="80"/>
    </row>
    <row r="1453" ht="12.75" customHeight="1">
      <c r="A1453" s="89" t="s">
        <v>1172</v>
      </c>
      <c r="B1453" s="90" t="s">
        <v>4239</v>
      </c>
      <c r="C1453" s="90"/>
      <c r="E1453" s="79"/>
      <c r="F1453" s="80"/>
      <c r="G1453" s="80"/>
      <c r="H1453" s="81"/>
      <c r="I1453" s="80"/>
      <c r="J1453" s="80"/>
      <c r="K1453" s="80"/>
    </row>
    <row r="1454" ht="12.75" customHeight="1">
      <c r="E1454" s="79"/>
      <c r="F1454" s="80"/>
      <c r="G1454" s="80"/>
      <c r="H1454" s="81"/>
      <c r="I1454" s="80"/>
      <c r="J1454" s="80"/>
      <c r="K1454" s="80"/>
    </row>
    <row r="1455" ht="12.75" customHeight="1">
      <c r="B1455" s="90" t="s">
        <v>1174</v>
      </c>
      <c r="C1455" s="90"/>
      <c r="D1455" s="89" t="s">
        <v>877</v>
      </c>
      <c r="E1455" s="91">
        <v>2200.0</v>
      </c>
      <c r="F1455" s="92">
        <v>2.59</v>
      </c>
      <c r="G1455" s="92">
        <v>5698.0</v>
      </c>
      <c r="H1455" s="93"/>
      <c r="I1455" s="92"/>
      <c r="J1455" s="92"/>
      <c r="K1455" s="92"/>
    </row>
    <row r="1456" ht="12.75" customHeight="1">
      <c r="E1456" s="79"/>
      <c r="F1456" s="80"/>
      <c r="G1456" s="80"/>
      <c r="H1456" s="81"/>
      <c r="I1456" s="80"/>
      <c r="J1456" s="80"/>
      <c r="K1456" s="80"/>
    </row>
    <row r="1457" ht="12.75" customHeight="1">
      <c r="B1457" s="90" t="s">
        <v>4240</v>
      </c>
      <c r="C1457" s="90"/>
      <c r="D1457" s="89" t="s">
        <v>40</v>
      </c>
      <c r="E1457" s="91">
        <v>300.0</v>
      </c>
      <c r="F1457" s="92">
        <v>32.17</v>
      </c>
      <c r="G1457" s="92">
        <v>9651.0</v>
      </c>
      <c r="H1457" s="93"/>
      <c r="I1457" s="92"/>
      <c r="J1457" s="92"/>
      <c r="K1457" s="92"/>
    </row>
    <row r="1458" ht="12.75" customHeight="1">
      <c r="E1458" s="79"/>
      <c r="F1458" s="80"/>
      <c r="G1458" s="80"/>
      <c r="H1458" s="81"/>
      <c r="I1458" s="80"/>
      <c r="J1458" s="80"/>
      <c r="K1458" s="80"/>
    </row>
    <row r="1459" ht="12.75" customHeight="1">
      <c r="B1459" s="90" t="s">
        <v>4241</v>
      </c>
      <c r="C1459" s="90"/>
      <c r="D1459" s="89" t="s">
        <v>877</v>
      </c>
      <c r="E1459" s="91">
        <v>270.0</v>
      </c>
      <c r="F1459" s="92">
        <v>2.94</v>
      </c>
      <c r="G1459" s="92">
        <v>793.8</v>
      </c>
      <c r="H1459" s="93"/>
      <c r="I1459" s="92"/>
      <c r="J1459" s="92"/>
      <c r="K1459" s="92"/>
    </row>
    <row r="1460" ht="12.75" customHeight="1">
      <c r="E1460" s="79"/>
      <c r="F1460" s="80"/>
      <c r="G1460" s="80"/>
      <c r="H1460" s="81"/>
      <c r="I1460" s="80"/>
      <c r="J1460" s="80"/>
      <c r="K1460" s="80"/>
    </row>
    <row r="1461" ht="12.75" customHeight="1">
      <c r="B1461" s="90" t="s">
        <v>4242</v>
      </c>
      <c r="C1461" s="90"/>
      <c r="D1461" s="89" t="s">
        <v>75</v>
      </c>
      <c r="E1461" s="91">
        <v>3.0</v>
      </c>
      <c r="F1461" s="92">
        <v>234.72</v>
      </c>
      <c r="G1461" s="92">
        <v>704.16</v>
      </c>
      <c r="H1461" s="93"/>
      <c r="I1461" s="92"/>
      <c r="J1461" s="92"/>
      <c r="K1461" s="92"/>
    </row>
    <row r="1462" ht="12.75" customHeight="1">
      <c r="E1462" s="79"/>
      <c r="F1462" s="80"/>
      <c r="G1462" s="80"/>
      <c r="H1462" s="81"/>
      <c r="I1462" s="80"/>
      <c r="J1462" s="80"/>
      <c r="K1462" s="80"/>
    </row>
    <row r="1463" ht="12.75" customHeight="1">
      <c r="B1463" s="90" t="s">
        <v>4243</v>
      </c>
      <c r="C1463" s="90"/>
      <c r="D1463" s="89" t="s">
        <v>75</v>
      </c>
      <c r="E1463" s="91">
        <v>300.0</v>
      </c>
      <c r="F1463" s="92">
        <v>1.11</v>
      </c>
      <c r="G1463" s="92">
        <v>333.0</v>
      </c>
      <c r="H1463" s="93"/>
      <c r="I1463" s="92"/>
      <c r="J1463" s="92"/>
      <c r="K1463" s="92"/>
    </row>
    <row r="1464" ht="12.75" customHeight="1">
      <c r="E1464" s="79"/>
      <c r="F1464" s="80"/>
      <c r="G1464" s="80"/>
      <c r="H1464" s="81"/>
      <c r="I1464" s="80"/>
      <c r="J1464" s="80"/>
      <c r="K1464" s="80"/>
    </row>
    <row r="1465" ht="12.75" customHeight="1">
      <c r="B1465" s="90" t="s">
        <v>4244</v>
      </c>
      <c r="C1465" s="90"/>
      <c r="D1465" s="89" t="s">
        <v>1180</v>
      </c>
      <c r="E1465" s="91">
        <v>4.0</v>
      </c>
      <c r="F1465" s="92">
        <v>72.4</v>
      </c>
      <c r="G1465" s="92">
        <v>289.6</v>
      </c>
      <c r="H1465" s="93"/>
      <c r="I1465" s="92"/>
      <c r="J1465" s="92"/>
      <c r="K1465" s="92"/>
    </row>
    <row r="1466" ht="12.75" customHeight="1">
      <c r="E1466" s="79"/>
      <c r="F1466" s="80"/>
      <c r="G1466" s="80"/>
      <c r="H1466" s="81"/>
      <c r="I1466" s="80"/>
      <c r="J1466" s="80"/>
      <c r="K1466" s="80"/>
    </row>
    <row r="1467" ht="12.75" customHeight="1">
      <c r="B1467" s="90" t="s">
        <v>4245</v>
      </c>
      <c r="C1467" s="90"/>
      <c r="D1467" s="89" t="s">
        <v>75</v>
      </c>
      <c r="E1467" s="91">
        <v>1.0</v>
      </c>
      <c r="F1467" s="92">
        <v>333.23</v>
      </c>
      <c r="G1467" s="92">
        <v>333.23</v>
      </c>
      <c r="H1467" s="93"/>
      <c r="I1467" s="92"/>
      <c r="J1467" s="92"/>
      <c r="K1467" s="92"/>
    </row>
    <row r="1468" ht="12.75" customHeight="1">
      <c r="E1468" s="79"/>
      <c r="F1468" s="80"/>
      <c r="G1468" s="80"/>
      <c r="H1468" s="81"/>
      <c r="I1468" s="80"/>
      <c r="J1468" s="80"/>
      <c r="K1468" s="80"/>
    </row>
    <row r="1469" ht="12.75" customHeight="1">
      <c r="B1469" s="90" t="s">
        <v>4246</v>
      </c>
      <c r="C1469" s="90"/>
      <c r="D1469" s="89" t="s">
        <v>75</v>
      </c>
      <c r="E1469" s="91">
        <v>2.0</v>
      </c>
      <c r="F1469" s="92">
        <v>365.55</v>
      </c>
      <c r="G1469" s="92">
        <v>731.1</v>
      </c>
      <c r="H1469" s="93"/>
      <c r="I1469" s="92"/>
      <c r="J1469" s="92"/>
      <c r="K1469" s="92"/>
    </row>
    <row r="1470" ht="12.75" customHeight="1">
      <c r="E1470" s="79"/>
      <c r="F1470" s="80"/>
      <c r="G1470" s="80"/>
      <c r="H1470" s="81"/>
      <c r="I1470" s="80"/>
      <c r="J1470" s="80"/>
      <c r="K1470" s="80"/>
    </row>
    <row r="1471" ht="12.75" customHeight="1">
      <c r="B1471" s="90" t="s">
        <v>4247</v>
      </c>
      <c r="C1471" s="90"/>
      <c r="D1471" s="89" t="s">
        <v>75</v>
      </c>
      <c r="E1471" s="91">
        <v>1.0</v>
      </c>
      <c r="F1471" s="92">
        <v>400.96</v>
      </c>
      <c r="G1471" s="92">
        <v>400.96</v>
      </c>
      <c r="H1471" s="93"/>
      <c r="I1471" s="92"/>
      <c r="J1471" s="92"/>
      <c r="K1471" s="92"/>
    </row>
    <row r="1472" ht="12.75" customHeight="1">
      <c r="E1472" s="79"/>
      <c r="F1472" s="80"/>
      <c r="G1472" s="80"/>
      <c r="H1472" s="81"/>
      <c r="I1472" s="80"/>
      <c r="J1472" s="80"/>
      <c r="K1472" s="80"/>
    </row>
    <row r="1473" ht="12.75" customHeight="1">
      <c r="B1473" s="90" t="s">
        <v>4248</v>
      </c>
      <c r="C1473" s="90"/>
      <c r="D1473" s="89" t="s">
        <v>75</v>
      </c>
      <c r="E1473" s="91">
        <v>1.0</v>
      </c>
      <c r="F1473" s="92">
        <v>242.12</v>
      </c>
      <c r="G1473" s="92">
        <v>242.12</v>
      </c>
      <c r="H1473" s="93"/>
      <c r="I1473" s="92"/>
      <c r="J1473" s="92"/>
      <c r="K1473" s="92"/>
    </row>
    <row r="1474" ht="12.75" customHeight="1">
      <c r="E1474" s="79"/>
      <c r="F1474" s="80"/>
      <c r="G1474" s="80"/>
      <c r="H1474" s="81"/>
      <c r="I1474" s="80"/>
      <c r="J1474" s="80"/>
      <c r="K1474" s="80"/>
    </row>
    <row r="1475" ht="12.75" customHeight="1">
      <c r="B1475" s="90" t="s">
        <v>4249</v>
      </c>
      <c r="C1475" s="90"/>
      <c r="D1475" s="89" t="s">
        <v>75</v>
      </c>
      <c r="E1475" s="91">
        <v>3.0</v>
      </c>
      <c r="F1475" s="92">
        <v>257.4</v>
      </c>
      <c r="G1475" s="92">
        <v>772.2</v>
      </c>
      <c r="H1475" s="93"/>
      <c r="I1475" s="92"/>
      <c r="J1475" s="92"/>
      <c r="K1475" s="92"/>
    </row>
    <row r="1476" ht="12.75" customHeight="1">
      <c r="E1476" s="79"/>
      <c r="F1476" s="80"/>
      <c r="G1476" s="80"/>
      <c r="H1476" s="81"/>
      <c r="I1476" s="80"/>
      <c r="J1476" s="80"/>
      <c r="K1476" s="80"/>
    </row>
    <row r="1477" ht="12.75" customHeight="1">
      <c r="B1477" s="90" t="s">
        <v>4250</v>
      </c>
      <c r="C1477" s="90"/>
      <c r="D1477" s="89" t="s">
        <v>75</v>
      </c>
      <c r="E1477" s="91">
        <v>8.0</v>
      </c>
      <c r="F1477" s="92">
        <v>92.78</v>
      </c>
      <c r="G1477" s="92">
        <v>742.24</v>
      </c>
      <c r="H1477" s="93"/>
      <c r="I1477" s="92"/>
      <c r="J1477" s="92"/>
      <c r="K1477" s="92"/>
    </row>
    <row r="1478" ht="12.75" customHeight="1">
      <c r="E1478" s="79"/>
      <c r="F1478" s="80"/>
      <c r="G1478" s="80"/>
      <c r="H1478" s="81"/>
      <c r="I1478" s="80"/>
      <c r="J1478" s="80"/>
      <c r="K1478" s="80"/>
    </row>
    <row r="1479" ht="12.75" customHeight="1">
      <c r="B1479" s="90" t="s">
        <v>4251</v>
      </c>
      <c r="C1479" s="90"/>
      <c r="D1479" s="89" t="s">
        <v>75</v>
      </c>
      <c r="E1479" s="91">
        <v>48.0</v>
      </c>
      <c r="F1479" s="92">
        <v>9.96</v>
      </c>
      <c r="G1479" s="92">
        <v>478.08</v>
      </c>
      <c r="H1479" s="93"/>
      <c r="I1479" s="92"/>
      <c r="J1479" s="92"/>
      <c r="K1479" s="92"/>
    </row>
    <row r="1480" ht="12.75" customHeight="1">
      <c r="E1480" s="79"/>
      <c r="F1480" s="80"/>
      <c r="G1480" s="80"/>
      <c r="H1480" s="81"/>
      <c r="I1480" s="80"/>
      <c r="J1480" s="80"/>
      <c r="K1480" s="80"/>
    </row>
    <row r="1481" ht="12.75" customHeight="1">
      <c r="B1481" s="90" t="s">
        <v>4252</v>
      </c>
      <c r="C1481" s="90"/>
      <c r="D1481" s="89" t="s">
        <v>75</v>
      </c>
      <c r="E1481" s="91">
        <v>1.0</v>
      </c>
      <c r="F1481" s="92">
        <v>2491.0</v>
      </c>
      <c r="G1481" s="92">
        <v>2491.0</v>
      </c>
      <c r="H1481" s="93"/>
      <c r="I1481" s="92"/>
      <c r="J1481" s="92"/>
      <c r="K1481" s="92"/>
    </row>
    <row r="1482" ht="12.75" customHeight="1">
      <c r="E1482" s="79"/>
      <c r="F1482" s="80"/>
      <c r="G1482" s="80"/>
      <c r="H1482" s="81"/>
      <c r="I1482" s="80"/>
      <c r="J1482" s="80"/>
      <c r="K1482" s="80"/>
    </row>
    <row r="1483" ht="12.75" customHeight="1">
      <c r="B1483" s="90" t="s">
        <v>4253</v>
      </c>
      <c r="C1483" s="90"/>
      <c r="D1483" s="89" t="s">
        <v>75</v>
      </c>
      <c r="E1483" s="91">
        <v>1.0</v>
      </c>
      <c r="F1483" s="92">
        <v>144.21</v>
      </c>
      <c r="G1483" s="92">
        <v>144.21</v>
      </c>
      <c r="H1483" s="93"/>
      <c r="I1483" s="92"/>
      <c r="J1483" s="92"/>
      <c r="K1483" s="92"/>
    </row>
    <row r="1484" ht="12.75" customHeight="1">
      <c r="E1484" s="79"/>
      <c r="F1484" s="80"/>
      <c r="G1484" s="80"/>
      <c r="H1484" s="81"/>
      <c r="I1484" s="80"/>
      <c r="J1484" s="80"/>
      <c r="K1484" s="80"/>
    </row>
    <row r="1485" ht="12.75" customHeight="1">
      <c r="B1485" s="90" t="s">
        <v>4254</v>
      </c>
      <c r="C1485" s="90"/>
      <c r="D1485" s="89" t="s">
        <v>75</v>
      </c>
      <c r="E1485" s="91">
        <v>1.0</v>
      </c>
      <c r="F1485" s="92">
        <v>304.73</v>
      </c>
      <c r="G1485" s="92">
        <v>304.73</v>
      </c>
      <c r="H1485" s="93"/>
      <c r="I1485" s="92"/>
      <c r="J1485" s="92"/>
      <c r="K1485" s="92"/>
    </row>
    <row r="1486" ht="12.75" customHeight="1">
      <c r="E1486" s="79"/>
      <c r="F1486" s="80"/>
      <c r="G1486" s="80"/>
      <c r="H1486" s="81"/>
      <c r="I1486" s="80"/>
      <c r="J1486" s="80"/>
      <c r="K1486" s="80"/>
    </row>
    <row r="1487" ht="12.75" customHeight="1">
      <c r="B1487" s="90" t="s">
        <v>4255</v>
      </c>
      <c r="C1487" s="90"/>
      <c r="D1487" s="89" t="s">
        <v>75</v>
      </c>
      <c r="E1487" s="91">
        <v>0.0</v>
      </c>
      <c r="F1487" s="80"/>
      <c r="G1487" s="92">
        <v>0.0</v>
      </c>
      <c r="H1487" s="93"/>
      <c r="I1487" s="92"/>
      <c r="J1487" s="92"/>
      <c r="K1487" s="92"/>
    </row>
    <row r="1488" ht="12.75" customHeight="1">
      <c r="E1488" s="79"/>
      <c r="F1488" s="80"/>
      <c r="G1488" s="80"/>
      <c r="H1488" s="81"/>
      <c r="I1488" s="80"/>
      <c r="J1488" s="80"/>
      <c r="K1488" s="80"/>
    </row>
    <row r="1489" ht="12.75" customHeight="1">
      <c r="B1489" s="90" t="s">
        <v>4256</v>
      </c>
      <c r="C1489" s="90"/>
      <c r="D1489" s="89" t="s">
        <v>75</v>
      </c>
      <c r="E1489" s="91">
        <v>24.0</v>
      </c>
      <c r="F1489" s="92">
        <v>49.19</v>
      </c>
      <c r="G1489" s="92">
        <v>1180.56</v>
      </c>
      <c r="H1489" s="93"/>
      <c r="I1489" s="92"/>
      <c r="J1489" s="92"/>
      <c r="K1489" s="92"/>
    </row>
    <row r="1490" ht="12.75" customHeight="1">
      <c r="E1490" s="79"/>
      <c r="F1490" s="80"/>
      <c r="G1490" s="80"/>
      <c r="H1490" s="81"/>
      <c r="I1490" s="80"/>
      <c r="J1490" s="80"/>
      <c r="K1490" s="80"/>
    </row>
    <row r="1491" ht="12.75" customHeight="1">
      <c r="B1491" s="90" t="s">
        <v>4257</v>
      </c>
      <c r="C1491" s="90"/>
      <c r="D1491" s="89" t="s">
        <v>75</v>
      </c>
      <c r="E1491" s="91">
        <v>2.0</v>
      </c>
      <c r="F1491" s="92">
        <v>1548.07</v>
      </c>
      <c r="G1491" s="92">
        <v>3096.14</v>
      </c>
      <c r="H1491" s="93"/>
      <c r="I1491" s="92"/>
      <c r="J1491" s="92"/>
      <c r="K1491" s="92"/>
    </row>
    <row r="1492" ht="12.75" customHeight="1">
      <c r="E1492" s="79"/>
      <c r="F1492" s="80"/>
      <c r="G1492" s="80"/>
      <c r="H1492" s="81"/>
      <c r="I1492" s="80"/>
      <c r="J1492" s="80"/>
      <c r="K1492" s="80"/>
    </row>
    <row r="1493" ht="12.75" customHeight="1">
      <c r="B1493" s="90" t="s">
        <v>4258</v>
      </c>
      <c r="C1493" s="90"/>
      <c r="D1493" s="89" t="s">
        <v>75</v>
      </c>
      <c r="E1493" s="91">
        <v>2.0</v>
      </c>
      <c r="F1493" s="80"/>
      <c r="G1493" s="135" t="s">
        <v>619</v>
      </c>
      <c r="H1493" s="159"/>
      <c r="I1493" s="135"/>
      <c r="J1493" s="135"/>
      <c r="K1493" s="135"/>
    </row>
    <row r="1494" ht="12.75" customHeight="1">
      <c r="E1494" s="79"/>
      <c r="F1494" s="80"/>
      <c r="G1494" s="80"/>
      <c r="H1494" s="81"/>
      <c r="I1494" s="80"/>
      <c r="J1494" s="80"/>
      <c r="K1494" s="80"/>
    </row>
    <row r="1495" ht="12.75" customHeight="1">
      <c r="B1495" s="90" t="s">
        <v>2795</v>
      </c>
      <c r="C1495" s="90"/>
      <c r="D1495" s="89" t="s">
        <v>75</v>
      </c>
      <c r="E1495" s="91">
        <v>2.0</v>
      </c>
      <c r="F1495" s="92">
        <v>273.04</v>
      </c>
      <c r="G1495" s="92">
        <v>546.08</v>
      </c>
      <c r="H1495" s="93"/>
      <c r="I1495" s="92"/>
      <c r="J1495" s="92"/>
      <c r="K1495" s="92"/>
    </row>
    <row r="1496" ht="12.75" customHeight="1">
      <c r="E1496" s="79"/>
      <c r="F1496" s="80"/>
      <c r="G1496" s="80"/>
      <c r="H1496" s="81"/>
      <c r="I1496" s="80"/>
      <c r="J1496" s="80"/>
      <c r="K1496" s="80"/>
    </row>
    <row r="1497" ht="12.75" customHeight="1">
      <c r="B1497" s="90" t="s">
        <v>4259</v>
      </c>
      <c r="C1497" s="90"/>
      <c r="D1497" s="89" t="s">
        <v>75</v>
      </c>
      <c r="E1497" s="91">
        <v>4.0</v>
      </c>
      <c r="F1497" s="80"/>
      <c r="G1497" s="135" t="s">
        <v>619</v>
      </c>
      <c r="H1497" s="159"/>
      <c r="I1497" s="135"/>
      <c r="J1497" s="135"/>
      <c r="K1497" s="135"/>
    </row>
    <row r="1498" ht="12.75" customHeight="1">
      <c r="E1498" s="79"/>
      <c r="F1498" s="80"/>
      <c r="G1498" s="80"/>
      <c r="H1498" s="81"/>
      <c r="I1498" s="80"/>
      <c r="J1498" s="80"/>
      <c r="K1498" s="80"/>
    </row>
    <row r="1499" ht="12.75" customHeight="1">
      <c r="B1499" s="90" t="s">
        <v>2799</v>
      </c>
      <c r="C1499" s="90"/>
      <c r="D1499" s="89" t="s">
        <v>75</v>
      </c>
      <c r="E1499" s="91">
        <v>4.0</v>
      </c>
      <c r="F1499" s="80"/>
      <c r="G1499" s="135" t="s">
        <v>619</v>
      </c>
      <c r="H1499" s="159"/>
      <c r="I1499" s="135"/>
      <c r="J1499" s="135"/>
      <c r="K1499" s="135"/>
    </row>
    <row r="1500" ht="12.75" customHeight="1">
      <c r="E1500" s="79"/>
      <c r="F1500" s="80"/>
      <c r="G1500" s="80"/>
      <c r="H1500" s="81"/>
      <c r="I1500" s="80"/>
      <c r="J1500" s="80"/>
      <c r="K1500" s="80"/>
    </row>
    <row r="1501" ht="12.75" customHeight="1">
      <c r="B1501" s="90" t="s">
        <v>2801</v>
      </c>
      <c r="C1501" s="90"/>
      <c r="D1501" s="89" t="s">
        <v>33</v>
      </c>
      <c r="E1501" s="91">
        <v>1.0</v>
      </c>
      <c r="F1501" s="92">
        <v>2589.17</v>
      </c>
      <c r="G1501" s="92">
        <v>2589.17</v>
      </c>
      <c r="H1501" s="93"/>
      <c r="I1501" s="92"/>
      <c r="J1501" s="92"/>
      <c r="K1501" s="92"/>
    </row>
    <row r="1502" ht="12.75" customHeight="1">
      <c r="E1502" s="79"/>
      <c r="F1502" s="80"/>
      <c r="G1502" s="80"/>
      <c r="H1502" s="81"/>
      <c r="I1502" s="80"/>
      <c r="J1502" s="80"/>
      <c r="K1502" s="80"/>
    </row>
    <row r="1503" ht="12.75" customHeight="1">
      <c r="A1503" s="89" t="s">
        <v>1199</v>
      </c>
      <c r="B1503" s="90" t="s">
        <v>4260</v>
      </c>
      <c r="C1503" s="90"/>
      <c r="E1503" s="79"/>
      <c r="F1503" s="80"/>
      <c r="G1503" s="80"/>
      <c r="H1503" s="81"/>
      <c r="I1503" s="80"/>
      <c r="J1503" s="80"/>
      <c r="K1503" s="80"/>
    </row>
    <row r="1504" ht="12.75" customHeight="1">
      <c r="E1504" s="79"/>
      <c r="F1504" s="80"/>
      <c r="G1504" s="80"/>
      <c r="H1504" s="81"/>
      <c r="I1504" s="80"/>
      <c r="J1504" s="80"/>
      <c r="K1504" s="80"/>
    </row>
    <row r="1505" ht="12.75" customHeight="1">
      <c r="B1505" s="90" t="s">
        <v>4261</v>
      </c>
      <c r="C1505" s="90"/>
      <c r="D1505" s="89" t="s">
        <v>1202</v>
      </c>
      <c r="E1505" s="91">
        <v>3.0</v>
      </c>
      <c r="F1505" s="92">
        <v>793.32</v>
      </c>
      <c r="G1505" s="92">
        <v>2379.96</v>
      </c>
      <c r="H1505" s="93"/>
      <c r="I1505" s="92"/>
      <c r="J1505" s="92"/>
      <c r="K1505" s="92"/>
    </row>
    <row r="1506" ht="12.75" customHeight="1">
      <c r="E1506" s="79"/>
      <c r="F1506" s="80"/>
      <c r="G1506" s="80"/>
      <c r="H1506" s="81"/>
      <c r="I1506" s="80"/>
      <c r="J1506" s="80"/>
      <c r="K1506" s="80"/>
    </row>
    <row r="1507" ht="12.75" customHeight="1">
      <c r="B1507" s="90" t="s">
        <v>2807</v>
      </c>
      <c r="C1507" s="90"/>
      <c r="D1507" s="89" t="s">
        <v>1202</v>
      </c>
      <c r="E1507" s="91">
        <v>3.0</v>
      </c>
      <c r="F1507" s="92">
        <v>1024.99</v>
      </c>
      <c r="G1507" s="92">
        <v>3074.97</v>
      </c>
      <c r="H1507" s="93"/>
      <c r="I1507" s="92"/>
      <c r="J1507" s="92"/>
      <c r="K1507" s="92"/>
    </row>
    <row r="1508" ht="12.75" customHeight="1">
      <c r="E1508" s="79"/>
      <c r="F1508" s="80"/>
      <c r="G1508" s="80"/>
      <c r="H1508" s="81"/>
      <c r="I1508" s="80"/>
      <c r="J1508" s="80"/>
      <c r="K1508" s="80"/>
    </row>
    <row r="1509" ht="12.75" customHeight="1">
      <c r="B1509" s="90" t="s">
        <v>4262</v>
      </c>
      <c r="C1509" s="90"/>
      <c r="D1509" s="89" t="s">
        <v>75</v>
      </c>
      <c r="E1509" s="91">
        <v>1.0</v>
      </c>
      <c r="F1509" s="92">
        <v>5205.12</v>
      </c>
      <c r="G1509" s="92">
        <v>5205.12</v>
      </c>
      <c r="H1509" s="93"/>
      <c r="I1509" s="92"/>
      <c r="J1509" s="92"/>
      <c r="K1509" s="92"/>
    </row>
    <row r="1510" ht="12.75" customHeight="1">
      <c r="E1510" s="79"/>
      <c r="F1510" s="80"/>
      <c r="G1510" s="80"/>
      <c r="H1510" s="81"/>
      <c r="I1510" s="80"/>
      <c r="J1510" s="80"/>
      <c r="K1510" s="80"/>
    </row>
    <row r="1511" ht="12.75" customHeight="1">
      <c r="B1511" s="90" t="s">
        <v>4263</v>
      </c>
      <c r="C1511" s="90"/>
      <c r="D1511" s="89" t="s">
        <v>75</v>
      </c>
      <c r="E1511" s="91">
        <v>1.0</v>
      </c>
      <c r="F1511" s="92">
        <v>1218.04</v>
      </c>
      <c r="G1511" s="92">
        <v>1218.04</v>
      </c>
      <c r="H1511" s="93"/>
      <c r="I1511" s="92"/>
      <c r="J1511" s="92"/>
      <c r="K1511" s="92"/>
    </row>
    <row r="1512" ht="12.75" customHeight="1">
      <c r="E1512" s="79"/>
      <c r="F1512" s="80"/>
      <c r="G1512" s="80"/>
      <c r="H1512" s="81"/>
      <c r="I1512" s="80"/>
      <c r="J1512" s="80"/>
      <c r="K1512" s="80"/>
    </row>
    <row r="1513" ht="12.75" customHeight="1">
      <c r="B1513" s="90" t="s">
        <v>4264</v>
      </c>
      <c r="C1513" s="90"/>
      <c r="D1513" s="89" t="s">
        <v>75</v>
      </c>
      <c r="E1513" s="91">
        <v>1.0</v>
      </c>
      <c r="F1513" s="92">
        <v>1170.29</v>
      </c>
      <c r="G1513" s="92">
        <v>1170.29</v>
      </c>
      <c r="H1513" s="93"/>
      <c r="I1513" s="92"/>
      <c r="J1513" s="92"/>
      <c r="K1513" s="92"/>
    </row>
    <row r="1514" ht="12.75" customHeight="1">
      <c r="E1514" s="79"/>
      <c r="F1514" s="80"/>
      <c r="G1514" s="80"/>
      <c r="H1514" s="81"/>
      <c r="I1514" s="80"/>
      <c r="J1514" s="80"/>
      <c r="K1514" s="80"/>
    </row>
    <row r="1515" ht="12.75" customHeight="1">
      <c r="B1515" s="90" t="s">
        <v>4265</v>
      </c>
      <c r="C1515" s="90"/>
      <c r="D1515" s="89" t="s">
        <v>1180</v>
      </c>
      <c r="E1515" s="91">
        <v>3.0</v>
      </c>
      <c r="F1515" s="92">
        <v>46.86</v>
      </c>
      <c r="G1515" s="92">
        <v>140.58</v>
      </c>
      <c r="H1515" s="93"/>
      <c r="I1515" s="92"/>
      <c r="J1515" s="92"/>
      <c r="K1515" s="92"/>
    </row>
    <row r="1516" ht="12.75" customHeight="1">
      <c r="E1516" s="79"/>
      <c r="F1516" s="80"/>
      <c r="G1516" s="80"/>
      <c r="H1516" s="81"/>
      <c r="I1516" s="80"/>
      <c r="J1516" s="80"/>
      <c r="K1516" s="80"/>
    </row>
    <row r="1517" ht="12.75" customHeight="1">
      <c r="B1517" s="90" t="s">
        <v>4266</v>
      </c>
      <c r="C1517" s="90"/>
      <c r="D1517" s="89" t="s">
        <v>75</v>
      </c>
      <c r="E1517" s="91">
        <v>1.0</v>
      </c>
      <c r="F1517" s="92">
        <v>296.42</v>
      </c>
      <c r="G1517" s="92">
        <v>296.42</v>
      </c>
      <c r="H1517" s="93"/>
      <c r="I1517" s="92"/>
      <c r="J1517" s="92"/>
      <c r="K1517" s="92"/>
    </row>
    <row r="1518" ht="12.75" customHeight="1">
      <c r="E1518" s="79"/>
      <c r="F1518" s="80"/>
      <c r="G1518" s="80"/>
      <c r="H1518" s="81"/>
      <c r="I1518" s="80"/>
      <c r="J1518" s="80"/>
      <c r="K1518" s="80"/>
    </row>
    <row r="1519" ht="12.75" customHeight="1">
      <c r="B1519" s="90" t="s">
        <v>4267</v>
      </c>
      <c r="C1519" s="90"/>
      <c r="D1519" s="89" t="s">
        <v>75</v>
      </c>
      <c r="E1519" s="91">
        <v>1.0</v>
      </c>
      <c r="F1519" s="92">
        <v>220.34</v>
      </c>
      <c r="G1519" s="92">
        <v>220.34</v>
      </c>
      <c r="H1519" s="93"/>
      <c r="I1519" s="92"/>
      <c r="J1519" s="92"/>
      <c r="K1519" s="92"/>
    </row>
    <row r="1520" ht="12.75" customHeight="1">
      <c r="E1520" s="79"/>
      <c r="F1520" s="80"/>
      <c r="G1520" s="80"/>
      <c r="H1520" s="81"/>
      <c r="I1520" s="80"/>
      <c r="J1520" s="80"/>
      <c r="K1520" s="80"/>
    </row>
    <row r="1521" ht="12.75" customHeight="1">
      <c r="B1521" s="90" t="s">
        <v>4268</v>
      </c>
      <c r="C1521" s="90"/>
      <c r="D1521" s="89" t="s">
        <v>75</v>
      </c>
      <c r="E1521" s="91">
        <v>1.0</v>
      </c>
      <c r="F1521" s="92">
        <v>185.92</v>
      </c>
      <c r="G1521" s="92">
        <v>185.92</v>
      </c>
      <c r="H1521" s="93"/>
      <c r="I1521" s="92"/>
      <c r="J1521" s="92"/>
      <c r="K1521" s="92"/>
    </row>
    <row r="1522" ht="12.75" customHeight="1">
      <c r="E1522" s="79"/>
      <c r="F1522" s="80"/>
      <c r="G1522" s="80"/>
      <c r="H1522" s="81"/>
      <c r="I1522" s="80"/>
      <c r="J1522" s="80"/>
      <c r="K1522" s="80"/>
    </row>
    <row r="1523" ht="12.75" customHeight="1">
      <c r="B1523" s="90" t="s">
        <v>1211</v>
      </c>
      <c r="C1523" s="90"/>
      <c r="D1523" s="89" t="s">
        <v>877</v>
      </c>
      <c r="E1523" s="91">
        <v>40.0</v>
      </c>
      <c r="F1523" s="92">
        <v>22.55</v>
      </c>
      <c r="G1523" s="92">
        <v>902.0</v>
      </c>
      <c r="H1523" s="93"/>
      <c r="I1523" s="92"/>
      <c r="J1523" s="92"/>
      <c r="K1523" s="92"/>
    </row>
    <row r="1524" ht="12.75" customHeight="1">
      <c r="E1524" s="79"/>
      <c r="F1524" s="80"/>
      <c r="G1524" s="80"/>
      <c r="H1524" s="81"/>
      <c r="I1524" s="80"/>
      <c r="J1524" s="80"/>
      <c r="K1524" s="80"/>
    </row>
    <row r="1525" ht="12.75" customHeight="1">
      <c r="B1525" s="90" t="s">
        <v>2824</v>
      </c>
      <c r="C1525" s="90"/>
      <c r="D1525" s="89" t="s">
        <v>75</v>
      </c>
      <c r="E1525" s="91">
        <v>1.0</v>
      </c>
      <c r="F1525" s="92">
        <v>109.98</v>
      </c>
      <c r="G1525" s="92">
        <v>109.98</v>
      </c>
      <c r="H1525" s="93"/>
      <c r="I1525" s="92"/>
      <c r="J1525" s="92"/>
      <c r="K1525" s="92"/>
    </row>
    <row r="1526" ht="12.75" customHeight="1">
      <c r="E1526" s="79"/>
      <c r="F1526" s="80"/>
      <c r="G1526" s="80"/>
      <c r="H1526" s="81"/>
      <c r="I1526" s="80"/>
      <c r="J1526" s="80"/>
      <c r="K1526" s="80"/>
    </row>
    <row r="1527" ht="12.75" customHeight="1">
      <c r="B1527" s="90" t="s">
        <v>4269</v>
      </c>
      <c r="C1527" s="90"/>
      <c r="D1527" s="89" t="s">
        <v>75</v>
      </c>
      <c r="E1527" s="91">
        <v>1.0</v>
      </c>
      <c r="F1527" s="80"/>
      <c r="G1527" s="135" t="s">
        <v>619</v>
      </c>
      <c r="H1527" s="159"/>
      <c r="I1527" s="135"/>
      <c r="J1527" s="135"/>
      <c r="K1527" s="135"/>
    </row>
    <row r="1528" ht="12.75" customHeight="1">
      <c r="E1528" s="79"/>
      <c r="F1528" s="80"/>
      <c r="G1528" s="80"/>
      <c r="H1528" s="81"/>
      <c r="I1528" s="80"/>
      <c r="J1528" s="80"/>
      <c r="K1528" s="80"/>
    </row>
    <row r="1529" ht="12.75" customHeight="1">
      <c r="B1529" s="90" t="s">
        <v>4270</v>
      </c>
      <c r="C1529" s="90"/>
      <c r="D1529" s="89" t="s">
        <v>75</v>
      </c>
      <c r="E1529" s="91">
        <v>1.0</v>
      </c>
      <c r="F1529" s="92">
        <v>545.21</v>
      </c>
      <c r="G1529" s="92">
        <v>545.21</v>
      </c>
      <c r="H1529" s="93"/>
      <c r="I1529" s="92"/>
      <c r="J1529" s="92"/>
      <c r="K1529" s="92"/>
    </row>
    <row r="1530" ht="12.75" customHeight="1">
      <c r="E1530" s="79"/>
      <c r="F1530" s="80"/>
      <c r="G1530" s="80"/>
      <c r="H1530" s="81"/>
      <c r="I1530" s="80"/>
      <c r="J1530" s="80"/>
      <c r="K1530" s="80"/>
    </row>
    <row r="1531" ht="12.75" customHeight="1">
      <c r="B1531" s="90" t="s">
        <v>4271</v>
      </c>
      <c r="C1531" s="90"/>
      <c r="D1531" s="89" t="s">
        <v>75</v>
      </c>
      <c r="E1531" s="91">
        <v>1.0</v>
      </c>
      <c r="F1531" s="92">
        <v>1468.47</v>
      </c>
      <c r="G1531" s="92">
        <v>1468.47</v>
      </c>
      <c r="H1531" s="93"/>
      <c r="I1531" s="92"/>
      <c r="J1531" s="92"/>
      <c r="K1531" s="92"/>
    </row>
    <row r="1532" ht="12.75" customHeight="1">
      <c r="E1532" s="79"/>
      <c r="F1532" s="80"/>
      <c r="G1532" s="80"/>
      <c r="H1532" s="81"/>
      <c r="I1532" s="80"/>
      <c r="J1532" s="80"/>
      <c r="K1532" s="80"/>
    </row>
    <row r="1533" ht="12.75" customHeight="1">
      <c r="B1533" s="90" t="s">
        <v>4272</v>
      </c>
      <c r="C1533" s="90"/>
      <c r="D1533" s="89" t="s">
        <v>75</v>
      </c>
      <c r="E1533" s="91">
        <v>1.0</v>
      </c>
      <c r="F1533" s="92">
        <v>1468.47</v>
      </c>
      <c r="G1533" s="92">
        <v>1468.47</v>
      </c>
      <c r="H1533" s="93"/>
      <c r="I1533" s="92"/>
      <c r="J1533" s="92"/>
      <c r="K1533" s="92"/>
    </row>
    <row r="1534" ht="12.75" customHeight="1">
      <c r="E1534" s="79"/>
      <c r="F1534" s="80"/>
      <c r="G1534" s="80"/>
      <c r="H1534" s="81"/>
      <c r="I1534" s="80"/>
      <c r="J1534" s="80"/>
      <c r="K1534" s="80"/>
    </row>
    <row r="1535" ht="12.75" customHeight="1">
      <c r="B1535" s="90" t="s">
        <v>4273</v>
      </c>
      <c r="C1535" s="90"/>
      <c r="D1535" s="89" t="s">
        <v>75</v>
      </c>
      <c r="E1535" s="91">
        <v>1.0</v>
      </c>
      <c r="F1535" s="92">
        <v>1468.47</v>
      </c>
      <c r="G1535" s="92">
        <v>1468.47</v>
      </c>
      <c r="H1535" s="93"/>
      <c r="I1535" s="92"/>
      <c r="J1535" s="92"/>
      <c r="K1535" s="92"/>
    </row>
    <row r="1536" ht="12.75" customHeight="1">
      <c r="E1536" s="79"/>
      <c r="F1536" s="80"/>
      <c r="G1536" s="80"/>
      <c r="H1536" s="81"/>
      <c r="I1536" s="80"/>
      <c r="J1536" s="80"/>
      <c r="K1536" s="80"/>
    </row>
    <row r="1537" ht="12.75" customHeight="1">
      <c r="B1537" s="90" t="s">
        <v>4274</v>
      </c>
      <c r="C1537" s="90"/>
      <c r="D1537" s="89" t="s">
        <v>75</v>
      </c>
      <c r="E1537" s="91">
        <v>1.0</v>
      </c>
      <c r="F1537" s="92">
        <v>1999.33</v>
      </c>
      <c r="G1537" s="92">
        <v>1999.33</v>
      </c>
      <c r="H1537" s="93"/>
      <c r="I1537" s="92"/>
      <c r="J1537" s="92"/>
      <c r="K1537" s="92"/>
    </row>
    <row r="1538" ht="12.75" customHeight="1">
      <c r="E1538" s="79"/>
      <c r="F1538" s="80"/>
      <c r="G1538" s="80"/>
      <c r="H1538" s="81"/>
      <c r="I1538" s="80"/>
      <c r="J1538" s="80"/>
      <c r="K1538" s="80"/>
    </row>
    <row r="1539" ht="12.75" customHeight="1">
      <c r="B1539" s="90" t="s">
        <v>2838</v>
      </c>
      <c r="C1539" s="90"/>
      <c r="D1539" s="89" t="s">
        <v>75</v>
      </c>
      <c r="E1539" s="91">
        <v>1.0</v>
      </c>
      <c r="F1539" s="92">
        <v>309.45</v>
      </c>
      <c r="G1539" s="92">
        <v>309.45</v>
      </c>
      <c r="H1539" s="93"/>
      <c r="I1539" s="92"/>
      <c r="J1539" s="92"/>
      <c r="K1539" s="92"/>
    </row>
    <row r="1540" ht="12.75" customHeight="1">
      <c r="E1540" s="79"/>
      <c r="F1540" s="80"/>
      <c r="G1540" s="80"/>
      <c r="H1540" s="81"/>
      <c r="I1540" s="80"/>
      <c r="J1540" s="80"/>
      <c r="K1540" s="80"/>
    </row>
    <row r="1541" ht="12.75" customHeight="1">
      <c r="B1541" s="90" t="s">
        <v>2840</v>
      </c>
      <c r="C1541" s="90"/>
      <c r="D1541" s="89" t="s">
        <v>75</v>
      </c>
      <c r="E1541" s="91">
        <v>1.0</v>
      </c>
      <c r="F1541" s="92">
        <v>301.65</v>
      </c>
      <c r="G1541" s="92">
        <v>301.65</v>
      </c>
      <c r="H1541" s="93"/>
      <c r="I1541" s="92"/>
      <c r="J1541" s="92"/>
      <c r="K1541" s="92"/>
    </row>
    <row r="1542" ht="12.75" customHeight="1">
      <c r="E1542" s="79"/>
      <c r="F1542" s="80"/>
      <c r="G1542" s="80"/>
      <c r="H1542" s="81"/>
      <c r="I1542" s="80"/>
      <c r="J1542" s="80"/>
      <c r="K1542" s="80"/>
    </row>
    <row r="1543" ht="12.75" customHeight="1">
      <c r="B1543" s="90" t="s">
        <v>2801</v>
      </c>
      <c r="C1543" s="90"/>
      <c r="D1543" s="89" t="s">
        <v>33</v>
      </c>
      <c r="E1543" s="91">
        <v>1.0</v>
      </c>
      <c r="F1543" s="92">
        <v>2167.42</v>
      </c>
      <c r="G1543" s="92">
        <v>2167.42</v>
      </c>
      <c r="H1543" s="93"/>
      <c r="I1543" s="92"/>
      <c r="J1543" s="92"/>
      <c r="K1543" s="92"/>
    </row>
    <row r="1544" ht="12.75" customHeight="1">
      <c r="E1544" s="79"/>
      <c r="F1544" s="80"/>
      <c r="G1544" s="80"/>
      <c r="H1544" s="81"/>
      <c r="I1544" s="80"/>
      <c r="J1544" s="80"/>
      <c r="K1544" s="80"/>
    </row>
    <row r="1545" ht="12.75" customHeight="1">
      <c r="A1545" s="89" t="s">
        <v>4275</v>
      </c>
      <c r="B1545" s="90" t="s">
        <v>4276</v>
      </c>
      <c r="C1545" s="90"/>
      <c r="E1545" s="79"/>
      <c r="F1545" s="80"/>
      <c r="G1545" s="80"/>
      <c r="H1545" s="81"/>
      <c r="I1545" s="80"/>
      <c r="J1545" s="80"/>
      <c r="K1545" s="80"/>
    </row>
    <row r="1546" ht="12.75" customHeight="1">
      <c r="E1546" s="79"/>
      <c r="F1546" s="80"/>
      <c r="G1546" s="80"/>
      <c r="H1546" s="81"/>
      <c r="I1546" s="80"/>
      <c r="J1546" s="80"/>
      <c r="K1546" s="80"/>
    </row>
    <row r="1547" ht="12.75" customHeight="1">
      <c r="B1547" s="90" t="s">
        <v>1222</v>
      </c>
      <c r="C1547" s="90"/>
      <c r="D1547" s="89" t="s">
        <v>75</v>
      </c>
      <c r="E1547" s="91">
        <v>1.0</v>
      </c>
      <c r="F1547" s="92">
        <v>8405.15</v>
      </c>
      <c r="G1547" s="92">
        <v>8405.15</v>
      </c>
      <c r="H1547" s="93"/>
      <c r="I1547" s="92"/>
      <c r="J1547" s="92"/>
      <c r="K1547" s="92"/>
    </row>
    <row r="1548" ht="12.75" customHeight="1">
      <c r="E1548" s="79"/>
      <c r="F1548" s="80"/>
      <c r="G1548" s="80"/>
      <c r="H1548" s="81"/>
      <c r="I1548" s="80"/>
      <c r="J1548" s="80"/>
      <c r="K1548" s="80"/>
    </row>
    <row r="1549" ht="12.75" customHeight="1">
      <c r="A1549" s="89" t="s">
        <v>1223</v>
      </c>
      <c r="B1549" s="90" t="s">
        <v>4277</v>
      </c>
      <c r="C1549" s="90"/>
      <c r="E1549" s="79"/>
      <c r="F1549" s="80"/>
      <c r="G1549" s="80"/>
      <c r="H1549" s="81"/>
      <c r="I1549" s="80"/>
      <c r="J1549" s="80"/>
      <c r="K1549" s="80"/>
    </row>
    <row r="1550" ht="12.75" customHeight="1">
      <c r="E1550" s="79"/>
      <c r="F1550" s="80"/>
      <c r="G1550" s="80"/>
      <c r="H1550" s="81"/>
      <c r="I1550" s="80"/>
      <c r="J1550" s="80"/>
      <c r="K1550" s="80"/>
    </row>
    <row r="1551" ht="12.75" customHeight="1">
      <c r="B1551" s="90" t="s">
        <v>1225</v>
      </c>
      <c r="C1551" s="90"/>
      <c r="D1551" s="89" t="s">
        <v>877</v>
      </c>
      <c r="E1551" s="91">
        <v>20.0</v>
      </c>
      <c r="F1551" s="92">
        <v>32.16</v>
      </c>
      <c r="G1551" s="92">
        <v>643.2</v>
      </c>
      <c r="H1551" s="93"/>
      <c r="I1551" s="92"/>
      <c r="J1551" s="92"/>
      <c r="K1551" s="92"/>
    </row>
    <row r="1552" ht="12.75" customHeight="1">
      <c r="E1552" s="79"/>
      <c r="F1552" s="80"/>
      <c r="G1552" s="80"/>
      <c r="H1552" s="81"/>
      <c r="I1552" s="80"/>
      <c r="J1552" s="80"/>
      <c r="K1552" s="80"/>
    </row>
    <row r="1553" ht="12.75" customHeight="1">
      <c r="B1553" s="90" t="s">
        <v>1226</v>
      </c>
      <c r="C1553" s="90"/>
      <c r="D1553" s="89" t="s">
        <v>877</v>
      </c>
      <c r="E1553" s="91">
        <v>22.0</v>
      </c>
      <c r="F1553" s="92">
        <v>48.58</v>
      </c>
      <c r="G1553" s="92">
        <v>1068.76</v>
      </c>
      <c r="H1553" s="93"/>
      <c r="I1553" s="92"/>
      <c r="J1553" s="92"/>
      <c r="K1553" s="92"/>
    </row>
    <row r="1554" ht="12.75" customHeight="1">
      <c r="E1554" s="79"/>
      <c r="F1554" s="80"/>
      <c r="G1554" s="80"/>
      <c r="H1554" s="81"/>
      <c r="I1554" s="80"/>
      <c r="J1554" s="80"/>
      <c r="K1554" s="80"/>
    </row>
    <row r="1555" ht="12.75" customHeight="1">
      <c r="A1555" s="89" t="s">
        <v>1227</v>
      </c>
      <c r="B1555" s="90" t="s">
        <v>4278</v>
      </c>
      <c r="C1555" s="90"/>
      <c r="E1555" s="79"/>
      <c r="F1555" s="80"/>
      <c r="G1555" s="80"/>
      <c r="H1555" s="81"/>
      <c r="I1555" s="80"/>
      <c r="J1555" s="80"/>
      <c r="K1555" s="80"/>
    </row>
    <row r="1556" ht="12.75" customHeight="1">
      <c r="E1556" s="79"/>
      <c r="F1556" s="80"/>
      <c r="G1556" s="80"/>
      <c r="H1556" s="81"/>
      <c r="I1556" s="80"/>
      <c r="J1556" s="80"/>
      <c r="K1556" s="80"/>
    </row>
    <row r="1557" ht="12.75" customHeight="1">
      <c r="B1557" s="90" t="s">
        <v>1229</v>
      </c>
      <c r="C1557" s="90"/>
      <c r="D1557" s="89" t="s">
        <v>877</v>
      </c>
      <c r="E1557" s="91">
        <v>236.0</v>
      </c>
      <c r="F1557" s="92">
        <v>26.07</v>
      </c>
      <c r="G1557" s="92">
        <v>6152.52</v>
      </c>
      <c r="H1557" s="93"/>
      <c r="I1557" s="92"/>
      <c r="J1557" s="92"/>
      <c r="K1557" s="92"/>
    </row>
    <row r="1558" ht="12.75" customHeight="1">
      <c r="E1558" s="79"/>
      <c r="F1558" s="80"/>
      <c r="G1558" s="80"/>
      <c r="H1558" s="81"/>
      <c r="I1558" s="80"/>
      <c r="J1558" s="80"/>
      <c r="K1558" s="80"/>
    </row>
    <row r="1559" ht="12.75" customHeight="1">
      <c r="A1559" s="89" t="s">
        <v>1230</v>
      </c>
      <c r="B1559" s="90" t="s">
        <v>4279</v>
      </c>
      <c r="C1559" s="90"/>
      <c r="E1559" s="79"/>
      <c r="F1559" s="80"/>
      <c r="G1559" s="80"/>
      <c r="H1559" s="81"/>
      <c r="I1559" s="80"/>
      <c r="J1559" s="80"/>
      <c r="K1559" s="80"/>
    </row>
    <row r="1560" ht="12.75" customHeight="1">
      <c r="E1560" s="79"/>
      <c r="F1560" s="80"/>
      <c r="G1560" s="80"/>
      <c r="H1560" s="81"/>
      <c r="I1560" s="80"/>
      <c r="J1560" s="80"/>
      <c r="K1560" s="80"/>
    </row>
    <row r="1561" ht="12.75" customHeight="1">
      <c r="B1561" s="90" t="s">
        <v>1232</v>
      </c>
      <c r="C1561" s="90"/>
      <c r="D1561" s="89" t="s">
        <v>877</v>
      </c>
      <c r="E1561" s="91">
        <v>8.0</v>
      </c>
      <c r="F1561" s="92">
        <v>19.89</v>
      </c>
      <c r="G1561" s="92">
        <v>159.12</v>
      </c>
      <c r="H1561" s="93"/>
      <c r="I1561" s="92"/>
      <c r="J1561" s="92"/>
      <c r="K1561" s="92"/>
    </row>
    <row r="1562" ht="12.75" customHeight="1">
      <c r="E1562" s="79"/>
      <c r="F1562" s="80"/>
      <c r="G1562" s="80"/>
      <c r="H1562" s="81"/>
      <c r="I1562" s="80"/>
      <c r="J1562" s="80"/>
      <c r="K1562" s="80"/>
    </row>
    <row r="1563" ht="12.75" customHeight="1">
      <c r="B1563" s="90" t="s">
        <v>1233</v>
      </c>
      <c r="C1563" s="90"/>
      <c r="D1563" s="89" t="s">
        <v>877</v>
      </c>
      <c r="E1563" s="91">
        <v>4.0</v>
      </c>
      <c r="F1563" s="92">
        <v>25.85</v>
      </c>
      <c r="G1563" s="92">
        <v>103.4</v>
      </c>
      <c r="H1563" s="93"/>
      <c r="I1563" s="92"/>
      <c r="J1563" s="92"/>
      <c r="K1563" s="92"/>
    </row>
    <row r="1564" ht="12.75" customHeight="1">
      <c r="E1564" s="79"/>
      <c r="F1564" s="80"/>
      <c r="G1564" s="80"/>
      <c r="H1564" s="81"/>
      <c r="I1564" s="80"/>
      <c r="J1564" s="80"/>
      <c r="K1564" s="80"/>
    </row>
    <row r="1565" ht="12.75" customHeight="1">
      <c r="A1565" s="89" t="s">
        <v>1234</v>
      </c>
      <c r="B1565" s="90" t="s">
        <v>4280</v>
      </c>
      <c r="C1565" s="90"/>
      <c r="D1565" s="89" t="s">
        <v>1236</v>
      </c>
      <c r="E1565" s="91">
        <v>110.0</v>
      </c>
      <c r="F1565" s="92">
        <v>83.09</v>
      </c>
      <c r="G1565" s="92">
        <v>9139.9</v>
      </c>
      <c r="H1565" s="93"/>
      <c r="I1565" s="92"/>
      <c r="J1565" s="92"/>
      <c r="K1565" s="92"/>
    </row>
    <row r="1566" ht="12.75" customHeight="1">
      <c r="E1566" s="79"/>
      <c r="F1566" s="80"/>
      <c r="G1566" s="80"/>
      <c r="H1566" s="81"/>
      <c r="I1566" s="80"/>
      <c r="J1566" s="80"/>
      <c r="K1566" s="80"/>
    </row>
    <row r="1567" ht="12.75" customHeight="1">
      <c r="A1567" s="89" t="s">
        <v>1237</v>
      </c>
      <c r="B1567" s="90" t="s">
        <v>4281</v>
      </c>
      <c r="C1567" s="90"/>
      <c r="E1567" s="79"/>
      <c r="F1567" s="80"/>
      <c r="G1567" s="80"/>
      <c r="H1567" s="81"/>
      <c r="I1567" s="80"/>
      <c r="J1567" s="80"/>
      <c r="K1567" s="80"/>
    </row>
    <row r="1568" ht="12.75" customHeight="1">
      <c r="E1568" s="79"/>
      <c r="F1568" s="80"/>
      <c r="G1568" s="80"/>
      <c r="H1568" s="81"/>
      <c r="I1568" s="80"/>
      <c r="J1568" s="80"/>
      <c r="K1568" s="80"/>
    </row>
    <row r="1569" ht="12.75" customHeight="1">
      <c r="B1569" s="90" t="s">
        <v>1239</v>
      </c>
      <c r="C1569" s="90"/>
      <c r="D1569" s="89" t="s">
        <v>75</v>
      </c>
      <c r="E1569" s="91">
        <v>1.0</v>
      </c>
      <c r="F1569" s="92">
        <v>6960.87</v>
      </c>
      <c r="G1569" s="92">
        <v>6960.87</v>
      </c>
      <c r="H1569" s="93"/>
      <c r="I1569" s="92"/>
      <c r="J1569" s="92"/>
      <c r="K1569" s="92"/>
    </row>
    <row r="1570" ht="12.75" customHeight="1">
      <c r="E1570" s="79"/>
      <c r="F1570" s="80"/>
      <c r="G1570" s="80"/>
      <c r="H1570" s="81"/>
      <c r="I1570" s="80"/>
      <c r="J1570" s="80"/>
      <c r="K1570" s="80"/>
    </row>
    <row r="1571" ht="12.75" customHeight="1">
      <c r="A1571" s="89" t="s">
        <v>1240</v>
      </c>
      <c r="B1571" s="90" t="s">
        <v>4282</v>
      </c>
      <c r="C1571" s="90"/>
      <c r="E1571" s="79"/>
      <c r="F1571" s="80"/>
      <c r="G1571" s="80"/>
      <c r="H1571" s="81"/>
      <c r="I1571" s="80"/>
      <c r="J1571" s="80"/>
      <c r="K1571" s="80"/>
    </row>
    <row r="1572" ht="12.75" customHeight="1">
      <c r="E1572" s="79"/>
      <c r="F1572" s="80"/>
      <c r="G1572" s="80"/>
      <c r="H1572" s="81"/>
      <c r="I1572" s="80"/>
      <c r="J1572" s="80"/>
      <c r="K1572" s="80"/>
    </row>
    <row r="1573" ht="12.75" customHeight="1">
      <c r="B1573" s="90" t="s">
        <v>1242</v>
      </c>
      <c r="C1573" s="90"/>
      <c r="D1573" s="89" t="s">
        <v>75</v>
      </c>
      <c r="E1573" s="91">
        <v>1.0</v>
      </c>
      <c r="F1573" s="92">
        <v>489.39</v>
      </c>
      <c r="G1573" s="92">
        <v>489.39</v>
      </c>
      <c r="H1573" s="93"/>
      <c r="I1573" s="92"/>
      <c r="J1573" s="92"/>
      <c r="K1573" s="92"/>
    </row>
    <row r="1574" ht="12.75" customHeight="1">
      <c r="E1574" s="79"/>
      <c r="F1574" s="80"/>
      <c r="G1574" s="80"/>
      <c r="H1574" s="81"/>
      <c r="I1574" s="80"/>
      <c r="J1574" s="80"/>
      <c r="K1574" s="80"/>
    </row>
    <row r="1575" ht="12.75" customHeight="1">
      <c r="A1575" s="89" t="s">
        <v>4283</v>
      </c>
      <c r="B1575" s="90" t="s">
        <v>4284</v>
      </c>
      <c r="C1575" s="90"/>
      <c r="D1575" s="89" t="s">
        <v>227</v>
      </c>
      <c r="E1575" s="91">
        <v>1.0</v>
      </c>
      <c r="F1575" s="92">
        <v>2623.54</v>
      </c>
      <c r="G1575" s="92">
        <v>2623.54</v>
      </c>
      <c r="H1575" s="93"/>
      <c r="I1575" s="92"/>
      <c r="J1575" s="92"/>
      <c r="K1575" s="92"/>
    </row>
    <row r="1576" ht="12.75" customHeight="1">
      <c r="E1576" s="79"/>
      <c r="F1576" s="80"/>
      <c r="G1576" s="80"/>
      <c r="H1576" s="81"/>
      <c r="I1576" s="80"/>
      <c r="J1576" s="80"/>
      <c r="K1576" s="80"/>
    </row>
    <row r="1577" ht="12.75" customHeight="1">
      <c r="A1577" s="89" t="s">
        <v>1244</v>
      </c>
      <c r="B1577" s="90" t="s">
        <v>4285</v>
      </c>
      <c r="C1577" s="90"/>
      <c r="E1577" s="79"/>
      <c r="F1577" s="80"/>
      <c r="G1577" s="80"/>
      <c r="H1577" s="81"/>
      <c r="I1577" s="80"/>
      <c r="J1577" s="80"/>
      <c r="K1577" s="80"/>
    </row>
    <row r="1578" ht="12.75" customHeight="1">
      <c r="E1578" s="79"/>
      <c r="F1578" s="80"/>
      <c r="G1578" s="80"/>
      <c r="H1578" s="81"/>
      <c r="I1578" s="80"/>
      <c r="J1578" s="80"/>
      <c r="K1578" s="80"/>
    </row>
    <row r="1579" ht="12.75" customHeight="1">
      <c r="B1579" s="90" t="s">
        <v>4286</v>
      </c>
      <c r="C1579" s="90"/>
      <c r="D1579" s="89" t="s">
        <v>75</v>
      </c>
      <c r="E1579" s="91">
        <v>10.0</v>
      </c>
      <c r="F1579" s="92">
        <v>32.5</v>
      </c>
      <c r="G1579" s="92">
        <v>325.0</v>
      </c>
      <c r="H1579" s="93"/>
      <c r="I1579" s="92"/>
      <c r="J1579" s="92"/>
      <c r="K1579" s="92"/>
    </row>
    <row r="1580" ht="12.75" customHeight="1">
      <c r="E1580" s="79"/>
      <c r="F1580" s="80"/>
      <c r="G1580" s="80"/>
      <c r="H1580" s="81"/>
      <c r="I1580" s="80"/>
      <c r="J1580" s="80"/>
      <c r="K1580" s="80"/>
    </row>
    <row r="1581" ht="12.75" customHeight="1">
      <c r="A1581" s="89" t="s">
        <v>1247</v>
      </c>
      <c r="B1581" s="90" t="s">
        <v>4287</v>
      </c>
      <c r="C1581" s="90"/>
      <c r="E1581" s="79"/>
      <c r="F1581" s="80"/>
      <c r="G1581" s="80"/>
      <c r="H1581" s="81"/>
      <c r="I1581" s="80"/>
      <c r="J1581" s="80"/>
      <c r="K1581" s="80"/>
    </row>
    <row r="1582" ht="12.75" customHeight="1">
      <c r="E1582" s="79"/>
      <c r="F1582" s="80"/>
      <c r="G1582" s="80"/>
      <c r="H1582" s="81"/>
      <c r="I1582" s="80"/>
      <c r="J1582" s="80"/>
      <c r="K1582" s="80"/>
    </row>
    <row r="1583" ht="12.75" customHeight="1">
      <c r="B1583" s="90" t="s">
        <v>1249</v>
      </c>
      <c r="C1583" s="90"/>
      <c r="D1583" s="89" t="s">
        <v>75</v>
      </c>
      <c r="E1583" s="91">
        <v>1.0</v>
      </c>
      <c r="F1583" s="92">
        <v>2201.61</v>
      </c>
      <c r="G1583" s="92">
        <v>2201.61</v>
      </c>
      <c r="H1583" s="93"/>
      <c r="I1583" s="92"/>
      <c r="J1583" s="92"/>
      <c r="K1583" s="92"/>
    </row>
    <row r="1584" ht="12.75" customHeight="1">
      <c r="E1584" s="79"/>
      <c r="F1584" s="80"/>
      <c r="G1584" s="80"/>
      <c r="H1584" s="81"/>
      <c r="I1584" s="80"/>
      <c r="J1584" s="80"/>
      <c r="K1584" s="80"/>
    </row>
    <row r="1585" ht="12.75" customHeight="1">
      <c r="B1585" s="90" t="s">
        <v>1250</v>
      </c>
      <c r="C1585" s="90"/>
      <c r="D1585" s="89" t="s">
        <v>75</v>
      </c>
      <c r="E1585" s="91">
        <v>1.0</v>
      </c>
      <c r="F1585" s="92">
        <v>4403.22</v>
      </c>
      <c r="G1585" s="92">
        <v>4403.22</v>
      </c>
      <c r="H1585" s="93"/>
      <c r="I1585" s="92"/>
      <c r="J1585" s="92"/>
      <c r="K1585" s="92"/>
    </row>
    <row r="1586" ht="12.75" customHeight="1">
      <c r="E1586" s="79"/>
      <c r="F1586" s="80"/>
      <c r="G1586" s="80"/>
      <c r="H1586" s="81"/>
      <c r="I1586" s="80"/>
      <c r="J1586" s="80"/>
      <c r="K1586" s="80"/>
    </row>
    <row r="1587" ht="12.75" customHeight="1">
      <c r="B1587" s="90" t="s">
        <v>1251</v>
      </c>
      <c r="C1587" s="90"/>
      <c r="D1587" s="89" t="s">
        <v>75</v>
      </c>
      <c r="E1587" s="91">
        <v>1.0</v>
      </c>
      <c r="F1587" s="92">
        <v>3331.12</v>
      </c>
      <c r="G1587" s="92">
        <v>3331.12</v>
      </c>
      <c r="H1587" s="93"/>
      <c r="I1587" s="92"/>
      <c r="J1587" s="92"/>
      <c r="K1587" s="92"/>
    </row>
    <row r="1588" ht="12.75" customHeight="1">
      <c r="E1588" s="79"/>
      <c r="F1588" s="80"/>
      <c r="G1588" s="80"/>
      <c r="H1588" s="81"/>
      <c r="I1588" s="80"/>
      <c r="J1588" s="80"/>
      <c r="K1588" s="80"/>
    </row>
    <row r="1589" ht="12.75" customHeight="1">
      <c r="B1589" s="90" t="s">
        <v>1252</v>
      </c>
      <c r="C1589" s="90"/>
      <c r="D1589" s="89" t="s">
        <v>75</v>
      </c>
      <c r="E1589" s="91">
        <v>3.0</v>
      </c>
      <c r="F1589" s="92">
        <v>2446.23</v>
      </c>
      <c r="G1589" s="92">
        <v>7338.69</v>
      </c>
      <c r="H1589" s="93"/>
      <c r="I1589" s="92"/>
      <c r="J1589" s="92"/>
      <c r="K1589" s="92"/>
    </row>
    <row r="1590" ht="12.75" customHeight="1">
      <c r="E1590" s="79"/>
      <c r="F1590" s="80"/>
      <c r="G1590" s="80"/>
      <c r="H1590" s="81"/>
      <c r="I1590" s="80"/>
      <c r="J1590" s="80"/>
      <c r="K1590" s="80"/>
    </row>
    <row r="1591" ht="12.75" customHeight="1">
      <c r="B1591" s="90" t="s">
        <v>1253</v>
      </c>
      <c r="C1591" s="90"/>
      <c r="D1591" s="89" t="s">
        <v>75</v>
      </c>
      <c r="E1591" s="91">
        <v>6.0</v>
      </c>
      <c r="F1591" s="92">
        <v>916.06</v>
      </c>
      <c r="G1591" s="92">
        <v>5496.36</v>
      </c>
      <c r="H1591" s="93"/>
      <c r="I1591" s="92"/>
      <c r="J1591" s="92"/>
      <c r="K1591" s="92"/>
    </row>
    <row r="1592" ht="12.75" customHeight="1">
      <c r="E1592" s="79"/>
      <c r="F1592" s="80"/>
      <c r="G1592" s="80"/>
      <c r="H1592" s="81"/>
      <c r="I1592" s="80"/>
      <c r="J1592" s="80"/>
      <c r="K1592" s="80"/>
    </row>
    <row r="1593" ht="12.75" customHeight="1">
      <c r="B1593" s="90" t="s">
        <v>1254</v>
      </c>
      <c r="C1593" s="90"/>
      <c r="D1593" s="89" t="s">
        <v>75</v>
      </c>
      <c r="E1593" s="91">
        <v>2.0</v>
      </c>
      <c r="F1593" s="92">
        <v>203.31</v>
      </c>
      <c r="G1593" s="92">
        <v>406.62</v>
      </c>
      <c r="H1593" s="93"/>
      <c r="I1593" s="92"/>
      <c r="J1593" s="92"/>
      <c r="K1593" s="92"/>
    </row>
    <row r="1594" ht="12.75" customHeight="1">
      <c r="E1594" s="79"/>
      <c r="F1594" s="80"/>
      <c r="G1594" s="80"/>
      <c r="H1594" s="81"/>
      <c r="I1594" s="80"/>
      <c r="J1594" s="80"/>
      <c r="K1594" s="80"/>
    </row>
    <row r="1595" ht="12.75" customHeight="1">
      <c r="B1595" s="90" t="s">
        <v>1255</v>
      </c>
      <c r="C1595" s="90"/>
      <c r="D1595" s="89" t="s">
        <v>75</v>
      </c>
      <c r="E1595" s="91">
        <v>2.0</v>
      </c>
      <c r="F1595" s="92">
        <v>203.31</v>
      </c>
      <c r="G1595" s="92">
        <v>406.62</v>
      </c>
      <c r="H1595" s="93"/>
      <c r="I1595" s="92"/>
      <c r="J1595" s="92"/>
      <c r="K1595" s="92"/>
    </row>
    <row r="1596" ht="12.75" customHeight="1">
      <c r="E1596" s="79"/>
      <c r="F1596" s="80"/>
      <c r="G1596" s="80"/>
      <c r="H1596" s="81"/>
      <c r="I1596" s="80"/>
      <c r="J1596" s="80"/>
      <c r="K1596" s="80"/>
    </row>
    <row r="1597" ht="12.75" customHeight="1">
      <c r="B1597" s="90" t="s">
        <v>1256</v>
      </c>
      <c r="C1597" s="90"/>
      <c r="D1597" s="89" t="s">
        <v>75</v>
      </c>
      <c r="E1597" s="91">
        <v>1.0</v>
      </c>
      <c r="F1597" s="92">
        <v>289.38</v>
      </c>
      <c r="G1597" s="92">
        <v>289.38</v>
      </c>
      <c r="H1597" s="93"/>
      <c r="I1597" s="92"/>
      <c r="J1597" s="92"/>
      <c r="K1597" s="92"/>
    </row>
    <row r="1598" ht="12.75" customHeight="1">
      <c r="E1598" s="79"/>
      <c r="F1598" s="80"/>
      <c r="G1598" s="80"/>
      <c r="H1598" s="81"/>
      <c r="I1598" s="80"/>
      <c r="J1598" s="80"/>
      <c r="K1598" s="80"/>
    </row>
    <row r="1599" ht="12.75" customHeight="1">
      <c r="B1599" s="90" t="s">
        <v>1257</v>
      </c>
      <c r="C1599" s="90"/>
      <c r="D1599" s="89" t="s">
        <v>75</v>
      </c>
      <c r="E1599" s="91">
        <v>1.0</v>
      </c>
      <c r="F1599" s="92">
        <v>289.38</v>
      </c>
      <c r="G1599" s="92">
        <v>289.38</v>
      </c>
      <c r="H1599" s="93"/>
      <c r="I1599" s="92"/>
      <c r="J1599" s="92"/>
      <c r="K1599" s="92"/>
    </row>
    <row r="1600" ht="12.75" customHeight="1">
      <c r="E1600" s="79"/>
      <c r="F1600" s="80"/>
      <c r="G1600" s="80"/>
      <c r="H1600" s="81"/>
      <c r="I1600" s="80"/>
      <c r="J1600" s="80"/>
      <c r="K1600" s="80"/>
    </row>
    <row r="1601" ht="12.75" customHeight="1">
      <c r="B1601" s="90" t="s">
        <v>1258</v>
      </c>
      <c r="C1601" s="90"/>
      <c r="D1601" s="89" t="s">
        <v>75</v>
      </c>
      <c r="E1601" s="91">
        <v>3.0</v>
      </c>
      <c r="F1601" s="92">
        <v>232.94</v>
      </c>
      <c r="G1601" s="92">
        <v>698.82</v>
      </c>
      <c r="H1601" s="93"/>
      <c r="I1601" s="92"/>
      <c r="J1601" s="92"/>
      <c r="K1601" s="92"/>
    </row>
    <row r="1602" ht="12.75" customHeight="1">
      <c r="E1602" s="79"/>
      <c r="F1602" s="80"/>
      <c r="G1602" s="80"/>
      <c r="H1602" s="81"/>
      <c r="I1602" s="80"/>
      <c r="J1602" s="80"/>
      <c r="K1602" s="80"/>
    </row>
    <row r="1603" ht="12.75" customHeight="1">
      <c r="B1603" s="90" t="s">
        <v>2883</v>
      </c>
      <c r="C1603" s="90"/>
      <c r="D1603" s="89" t="s">
        <v>75</v>
      </c>
      <c r="E1603" s="91">
        <v>1.0</v>
      </c>
      <c r="F1603" s="92">
        <v>133.33</v>
      </c>
      <c r="G1603" s="92">
        <v>133.33</v>
      </c>
      <c r="H1603" s="93"/>
      <c r="I1603" s="92"/>
      <c r="J1603" s="92"/>
      <c r="K1603" s="92"/>
    </row>
    <row r="1604" ht="12.75" customHeight="1">
      <c r="E1604" s="79"/>
      <c r="F1604" s="80"/>
      <c r="G1604" s="80"/>
      <c r="H1604" s="81"/>
      <c r="I1604" s="80"/>
      <c r="J1604" s="80"/>
      <c r="K1604" s="80"/>
    </row>
    <row r="1605" ht="12.75" customHeight="1">
      <c r="A1605" s="89" t="s">
        <v>1260</v>
      </c>
      <c r="B1605" s="90" t="s">
        <v>4288</v>
      </c>
      <c r="C1605" s="90"/>
      <c r="D1605" s="89" t="s">
        <v>33</v>
      </c>
      <c r="E1605" s="91">
        <v>1.0</v>
      </c>
      <c r="F1605" s="92">
        <v>2207.94</v>
      </c>
      <c r="G1605" s="92">
        <v>2207.94</v>
      </c>
      <c r="H1605" s="93"/>
      <c r="I1605" s="92"/>
      <c r="J1605" s="92"/>
      <c r="K1605" s="92"/>
    </row>
    <row r="1606" ht="12.75" customHeight="1">
      <c r="E1606" s="79"/>
      <c r="F1606" s="80"/>
      <c r="G1606" s="80"/>
      <c r="H1606" s="81"/>
      <c r="I1606" s="80"/>
      <c r="J1606" s="80"/>
      <c r="K1606" s="80"/>
    </row>
    <row r="1607" ht="12.75" customHeight="1">
      <c r="A1607" s="89" t="s">
        <v>1262</v>
      </c>
      <c r="B1607" s="90" t="s">
        <v>4289</v>
      </c>
      <c r="C1607" s="90"/>
      <c r="D1607" s="89" t="s">
        <v>227</v>
      </c>
      <c r="E1607" s="91">
        <v>1.0</v>
      </c>
      <c r="F1607" s="92">
        <v>2586.2</v>
      </c>
      <c r="G1607" s="92">
        <v>2586.2</v>
      </c>
      <c r="H1607" s="93"/>
      <c r="I1607" s="92"/>
      <c r="J1607" s="92"/>
      <c r="K1607" s="92"/>
    </row>
    <row r="1608" ht="12.75" customHeight="1">
      <c r="E1608" s="79"/>
      <c r="F1608" s="80"/>
      <c r="G1608" s="80"/>
      <c r="H1608" s="81"/>
      <c r="I1608" s="80"/>
      <c r="J1608" s="80"/>
      <c r="K1608" s="80"/>
    </row>
    <row r="1609" ht="12.75" customHeight="1">
      <c r="B1609" s="90" t="s">
        <v>2891</v>
      </c>
      <c r="C1609" s="90"/>
      <c r="D1609" s="89" t="s">
        <v>227</v>
      </c>
      <c r="E1609" s="91">
        <v>1.0</v>
      </c>
      <c r="F1609" s="92">
        <v>323.28</v>
      </c>
      <c r="G1609" s="92">
        <v>323.28</v>
      </c>
      <c r="H1609" s="93"/>
      <c r="I1609" s="92"/>
      <c r="J1609" s="92"/>
      <c r="K1609" s="92"/>
    </row>
    <row r="1610" ht="12.75" customHeight="1">
      <c r="E1610" s="79"/>
      <c r="F1610" s="80"/>
      <c r="G1610" s="80"/>
      <c r="H1610" s="81"/>
      <c r="I1610" s="80"/>
      <c r="J1610" s="80"/>
      <c r="K1610" s="80"/>
    </row>
    <row r="1611" ht="12.75" customHeight="1">
      <c r="B1611" s="90" t="s">
        <v>4290</v>
      </c>
      <c r="C1611" s="90"/>
      <c r="D1611" s="89" t="s">
        <v>227</v>
      </c>
      <c r="E1611" s="91">
        <v>1.0</v>
      </c>
      <c r="F1611" s="92">
        <v>370.78</v>
      </c>
      <c r="G1611" s="92">
        <v>370.78</v>
      </c>
      <c r="H1611" s="93"/>
      <c r="I1611" s="92"/>
      <c r="J1611" s="92"/>
      <c r="K1611" s="92"/>
    </row>
    <row r="1612" ht="12.75" customHeight="1">
      <c r="E1612" s="79"/>
      <c r="F1612" s="80"/>
      <c r="G1612" s="80"/>
      <c r="H1612" s="81"/>
      <c r="I1612" s="80"/>
      <c r="J1612" s="80"/>
      <c r="K1612" s="80"/>
    </row>
    <row r="1613" ht="12.75" customHeight="1">
      <c r="B1613" s="90" t="s">
        <v>4291</v>
      </c>
      <c r="C1613" s="90"/>
      <c r="D1613" s="89" t="s">
        <v>227</v>
      </c>
      <c r="E1613" s="91">
        <v>1.0</v>
      </c>
      <c r="F1613" s="92">
        <v>1962.85</v>
      </c>
      <c r="G1613" s="92">
        <v>1962.85</v>
      </c>
      <c r="H1613" s="93"/>
      <c r="I1613" s="92"/>
      <c r="J1613" s="92"/>
      <c r="K1613" s="92"/>
    </row>
    <row r="1614" ht="12.75" customHeight="1">
      <c r="E1614" s="79"/>
      <c r="F1614" s="80"/>
      <c r="G1614" s="80"/>
      <c r="H1614" s="81"/>
      <c r="I1614" s="80"/>
      <c r="J1614" s="80"/>
      <c r="K1614" s="80"/>
    </row>
    <row r="1615" ht="12.75" customHeight="1">
      <c r="A1615" s="162" t="s">
        <v>4225</v>
      </c>
      <c r="B1615" s="161" t="s">
        <v>4226</v>
      </c>
      <c r="C1615" s="161"/>
      <c r="D1615" s="160"/>
      <c r="E1615" s="415"/>
      <c r="F1615" s="416"/>
      <c r="G1615" s="164">
        <v>181241.0</v>
      </c>
      <c r="H1615" s="165">
        <f>G1615</f>
        <v>181241</v>
      </c>
      <c r="I1615" s="164"/>
      <c r="J1615" s="164"/>
      <c r="K1615" s="164"/>
    </row>
    <row r="1616" ht="12.75" customHeight="1">
      <c r="E1616" s="79"/>
      <c r="F1616" s="80"/>
      <c r="G1616" s="80"/>
      <c r="H1616" s="81"/>
      <c r="I1616" s="80"/>
      <c r="J1616" s="80"/>
      <c r="K1616" s="80"/>
    </row>
    <row r="1617" ht="12.75" customHeight="1">
      <c r="E1617" s="79"/>
      <c r="F1617" s="80"/>
      <c r="G1617" s="80"/>
      <c r="H1617" s="81"/>
      <c r="I1617" s="80"/>
      <c r="J1617" s="80"/>
      <c r="K1617" s="80"/>
    </row>
    <row r="1618" ht="12.75" customHeight="1">
      <c r="A1618" s="89" t="s">
        <v>4292</v>
      </c>
      <c r="B1618" s="90" t="s">
        <v>2896</v>
      </c>
      <c r="C1618" s="90"/>
      <c r="E1618" s="79"/>
      <c r="F1618" s="80"/>
      <c r="G1618" s="80"/>
      <c r="H1618" s="81"/>
      <c r="I1618" s="80"/>
      <c r="J1618" s="80"/>
      <c r="K1618" s="80"/>
    </row>
    <row r="1619" ht="12.75" customHeight="1">
      <c r="E1619" s="79"/>
      <c r="F1619" s="80"/>
      <c r="G1619" s="80"/>
      <c r="H1619" s="81"/>
      <c r="I1619" s="80"/>
      <c r="J1619" s="80"/>
      <c r="K1619" s="80"/>
    </row>
    <row r="1620" ht="12.75" customHeight="1">
      <c r="A1620" s="89" t="s">
        <v>1268</v>
      </c>
      <c r="B1620" s="90" t="s">
        <v>4293</v>
      </c>
      <c r="C1620" s="90"/>
      <c r="E1620" s="79"/>
      <c r="F1620" s="80"/>
      <c r="G1620" s="80"/>
      <c r="H1620" s="81"/>
      <c r="I1620" s="80"/>
      <c r="J1620" s="80"/>
      <c r="K1620" s="80"/>
    </row>
    <row r="1621" ht="12.75" customHeight="1">
      <c r="E1621" s="79"/>
      <c r="F1621" s="80"/>
      <c r="G1621" s="80"/>
      <c r="H1621" s="81"/>
      <c r="I1621" s="80"/>
      <c r="J1621" s="80"/>
      <c r="K1621" s="80"/>
    </row>
    <row r="1622" ht="12.75" customHeight="1">
      <c r="B1622" s="90" t="s">
        <v>4294</v>
      </c>
      <c r="C1622" s="90"/>
      <c r="D1622" s="89" t="s">
        <v>33</v>
      </c>
      <c r="E1622" s="91">
        <v>1.0</v>
      </c>
      <c r="F1622" s="92">
        <v>239.87</v>
      </c>
      <c r="G1622" s="92">
        <v>239.87</v>
      </c>
      <c r="H1622" s="93"/>
      <c r="I1622" s="92"/>
      <c r="J1622" s="92"/>
      <c r="K1622" s="92"/>
    </row>
    <row r="1623" ht="12.75" customHeight="1">
      <c r="E1623" s="79"/>
      <c r="F1623" s="80"/>
      <c r="G1623" s="80"/>
      <c r="H1623" s="81"/>
      <c r="I1623" s="80"/>
      <c r="J1623" s="80"/>
      <c r="K1623" s="80"/>
    </row>
    <row r="1624" ht="12.75" customHeight="1">
      <c r="B1624" s="90" t="s">
        <v>4295</v>
      </c>
      <c r="C1624" s="90"/>
      <c r="D1624" s="89" t="s">
        <v>75</v>
      </c>
      <c r="E1624" s="91">
        <v>1.0</v>
      </c>
      <c r="F1624" s="92">
        <v>118.16</v>
      </c>
      <c r="G1624" s="92">
        <v>118.16</v>
      </c>
      <c r="H1624" s="93"/>
      <c r="I1624" s="92"/>
      <c r="J1624" s="92"/>
      <c r="K1624" s="92"/>
    </row>
    <row r="1625" ht="12.75" customHeight="1">
      <c r="E1625" s="79"/>
      <c r="F1625" s="80"/>
      <c r="G1625" s="80"/>
      <c r="H1625" s="81"/>
      <c r="I1625" s="80"/>
      <c r="J1625" s="80"/>
      <c r="K1625" s="80"/>
    </row>
    <row r="1626" ht="12.75" customHeight="1">
      <c r="A1626" s="89" t="s">
        <v>1272</v>
      </c>
      <c r="B1626" s="90" t="s">
        <v>4296</v>
      </c>
      <c r="C1626" s="90"/>
      <c r="E1626" s="79"/>
      <c r="F1626" s="80"/>
      <c r="G1626" s="80"/>
      <c r="H1626" s="81"/>
      <c r="I1626" s="80"/>
      <c r="J1626" s="80"/>
      <c r="K1626" s="80"/>
    </row>
    <row r="1627" ht="12.75" customHeight="1">
      <c r="E1627" s="79"/>
      <c r="F1627" s="80"/>
      <c r="G1627" s="80"/>
      <c r="H1627" s="81"/>
      <c r="I1627" s="80"/>
      <c r="J1627" s="80"/>
      <c r="K1627" s="80"/>
    </row>
    <row r="1628" ht="12.75" customHeight="1">
      <c r="B1628" s="90" t="s">
        <v>2906</v>
      </c>
      <c r="C1628" s="90"/>
      <c r="D1628" s="89" t="s">
        <v>33</v>
      </c>
      <c r="E1628" s="91">
        <v>1.0</v>
      </c>
      <c r="F1628" s="92">
        <v>7118.5</v>
      </c>
      <c r="G1628" s="92">
        <v>7118.5</v>
      </c>
      <c r="H1628" s="93"/>
      <c r="I1628" s="92"/>
      <c r="J1628" s="92"/>
      <c r="K1628" s="92"/>
    </row>
    <row r="1629" ht="12.75" customHeight="1">
      <c r="E1629" s="79"/>
      <c r="F1629" s="80"/>
      <c r="G1629" s="80"/>
      <c r="H1629" s="81"/>
      <c r="I1629" s="80"/>
      <c r="J1629" s="80"/>
      <c r="K1629" s="80"/>
    </row>
    <row r="1630" ht="12.75" customHeight="1">
      <c r="B1630" s="90" t="s">
        <v>4297</v>
      </c>
      <c r="C1630" s="90"/>
      <c r="D1630" s="89" t="s">
        <v>33</v>
      </c>
      <c r="E1630" s="91">
        <v>1.0</v>
      </c>
      <c r="F1630" s="92">
        <v>5003.02</v>
      </c>
      <c r="G1630" s="92">
        <v>5003.02</v>
      </c>
      <c r="H1630" s="93"/>
      <c r="I1630" s="92"/>
      <c r="J1630" s="92"/>
      <c r="K1630" s="92"/>
    </row>
    <row r="1631" ht="12.75" customHeight="1">
      <c r="E1631" s="79"/>
      <c r="F1631" s="80"/>
      <c r="G1631" s="80"/>
      <c r="H1631" s="81"/>
      <c r="I1631" s="80"/>
      <c r="J1631" s="80"/>
      <c r="K1631" s="80"/>
    </row>
    <row r="1632" ht="12.75" customHeight="1">
      <c r="B1632" s="90" t="s">
        <v>4298</v>
      </c>
      <c r="C1632" s="90"/>
      <c r="D1632" s="89" t="s">
        <v>33</v>
      </c>
      <c r="E1632" s="91">
        <v>1.0</v>
      </c>
      <c r="F1632" s="92">
        <v>6463.88</v>
      </c>
      <c r="G1632" s="92">
        <v>6463.88</v>
      </c>
      <c r="H1632" s="93"/>
      <c r="I1632" s="92"/>
      <c r="J1632" s="92"/>
      <c r="K1632" s="92"/>
    </row>
    <row r="1633" ht="12.75" customHeight="1">
      <c r="E1633" s="79"/>
      <c r="F1633" s="80"/>
      <c r="G1633" s="80"/>
      <c r="H1633" s="81"/>
      <c r="I1633" s="80"/>
      <c r="J1633" s="80"/>
      <c r="K1633" s="80"/>
    </row>
    <row r="1634" ht="12.75" customHeight="1">
      <c r="B1634" s="90" t="s">
        <v>4299</v>
      </c>
      <c r="C1634" s="90"/>
      <c r="D1634" s="89" t="s">
        <v>33</v>
      </c>
      <c r="E1634" s="91">
        <v>1.0</v>
      </c>
      <c r="F1634" s="92">
        <v>2459.3</v>
      </c>
      <c r="G1634" s="92">
        <v>2459.3</v>
      </c>
      <c r="H1634" s="93"/>
      <c r="I1634" s="92"/>
      <c r="J1634" s="92"/>
      <c r="K1634" s="92"/>
    </row>
    <row r="1635" ht="12.75" customHeight="1">
      <c r="E1635" s="79"/>
      <c r="F1635" s="80"/>
      <c r="G1635" s="80"/>
      <c r="H1635" s="81"/>
      <c r="I1635" s="80"/>
      <c r="J1635" s="80"/>
      <c r="K1635" s="80"/>
    </row>
    <row r="1636" ht="12.75" customHeight="1">
      <c r="B1636" s="90" t="s">
        <v>4300</v>
      </c>
      <c r="C1636" s="90"/>
      <c r="D1636" s="89" t="s">
        <v>33</v>
      </c>
      <c r="E1636" s="91">
        <v>1.0</v>
      </c>
      <c r="F1636" s="92">
        <v>1514.74</v>
      </c>
      <c r="G1636" s="92">
        <v>1514.74</v>
      </c>
      <c r="H1636" s="93"/>
      <c r="I1636" s="92"/>
      <c r="J1636" s="92"/>
      <c r="K1636" s="92"/>
    </row>
    <row r="1637" ht="12.75" customHeight="1">
      <c r="E1637" s="79"/>
      <c r="F1637" s="80"/>
      <c r="G1637" s="80"/>
      <c r="H1637" s="81"/>
      <c r="I1637" s="80"/>
      <c r="J1637" s="80"/>
      <c r="K1637" s="80"/>
    </row>
    <row r="1638" ht="12.75" customHeight="1">
      <c r="B1638" s="90" t="s">
        <v>4301</v>
      </c>
      <c r="C1638" s="90"/>
      <c r="D1638" s="89" t="s">
        <v>33</v>
      </c>
      <c r="E1638" s="91">
        <v>1.0</v>
      </c>
      <c r="F1638" s="92">
        <v>1385.22</v>
      </c>
      <c r="G1638" s="92">
        <v>1385.22</v>
      </c>
      <c r="H1638" s="93"/>
      <c r="I1638" s="92"/>
      <c r="J1638" s="92"/>
      <c r="K1638" s="92"/>
    </row>
    <row r="1639" ht="12.75" customHeight="1">
      <c r="E1639" s="79"/>
      <c r="F1639" s="80"/>
      <c r="G1639" s="80"/>
      <c r="H1639" s="81"/>
      <c r="I1639" s="80"/>
      <c r="J1639" s="80"/>
      <c r="K1639" s="80"/>
    </row>
    <row r="1640" ht="12.75" customHeight="1">
      <c r="B1640" s="90" t="s">
        <v>4302</v>
      </c>
      <c r="C1640" s="90"/>
      <c r="D1640" s="89" t="s">
        <v>33</v>
      </c>
      <c r="E1640" s="91">
        <v>1.0</v>
      </c>
      <c r="F1640" s="80"/>
      <c r="G1640" s="92">
        <v>0.0</v>
      </c>
      <c r="H1640" s="93"/>
      <c r="I1640" s="92"/>
      <c r="J1640" s="92"/>
      <c r="K1640" s="92"/>
    </row>
    <row r="1641" ht="12.75" customHeight="1">
      <c r="E1641" s="79"/>
      <c r="F1641" s="80"/>
      <c r="G1641" s="80"/>
      <c r="H1641" s="81"/>
      <c r="I1641" s="80"/>
      <c r="J1641" s="80"/>
      <c r="K1641" s="80"/>
    </row>
    <row r="1642" ht="12.75" customHeight="1">
      <c r="B1642" s="90" t="s">
        <v>4303</v>
      </c>
      <c r="C1642" s="90"/>
      <c r="D1642" s="89" t="s">
        <v>33</v>
      </c>
      <c r="E1642" s="91">
        <v>1.0</v>
      </c>
      <c r="F1642" s="80"/>
      <c r="G1642" s="92">
        <v>0.0</v>
      </c>
      <c r="H1642" s="93"/>
      <c r="I1642" s="92"/>
      <c r="J1642" s="92"/>
      <c r="K1642" s="92"/>
    </row>
    <row r="1643" ht="12.75" customHeight="1">
      <c r="E1643" s="79"/>
      <c r="F1643" s="80"/>
      <c r="G1643" s="80"/>
      <c r="H1643" s="81"/>
      <c r="I1643" s="80"/>
      <c r="J1643" s="80"/>
      <c r="K1643" s="80"/>
    </row>
    <row r="1644" ht="12.75" customHeight="1">
      <c r="B1644" s="90" t="s">
        <v>4304</v>
      </c>
      <c r="C1644" s="90"/>
      <c r="D1644" s="89" t="s">
        <v>33</v>
      </c>
      <c r="E1644" s="91">
        <v>1.0</v>
      </c>
      <c r="F1644" s="80"/>
      <c r="G1644" s="92">
        <v>0.0</v>
      </c>
      <c r="H1644" s="93"/>
      <c r="I1644" s="92"/>
      <c r="J1644" s="92"/>
      <c r="K1644" s="92"/>
    </row>
    <row r="1645" ht="12.75" customHeight="1">
      <c r="E1645" s="79"/>
      <c r="F1645" s="80"/>
      <c r="G1645" s="80"/>
      <c r="H1645" s="81"/>
      <c r="I1645" s="80"/>
      <c r="J1645" s="80"/>
      <c r="K1645" s="80"/>
    </row>
    <row r="1646" ht="12.75" customHeight="1">
      <c r="B1646" s="90" t="s">
        <v>4305</v>
      </c>
      <c r="C1646" s="90"/>
      <c r="D1646" s="89" t="s">
        <v>33</v>
      </c>
      <c r="E1646" s="91">
        <v>1.0</v>
      </c>
      <c r="F1646" s="80"/>
      <c r="G1646" s="92">
        <v>0.0</v>
      </c>
      <c r="H1646" s="93"/>
      <c r="I1646" s="92"/>
      <c r="J1646" s="92"/>
      <c r="K1646" s="92"/>
    </row>
    <row r="1647" ht="12.75" customHeight="1">
      <c r="E1647" s="79"/>
      <c r="F1647" s="80"/>
      <c r="G1647" s="80"/>
      <c r="H1647" s="81"/>
      <c r="I1647" s="80"/>
      <c r="J1647" s="80"/>
      <c r="K1647" s="80"/>
    </row>
    <row r="1648" ht="12.75" customHeight="1">
      <c r="A1648" s="89" t="s">
        <v>1284</v>
      </c>
      <c r="B1648" s="90" t="s">
        <v>2925</v>
      </c>
      <c r="C1648" s="90"/>
      <c r="E1648" s="79"/>
      <c r="F1648" s="80"/>
      <c r="G1648" s="80"/>
      <c r="H1648" s="81"/>
      <c r="I1648" s="80"/>
      <c r="J1648" s="80"/>
      <c r="K1648" s="80"/>
    </row>
    <row r="1649" ht="12.75" customHeight="1">
      <c r="E1649" s="79"/>
      <c r="F1649" s="80"/>
      <c r="G1649" s="80"/>
      <c r="H1649" s="81"/>
      <c r="I1649" s="80"/>
      <c r="J1649" s="80"/>
      <c r="K1649" s="80"/>
    </row>
    <row r="1650" ht="12.75" customHeight="1">
      <c r="B1650" s="90" t="s">
        <v>4306</v>
      </c>
      <c r="C1650" s="90"/>
      <c r="E1650" s="79"/>
      <c r="F1650" s="80"/>
      <c r="G1650" s="80"/>
      <c r="H1650" s="81"/>
      <c r="I1650" s="80"/>
      <c r="J1650" s="80"/>
      <c r="K1650" s="80"/>
    </row>
    <row r="1651" ht="12.75" customHeight="1">
      <c r="E1651" s="79"/>
      <c r="F1651" s="80"/>
      <c r="G1651" s="80"/>
      <c r="H1651" s="81"/>
      <c r="I1651" s="80"/>
      <c r="J1651" s="80"/>
      <c r="K1651" s="80"/>
    </row>
    <row r="1652" ht="12.75" customHeight="1">
      <c r="B1652" s="90" t="s">
        <v>4307</v>
      </c>
      <c r="C1652" s="90"/>
      <c r="D1652" s="89" t="s">
        <v>161</v>
      </c>
      <c r="E1652" s="91">
        <v>34.0</v>
      </c>
      <c r="F1652" s="92">
        <v>24.09</v>
      </c>
      <c r="G1652" s="92">
        <v>819.06</v>
      </c>
      <c r="H1652" s="93"/>
      <c r="I1652" s="92"/>
      <c r="J1652" s="92"/>
      <c r="K1652" s="92"/>
    </row>
    <row r="1653" ht="12.75" customHeight="1">
      <c r="E1653" s="79"/>
      <c r="F1653" s="80"/>
      <c r="G1653" s="80"/>
      <c r="H1653" s="81"/>
      <c r="I1653" s="80"/>
      <c r="J1653" s="80"/>
      <c r="K1653" s="80"/>
    </row>
    <row r="1654" ht="12.75" customHeight="1">
      <c r="B1654" s="90" t="s">
        <v>4308</v>
      </c>
      <c r="C1654" s="90"/>
      <c r="D1654" s="89" t="s">
        <v>161</v>
      </c>
      <c r="E1654" s="91">
        <v>12.0</v>
      </c>
      <c r="F1654" s="92">
        <v>8.38</v>
      </c>
      <c r="G1654" s="92">
        <v>100.56</v>
      </c>
      <c r="H1654" s="93"/>
      <c r="I1654" s="92"/>
      <c r="J1654" s="92"/>
      <c r="K1654" s="92"/>
    </row>
    <row r="1655" ht="12.75" customHeight="1">
      <c r="E1655" s="79"/>
      <c r="F1655" s="80"/>
      <c r="G1655" s="80"/>
      <c r="H1655" s="81"/>
      <c r="I1655" s="80"/>
      <c r="J1655" s="80"/>
      <c r="K1655" s="80"/>
    </row>
    <row r="1656" ht="12.75" customHeight="1">
      <c r="B1656" s="90" t="s">
        <v>4309</v>
      </c>
      <c r="C1656" s="90"/>
      <c r="D1656" s="89" t="s">
        <v>161</v>
      </c>
      <c r="E1656" s="91">
        <v>33.0</v>
      </c>
      <c r="F1656" s="92">
        <v>6.28</v>
      </c>
      <c r="G1656" s="92">
        <v>207.24</v>
      </c>
      <c r="H1656" s="93"/>
      <c r="I1656" s="92"/>
      <c r="J1656" s="92"/>
      <c r="K1656" s="92"/>
    </row>
    <row r="1657" ht="12.75" customHeight="1">
      <c r="E1657" s="79"/>
      <c r="F1657" s="80"/>
      <c r="G1657" s="80"/>
      <c r="H1657" s="81"/>
      <c r="I1657" s="80"/>
      <c r="J1657" s="80"/>
      <c r="K1657" s="80"/>
    </row>
    <row r="1658" ht="12.75" customHeight="1">
      <c r="B1658" s="90" t="s">
        <v>4310</v>
      </c>
      <c r="C1658" s="90"/>
      <c r="D1658" s="89" t="s">
        <v>161</v>
      </c>
      <c r="E1658" s="91">
        <v>9.0</v>
      </c>
      <c r="F1658" s="92">
        <v>19.32</v>
      </c>
      <c r="G1658" s="92">
        <v>173.88</v>
      </c>
      <c r="H1658" s="93"/>
      <c r="I1658" s="92"/>
      <c r="J1658" s="92"/>
      <c r="K1658" s="92"/>
    </row>
    <row r="1659" ht="12.75" customHeight="1">
      <c r="E1659" s="79"/>
      <c r="F1659" s="80"/>
      <c r="G1659" s="80"/>
      <c r="H1659" s="81"/>
      <c r="I1659" s="80"/>
      <c r="J1659" s="80"/>
      <c r="K1659" s="80"/>
    </row>
    <row r="1660" ht="12.75" customHeight="1">
      <c r="B1660" s="90" t="s">
        <v>4311</v>
      </c>
      <c r="C1660" s="90"/>
      <c r="D1660" s="89" t="s">
        <v>161</v>
      </c>
      <c r="E1660" s="91">
        <v>59.0</v>
      </c>
      <c r="F1660" s="92">
        <v>8.38</v>
      </c>
      <c r="G1660" s="92">
        <v>494.42</v>
      </c>
      <c r="H1660" s="93"/>
      <c r="I1660" s="92"/>
      <c r="J1660" s="92"/>
      <c r="K1660" s="92"/>
    </row>
    <row r="1661" ht="12.75" customHeight="1">
      <c r="E1661" s="79"/>
      <c r="F1661" s="80"/>
      <c r="G1661" s="80"/>
      <c r="H1661" s="81"/>
      <c r="I1661" s="80"/>
      <c r="J1661" s="80"/>
      <c r="K1661" s="80"/>
    </row>
    <row r="1662" ht="12.75" customHeight="1">
      <c r="B1662" s="90" t="s">
        <v>4312</v>
      </c>
      <c r="C1662" s="90"/>
      <c r="D1662" s="89" t="s">
        <v>161</v>
      </c>
      <c r="E1662" s="91">
        <v>33.0</v>
      </c>
      <c r="F1662" s="92">
        <v>8.38</v>
      </c>
      <c r="G1662" s="92">
        <v>276.54</v>
      </c>
      <c r="H1662" s="93"/>
      <c r="I1662" s="92"/>
      <c r="J1662" s="92"/>
      <c r="K1662" s="92"/>
    </row>
    <row r="1663" ht="12.75" customHeight="1">
      <c r="E1663" s="79"/>
      <c r="F1663" s="80"/>
      <c r="G1663" s="80"/>
      <c r="H1663" s="81"/>
      <c r="I1663" s="80"/>
      <c r="J1663" s="80"/>
      <c r="K1663" s="80"/>
    </row>
    <row r="1664" ht="12.75" customHeight="1">
      <c r="B1664" s="90" t="s">
        <v>4313</v>
      </c>
      <c r="C1664" s="90"/>
      <c r="D1664" s="89" t="s">
        <v>161</v>
      </c>
      <c r="E1664" s="91">
        <v>30.0</v>
      </c>
      <c r="F1664" s="92">
        <v>8.38</v>
      </c>
      <c r="G1664" s="92">
        <v>251.4</v>
      </c>
      <c r="H1664" s="93"/>
      <c r="I1664" s="92"/>
      <c r="J1664" s="92"/>
      <c r="K1664" s="92"/>
    </row>
    <row r="1665" ht="12.75" customHeight="1">
      <c r="E1665" s="79"/>
      <c r="F1665" s="80"/>
      <c r="G1665" s="80"/>
      <c r="H1665" s="81"/>
      <c r="I1665" s="80"/>
      <c r="J1665" s="80"/>
      <c r="K1665" s="80"/>
    </row>
    <row r="1666" ht="12.75" customHeight="1">
      <c r="B1666" s="90" t="s">
        <v>4314</v>
      </c>
      <c r="C1666" s="90"/>
      <c r="D1666" s="89" t="s">
        <v>161</v>
      </c>
      <c r="E1666" s="91">
        <v>13.0</v>
      </c>
      <c r="F1666" s="92">
        <v>8.38</v>
      </c>
      <c r="G1666" s="92">
        <v>108.94</v>
      </c>
      <c r="H1666" s="93"/>
      <c r="I1666" s="92"/>
      <c r="J1666" s="92"/>
      <c r="K1666" s="92"/>
    </row>
    <row r="1667" ht="12.75" customHeight="1">
      <c r="E1667" s="79"/>
      <c r="F1667" s="80"/>
      <c r="G1667" s="80"/>
      <c r="H1667" s="81"/>
      <c r="I1667" s="80"/>
      <c r="J1667" s="80"/>
      <c r="K1667" s="80"/>
    </row>
    <row r="1668" ht="12.75" customHeight="1">
      <c r="B1668" s="90" t="s">
        <v>4315</v>
      </c>
      <c r="C1668" s="90"/>
      <c r="D1668" s="89" t="s">
        <v>161</v>
      </c>
      <c r="E1668" s="91">
        <v>35.0</v>
      </c>
      <c r="F1668" s="92">
        <v>8.38</v>
      </c>
      <c r="G1668" s="92">
        <v>293.3</v>
      </c>
      <c r="H1668" s="93"/>
      <c r="I1668" s="92"/>
      <c r="J1668" s="92"/>
      <c r="K1668" s="92"/>
    </row>
    <row r="1669" ht="12.75" customHeight="1">
      <c r="E1669" s="79"/>
      <c r="F1669" s="80"/>
      <c r="G1669" s="80"/>
      <c r="H1669" s="81"/>
      <c r="I1669" s="80"/>
      <c r="J1669" s="80"/>
      <c r="K1669" s="80"/>
    </row>
    <row r="1670" ht="12.75" customHeight="1">
      <c r="B1670" s="90" t="s">
        <v>4316</v>
      </c>
      <c r="C1670" s="90"/>
      <c r="D1670" s="89" t="s">
        <v>161</v>
      </c>
      <c r="E1670" s="91">
        <v>30.0</v>
      </c>
      <c r="F1670" s="92">
        <v>8.38</v>
      </c>
      <c r="G1670" s="92">
        <v>251.4</v>
      </c>
      <c r="H1670" s="93"/>
      <c r="I1670" s="92"/>
      <c r="J1670" s="92"/>
      <c r="K1670" s="92"/>
    </row>
    <row r="1671" ht="12.75" customHeight="1">
      <c r="E1671" s="79"/>
      <c r="F1671" s="80"/>
      <c r="G1671" s="80"/>
      <c r="H1671" s="81"/>
      <c r="I1671" s="80"/>
      <c r="J1671" s="80"/>
      <c r="K1671" s="80"/>
    </row>
    <row r="1672" ht="12.75" customHeight="1">
      <c r="B1672" s="90" t="s">
        <v>4317</v>
      </c>
      <c r="C1672" s="90"/>
      <c r="D1672" s="89" t="s">
        <v>161</v>
      </c>
      <c r="E1672" s="91">
        <v>10.0</v>
      </c>
      <c r="F1672" s="92">
        <v>13.11</v>
      </c>
      <c r="G1672" s="92">
        <v>131.1</v>
      </c>
      <c r="H1672" s="93"/>
      <c r="I1672" s="92"/>
      <c r="J1672" s="92"/>
      <c r="K1672" s="92"/>
    </row>
    <row r="1673" ht="12.75" customHeight="1">
      <c r="E1673" s="79"/>
      <c r="F1673" s="80"/>
      <c r="G1673" s="80"/>
      <c r="H1673" s="81"/>
      <c r="I1673" s="80"/>
      <c r="J1673" s="80"/>
      <c r="K1673" s="80"/>
    </row>
    <row r="1674" ht="12.75" customHeight="1">
      <c r="B1674" s="90" t="s">
        <v>4318</v>
      </c>
      <c r="C1674" s="90"/>
      <c r="D1674" s="89" t="s">
        <v>161</v>
      </c>
      <c r="E1674" s="91">
        <v>10.0</v>
      </c>
      <c r="F1674" s="92">
        <v>6.28</v>
      </c>
      <c r="G1674" s="92">
        <v>62.8</v>
      </c>
      <c r="H1674" s="93"/>
      <c r="I1674" s="92"/>
      <c r="J1674" s="92"/>
      <c r="K1674" s="92"/>
    </row>
    <row r="1675" ht="12.75" customHeight="1">
      <c r="E1675" s="79"/>
      <c r="F1675" s="80"/>
      <c r="G1675" s="80"/>
      <c r="H1675" s="81"/>
      <c r="I1675" s="80"/>
      <c r="J1675" s="80"/>
      <c r="K1675" s="80"/>
    </row>
    <row r="1676" ht="12.75" customHeight="1">
      <c r="B1676" s="90" t="s">
        <v>4319</v>
      </c>
      <c r="C1676" s="90"/>
      <c r="D1676" s="89" t="s">
        <v>161</v>
      </c>
      <c r="E1676" s="91">
        <v>10.0</v>
      </c>
      <c r="F1676" s="92">
        <v>4.22</v>
      </c>
      <c r="G1676" s="92">
        <v>42.2</v>
      </c>
      <c r="H1676" s="93"/>
      <c r="I1676" s="92"/>
      <c r="J1676" s="92"/>
      <c r="K1676" s="92"/>
    </row>
    <row r="1677" ht="12.75" customHeight="1">
      <c r="E1677" s="79"/>
      <c r="F1677" s="80"/>
      <c r="G1677" s="80"/>
      <c r="H1677" s="81"/>
      <c r="I1677" s="80"/>
      <c r="J1677" s="80"/>
      <c r="K1677" s="80"/>
    </row>
    <row r="1678" ht="12.75" customHeight="1">
      <c r="B1678" s="90" t="s">
        <v>4320</v>
      </c>
      <c r="C1678" s="90"/>
      <c r="D1678" s="89" t="s">
        <v>161</v>
      </c>
      <c r="E1678" s="91">
        <v>10.0</v>
      </c>
      <c r="F1678" s="92">
        <v>8.38</v>
      </c>
      <c r="G1678" s="92">
        <v>83.8</v>
      </c>
      <c r="H1678" s="93"/>
      <c r="I1678" s="92"/>
      <c r="J1678" s="92"/>
      <c r="K1678" s="92"/>
    </row>
    <row r="1679" ht="12.75" customHeight="1">
      <c r="E1679" s="79"/>
      <c r="F1679" s="80"/>
      <c r="G1679" s="80"/>
      <c r="H1679" s="81"/>
      <c r="I1679" s="80"/>
      <c r="J1679" s="80"/>
      <c r="K1679" s="80"/>
    </row>
    <row r="1680" ht="12.75" customHeight="1">
      <c r="B1680" s="90" t="s">
        <v>4321</v>
      </c>
      <c r="C1680" s="90"/>
      <c r="D1680" s="89" t="s">
        <v>161</v>
      </c>
      <c r="E1680" s="91">
        <v>13.0</v>
      </c>
      <c r="F1680" s="92">
        <v>6.28</v>
      </c>
      <c r="G1680" s="92">
        <v>81.64</v>
      </c>
      <c r="H1680" s="93"/>
      <c r="I1680" s="92"/>
      <c r="J1680" s="92"/>
      <c r="K1680" s="92"/>
    </row>
    <row r="1681" ht="12.75" customHeight="1">
      <c r="E1681" s="79"/>
      <c r="F1681" s="80"/>
      <c r="G1681" s="80"/>
      <c r="H1681" s="81"/>
      <c r="I1681" s="80"/>
      <c r="J1681" s="80"/>
      <c r="K1681" s="80"/>
    </row>
    <row r="1682" ht="12.75" customHeight="1">
      <c r="B1682" s="90" t="s">
        <v>4322</v>
      </c>
      <c r="C1682" s="90"/>
      <c r="D1682" s="89" t="s">
        <v>161</v>
      </c>
      <c r="E1682" s="91">
        <v>10.0</v>
      </c>
      <c r="F1682" s="92">
        <v>4.22</v>
      </c>
      <c r="G1682" s="92">
        <v>42.2</v>
      </c>
      <c r="H1682" s="93"/>
      <c r="I1682" s="92"/>
      <c r="J1682" s="92"/>
      <c r="K1682" s="92"/>
    </row>
    <row r="1683" ht="12.75" customHeight="1">
      <c r="E1683" s="79"/>
      <c r="F1683" s="80"/>
      <c r="G1683" s="80"/>
      <c r="H1683" s="81"/>
      <c r="I1683" s="80"/>
      <c r="J1683" s="80"/>
      <c r="K1683" s="80"/>
    </row>
    <row r="1684" ht="12.75" customHeight="1">
      <c r="B1684" s="90" t="s">
        <v>4323</v>
      </c>
      <c r="C1684" s="90"/>
      <c r="D1684" s="89" t="s">
        <v>161</v>
      </c>
      <c r="E1684" s="91">
        <v>13.0</v>
      </c>
      <c r="F1684" s="92">
        <v>6.28</v>
      </c>
      <c r="G1684" s="92">
        <v>81.64</v>
      </c>
      <c r="H1684" s="93"/>
      <c r="I1684" s="92"/>
      <c r="J1684" s="92"/>
      <c r="K1684" s="92"/>
    </row>
    <row r="1685" ht="12.75" customHeight="1">
      <c r="E1685" s="79"/>
      <c r="F1685" s="80"/>
      <c r="G1685" s="80"/>
      <c r="H1685" s="81"/>
      <c r="I1685" s="80"/>
      <c r="J1685" s="80"/>
      <c r="K1685" s="80"/>
    </row>
    <row r="1686" ht="12.75" customHeight="1">
      <c r="B1686" s="90" t="s">
        <v>4324</v>
      </c>
      <c r="C1686" s="90"/>
      <c r="D1686" s="89" t="s">
        <v>161</v>
      </c>
      <c r="E1686" s="91">
        <v>13.0</v>
      </c>
      <c r="F1686" s="92">
        <v>6.28</v>
      </c>
      <c r="G1686" s="92">
        <v>81.64</v>
      </c>
      <c r="H1686" s="93"/>
      <c r="I1686" s="92"/>
      <c r="J1686" s="92"/>
      <c r="K1686" s="92"/>
    </row>
    <row r="1687" ht="12.75" customHeight="1">
      <c r="E1687" s="79"/>
      <c r="F1687" s="80"/>
      <c r="G1687" s="80"/>
      <c r="H1687" s="81"/>
      <c r="I1687" s="80"/>
      <c r="J1687" s="80"/>
      <c r="K1687" s="80"/>
    </row>
    <row r="1688" ht="12.75" customHeight="1">
      <c r="B1688" s="90" t="s">
        <v>4325</v>
      </c>
      <c r="C1688" s="90"/>
      <c r="D1688" s="89" t="s">
        <v>161</v>
      </c>
      <c r="E1688" s="91">
        <v>13.0</v>
      </c>
      <c r="F1688" s="92">
        <v>6.28</v>
      </c>
      <c r="G1688" s="92">
        <v>81.64</v>
      </c>
      <c r="H1688" s="93"/>
      <c r="I1688" s="92"/>
      <c r="J1688" s="92"/>
      <c r="K1688" s="92"/>
    </row>
    <row r="1689" ht="12.75" customHeight="1">
      <c r="E1689" s="79"/>
      <c r="F1689" s="80"/>
      <c r="G1689" s="80"/>
      <c r="H1689" s="81"/>
      <c r="I1689" s="80"/>
      <c r="J1689" s="80"/>
      <c r="K1689" s="80"/>
    </row>
    <row r="1690" ht="12.75" customHeight="1">
      <c r="B1690" s="90" t="s">
        <v>4326</v>
      </c>
      <c r="C1690" s="90"/>
      <c r="D1690" s="89" t="s">
        <v>161</v>
      </c>
      <c r="E1690" s="91">
        <v>13.0</v>
      </c>
      <c r="F1690" s="92">
        <v>6.28</v>
      </c>
      <c r="G1690" s="92">
        <v>81.64</v>
      </c>
      <c r="H1690" s="93"/>
      <c r="I1690" s="92"/>
      <c r="J1690" s="92"/>
      <c r="K1690" s="92"/>
    </row>
    <row r="1691" ht="12.75" customHeight="1">
      <c r="E1691" s="79"/>
      <c r="F1691" s="80"/>
      <c r="G1691" s="80"/>
      <c r="H1691" s="81"/>
      <c r="I1691" s="80"/>
      <c r="J1691" s="80"/>
      <c r="K1691" s="80"/>
    </row>
    <row r="1692" ht="12.75" customHeight="1">
      <c r="B1692" s="90" t="s">
        <v>2697</v>
      </c>
      <c r="C1692" s="90"/>
      <c r="E1692" s="79"/>
      <c r="F1692" s="80"/>
      <c r="G1692" s="80"/>
      <c r="H1692" s="81"/>
      <c r="I1692" s="80"/>
      <c r="J1692" s="80"/>
      <c r="K1692" s="80"/>
    </row>
    <row r="1693" ht="12.75" customHeight="1">
      <c r="E1693" s="79"/>
      <c r="F1693" s="80"/>
      <c r="G1693" s="80"/>
      <c r="H1693" s="81"/>
      <c r="I1693" s="80"/>
      <c r="J1693" s="80"/>
      <c r="K1693" s="80"/>
    </row>
    <row r="1694" ht="12.75" customHeight="1">
      <c r="B1694" s="90" t="s">
        <v>4327</v>
      </c>
      <c r="C1694" s="90"/>
      <c r="D1694" s="89" t="s">
        <v>161</v>
      </c>
      <c r="E1694" s="91">
        <v>7.0</v>
      </c>
      <c r="F1694" s="92">
        <v>6.54</v>
      </c>
      <c r="G1694" s="92">
        <v>45.78</v>
      </c>
      <c r="H1694" s="93"/>
      <c r="I1694" s="92"/>
      <c r="J1694" s="92"/>
      <c r="K1694" s="92"/>
    </row>
    <row r="1695" ht="12.75" customHeight="1">
      <c r="E1695" s="79"/>
      <c r="F1695" s="80"/>
      <c r="G1695" s="80"/>
      <c r="H1695" s="81"/>
      <c r="I1695" s="80"/>
      <c r="J1695" s="80"/>
      <c r="K1695" s="80"/>
    </row>
    <row r="1696" ht="12.75" customHeight="1">
      <c r="B1696" s="90" t="s">
        <v>2967</v>
      </c>
      <c r="C1696" s="90"/>
      <c r="D1696" s="89" t="s">
        <v>161</v>
      </c>
      <c r="E1696" s="91">
        <v>550.0</v>
      </c>
      <c r="F1696" s="92">
        <v>4.05</v>
      </c>
      <c r="G1696" s="92">
        <v>2227.5</v>
      </c>
      <c r="H1696" s="93"/>
      <c r="I1696" s="92"/>
      <c r="J1696" s="92"/>
      <c r="K1696" s="92"/>
    </row>
    <row r="1697" ht="12.75" customHeight="1">
      <c r="E1697" s="79"/>
      <c r="F1697" s="80"/>
      <c r="G1697" s="80"/>
      <c r="H1697" s="81"/>
      <c r="I1697" s="80"/>
      <c r="J1697" s="80"/>
      <c r="K1697" s="80"/>
    </row>
    <row r="1698" ht="12.75" customHeight="1">
      <c r="B1698" s="90" t="s">
        <v>2969</v>
      </c>
      <c r="C1698" s="90"/>
      <c r="D1698" s="89" t="s">
        <v>161</v>
      </c>
      <c r="E1698" s="91">
        <v>64.0</v>
      </c>
      <c r="F1698" s="92">
        <v>3.72</v>
      </c>
      <c r="G1698" s="92">
        <v>238.08</v>
      </c>
      <c r="H1698" s="93"/>
      <c r="I1698" s="92"/>
      <c r="J1698" s="92"/>
      <c r="K1698" s="92"/>
    </row>
    <row r="1699" ht="12.75" customHeight="1">
      <c r="E1699" s="79"/>
      <c r="F1699" s="80"/>
      <c r="G1699" s="80"/>
      <c r="H1699" s="81"/>
      <c r="I1699" s="80"/>
      <c r="J1699" s="80"/>
      <c r="K1699" s="80"/>
    </row>
    <row r="1700" ht="12.75" customHeight="1">
      <c r="B1700" s="90" t="s">
        <v>2971</v>
      </c>
      <c r="C1700" s="90"/>
      <c r="D1700" s="89" t="s">
        <v>161</v>
      </c>
      <c r="E1700" s="91">
        <v>169.0</v>
      </c>
      <c r="F1700" s="92">
        <v>2.66</v>
      </c>
      <c r="G1700" s="92">
        <v>449.54</v>
      </c>
      <c r="H1700" s="93"/>
      <c r="I1700" s="92"/>
      <c r="J1700" s="92"/>
      <c r="K1700" s="92"/>
    </row>
    <row r="1701" ht="12.75" customHeight="1">
      <c r="E1701" s="79"/>
      <c r="F1701" s="80"/>
      <c r="G1701" s="80"/>
      <c r="H1701" s="81"/>
      <c r="I1701" s="80"/>
      <c r="J1701" s="80"/>
      <c r="K1701" s="80"/>
    </row>
    <row r="1702" ht="12.75" customHeight="1">
      <c r="B1702" s="90" t="s">
        <v>2973</v>
      </c>
      <c r="C1702" s="90"/>
      <c r="D1702" s="89" t="s">
        <v>161</v>
      </c>
      <c r="E1702" s="91">
        <v>98.0</v>
      </c>
      <c r="F1702" s="92">
        <v>2.24</v>
      </c>
      <c r="G1702" s="92">
        <v>219.52</v>
      </c>
      <c r="H1702" s="93"/>
      <c r="I1702" s="92"/>
      <c r="J1702" s="92"/>
      <c r="K1702" s="92"/>
    </row>
    <row r="1703" ht="12.75" customHeight="1">
      <c r="E1703" s="79"/>
      <c r="F1703" s="80"/>
      <c r="G1703" s="80"/>
      <c r="H1703" s="81"/>
      <c r="I1703" s="80"/>
      <c r="J1703" s="80"/>
      <c r="K1703" s="80"/>
    </row>
    <row r="1704" ht="12.75" customHeight="1">
      <c r="B1704" s="90" t="s">
        <v>2975</v>
      </c>
      <c r="C1704" s="90"/>
      <c r="D1704" s="89" t="s">
        <v>161</v>
      </c>
      <c r="E1704" s="91">
        <v>25.0</v>
      </c>
      <c r="F1704" s="92">
        <v>1.81</v>
      </c>
      <c r="G1704" s="92">
        <v>45.25</v>
      </c>
      <c r="H1704" s="93"/>
      <c r="I1704" s="92"/>
      <c r="J1704" s="92"/>
      <c r="K1704" s="92"/>
    </row>
    <row r="1705" ht="12.75" customHeight="1">
      <c r="E1705" s="79"/>
      <c r="F1705" s="80"/>
      <c r="G1705" s="80"/>
      <c r="H1705" s="81"/>
      <c r="I1705" s="80"/>
      <c r="J1705" s="80"/>
      <c r="K1705" s="80"/>
    </row>
    <row r="1706" ht="12.75" customHeight="1">
      <c r="B1706" s="90" t="s">
        <v>2977</v>
      </c>
      <c r="C1706" s="90"/>
      <c r="D1706" s="89" t="s">
        <v>161</v>
      </c>
      <c r="E1706" s="91">
        <v>75.0</v>
      </c>
      <c r="F1706" s="92">
        <v>2.84</v>
      </c>
      <c r="G1706" s="92">
        <v>213.0</v>
      </c>
      <c r="H1706" s="93"/>
      <c r="I1706" s="92"/>
      <c r="J1706" s="92"/>
      <c r="K1706" s="92"/>
    </row>
    <row r="1707" ht="12.75" customHeight="1">
      <c r="E1707" s="79"/>
      <c r="F1707" s="80"/>
      <c r="G1707" s="80"/>
      <c r="H1707" s="81"/>
      <c r="I1707" s="80"/>
      <c r="J1707" s="80"/>
      <c r="K1707" s="80"/>
    </row>
    <row r="1708" ht="12.75" customHeight="1">
      <c r="B1708" s="90" t="s">
        <v>2702</v>
      </c>
      <c r="C1708" s="90"/>
      <c r="E1708" s="79"/>
      <c r="F1708" s="80"/>
      <c r="G1708" s="80"/>
      <c r="H1708" s="81"/>
      <c r="I1708" s="80"/>
      <c r="J1708" s="80"/>
      <c r="K1708" s="80"/>
    </row>
    <row r="1709" ht="12.75" customHeight="1">
      <c r="E1709" s="79"/>
      <c r="F1709" s="80"/>
      <c r="G1709" s="80"/>
      <c r="H1709" s="81"/>
      <c r="I1709" s="80"/>
      <c r="J1709" s="80"/>
      <c r="K1709" s="80"/>
    </row>
    <row r="1710" ht="12.75" customHeight="1">
      <c r="B1710" s="90" t="s">
        <v>4328</v>
      </c>
      <c r="C1710" s="90"/>
      <c r="D1710" s="89" t="s">
        <v>75</v>
      </c>
      <c r="E1710" s="91">
        <v>13.0</v>
      </c>
      <c r="F1710" s="92">
        <v>193.97</v>
      </c>
      <c r="G1710" s="92">
        <v>2521.61</v>
      </c>
      <c r="H1710" s="93"/>
      <c r="I1710" s="92"/>
      <c r="J1710" s="92"/>
      <c r="K1710" s="92"/>
    </row>
    <row r="1711" ht="12.75" customHeight="1">
      <c r="E1711" s="79"/>
      <c r="F1711" s="80"/>
      <c r="G1711" s="80"/>
      <c r="H1711" s="81"/>
      <c r="I1711" s="80"/>
      <c r="J1711" s="80"/>
      <c r="K1711" s="80"/>
    </row>
    <row r="1712" ht="12.75" customHeight="1">
      <c r="A1712" s="89" t="s">
        <v>1315</v>
      </c>
      <c r="B1712" s="90" t="s">
        <v>4329</v>
      </c>
      <c r="C1712" s="90"/>
      <c r="E1712" s="79"/>
      <c r="F1712" s="80"/>
      <c r="G1712" s="80"/>
      <c r="H1712" s="81"/>
      <c r="I1712" s="80"/>
      <c r="J1712" s="80"/>
      <c r="K1712" s="80"/>
    </row>
    <row r="1713" ht="12.75" customHeight="1">
      <c r="E1713" s="79"/>
      <c r="F1713" s="80"/>
      <c r="G1713" s="80"/>
      <c r="H1713" s="81"/>
      <c r="I1713" s="80"/>
      <c r="J1713" s="80"/>
      <c r="K1713" s="80"/>
    </row>
    <row r="1714" ht="12.75" customHeight="1">
      <c r="B1714" s="90" t="s">
        <v>4330</v>
      </c>
      <c r="C1714" s="90"/>
      <c r="E1714" s="79"/>
      <c r="F1714" s="80"/>
      <c r="G1714" s="80"/>
      <c r="H1714" s="81"/>
      <c r="I1714" s="80"/>
      <c r="J1714" s="80"/>
      <c r="K1714" s="80"/>
    </row>
    <row r="1715" ht="12.75" customHeight="1">
      <c r="E1715" s="79"/>
      <c r="F1715" s="80"/>
      <c r="G1715" s="80"/>
      <c r="H1715" s="81"/>
      <c r="I1715" s="80"/>
      <c r="J1715" s="80"/>
      <c r="K1715" s="80"/>
    </row>
    <row r="1716" ht="12.75" customHeight="1">
      <c r="B1716" s="90" t="s">
        <v>2983</v>
      </c>
      <c r="C1716" s="90"/>
      <c r="D1716" s="89" t="s">
        <v>75</v>
      </c>
      <c r="E1716" s="91">
        <v>1.0</v>
      </c>
      <c r="F1716" s="92">
        <v>107.0</v>
      </c>
      <c r="G1716" s="92">
        <v>107.0</v>
      </c>
      <c r="H1716" s="93"/>
      <c r="I1716" s="92"/>
      <c r="J1716" s="92"/>
      <c r="K1716" s="92"/>
    </row>
    <row r="1717" ht="12.75" customHeight="1">
      <c r="E1717" s="79"/>
      <c r="F1717" s="80"/>
      <c r="G1717" s="80"/>
      <c r="H1717" s="81"/>
      <c r="I1717" s="80"/>
      <c r="J1717" s="80"/>
      <c r="K1717" s="80"/>
    </row>
    <row r="1718" ht="12.75" customHeight="1">
      <c r="B1718" s="90" t="s">
        <v>4331</v>
      </c>
      <c r="C1718" s="90"/>
      <c r="D1718" s="89" t="s">
        <v>161</v>
      </c>
      <c r="E1718" s="91">
        <v>13.0</v>
      </c>
      <c r="F1718" s="92">
        <v>6.4</v>
      </c>
      <c r="G1718" s="92">
        <v>83.2</v>
      </c>
      <c r="H1718" s="93"/>
      <c r="I1718" s="92"/>
      <c r="J1718" s="92"/>
      <c r="K1718" s="92"/>
    </row>
    <row r="1719" ht="12.75" customHeight="1">
      <c r="E1719" s="79"/>
      <c r="F1719" s="80"/>
      <c r="G1719" s="80"/>
      <c r="H1719" s="81"/>
      <c r="I1719" s="80"/>
      <c r="J1719" s="80"/>
      <c r="K1719" s="80"/>
    </row>
    <row r="1720" ht="12.75" customHeight="1">
      <c r="B1720" s="90" t="s">
        <v>4332</v>
      </c>
      <c r="C1720" s="90"/>
      <c r="D1720" s="89" t="s">
        <v>75</v>
      </c>
      <c r="E1720" s="91">
        <v>3.0</v>
      </c>
      <c r="F1720" s="92">
        <v>45.43</v>
      </c>
      <c r="G1720" s="92">
        <v>136.29</v>
      </c>
      <c r="H1720" s="93"/>
      <c r="I1720" s="92"/>
      <c r="J1720" s="92"/>
      <c r="K1720" s="92"/>
    </row>
    <row r="1721" ht="12.75" customHeight="1">
      <c r="E1721" s="79"/>
      <c r="F1721" s="80"/>
      <c r="G1721" s="80"/>
      <c r="H1721" s="81"/>
      <c r="I1721" s="80"/>
      <c r="J1721" s="80"/>
      <c r="K1721" s="80"/>
    </row>
    <row r="1722" ht="12.75" customHeight="1">
      <c r="B1722" s="90" t="s">
        <v>2989</v>
      </c>
      <c r="C1722" s="90"/>
      <c r="D1722" s="89" t="s">
        <v>161</v>
      </c>
      <c r="E1722" s="91">
        <v>13.0</v>
      </c>
      <c r="F1722" s="92">
        <v>2.2</v>
      </c>
      <c r="G1722" s="92">
        <v>28.6</v>
      </c>
      <c r="H1722" s="93"/>
      <c r="I1722" s="92"/>
      <c r="J1722" s="92"/>
      <c r="K1722" s="92"/>
    </row>
    <row r="1723" ht="12.75" customHeight="1">
      <c r="E1723" s="79"/>
      <c r="F1723" s="80"/>
      <c r="G1723" s="80"/>
      <c r="H1723" s="81"/>
      <c r="I1723" s="80"/>
      <c r="J1723" s="80"/>
      <c r="K1723" s="80"/>
    </row>
    <row r="1724" ht="12.75" customHeight="1">
      <c r="B1724" s="90" t="s">
        <v>2991</v>
      </c>
      <c r="C1724" s="90"/>
      <c r="D1724" s="89" t="s">
        <v>161</v>
      </c>
      <c r="E1724" s="91">
        <v>7.0</v>
      </c>
      <c r="F1724" s="92">
        <v>6.4</v>
      </c>
      <c r="G1724" s="92">
        <v>44.8</v>
      </c>
      <c r="H1724" s="93"/>
      <c r="I1724" s="92"/>
      <c r="J1724" s="92"/>
      <c r="K1724" s="92"/>
    </row>
    <row r="1725" ht="12.75" customHeight="1">
      <c r="E1725" s="79"/>
      <c r="F1725" s="80"/>
      <c r="G1725" s="80"/>
      <c r="H1725" s="81"/>
      <c r="I1725" s="80"/>
      <c r="J1725" s="80"/>
      <c r="K1725" s="80"/>
    </row>
    <row r="1726" ht="12.75" customHeight="1">
      <c r="B1726" s="90" t="s">
        <v>4333</v>
      </c>
      <c r="C1726" s="90"/>
      <c r="D1726" s="89" t="s">
        <v>161</v>
      </c>
      <c r="E1726" s="91">
        <v>63.0</v>
      </c>
      <c r="F1726" s="92">
        <v>0.96</v>
      </c>
      <c r="G1726" s="92">
        <v>60.48</v>
      </c>
      <c r="H1726" s="93"/>
      <c r="I1726" s="92"/>
      <c r="J1726" s="92"/>
      <c r="K1726" s="92"/>
    </row>
    <row r="1727" ht="12.75" customHeight="1">
      <c r="E1727" s="79"/>
      <c r="F1727" s="80"/>
      <c r="G1727" s="80"/>
      <c r="H1727" s="81"/>
      <c r="I1727" s="80"/>
      <c r="J1727" s="80"/>
      <c r="K1727" s="80"/>
    </row>
    <row r="1728" ht="12.75" customHeight="1">
      <c r="B1728" s="90" t="s">
        <v>1324</v>
      </c>
      <c r="C1728" s="90"/>
      <c r="D1728" s="89" t="s">
        <v>161</v>
      </c>
      <c r="E1728" s="91">
        <v>63.0</v>
      </c>
      <c r="F1728" s="92">
        <v>1.81</v>
      </c>
      <c r="G1728" s="92">
        <v>114.03</v>
      </c>
      <c r="H1728" s="93"/>
      <c r="I1728" s="92"/>
      <c r="J1728" s="92"/>
      <c r="K1728" s="92"/>
    </row>
    <row r="1729" ht="12.75" customHeight="1">
      <c r="E1729" s="79"/>
      <c r="F1729" s="80"/>
      <c r="G1729" s="80"/>
      <c r="H1729" s="81"/>
      <c r="I1729" s="80"/>
      <c r="J1729" s="80"/>
      <c r="K1729" s="80"/>
    </row>
    <row r="1730" ht="12.75" customHeight="1">
      <c r="A1730" s="89" t="s">
        <v>1325</v>
      </c>
      <c r="B1730" s="90" t="s">
        <v>4334</v>
      </c>
      <c r="C1730" s="90"/>
      <c r="E1730" s="79"/>
      <c r="F1730" s="80"/>
      <c r="G1730" s="80"/>
      <c r="H1730" s="81"/>
      <c r="I1730" s="80"/>
      <c r="J1730" s="80"/>
      <c r="K1730" s="80"/>
    </row>
    <row r="1731" ht="12.75" customHeight="1">
      <c r="E1731" s="79"/>
      <c r="F1731" s="80"/>
      <c r="G1731" s="80"/>
      <c r="H1731" s="81"/>
      <c r="I1731" s="80"/>
      <c r="J1731" s="80"/>
      <c r="K1731" s="80"/>
    </row>
    <row r="1732" ht="12.75" customHeight="1">
      <c r="B1732" s="90" t="s">
        <v>4306</v>
      </c>
      <c r="C1732" s="90"/>
      <c r="E1732" s="79"/>
      <c r="F1732" s="80"/>
      <c r="G1732" s="80"/>
      <c r="H1732" s="81"/>
      <c r="I1732" s="80"/>
      <c r="J1732" s="80"/>
      <c r="K1732" s="80"/>
    </row>
    <row r="1733" ht="12.75" customHeight="1">
      <c r="E1733" s="79"/>
      <c r="F1733" s="80"/>
      <c r="G1733" s="80"/>
      <c r="H1733" s="81"/>
      <c r="I1733" s="80"/>
      <c r="J1733" s="80"/>
      <c r="K1733" s="80"/>
    </row>
    <row r="1734" ht="12.75" customHeight="1">
      <c r="B1734" s="90" t="s">
        <v>4330</v>
      </c>
      <c r="C1734" s="90"/>
      <c r="E1734" s="79"/>
      <c r="F1734" s="80"/>
      <c r="G1734" s="80"/>
      <c r="H1734" s="81"/>
      <c r="I1734" s="80"/>
      <c r="J1734" s="80"/>
      <c r="K1734" s="80"/>
    </row>
    <row r="1735" ht="12.75" customHeight="1">
      <c r="E1735" s="79"/>
      <c r="F1735" s="80"/>
      <c r="G1735" s="80"/>
      <c r="H1735" s="81"/>
      <c r="I1735" s="80"/>
      <c r="J1735" s="80"/>
      <c r="K1735" s="80"/>
    </row>
    <row r="1736" ht="12.75" customHeight="1">
      <c r="B1736" s="90" t="s">
        <v>4335</v>
      </c>
      <c r="C1736" s="90"/>
      <c r="D1736" s="89" t="s">
        <v>161</v>
      </c>
      <c r="E1736" s="91">
        <v>290.0</v>
      </c>
      <c r="F1736" s="92">
        <v>2.38</v>
      </c>
      <c r="G1736" s="92">
        <v>690.2</v>
      </c>
      <c r="H1736" s="93"/>
      <c r="I1736" s="92"/>
      <c r="J1736" s="92"/>
      <c r="K1736" s="92"/>
    </row>
    <row r="1737" ht="12.75" customHeight="1">
      <c r="E1737" s="79"/>
      <c r="F1737" s="80"/>
      <c r="G1737" s="80"/>
      <c r="H1737" s="81"/>
      <c r="I1737" s="80"/>
      <c r="J1737" s="80"/>
      <c r="K1737" s="80"/>
    </row>
    <row r="1738" ht="12.75" customHeight="1">
      <c r="B1738" s="90" t="s">
        <v>4336</v>
      </c>
      <c r="C1738" s="90"/>
      <c r="D1738" s="89" t="s">
        <v>161</v>
      </c>
      <c r="E1738" s="91">
        <v>19.0</v>
      </c>
      <c r="F1738" s="92">
        <v>3.89</v>
      </c>
      <c r="G1738" s="92">
        <v>73.91</v>
      </c>
      <c r="H1738" s="93"/>
      <c r="I1738" s="92"/>
      <c r="J1738" s="92"/>
      <c r="K1738" s="92"/>
    </row>
    <row r="1739" ht="12.75" customHeight="1">
      <c r="E1739" s="79"/>
      <c r="F1739" s="80"/>
      <c r="G1739" s="80"/>
      <c r="H1739" s="81"/>
      <c r="I1739" s="80"/>
      <c r="J1739" s="80"/>
      <c r="K1739" s="80"/>
    </row>
    <row r="1740" ht="12.75" customHeight="1">
      <c r="B1740" s="90" t="s">
        <v>3001</v>
      </c>
      <c r="C1740" s="90"/>
      <c r="D1740" s="89" t="s">
        <v>161</v>
      </c>
      <c r="E1740" s="91">
        <v>290.0</v>
      </c>
      <c r="F1740" s="92">
        <v>1.81</v>
      </c>
      <c r="G1740" s="92">
        <v>524.9</v>
      </c>
      <c r="H1740" s="93"/>
      <c r="I1740" s="92"/>
      <c r="J1740" s="92"/>
      <c r="K1740" s="92"/>
    </row>
    <row r="1741" ht="12.75" customHeight="1">
      <c r="E1741" s="79"/>
      <c r="F1741" s="80"/>
      <c r="G1741" s="80"/>
      <c r="H1741" s="81"/>
      <c r="I1741" s="80"/>
      <c r="J1741" s="80"/>
      <c r="K1741" s="80"/>
    </row>
    <row r="1742" ht="12.75" customHeight="1">
      <c r="B1742" s="90" t="s">
        <v>3003</v>
      </c>
      <c r="C1742" s="90"/>
      <c r="D1742" s="89" t="s">
        <v>161</v>
      </c>
      <c r="E1742" s="91">
        <v>19.0</v>
      </c>
      <c r="F1742" s="92">
        <v>2.34</v>
      </c>
      <c r="G1742" s="92">
        <v>44.46</v>
      </c>
      <c r="H1742" s="93"/>
      <c r="I1742" s="92"/>
      <c r="J1742" s="92"/>
      <c r="K1742" s="92"/>
    </row>
    <row r="1743" ht="12.75" customHeight="1">
      <c r="E1743" s="79"/>
      <c r="F1743" s="80"/>
      <c r="G1743" s="80"/>
      <c r="H1743" s="81"/>
      <c r="I1743" s="80"/>
      <c r="J1743" s="80"/>
      <c r="K1743" s="80"/>
    </row>
    <row r="1744" ht="12.75" customHeight="1">
      <c r="B1744" s="90" t="s">
        <v>4337</v>
      </c>
      <c r="C1744" s="90"/>
      <c r="D1744" s="89" t="s">
        <v>75</v>
      </c>
      <c r="E1744" s="91">
        <v>12.0</v>
      </c>
      <c r="F1744" s="92">
        <v>1.23</v>
      </c>
      <c r="G1744" s="92">
        <v>14.76</v>
      </c>
      <c r="H1744" s="93"/>
      <c r="I1744" s="92"/>
      <c r="J1744" s="92"/>
      <c r="K1744" s="92"/>
    </row>
    <row r="1745" ht="12.75" customHeight="1">
      <c r="E1745" s="79"/>
      <c r="F1745" s="80"/>
      <c r="G1745" s="80"/>
      <c r="H1745" s="81"/>
      <c r="I1745" s="80"/>
      <c r="J1745" s="80"/>
      <c r="K1745" s="80"/>
    </row>
    <row r="1746" ht="12.75" customHeight="1">
      <c r="A1746" s="89" t="s">
        <v>1332</v>
      </c>
      <c r="B1746" s="90" t="s">
        <v>3006</v>
      </c>
      <c r="C1746" s="90"/>
      <c r="E1746" s="79"/>
      <c r="F1746" s="80"/>
      <c r="G1746" s="80"/>
      <c r="H1746" s="81"/>
      <c r="I1746" s="80"/>
      <c r="J1746" s="80"/>
      <c r="K1746" s="80"/>
    </row>
    <row r="1747" ht="12.75" customHeight="1">
      <c r="E1747" s="79"/>
      <c r="F1747" s="80"/>
      <c r="G1747" s="80"/>
      <c r="H1747" s="81"/>
      <c r="I1747" s="80"/>
      <c r="J1747" s="80"/>
      <c r="K1747" s="80"/>
    </row>
    <row r="1748" ht="12.75" customHeight="1">
      <c r="B1748" s="90" t="s">
        <v>4306</v>
      </c>
      <c r="C1748" s="90"/>
      <c r="E1748" s="79"/>
      <c r="F1748" s="80"/>
      <c r="G1748" s="80"/>
      <c r="H1748" s="81"/>
      <c r="I1748" s="80"/>
      <c r="J1748" s="80"/>
      <c r="K1748" s="80"/>
    </row>
    <row r="1749" ht="12.75" customHeight="1">
      <c r="E1749" s="79"/>
      <c r="F1749" s="80"/>
      <c r="G1749" s="80"/>
      <c r="H1749" s="81"/>
      <c r="I1749" s="80"/>
      <c r="J1749" s="80"/>
      <c r="K1749" s="80"/>
    </row>
    <row r="1750" ht="12.75" customHeight="1">
      <c r="B1750" s="90" t="s">
        <v>4330</v>
      </c>
      <c r="C1750" s="90"/>
      <c r="E1750" s="79"/>
      <c r="F1750" s="80"/>
      <c r="G1750" s="80"/>
      <c r="H1750" s="81"/>
      <c r="I1750" s="80"/>
      <c r="J1750" s="80"/>
      <c r="K1750" s="80"/>
    </row>
    <row r="1751" ht="12.75" customHeight="1">
      <c r="E1751" s="79"/>
      <c r="F1751" s="80"/>
      <c r="G1751" s="80"/>
      <c r="H1751" s="81"/>
      <c r="I1751" s="80"/>
      <c r="J1751" s="80"/>
      <c r="K1751" s="80"/>
    </row>
    <row r="1752" ht="12.75" customHeight="1">
      <c r="B1752" s="90" t="s">
        <v>4338</v>
      </c>
      <c r="C1752" s="90"/>
      <c r="D1752" s="89" t="s">
        <v>161</v>
      </c>
      <c r="E1752" s="91">
        <v>732.0</v>
      </c>
      <c r="F1752" s="92">
        <v>3.09</v>
      </c>
      <c r="G1752" s="92">
        <v>2261.88</v>
      </c>
      <c r="H1752" s="93"/>
      <c r="I1752" s="92"/>
      <c r="J1752" s="92"/>
      <c r="K1752" s="92"/>
    </row>
    <row r="1753" ht="12.75" customHeight="1">
      <c r="E1753" s="79"/>
      <c r="F1753" s="80"/>
      <c r="G1753" s="80"/>
      <c r="H1753" s="81"/>
      <c r="I1753" s="80"/>
      <c r="J1753" s="80"/>
      <c r="K1753" s="80"/>
    </row>
    <row r="1754" ht="12.75" customHeight="1">
      <c r="B1754" s="90" t="s">
        <v>4339</v>
      </c>
      <c r="C1754" s="90"/>
      <c r="D1754" s="89" t="s">
        <v>161</v>
      </c>
      <c r="E1754" s="91">
        <v>780.0</v>
      </c>
      <c r="F1754" s="92">
        <v>2.86</v>
      </c>
      <c r="G1754" s="92">
        <v>2230.8</v>
      </c>
      <c r="H1754" s="93"/>
      <c r="I1754" s="92"/>
      <c r="J1754" s="92"/>
      <c r="K1754" s="92"/>
    </row>
    <row r="1755" ht="12.75" customHeight="1">
      <c r="E1755" s="79"/>
      <c r="F1755" s="80"/>
      <c r="G1755" s="80"/>
      <c r="H1755" s="81"/>
      <c r="I1755" s="80"/>
      <c r="J1755" s="80"/>
      <c r="K1755" s="80"/>
    </row>
    <row r="1756" ht="12.75" customHeight="1">
      <c r="B1756" s="90" t="s">
        <v>3014</v>
      </c>
      <c r="C1756" s="90"/>
      <c r="D1756" s="89" t="s">
        <v>161</v>
      </c>
      <c r="E1756" s="91">
        <v>40.0</v>
      </c>
      <c r="F1756" s="92">
        <v>3.17</v>
      </c>
      <c r="G1756" s="92">
        <v>126.8</v>
      </c>
      <c r="H1756" s="93"/>
      <c r="I1756" s="92"/>
      <c r="J1756" s="92"/>
      <c r="K1756" s="92"/>
    </row>
    <row r="1757" ht="12.75" customHeight="1">
      <c r="E1757" s="79"/>
      <c r="F1757" s="80"/>
      <c r="G1757" s="80"/>
      <c r="H1757" s="81"/>
      <c r="I1757" s="80"/>
      <c r="J1757" s="80"/>
      <c r="K1757" s="80"/>
    </row>
    <row r="1758" ht="12.75" customHeight="1">
      <c r="B1758" s="90" t="s">
        <v>3016</v>
      </c>
      <c r="C1758" s="90"/>
      <c r="D1758" s="89" t="s">
        <v>161</v>
      </c>
      <c r="E1758" s="91">
        <v>33.0</v>
      </c>
      <c r="F1758" s="92">
        <v>4.59</v>
      </c>
      <c r="G1758" s="92">
        <v>151.47</v>
      </c>
      <c r="H1758" s="93"/>
      <c r="I1758" s="92"/>
      <c r="J1758" s="92"/>
      <c r="K1758" s="92"/>
    </row>
    <row r="1759" ht="12.75" customHeight="1">
      <c r="E1759" s="79"/>
      <c r="F1759" s="80"/>
      <c r="G1759" s="80"/>
      <c r="H1759" s="81"/>
      <c r="I1759" s="80"/>
      <c r="J1759" s="80"/>
      <c r="K1759" s="80"/>
    </row>
    <row r="1760" ht="12.75" customHeight="1">
      <c r="B1760" s="90" t="s">
        <v>2697</v>
      </c>
      <c r="C1760" s="90"/>
      <c r="E1760" s="79"/>
      <c r="F1760" s="80"/>
      <c r="G1760" s="80"/>
      <c r="H1760" s="81"/>
      <c r="I1760" s="80"/>
      <c r="J1760" s="80"/>
      <c r="K1760" s="80"/>
    </row>
    <row r="1761" ht="12.75" customHeight="1">
      <c r="E1761" s="79"/>
      <c r="F1761" s="80"/>
      <c r="G1761" s="80"/>
      <c r="H1761" s="81"/>
      <c r="I1761" s="80"/>
      <c r="J1761" s="80"/>
      <c r="K1761" s="80"/>
    </row>
    <row r="1762" ht="12.75" customHeight="1">
      <c r="B1762" s="90" t="s">
        <v>4330</v>
      </c>
      <c r="C1762" s="90"/>
      <c r="E1762" s="79"/>
      <c r="F1762" s="80"/>
      <c r="G1762" s="80"/>
      <c r="H1762" s="81"/>
      <c r="I1762" s="80"/>
      <c r="J1762" s="80"/>
      <c r="K1762" s="80"/>
    </row>
    <row r="1763" ht="12.75" customHeight="1">
      <c r="E1763" s="79"/>
      <c r="F1763" s="80"/>
      <c r="G1763" s="80"/>
      <c r="H1763" s="81"/>
      <c r="I1763" s="80"/>
      <c r="J1763" s="80"/>
      <c r="K1763" s="80"/>
    </row>
    <row r="1764" ht="12.75" customHeight="1">
      <c r="B1764" s="90" t="s">
        <v>3001</v>
      </c>
      <c r="C1764" s="90"/>
      <c r="D1764" s="89" t="s">
        <v>161</v>
      </c>
      <c r="E1764" s="91">
        <v>1552.0</v>
      </c>
      <c r="F1764" s="92">
        <v>1.81</v>
      </c>
      <c r="G1764" s="92">
        <v>2809.12</v>
      </c>
      <c r="H1764" s="93"/>
      <c r="I1764" s="92"/>
      <c r="J1764" s="92"/>
      <c r="K1764" s="92"/>
    </row>
    <row r="1765" ht="12.75" customHeight="1">
      <c r="E1765" s="79"/>
      <c r="F1765" s="80"/>
      <c r="G1765" s="80"/>
      <c r="H1765" s="81"/>
      <c r="I1765" s="80"/>
      <c r="J1765" s="80"/>
      <c r="K1765" s="80"/>
    </row>
    <row r="1766" ht="12.75" customHeight="1">
      <c r="B1766" s="90" t="s">
        <v>3003</v>
      </c>
      <c r="C1766" s="90"/>
      <c r="D1766" s="89" t="s">
        <v>161</v>
      </c>
      <c r="E1766" s="91">
        <v>33.0</v>
      </c>
      <c r="F1766" s="92">
        <v>2.34</v>
      </c>
      <c r="G1766" s="92">
        <v>77.22</v>
      </c>
      <c r="H1766" s="93"/>
      <c r="I1766" s="92"/>
      <c r="J1766" s="92"/>
      <c r="K1766" s="92"/>
    </row>
    <row r="1767" ht="12.75" customHeight="1">
      <c r="E1767" s="79"/>
      <c r="F1767" s="80"/>
      <c r="G1767" s="80"/>
      <c r="H1767" s="81"/>
      <c r="I1767" s="80"/>
      <c r="J1767" s="80"/>
      <c r="K1767" s="80"/>
    </row>
    <row r="1768" ht="12.75" customHeight="1">
      <c r="B1768" s="90" t="s">
        <v>2702</v>
      </c>
      <c r="C1768" s="90"/>
      <c r="E1768" s="79"/>
      <c r="F1768" s="80"/>
      <c r="G1768" s="80"/>
      <c r="H1768" s="81"/>
      <c r="I1768" s="80"/>
      <c r="J1768" s="80"/>
      <c r="K1768" s="80"/>
    </row>
    <row r="1769" ht="12.75" customHeight="1">
      <c r="E1769" s="79"/>
      <c r="F1769" s="80"/>
      <c r="G1769" s="80"/>
      <c r="H1769" s="81"/>
      <c r="I1769" s="80"/>
      <c r="J1769" s="80"/>
      <c r="K1769" s="80"/>
    </row>
    <row r="1770" ht="12.75" customHeight="1">
      <c r="B1770" s="90" t="s">
        <v>4330</v>
      </c>
      <c r="C1770" s="90"/>
      <c r="E1770" s="79"/>
      <c r="F1770" s="80"/>
      <c r="G1770" s="80"/>
      <c r="H1770" s="81"/>
      <c r="I1770" s="80"/>
      <c r="J1770" s="80"/>
      <c r="K1770" s="80"/>
    </row>
    <row r="1771" ht="12.75" customHeight="1">
      <c r="E1771" s="79"/>
      <c r="F1771" s="80"/>
      <c r="G1771" s="80"/>
      <c r="H1771" s="81"/>
      <c r="I1771" s="80"/>
      <c r="J1771" s="80"/>
      <c r="K1771" s="80"/>
    </row>
    <row r="1772" ht="12.75" customHeight="1">
      <c r="B1772" s="90" t="s">
        <v>3022</v>
      </c>
      <c r="C1772" s="90"/>
      <c r="D1772" s="89" t="s">
        <v>75</v>
      </c>
      <c r="E1772" s="91">
        <v>160.0</v>
      </c>
      <c r="F1772" s="92">
        <v>2.3</v>
      </c>
      <c r="G1772" s="92">
        <v>368.0</v>
      </c>
      <c r="H1772" s="93"/>
      <c r="I1772" s="92"/>
      <c r="J1772" s="92"/>
      <c r="K1772" s="92"/>
    </row>
    <row r="1773" ht="12.75" customHeight="1">
      <c r="E1773" s="79"/>
      <c r="F1773" s="80"/>
      <c r="G1773" s="80"/>
      <c r="H1773" s="81"/>
      <c r="I1773" s="80"/>
      <c r="J1773" s="80"/>
      <c r="K1773" s="80"/>
    </row>
    <row r="1774" ht="12.75" customHeight="1">
      <c r="B1774" s="90" t="s">
        <v>4340</v>
      </c>
      <c r="C1774" s="90"/>
      <c r="E1774" s="79"/>
      <c r="F1774" s="80"/>
      <c r="G1774" s="80"/>
      <c r="H1774" s="81"/>
      <c r="I1774" s="80"/>
      <c r="J1774" s="80"/>
      <c r="K1774" s="80"/>
    </row>
    <row r="1775" ht="12.75" customHeight="1">
      <c r="E1775" s="79"/>
      <c r="F1775" s="80"/>
      <c r="G1775" s="80"/>
      <c r="H1775" s="81"/>
      <c r="I1775" s="80"/>
      <c r="J1775" s="80"/>
      <c r="K1775" s="80"/>
    </row>
    <row r="1776" ht="12.75" customHeight="1">
      <c r="B1776" s="90" t="s">
        <v>4330</v>
      </c>
      <c r="C1776" s="90"/>
      <c r="E1776" s="79"/>
      <c r="F1776" s="80"/>
      <c r="G1776" s="80"/>
      <c r="H1776" s="81"/>
      <c r="I1776" s="80"/>
      <c r="J1776" s="80"/>
      <c r="K1776" s="80"/>
    </row>
    <row r="1777" ht="12.75" customHeight="1">
      <c r="E1777" s="79"/>
      <c r="F1777" s="80"/>
      <c r="G1777" s="80"/>
      <c r="H1777" s="81"/>
      <c r="I1777" s="80"/>
      <c r="J1777" s="80"/>
      <c r="K1777" s="80"/>
    </row>
    <row r="1778" ht="12.75" customHeight="1">
      <c r="B1778" s="90" t="s">
        <v>4341</v>
      </c>
      <c r="C1778" s="90"/>
      <c r="D1778" s="89" t="s">
        <v>75</v>
      </c>
      <c r="E1778" s="91">
        <v>21.0</v>
      </c>
      <c r="F1778" s="92">
        <v>25.67</v>
      </c>
      <c r="G1778" s="92">
        <v>539.07</v>
      </c>
      <c r="H1778" s="93"/>
      <c r="I1778" s="92"/>
      <c r="J1778" s="92"/>
      <c r="K1778" s="92"/>
    </row>
    <row r="1779" ht="12.75" customHeight="1">
      <c r="E1779" s="79"/>
      <c r="F1779" s="80"/>
      <c r="G1779" s="80"/>
      <c r="H1779" s="81"/>
      <c r="I1779" s="80"/>
      <c r="J1779" s="80"/>
      <c r="K1779" s="80"/>
    </row>
    <row r="1780" ht="12.75" customHeight="1">
      <c r="B1780" s="90" t="s">
        <v>4342</v>
      </c>
      <c r="C1780" s="90"/>
      <c r="D1780" s="89" t="s">
        <v>75</v>
      </c>
      <c r="E1780" s="91">
        <v>41.0</v>
      </c>
      <c r="F1780" s="92">
        <v>51.34</v>
      </c>
      <c r="G1780" s="92">
        <v>2104.94</v>
      </c>
      <c r="H1780" s="93"/>
      <c r="I1780" s="92"/>
      <c r="J1780" s="92"/>
      <c r="K1780" s="92"/>
    </row>
    <row r="1781" ht="12.75" customHeight="1">
      <c r="E1781" s="79"/>
      <c r="F1781" s="80"/>
      <c r="G1781" s="80"/>
      <c r="H1781" s="81"/>
      <c r="I1781" s="80"/>
      <c r="J1781" s="80"/>
      <c r="K1781" s="80"/>
    </row>
    <row r="1782" ht="12.75" customHeight="1">
      <c r="B1782" s="90" t="s">
        <v>4343</v>
      </c>
      <c r="C1782" s="90"/>
      <c r="D1782" s="89" t="s">
        <v>75</v>
      </c>
      <c r="E1782" s="91">
        <v>8.0</v>
      </c>
      <c r="F1782" s="92">
        <v>145.73</v>
      </c>
      <c r="G1782" s="92">
        <v>1165.84</v>
      </c>
      <c r="H1782" s="93"/>
      <c r="I1782" s="92"/>
      <c r="J1782" s="92"/>
      <c r="K1782" s="92"/>
    </row>
    <row r="1783" ht="12.75" customHeight="1">
      <c r="E1783" s="79"/>
      <c r="F1783" s="80"/>
      <c r="G1783" s="80"/>
      <c r="H1783" s="81"/>
      <c r="I1783" s="80"/>
      <c r="J1783" s="80"/>
      <c r="K1783" s="80"/>
    </row>
    <row r="1784" ht="12.75" customHeight="1">
      <c r="B1784" s="90" t="s">
        <v>4344</v>
      </c>
      <c r="C1784" s="90"/>
      <c r="D1784" s="89" t="s">
        <v>75</v>
      </c>
      <c r="E1784" s="91">
        <v>9.0</v>
      </c>
      <c r="F1784" s="92">
        <v>36.58</v>
      </c>
      <c r="G1784" s="92">
        <v>329.22</v>
      </c>
      <c r="H1784" s="93"/>
      <c r="I1784" s="92"/>
      <c r="J1784" s="92"/>
      <c r="K1784" s="92"/>
    </row>
    <row r="1785" ht="12.75" customHeight="1">
      <c r="E1785" s="79"/>
      <c r="F1785" s="80"/>
      <c r="G1785" s="80"/>
      <c r="H1785" s="81"/>
      <c r="I1785" s="80"/>
      <c r="J1785" s="80"/>
      <c r="K1785" s="80"/>
    </row>
    <row r="1786" ht="12.75" customHeight="1">
      <c r="B1786" s="90" t="s">
        <v>4345</v>
      </c>
      <c r="C1786" s="90"/>
      <c r="D1786" s="89" t="s">
        <v>75</v>
      </c>
      <c r="E1786" s="91">
        <v>6.0</v>
      </c>
      <c r="F1786" s="92">
        <v>73.16</v>
      </c>
      <c r="G1786" s="92">
        <v>438.96</v>
      </c>
      <c r="H1786" s="93"/>
      <c r="I1786" s="92"/>
      <c r="J1786" s="92"/>
      <c r="K1786" s="92"/>
    </row>
    <row r="1787" ht="12.75" customHeight="1">
      <c r="E1787" s="79"/>
      <c r="F1787" s="80"/>
      <c r="G1787" s="80"/>
      <c r="H1787" s="81"/>
      <c r="I1787" s="80"/>
      <c r="J1787" s="80"/>
      <c r="K1787" s="80"/>
    </row>
    <row r="1788" ht="12.75" customHeight="1">
      <c r="B1788" s="90" t="s">
        <v>4346</v>
      </c>
      <c r="C1788" s="90"/>
      <c r="D1788" s="89" t="s">
        <v>75</v>
      </c>
      <c r="E1788" s="91">
        <v>2.0</v>
      </c>
      <c r="F1788" s="92">
        <v>1664.22</v>
      </c>
      <c r="G1788" s="92">
        <v>3328.44</v>
      </c>
      <c r="H1788" s="93"/>
      <c r="I1788" s="92"/>
      <c r="J1788" s="92"/>
      <c r="K1788" s="92"/>
    </row>
    <row r="1789" ht="12.75" customHeight="1">
      <c r="E1789" s="79"/>
      <c r="F1789" s="80"/>
      <c r="G1789" s="80"/>
      <c r="H1789" s="81"/>
      <c r="I1789" s="80"/>
      <c r="J1789" s="80"/>
      <c r="K1789" s="80"/>
    </row>
    <row r="1790" ht="12.75" customHeight="1">
      <c r="B1790" s="90" t="s">
        <v>4347</v>
      </c>
      <c r="C1790" s="90"/>
      <c r="D1790" s="89" t="s">
        <v>75</v>
      </c>
      <c r="E1790" s="91">
        <v>10.0</v>
      </c>
      <c r="F1790" s="92">
        <v>657.44</v>
      </c>
      <c r="G1790" s="92">
        <v>6574.4</v>
      </c>
      <c r="H1790" s="93"/>
      <c r="I1790" s="92"/>
      <c r="J1790" s="92"/>
      <c r="K1790" s="92"/>
    </row>
    <row r="1791" ht="12.75" customHeight="1">
      <c r="E1791" s="79"/>
      <c r="F1791" s="80"/>
      <c r="G1791" s="80"/>
      <c r="H1791" s="81"/>
      <c r="I1791" s="80"/>
      <c r="J1791" s="80"/>
      <c r="K1791" s="80"/>
    </row>
    <row r="1792" ht="12.75" customHeight="1">
      <c r="B1792" s="90" t="s">
        <v>4348</v>
      </c>
      <c r="C1792" s="90"/>
      <c r="D1792" s="89" t="s">
        <v>75</v>
      </c>
      <c r="E1792" s="91">
        <v>2.0</v>
      </c>
      <c r="F1792" s="92">
        <v>191.44</v>
      </c>
      <c r="G1792" s="92">
        <v>382.88</v>
      </c>
      <c r="H1792" s="93"/>
      <c r="I1792" s="92"/>
      <c r="J1792" s="92"/>
      <c r="K1792" s="92"/>
    </row>
    <row r="1793" ht="12.75" customHeight="1">
      <c r="E1793" s="79"/>
      <c r="F1793" s="80"/>
      <c r="G1793" s="80"/>
      <c r="H1793" s="81"/>
      <c r="I1793" s="80"/>
      <c r="J1793" s="80"/>
      <c r="K1793" s="80"/>
    </row>
    <row r="1794" ht="12.75" customHeight="1">
      <c r="B1794" s="90" t="s">
        <v>4349</v>
      </c>
      <c r="C1794" s="90"/>
      <c r="D1794" s="89" t="s">
        <v>75</v>
      </c>
      <c r="E1794" s="91">
        <v>14.0</v>
      </c>
      <c r="F1794" s="92">
        <v>65.95</v>
      </c>
      <c r="G1794" s="92">
        <v>923.3</v>
      </c>
      <c r="H1794" s="93"/>
      <c r="I1794" s="92"/>
      <c r="J1794" s="92"/>
      <c r="K1794" s="92"/>
    </row>
    <row r="1795" ht="12.75" customHeight="1">
      <c r="E1795" s="79"/>
      <c r="F1795" s="80"/>
      <c r="G1795" s="80"/>
      <c r="H1795" s="81"/>
      <c r="I1795" s="80"/>
      <c r="J1795" s="80"/>
      <c r="K1795" s="80"/>
    </row>
    <row r="1796" ht="12.75" customHeight="1">
      <c r="A1796" s="89" t="s">
        <v>1349</v>
      </c>
      <c r="B1796" s="90" t="s">
        <v>4350</v>
      </c>
      <c r="C1796" s="90"/>
      <c r="E1796" s="79"/>
      <c r="F1796" s="80"/>
      <c r="G1796" s="80"/>
      <c r="H1796" s="81"/>
      <c r="I1796" s="80"/>
      <c r="J1796" s="80"/>
      <c r="K1796" s="80"/>
    </row>
    <row r="1797" ht="12.75" customHeight="1">
      <c r="E1797" s="79"/>
      <c r="F1797" s="80"/>
      <c r="G1797" s="80"/>
      <c r="H1797" s="81"/>
      <c r="I1797" s="80"/>
      <c r="J1797" s="80"/>
      <c r="K1797" s="80"/>
    </row>
    <row r="1798" ht="12.75" customHeight="1">
      <c r="B1798" s="90" t="s">
        <v>4306</v>
      </c>
      <c r="C1798" s="90"/>
      <c r="E1798" s="79"/>
      <c r="F1798" s="80"/>
      <c r="G1798" s="80"/>
      <c r="H1798" s="81"/>
      <c r="I1798" s="80"/>
      <c r="J1798" s="80"/>
      <c r="K1798" s="80"/>
    </row>
    <row r="1799" ht="12.75" customHeight="1">
      <c r="E1799" s="79"/>
      <c r="F1799" s="80"/>
      <c r="G1799" s="80"/>
      <c r="H1799" s="81"/>
      <c r="I1799" s="80"/>
      <c r="J1799" s="80"/>
      <c r="K1799" s="80"/>
    </row>
    <row r="1800" ht="12.75" customHeight="1">
      <c r="B1800" s="90" t="s">
        <v>4330</v>
      </c>
      <c r="C1800" s="90"/>
      <c r="E1800" s="79"/>
      <c r="F1800" s="80"/>
      <c r="G1800" s="80"/>
      <c r="H1800" s="81"/>
      <c r="I1800" s="80"/>
      <c r="J1800" s="80"/>
      <c r="K1800" s="80"/>
    </row>
    <row r="1801" ht="12.75" customHeight="1">
      <c r="E1801" s="79"/>
      <c r="F1801" s="80"/>
      <c r="G1801" s="80"/>
      <c r="H1801" s="81"/>
      <c r="I1801" s="80"/>
      <c r="J1801" s="80"/>
      <c r="K1801" s="80"/>
    </row>
    <row r="1802" ht="12.75" customHeight="1">
      <c r="B1802" s="90" t="s">
        <v>4351</v>
      </c>
      <c r="C1802" s="90"/>
      <c r="D1802" s="89" t="s">
        <v>161</v>
      </c>
      <c r="E1802" s="91">
        <v>704.0</v>
      </c>
      <c r="F1802" s="92">
        <v>3.04</v>
      </c>
      <c r="G1802" s="92">
        <v>2140.16</v>
      </c>
      <c r="H1802" s="93"/>
      <c r="I1802" s="92"/>
      <c r="J1802" s="92"/>
      <c r="K1802" s="92"/>
    </row>
    <row r="1803" ht="12.75" customHeight="1">
      <c r="E1803" s="79"/>
      <c r="F1803" s="80"/>
      <c r="G1803" s="80"/>
      <c r="H1803" s="81"/>
      <c r="I1803" s="80"/>
      <c r="J1803" s="80"/>
      <c r="K1803" s="80"/>
    </row>
    <row r="1804" ht="12.75" customHeight="1">
      <c r="B1804" s="90" t="s">
        <v>2697</v>
      </c>
      <c r="C1804" s="90"/>
      <c r="E1804" s="79"/>
      <c r="F1804" s="80"/>
      <c r="G1804" s="80"/>
      <c r="H1804" s="81"/>
      <c r="I1804" s="80"/>
      <c r="J1804" s="80"/>
      <c r="K1804" s="80"/>
    </row>
    <row r="1805" ht="12.75" customHeight="1">
      <c r="E1805" s="79"/>
      <c r="F1805" s="80"/>
      <c r="G1805" s="80"/>
      <c r="H1805" s="81"/>
      <c r="I1805" s="80"/>
      <c r="J1805" s="80"/>
      <c r="K1805" s="80"/>
    </row>
    <row r="1806" ht="12.75" customHeight="1">
      <c r="B1806" s="90" t="s">
        <v>4330</v>
      </c>
      <c r="C1806" s="90"/>
      <c r="E1806" s="79"/>
      <c r="F1806" s="80"/>
      <c r="G1806" s="80"/>
      <c r="H1806" s="81"/>
      <c r="I1806" s="80"/>
      <c r="J1806" s="80"/>
      <c r="K1806" s="80"/>
    </row>
    <row r="1807" ht="12.75" customHeight="1">
      <c r="E1807" s="79"/>
      <c r="F1807" s="80"/>
      <c r="G1807" s="80"/>
      <c r="H1807" s="81"/>
      <c r="I1807" s="80"/>
      <c r="J1807" s="80"/>
      <c r="K1807" s="80"/>
    </row>
    <row r="1808" ht="12.75" customHeight="1">
      <c r="B1808" s="90" t="s">
        <v>3046</v>
      </c>
      <c r="C1808" s="90"/>
      <c r="D1808" s="89" t="s">
        <v>161</v>
      </c>
      <c r="E1808" s="91">
        <v>704.0</v>
      </c>
      <c r="F1808" s="92">
        <v>1.81</v>
      </c>
      <c r="G1808" s="92">
        <v>1274.24</v>
      </c>
      <c r="H1808" s="93"/>
      <c r="I1808" s="92"/>
      <c r="J1808" s="92"/>
      <c r="K1808" s="92"/>
    </row>
    <row r="1809" ht="12.75" customHeight="1">
      <c r="E1809" s="79"/>
      <c r="F1809" s="80"/>
      <c r="G1809" s="80"/>
      <c r="H1809" s="81"/>
      <c r="I1809" s="80"/>
      <c r="J1809" s="80"/>
      <c r="K1809" s="80"/>
    </row>
    <row r="1810" ht="12.75" customHeight="1">
      <c r="B1810" s="90" t="s">
        <v>2702</v>
      </c>
      <c r="C1810" s="90"/>
      <c r="E1810" s="79"/>
      <c r="F1810" s="80"/>
      <c r="G1810" s="80"/>
      <c r="H1810" s="81"/>
      <c r="I1810" s="80"/>
      <c r="J1810" s="80"/>
      <c r="K1810" s="80"/>
    </row>
    <row r="1811" ht="12.75" customHeight="1">
      <c r="E1811" s="79"/>
      <c r="F1811" s="80"/>
      <c r="G1811" s="80"/>
      <c r="H1811" s="81"/>
      <c r="I1811" s="80"/>
      <c r="J1811" s="80"/>
      <c r="K1811" s="80"/>
    </row>
    <row r="1812" ht="12.75" customHeight="1">
      <c r="B1812" s="90" t="s">
        <v>4330</v>
      </c>
      <c r="C1812" s="90"/>
      <c r="E1812" s="79"/>
      <c r="F1812" s="80"/>
      <c r="G1812" s="80"/>
      <c r="H1812" s="81"/>
      <c r="I1812" s="80"/>
      <c r="J1812" s="80"/>
      <c r="K1812" s="80"/>
    </row>
    <row r="1813" ht="12.75" customHeight="1">
      <c r="E1813" s="79"/>
      <c r="F1813" s="80"/>
      <c r="G1813" s="80"/>
      <c r="H1813" s="81"/>
      <c r="I1813" s="80"/>
      <c r="J1813" s="80"/>
      <c r="K1813" s="80"/>
    </row>
    <row r="1814" ht="12.75" customHeight="1">
      <c r="B1814" s="90" t="s">
        <v>3048</v>
      </c>
      <c r="C1814" s="90"/>
      <c r="D1814" s="89" t="s">
        <v>75</v>
      </c>
      <c r="E1814" s="91">
        <v>29.0</v>
      </c>
      <c r="F1814" s="92">
        <v>11.26</v>
      </c>
      <c r="G1814" s="92">
        <v>326.54</v>
      </c>
      <c r="H1814" s="93"/>
      <c r="I1814" s="92"/>
      <c r="J1814" s="92"/>
      <c r="K1814" s="92"/>
    </row>
    <row r="1815" ht="12.75" customHeight="1">
      <c r="E1815" s="79"/>
      <c r="F1815" s="80"/>
      <c r="G1815" s="80"/>
      <c r="H1815" s="81"/>
      <c r="I1815" s="80"/>
      <c r="J1815" s="80"/>
      <c r="K1815" s="80"/>
    </row>
    <row r="1816" ht="12.75" customHeight="1">
      <c r="A1816" s="89" t="s">
        <v>1354</v>
      </c>
      <c r="B1816" s="90" t="s">
        <v>4352</v>
      </c>
      <c r="C1816" s="90"/>
      <c r="E1816" s="79"/>
      <c r="F1816" s="80"/>
      <c r="G1816" s="80"/>
      <c r="H1816" s="81"/>
      <c r="I1816" s="80"/>
      <c r="J1816" s="80"/>
      <c r="K1816" s="80"/>
    </row>
    <row r="1817" ht="12.75" customHeight="1">
      <c r="E1817" s="79"/>
      <c r="F1817" s="80"/>
      <c r="G1817" s="80"/>
      <c r="H1817" s="81"/>
      <c r="I1817" s="80"/>
      <c r="J1817" s="80"/>
      <c r="K1817" s="80"/>
    </row>
    <row r="1818" ht="12.75" customHeight="1">
      <c r="B1818" s="90" t="s">
        <v>4306</v>
      </c>
      <c r="C1818" s="90"/>
      <c r="E1818" s="79"/>
      <c r="F1818" s="80"/>
      <c r="G1818" s="80"/>
      <c r="H1818" s="81"/>
      <c r="I1818" s="80"/>
      <c r="J1818" s="80"/>
      <c r="K1818" s="80"/>
    </row>
    <row r="1819" ht="12.75" customHeight="1">
      <c r="E1819" s="79"/>
      <c r="F1819" s="80"/>
      <c r="G1819" s="80"/>
      <c r="H1819" s="81"/>
      <c r="I1819" s="80"/>
      <c r="J1819" s="80"/>
      <c r="K1819" s="80"/>
    </row>
    <row r="1820" ht="12.75" customHeight="1">
      <c r="B1820" s="90" t="s">
        <v>4330</v>
      </c>
      <c r="C1820" s="90"/>
      <c r="E1820" s="79"/>
      <c r="F1820" s="80"/>
      <c r="G1820" s="80"/>
      <c r="H1820" s="81"/>
      <c r="I1820" s="80"/>
      <c r="J1820" s="80"/>
      <c r="K1820" s="80"/>
    </row>
    <row r="1821" ht="12.75" customHeight="1">
      <c r="E1821" s="79"/>
      <c r="F1821" s="80"/>
      <c r="G1821" s="80"/>
      <c r="H1821" s="81"/>
      <c r="I1821" s="80"/>
      <c r="J1821" s="80"/>
      <c r="K1821" s="80"/>
    </row>
    <row r="1822" ht="12.75" customHeight="1">
      <c r="B1822" s="90" t="s">
        <v>4353</v>
      </c>
      <c r="C1822" s="90"/>
      <c r="D1822" s="89" t="s">
        <v>161</v>
      </c>
      <c r="E1822" s="91">
        <v>984.0</v>
      </c>
      <c r="F1822" s="92">
        <v>2.12</v>
      </c>
      <c r="G1822" s="92">
        <v>2086.08</v>
      </c>
      <c r="H1822" s="93"/>
      <c r="I1822" s="92"/>
      <c r="J1822" s="92"/>
      <c r="K1822" s="92"/>
    </row>
    <row r="1823" ht="12.75" customHeight="1">
      <c r="E1823" s="79"/>
      <c r="F1823" s="80"/>
      <c r="G1823" s="80"/>
      <c r="H1823" s="81"/>
      <c r="I1823" s="80"/>
      <c r="J1823" s="80"/>
      <c r="K1823" s="80"/>
    </row>
    <row r="1824" ht="12.75" customHeight="1">
      <c r="B1824" s="90" t="s">
        <v>4354</v>
      </c>
      <c r="C1824" s="90"/>
      <c r="D1824" s="89" t="s">
        <v>161</v>
      </c>
      <c r="E1824" s="91">
        <v>1527.0</v>
      </c>
      <c r="F1824" s="92">
        <v>2.38</v>
      </c>
      <c r="G1824" s="92">
        <v>3634.26</v>
      </c>
      <c r="H1824" s="93"/>
      <c r="I1824" s="92"/>
      <c r="J1824" s="92"/>
      <c r="K1824" s="92"/>
    </row>
    <row r="1825" ht="12.75" customHeight="1">
      <c r="E1825" s="79"/>
      <c r="F1825" s="80"/>
      <c r="G1825" s="80"/>
      <c r="H1825" s="81"/>
      <c r="I1825" s="80"/>
      <c r="J1825" s="80"/>
      <c r="K1825" s="80"/>
    </row>
    <row r="1826" ht="12.75" customHeight="1">
      <c r="B1826" s="90" t="s">
        <v>4355</v>
      </c>
      <c r="C1826" s="90"/>
      <c r="D1826" s="89" t="s">
        <v>161</v>
      </c>
      <c r="E1826" s="91">
        <v>355.0</v>
      </c>
      <c r="F1826" s="92">
        <v>3.36</v>
      </c>
      <c r="G1826" s="92">
        <v>1192.8</v>
      </c>
      <c r="H1826" s="93"/>
      <c r="I1826" s="92"/>
      <c r="J1826" s="92"/>
      <c r="K1826" s="92"/>
    </row>
    <row r="1827" ht="12.75" customHeight="1">
      <c r="E1827" s="79"/>
      <c r="F1827" s="80"/>
      <c r="G1827" s="80"/>
      <c r="H1827" s="81"/>
      <c r="I1827" s="80"/>
      <c r="J1827" s="80"/>
      <c r="K1827" s="80"/>
    </row>
    <row r="1828" ht="12.75" customHeight="1">
      <c r="B1828" s="90" t="s">
        <v>2697</v>
      </c>
      <c r="C1828" s="90"/>
      <c r="E1828" s="79"/>
      <c r="F1828" s="80"/>
      <c r="G1828" s="80"/>
      <c r="H1828" s="81"/>
      <c r="I1828" s="80"/>
      <c r="J1828" s="80"/>
      <c r="K1828" s="80"/>
    </row>
    <row r="1829" ht="12.75" customHeight="1">
      <c r="E1829" s="79"/>
      <c r="F1829" s="80"/>
      <c r="G1829" s="80"/>
      <c r="H1829" s="81"/>
      <c r="I1829" s="80"/>
      <c r="J1829" s="80"/>
      <c r="K1829" s="80"/>
    </row>
    <row r="1830" ht="12.75" customHeight="1">
      <c r="B1830" s="90" t="s">
        <v>4330</v>
      </c>
      <c r="C1830" s="90"/>
      <c r="E1830" s="79"/>
      <c r="F1830" s="80"/>
      <c r="G1830" s="80"/>
      <c r="H1830" s="81"/>
      <c r="I1830" s="80"/>
      <c r="J1830" s="80"/>
      <c r="K1830" s="80"/>
    </row>
    <row r="1831" ht="12.75" customHeight="1">
      <c r="E1831" s="79"/>
      <c r="F1831" s="80"/>
      <c r="G1831" s="80"/>
      <c r="H1831" s="81"/>
      <c r="I1831" s="80"/>
      <c r="J1831" s="80"/>
      <c r="K1831" s="80"/>
    </row>
    <row r="1832" ht="12.75" customHeight="1">
      <c r="B1832" s="90" t="s">
        <v>4356</v>
      </c>
      <c r="C1832" s="90"/>
      <c r="D1832" s="89" t="s">
        <v>161</v>
      </c>
      <c r="E1832" s="91">
        <v>2865.0</v>
      </c>
      <c r="F1832" s="92">
        <v>1.81</v>
      </c>
      <c r="G1832" s="92">
        <v>5185.65</v>
      </c>
      <c r="H1832" s="93"/>
      <c r="I1832" s="92"/>
      <c r="J1832" s="92"/>
      <c r="K1832" s="92"/>
    </row>
    <row r="1833" ht="12.75" customHeight="1">
      <c r="E1833" s="79"/>
      <c r="F1833" s="80"/>
      <c r="G1833" s="80"/>
      <c r="H1833" s="81"/>
      <c r="I1833" s="80"/>
      <c r="J1833" s="80"/>
      <c r="K1833" s="80"/>
    </row>
    <row r="1834" ht="12.75" customHeight="1">
      <c r="B1834" s="90" t="s">
        <v>2702</v>
      </c>
      <c r="C1834" s="90"/>
      <c r="E1834" s="79"/>
      <c r="F1834" s="80"/>
      <c r="G1834" s="80"/>
      <c r="H1834" s="81"/>
      <c r="I1834" s="80"/>
      <c r="J1834" s="80"/>
      <c r="K1834" s="80"/>
    </row>
    <row r="1835" ht="12.75" customHeight="1">
      <c r="E1835" s="79"/>
      <c r="F1835" s="80"/>
      <c r="G1835" s="80"/>
      <c r="H1835" s="81"/>
      <c r="I1835" s="80"/>
      <c r="J1835" s="80"/>
      <c r="K1835" s="80"/>
    </row>
    <row r="1836" ht="12.75" customHeight="1">
      <c r="B1836" s="90" t="s">
        <v>4330</v>
      </c>
      <c r="C1836" s="90"/>
      <c r="E1836" s="79"/>
      <c r="F1836" s="80"/>
      <c r="G1836" s="80"/>
      <c r="H1836" s="81"/>
      <c r="I1836" s="80"/>
      <c r="J1836" s="80"/>
      <c r="K1836" s="80"/>
    </row>
    <row r="1837" ht="12.75" customHeight="1">
      <c r="E1837" s="79"/>
      <c r="F1837" s="80"/>
      <c r="G1837" s="80"/>
      <c r="H1837" s="81"/>
      <c r="I1837" s="80"/>
      <c r="J1837" s="80"/>
      <c r="K1837" s="80"/>
    </row>
    <row r="1838" ht="12.75" customHeight="1">
      <c r="B1838" s="90" t="s">
        <v>3059</v>
      </c>
      <c r="C1838" s="90"/>
      <c r="D1838" s="89" t="s">
        <v>75</v>
      </c>
      <c r="E1838" s="91">
        <v>199.0</v>
      </c>
      <c r="F1838" s="92">
        <v>13.53</v>
      </c>
      <c r="G1838" s="92">
        <v>2692.47</v>
      </c>
      <c r="H1838" s="93"/>
      <c r="I1838" s="92"/>
      <c r="J1838" s="92"/>
      <c r="K1838" s="92"/>
    </row>
    <row r="1839" ht="12.75" customHeight="1">
      <c r="E1839" s="79"/>
      <c r="F1839" s="80"/>
      <c r="G1839" s="80"/>
      <c r="H1839" s="81"/>
      <c r="I1839" s="80"/>
      <c r="J1839" s="80"/>
      <c r="K1839" s="80"/>
    </row>
    <row r="1840" ht="12.75" customHeight="1">
      <c r="B1840" s="90" t="s">
        <v>3061</v>
      </c>
      <c r="C1840" s="90"/>
      <c r="D1840" s="89" t="s">
        <v>75</v>
      </c>
      <c r="E1840" s="91">
        <v>15.0</v>
      </c>
      <c r="F1840" s="92">
        <v>84.7</v>
      </c>
      <c r="G1840" s="92">
        <v>1270.5</v>
      </c>
      <c r="H1840" s="93"/>
      <c r="I1840" s="92"/>
      <c r="J1840" s="92"/>
      <c r="K1840" s="92"/>
    </row>
    <row r="1841" ht="12.75" customHeight="1">
      <c r="E1841" s="79"/>
      <c r="F1841" s="80"/>
      <c r="G1841" s="80"/>
      <c r="H1841" s="81"/>
      <c r="I1841" s="80"/>
      <c r="J1841" s="80"/>
      <c r="K1841" s="80"/>
    </row>
    <row r="1842" ht="12.75" customHeight="1">
      <c r="B1842" s="90" t="s">
        <v>4357</v>
      </c>
      <c r="C1842" s="90"/>
      <c r="D1842" s="89" t="s">
        <v>75</v>
      </c>
      <c r="E1842" s="91">
        <v>16.0</v>
      </c>
      <c r="F1842" s="92">
        <v>1.23</v>
      </c>
      <c r="G1842" s="92">
        <v>19.68</v>
      </c>
      <c r="H1842" s="93"/>
      <c r="I1842" s="92"/>
      <c r="J1842" s="92"/>
      <c r="K1842" s="92"/>
    </row>
    <row r="1843" ht="12.75" customHeight="1">
      <c r="E1843" s="79"/>
      <c r="F1843" s="80"/>
      <c r="G1843" s="80"/>
      <c r="H1843" s="81"/>
      <c r="I1843" s="80"/>
      <c r="J1843" s="80"/>
      <c r="K1843" s="80"/>
    </row>
    <row r="1844" ht="12.75" customHeight="1">
      <c r="B1844" s="90" t="s">
        <v>4358</v>
      </c>
      <c r="C1844" s="90"/>
      <c r="D1844" s="89" t="s">
        <v>75</v>
      </c>
      <c r="E1844" s="91">
        <v>10.0</v>
      </c>
      <c r="F1844" s="92">
        <v>61.67</v>
      </c>
      <c r="G1844" s="92">
        <v>616.7</v>
      </c>
      <c r="H1844" s="93"/>
      <c r="I1844" s="92"/>
      <c r="J1844" s="92"/>
      <c r="K1844" s="92"/>
    </row>
    <row r="1845" ht="12.75" customHeight="1">
      <c r="E1845" s="79"/>
      <c r="F1845" s="80"/>
      <c r="G1845" s="80"/>
      <c r="H1845" s="81"/>
      <c r="I1845" s="80"/>
      <c r="J1845" s="80"/>
      <c r="K1845" s="80"/>
    </row>
    <row r="1846" ht="12.75" customHeight="1">
      <c r="B1846" s="90" t="s">
        <v>4359</v>
      </c>
      <c r="C1846" s="90"/>
      <c r="E1846" s="79"/>
      <c r="F1846" s="80"/>
      <c r="G1846" s="80"/>
      <c r="H1846" s="81"/>
      <c r="I1846" s="80"/>
      <c r="J1846" s="80"/>
      <c r="K1846" s="80"/>
    </row>
    <row r="1847" ht="12.75" customHeight="1">
      <c r="E1847" s="79"/>
      <c r="F1847" s="80"/>
      <c r="G1847" s="80"/>
      <c r="H1847" s="81"/>
      <c r="I1847" s="80"/>
      <c r="J1847" s="80"/>
      <c r="K1847" s="80"/>
    </row>
    <row r="1848" ht="12.75" customHeight="1">
      <c r="B1848" s="90" t="s">
        <v>4360</v>
      </c>
      <c r="C1848" s="90"/>
      <c r="E1848" s="79"/>
      <c r="F1848" s="80"/>
      <c r="G1848" s="80"/>
      <c r="H1848" s="81"/>
      <c r="I1848" s="80"/>
      <c r="J1848" s="80"/>
      <c r="K1848" s="80"/>
    </row>
    <row r="1849" ht="12.75" customHeight="1">
      <c r="E1849" s="79"/>
      <c r="F1849" s="80"/>
      <c r="G1849" s="80"/>
      <c r="H1849" s="81"/>
      <c r="I1849" s="80"/>
      <c r="J1849" s="80"/>
      <c r="K1849" s="80"/>
    </row>
    <row r="1850" ht="12.75" customHeight="1">
      <c r="B1850" s="90" t="s">
        <v>4361</v>
      </c>
      <c r="C1850" s="90"/>
      <c r="E1850" s="79"/>
      <c r="F1850" s="80"/>
      <c r="G1850" s="80"/>
      <c r="H1850" s="81"/>
      <c r="I1850" s="80"/>
      <c r="J1850" s="80"/>
      <c r="K1850" s="80"/>
    </row>
    <row r="1851" ht="12.75" customHeight="1">
      <c r="E1851" s="79"/>
      <c r="F1851" s="80"/>
      <c r="G1851" s="80"/>
      <c r="H1851" s="81"/>
      <c r="I1851" s="80"/>
      <c r="J1851" s="80"/>
      <c r="K1851" s="80"/>
    </row>
    <row r="1852" ht="12.75" customHeight="1">
      <c r="B1852" s="90" t="s">
        <v>3070</v>
      </c>
      <c r="C1852" s="90"/>
      <c r="E1852" s="79"/>
      <c r="F1852" s="80"/>
      <c r="G1852" s="80"/>
      <c r="H1852" s="81"/>
      <c r="I1852" s="80"/>
      <c r="J1852" s="80"/>
      <c r="K1852" s="80"/>
    </row>
    <row r="1853" ht="12.75" customHeight="1">
      <c r="E1853" s="79"/>
      <c r="F1853" s="80"/>
      <c r="G1853" s="80"/>
      <c r="H1853" s="81"/>
      <c r="I1853" s="80"/>
      <c r="J1853" s="80"/>
      <c r="K1853" s="80"/>
    </row>
    <row r="1854" ht="12.75" customHeight="1">
      <c r="B1854" s="90" t="s">
        <v>4362</v>
      </c>
      <c r="C1854" s="90"/>
      <c r="D1854" s="89" t="s">
        <v>75</v>
      </c>
      <c r="E1854" s="91">
        <v>9.0</v>
      </c>
      <c r="F1854" s="92">
        <v>9.18</v>
      </c>
      <c r="G1854" s="92">
        <v>82.62</v>
      </c>
      <c r="H1854" s="93"/>
      <c r="I1854" s="92"/>
      <c r="J1854" s="92"/>
      <c r="K1854" s="92"/>
    </row>
    <row r="1855" ht="12.75" customHeight="1">
      <c r="E1855" s="79"/>
      <c r="F1855" s="80"/>
      <c r="G1855" s="80"/>
      <c r="H1855" s="81"/>
      <c r="I1855" s="80"/>
      <c r="J1855" s="80"/>
      <c r="K1855" s="80"/>
    </row>
    <row r="1856" ht="12.75" customHeight="1">
      <c r="B1856" s="90" t="s">
        <v>3074</v>
      </c>
      <c r="C1856" s="90"/>
      <c r="D1856" s="89" t="s">
        <v>75</v>
      </c>
      <c r="E1856" s="91">
        <v>11.0</v>
      </c>
      <c r="F1856" s="92">
        <v>9.18</v>
      </c>
      <c r="G1856" s="92">
        <v>100.98</v>
      </c>
      <c r="H1856" s="93"/>
      <c r="I1856" s="92"/>
      <c r="J1856" s="92"/>
      <c r="K1856" s="92"/>
    </row>
    <row r="1857" ht="12.75" customHeight="1">
      <c r="E1857" s="79"/>
      <c r="F1857" s="80"/>
      <c r="G1857" s="80"/>
      <c r="H1857" s="81"/>
      <c r="I1857" s="80"/>
      <c r="J1857" s="80"/>
      <c r="K1857" s="80"/>
    </row>
    <row r="1858" ht="12.75" customHeight="1">
      <c r="B1858" s="90" t="s">
        <v>3076</v>
      </c>
      <c r="C1858" s="90"/>
      <c r="D1858" s="89" t="s">
        <v>75</v>
      </c>
      <c r="E1858" s="91">
        <v>7.0</v>
      </c>
      <c r="F1858" s="92">
        <v>9.18</v>
      </c>
      <c r="G1858" s="92">
        <v>64.26</v>
      </c>
      <c r="H1858" s="93"/>
      <c r="I1858" s="92"/>
      <c r="J1858" s="92"/>
      <c r="K1858" s="92"/>
    </row>
    <row r="1859" ht="12.75" customHeight="1">
      <c r="E1859" s="79"/>
      <c r="F1859" s="80"/>
      <c r="G1859" s="80"/>
      <c r="H1859" s="81"/>
      <c r="I1859" s="80"/>
      <c r="J1859" s="80"/>
      <c r="K1859" s="80"/>
    </row>
    <row r="1860" ht="12.75" customHeight="1">
      <c r="B1860" s="90" t="s">
        <v>3078</v>
      </c>
      <c r="C1860" s="90"/>
      <c r="D1860" s="89" t="s">
        <v>75</v>
      </c>
      <c r="E1860" s="91">
        <v>2.0</v>
      </c>
      <c r="F1860" s="92">
        <v>9.18</v>
      </c>
      <c r="G1860" s="92">
        <v>18.36</v>
      </c>
      <c r="H1860" s="93"/>
      <c r="I1860" s="92"/>
      <c r="J1860" s="92"/>
      <c r="K1860" s="92"/>
    </row>
    <row r="1861" ht="12.75" customHeight="1">
      <c r="E1861" s="79"/>
      <c r="F1861" s="80"/>
      <c r="G1861" s="80"/>
      <c r="H1861" s="81"/>
      <c r="I1861" s="80"/>
      <c r="J1861" s="80"/>
      <c r="K1861" s="80"/>
    </row>
    <row r="1862" ht="12.75" customHeight="1">
      <c r="B1862" s="90" t="s">
        <v>3080</v>
      </c>
      <c r="C1862" s="90"/>
      <c r="D1862" s="89" t="s">
        <v>75</v>
      </c>
      <c r="E1862" s="91">
        <v>8.0</v>
      </c>
      <c r="F1862" s="92">
        <v>9.18</v>
      </c>
      <c r="G1862" s="92">
        <v>73.44</v>
      </c>
      <c r="H1862" s="93"/>
      <c r="I1862" s="92"/>
      <c r="J1862" s="92"/>
      <c r="K1862" s="92"/>
    </row>
    <row r="1863" ht="12.75" customHeight="1">
      <c r="E1863" s="79"/>
      <c r="F1863" s="80"/>
      <c r="G1863" s="80"/>
      <c r="H1863" s="81"/>
      <c r="I1863" s="80"/>
      <c r="J1863" s="80"/>
      <c r="K1863" s="80"/>
    </row>
    <row r="1864" ht="12.75" customHeight="1">
      <c r="B1864" s="90" t="s">
        <v>3082</v>
      </c>
      <c r="C1864" s="90"/>
      <c r="D1864" s="89" t="s">
        <v>1374</v>
      </c>
      <c r="E1864" s="91">
        <v>2.0</v>
      </c>
      <c r="F1864" s="92">
        <v>9.18</v>
      </c>
      <c r="G1864" s="92">
        <v>18.36</v>
      </c>
      <c r="H1864" s="93"/>
      <c r="I1864" s="92"/>
      <c r="J1864" s="92"/>
      <c r="K1864" s="92"/>
    </row>
    <row r="1865" ht="12.75" customHeight="1">
      <c r="E1865" s="79"/>
      <c r="F1865" s="80"/>
      <c r="G1865" s="80"/>
      <c r="H1865" s="81"/>
      <c r="I1865" s="80"/>
      <c r="J1865" s="80"/>
      <c r="K1865" s="80"/>
    </row>
    <row r="1866" ht="12.75" customHeight="1">
      <c r="B1866" s="90" t="s">
        <v>3084</v>
      </c>
      <c r="C1866" s="90"/>
      <c r="D1866" s="89" t="s">
        <v>75</v>
      </c>
      <c r="E1866" s="91">
        <v>1.0</v>
      </c>
      <c r="F1866" s="92">
        <v>9.18</v>
      </c>
      <c r="G1866" s="92">
        <v>9.18</v>
      </c>
      <c r="H1866" s="93"/>
      <c r="I1866" s="92"/>
      <c r="J1866" s="92"/>
      <c r="K1866" s="92"/>
    </row>
    <row r="1867" ht="12.75" customHeight="1">
      <c r="E1867" s="79"/>
      <c r="F1867" s="80"/>
      <c r="G1867" s="80"/>
      <c r="H1867" s="81"/>
      <c r="I1867" s="80"/>
      <c r="J1867" s="80"/>
      <c r="K1867" s="80"/>
    </row>
    <row r="1868" ht="12.75" customHeight="1">
      <c r="B1868" s="90" t="s">
        <v>4363</v>
      </c>
      <c r="C1868" s="90"/>
      <c r="D1868" s="89" t="s">
        <v>75</v>
      </c>
      <c r="E1868" s="91">
        <v>3.0</v>
      </c>
      <c r="F1868" s="92">
        <v>2.12</v>
      </c>
      <c r="G1868" s="92">
        <v>6.36</v>
      </c>
      <c r="H1868" s="93"/>
      <c r="I1868" s="92"/>
      <c r="J1868" s="92"/>
      <c r="K1868" s="92"/>
    </row>
    <row r="1869" ht="12.75" customHeight="1">
      <c r="E1869" s="79"/>
      <c r="F1869" s="80"/>
      <c r="G1869" s="80"/>
      <c r="H1869" s="81"/>
      <c r="I1869" s="80"/>
      <c r="J1869" s="80"/>
      <c r="K1869" s="80"/>
    </row>
    <row r="1870" ht="12.75" customHeight="1">
      <c r="B1870" s="90" t="s">
        <v>4364</v>
      </c>
      <c r="C1870" s="90"/>
      <c r="D1870" s="89" t="s">
        <v>75</v>
      </c>
      <c r="E1870" s="91">
        <v>2.0</v>
      </c>
      <c r="F1870" s="92">
        <v>9.18</v>
      </c>
      <c r="G1870" s="92">
        <v>18.36</v>
      </c>
      <c r="H1870" s="93"/>
      <c r="I1870" s="92"/>
      <c r="J1870" s="92"/>
      <c r="K1870" s="92"/>
    </row>
    <row r="1871" ht="12.75" customHeight="1">
      <c r="E1871" s="79"/>
      <c r="F1871" s="80"/>
      <c r="G1871" s="80"/>
      <c r="H1871" s="81"/>
      <c r="I1871" s="80"/>
      <c r="J1871" s="80"/>
      <c r="K1871" s="80"/>
    </row>
    <row r="1872" ht="12.75" customHeight="1">
      <c r="B1872" s="90" t="s">
        <v>4365</v>
      </c>
      <c r="C1872" s="90"/>
      <c r="D1872" s="89" t="s">
        <v>75</v>
      </c>
      <c r="E1872" s="91">
        <v>1.0</v>
      </c>
      <c r="F1872" s="92">
        <v>9.18</v>
      </c>
      <c r="G1872" s="92">
        <v>9.18</v>
      </c>
      <c r="H1872" s="93"/>
      <c r="I1872" s="92"/>
      <c r="J1872" s="92"/>
      <c r="K1872" s="92"/>
    </row>
    <row r="1873" ht="12.75" customHeight="1">
      <c r="E1873" s="79"/>
      <c r="F1873" s="80"/>
      <c r="G1873" s="80"/>
      <c r="H1873" s="81"/>
      <c r="I1873" s="80"/>
      <c r="J1873" s="80"/>
      <c r="K1873" s="80"/>
    </row>
    <row r="1874" ht="12.75" customHeight="1">
      <c r="B1874" s="90" t="s">
        <v>4366</v>
      </c>
      <c r="C1874" s="90"/>
      <c r="D1874" s="89" t="s">
        <v>75</v>
      </c>
      <c r="E1874" s="91">
        <v>1.0</v>
      </c>
      <c r="F1874" s="92">
        <v>9.18</v>
      </c>
      <c r="G1874" s="92">
        <v>9.18</v>
      </c>
      <c r="H1874" s="93"/>
      <c r="I1874" s="92"/>
      <c r="J1874" s="92"/>
      <c r="K1874" s="92"/>
    </row>
    <row r="1875" ht="12.75" customHeight="1">
      <c r="E1875" s="79"/>
      <c r="F1875" s="80"/>
      <c r="G1875" s="80"/>
      <c r="H1875" s="81"/>
      <c r="I1875" s="80"/>
      <c r="J1875" s="80"/>
      <c r="K1875" s="80"/>
    </row>
    <row r="1876" ht="12.75" customHeight="1">
      <c r="B1876" s="90" t="s">
        <v>3094</v>
      </c>
      <c r="C1876" s="90"/>
      <c r="D1876" s="89" t="s">
        <v>75</v>
      </c>
      <c r="E1876" s="91">
        <v>1.0</v>
      </c>
      <c r="F1876" s="92">
        <v>9.18</v>
      </c>
      <c r="G1876" s="92">
        <v>9.18</v>
      </c>
      <c r="H1876" s="93"/>
      <c r="I1876" s="92"/>
      <c r="J1876" s="92"/>
      <c r="K1876" s="92"/>
    </row>
    <row r="1877" ht="12.75" customHeight="1">
      <c r="E1877" s="79"/>
      <c r="F1877" s="80"/>
      <c r="G1877" s="80"/>
      <c r="H1877" s="81"/>
      <c r="I1877" s="80"/>
      <c r="J1877" s="80"/>
      <c r="K1877" s="80"/>
    </row>
    <row r="1878" ht="12.75" customHeight="1">
      <c r="B1878" s="90" t="s">
        <v>4367</v>
      </c>
      <c r="C1878" s="90"/>
      <c r="D1878" s="89" t="s">
        <v>75</v>
      </c>
      <c r="E1878" s="91">
        <v>1.0</v>
      </c>
      <c r="F1878" s="92">
        <v>69.67</v>
      </c>
      <c r="G1878" s="92">
        <v>69.67</v>
      </c>
      <c r="H1878" s="93"/>
      <c r="I1878" s="92"/>
      <c r="J1878" s="92"/>
      <c r="K1878" s="92"/>
    </row>
    <row r="1879" ht="12.75" customHeight="1">
      <c r="E1879" s="79"/>
      <c r="F1879" s="80"/>
      <c r="G1879" s="80"/>
      <c r="H1879" s="81"/>
      <c r="I1879" s="80"/>
      <c r="J1879" s="80"/>
      <c r="K1879" s="80"/>
    </row>
    <row r="1880" ht="12.75" customHeight="1">
      <c r="B1880" s="90" t="s">
        <v>4368</v>
      </c>
      <c r="C1880" s="90"/>
      <c r="D1880" s="89" t="s">
        <v>75</v>
      </c>
      <c r="E1880" s="91">
        <v>3.0</v>
      </c>
      <c r="F1880" s="92">
        <v>21.66</v>
      </c>
      <c r="G1880" s="92">
        <v>64.98</v>
      </c>
      <c r="H1880" s="93"/>
      <c r="I1880" s="92"/>
      <c r="J1880" s="92"/>
      <c r="K1880" s="92"/>
    </row>
    <row r="1881" ht="12.75" customHeight="1">
      <c r="E1881" s="79"/>
      <c r="F1881" s="80"/>
      <c r="G1881" s="80"/>
      <c r="H1881" s="81"/>
      <c r="I1881" s="80"/>
      <c r="J1881" s="80"/>
      <c r="K1881" s="80"/>
    </row>
    <row r="1882" ht="12.75" customHeight="1">
      <c r="B1882" s="90" t="s">
        <v>4369</v>
      </c>
      <c r="C1882" s="90"/>
      <c r="D1882" s="89" t="s">
        <v>75</v>
      </c>
      <c r="E1882" s="91">
        <v>6.0</v>
      </c>
      <c r="F1882" s="92">
        <v>107.0</v>
      </c>
      <c r="G1882" s="92">
        <v>642.0</v>
      </c>
      <c r="H1882" s="93"/>
      <c r="I1882" s="92"/>
      <c r="J1882" s="92"/>
      <c r="K1882" s="92"/>
    </row>
    <row r="1883" ht="12.75" customHeight="1">
      <c r="E1883" s="79"/>
      <c r="F1883" s="80"/>
      <c r="G1883" s="80"/>
      <c r="H1883" s="81"/>
      <c r="I1883" s="80"/>
      <c r="J1883" s="80"/>
      <c r="K1883" s="80"/>
    </row>
    <row r="1884" ht="12.75" customHeight="1">
      <c r="B1884" s="90" t="s">
        <v>3102</v>
      </c>
      <c r="C1884" s="90"/>
      <c r="E1884" s="79"/>
      <c r="F1884" s="80"/>
      <c r="G1884" s="80"/>
      <c r="H1884" s="81"/>
      <c r="I1884" s="80"/>
      <c r="J1884" s="80"/>
      <c r="K1884" s="80"/>
    </row>
    <row r="1885" ht="12.75" customHeight="1">
      <c r="E1885" s="79"/>
      <c r="F1885" s="80"/>
      <c r="G1885" s="80"/>
      <c r="H1885" s="81"/>
      <c r="I1885" s="80"/>
      <c r="J1885" s="80"/>
      <c r="K1885" s="80"/>
    </row>
    <row r="1886" ht="12.75" customHeight="1">
      <c r="B1886" s="90" t="s">
        <v>3074</v>
      </c>
      <c r="C1886" s="90"/>
      <c r="D1886" s="89" t="s">
        <v>75</v>
      </c>
      <c r="E1886" s="91">
        <v>27.0</v>
      </c>
      <c r="F1886" s="92">
        <v>9.18</v>
      </c>
      <c r="G1886" s="92">
        <v>247.86</v>
      </c>
      <c r="H1886" s="93"/>
      <c r="I1886" s="92"/>
      <c r="J1886" s="92"/>
      <c r="K1886" s="92"/>
    </row>
    <row r="1887" ht="12.75" customHeight="1">
      <c r="E1887" s="79"/>
      <c r="F1887" s="80"/>
      <c r="G1887" s="80"/>
      <c r="H1887" s="81"/>
      <c r="I1887" s="80"/>
      <c r="J1887" s="80"/>
      <c r="K1887" s="80"/>
    </row>
    <row r="1888" ht="12.75" customHeight="1">
      <c r="B1888" s="90" t="s">
        <v>3080</v>
      </c>
      <c r="C1888" s="90"/>
      <c r="D1888" s="89" t="s">
        <v>75</v>
      </c>
      <c r="E1888" s="91">
        <v>40.0</v>
      </c>
      <c r="F1888" s="92">
        <v>9.18</v>
      </c>
      <c r="G1888" s="92">
        <v>367.2</v>
      </c>
      <c r="H1888" s="93"/>
      <c r="I1888" s="92"/>
      <c r="J1888" s="92"/>
      <c r="K1888" s="92"/>
    </row>
    <row r="1889" ht="12.75" customHeight="1">
      <c r="E1889" s="79"/>
      <c r="F1889" s="80"/>
      <c r="G1889" s="80"/>
      <c r="H1889" s="81"/>
      <c r="I1889" s="80"/>
      <c r="J1889" s="80"/>
      <c r="K1889" s="80"/>
    </row>
    <row r="1890" ht="12.75" customHeight="1">
      <c r="B1890" s="90" t="s">
        <v>3106</v>
      </c>
      <c r="C1890" s="90"/>
      <c r="D1890" s="89" t="s">
        <v>75</v>
      </c>
      <c r="E1890" s="91">
        <v>5.0</v>
      </c>
      <c r="F1890" s="92">
        <v>9.18</v>
      </c>
      <c r="G1890" s="92">
        <v>45.9</v>
      </c>
      <c r="H1890" s="93"/>
      <c r="I1890" s="92"/>
      <c r="J1890" s="92"/>
      <c r="K1890" s="92"/>
    </row>
    <row r="1891" ht="12.75" customHeight="1">
      <c r="E1891" s="79"/>
      <c r="F1891" s="80"/>
      <c r="G1891" s="80"/>
      <c r="H1891" s="81"/>
      <c r="I1891" s="80"/>
      <c r="J1891" s="80"/>
      <c r="K1891" s="80"/>
    </row>
    <row r="1892" ht="12.75" customHeight="1">
      <c r="B1892" s="90" t="s">
        <v>3084</v>
      </c>
      <c r="C1892" s="90"/>
      <c r="D1892" s="89" t="s">
        <v>75</v>
      </c>
      <c r="E1892" s="91">
        <v>14.0</v>
      </c>
      <c r="F1892" s="92">
        <v>9.18</v>
      </c>
      <c r="G1892" s="92">
        <v>128.52</v>
      </c>
      <c r="H1892" s="93"/>
      <c r="I1892" s="92"/>
      <c r="J1892" s="92"/>
      <c r="K1892" s="92"/>
    </row>
    <row r="1893" ht="12.75" customHeight="1">
      <c r="E1893" s="79"/>
      <c r="F1893" s="80"/>
      <c r="G1893" s="80"/>
      <c r="H1893" s="81"/>
      <c r="I1893" s="80"/>
      <c r="J1893" s="80"/>
      <c r="K1893" s="80"/>
    </row>
    <row r="1894" ht="12.75" customHeight="1">
      <c r="B1894" s="90" t="s">
        <v>3109</v>
      </c>
      <c r="C1894" s="90"/>
      <c r="D1894" s="89" t="s">
        <v>75</v>
      </c>
      <c r="E1894" s="91">
        <v>52.0</v>
      </c>
      <c r="F1894" s="92">
        <v>9.18</v>
      </c>
      <c r="G1894" s="92">
        <v>477.36</v>
      </c>
      <c r="H1894" s="93"/>
      <c r="I1894" s="92"/>
      <c r="J1894" s="92"/>
      <c r="K1894" s="92"/>
    </row>
    <row r="1895" ht="12.75" customHeight="1">
      <c r="E1895" s="79"/>
      <c r="F1895" s="80"/>
      <c r="G1895" s="80"/>
      <c r="H1895" s="81"/>
      <c r="I1895" s="80"/>
      <c r="J1895" s="80"/>
      <c r="K1895" s="80"/>
    </row>
    <row r="1896" ht="12.75" customHeight="1">
      <c r="B1896" s="90" t="s">
        <v>3111</v>
      </c>
      <c r="C1896" s="90"/>
      <c r="D1896" s="89" t="s">
        <v>75</v>
      </c>
      <c r="E1896" s="91">
        <v>3.0</v>
      </c>
      <c r="F1896" s="92">
        <v>9.18</v>
      </c>
      <c r="G1896" s="92">
        <v>27.54</v>
      </c>
      <c r="H1896" s="93"/>
      <c r="I1896" s="92"/>
      <c r="J1896" s="92"/>
      <c r="K1896" s="92"/>
    </row>
    <row r="1897" ht="12.75" customHeight="1">
      <c r="E1897" s="79"/>
      <c r="F1897" s="80"/>
      <c r="G1897" s="80"/>
      <c r="H1897" s="81"/>
      <c r="I1897" s="80"/>
      <c r="J1897" s="80"/>
      <c r="K1897" s="80"/>
    </row>
    <row r="1898" ht="12.75" customHeight="1">
      <c r="B1898" s="90" t="s">
        <v>3082</v>
      </c>
      <c r="C1898" s="90"/>
      <c r="D1898" s="89" t="s">
        <v>1374</v>
      </c>
      <c r="E1898" s="91">
        <v>1.0</v>
      </c>
      <c r="F1898" s="92">
        <v>9.18</v>
      </c>
      <c r="G1898" s="92">
        <v>9.18</v>
      </c>
      <c r="H1898" s="93"/>
      <c r="I1898" s="92"/>
      <c r="J1898" s="92"/>
      <c r="K1898" s="92"/>
    </row>
    <row r="1899" ht="12.75" customHeight="1">
      <c r="E1899" s="79"/>
      <c r="F1899" s="80"/>
      <c r="G1899" s="80"/>
      <c r="H1899" s="81"/>
      <c r="I1899" s="80"/>
      <c r="J1899" s="80"/>
      <c r="K1899" s="80"/>
    </row>
    <row r="1900" ht="12.75" customHeight="1">
      <c r="B1900" s="90" t="s">
        <v>3114</v>
      </c>
      <c r="C1900" s="90"/>
      <c r="D1900" s="89" t="s">
        <v>75</v>
      </c>
      <c r="E1900" s="91">
        <v>4.0</v>
      </c>
      <c r="F1900" s="92">
        <v>9.18</v>
      </c>
      <c r="G1900" s="92">
        <v>36.72</v>
      </c>
      <c r="H1900" s="93"/>
      <c r="I1900" s="92"/>
      <c r="J1900" s="92"/>
      <c r="K1900" s="92"/>
    </row>
    <row r="1901" ht="12.75" customHeight="1">
      <c r="E1901" s="79"/>
      <c r="F1901" s="80"/>
      <c r="G1901" s="80"/>
      <c r="H1901" s="81"/>
      <c r="I1901" s="80"/>
      <c r="J1901" s="80"/>
      <c r="K1901" s="80"/>
    </row>
    <row r="1902" ht="12.75" customHeight="1">
      <c r="B1902" s="90" t="s">
        <v>3116</v>
      </c>
      <c r="C1902" s="90"/>
      <c r="D1902" s="89" t="s">
        <v>75</v>
      </c>
      <c r="E1902" s="91">
        <v>22.0</v>
      </c>
      <c r="F1902" s="92">
        <v>9.18</v>
      </c>
      <c r="G1902" s="92">
        <v>201.96</v>
      </c>
      <c r="H1902" s="93"/>
      <c r="I1902" s="92"/>
      <c r="J1902" s="92"/>
      <c r="K1902" s="92"/>
    </row>
    <row r="1903" ht="12.75" customHeight="1">
      <c r="E1903" s="79"/>
      <c r="F1903" s="80"/>
      <c r="G1903" s="80"/>
      <c r="H1903" s="81"/>
      <c r="I1903" s="80"/>
      <c r="J1903" s="80"/>
      <c r="K1903" s="80"/>
    </row>
    <row r="1904" ht="12.75" customHeight="1">
      <c r="B1904" s="90" t="s">
        <v>3118</v>
      </c>
      <c r="C1904" s="90"/>
      <c r="D1904" s="89" t="s">
        <v>75</v>
      </c>
      <c r="E1904" s="91">
        <v>1.0</v>
      </c>
      <c r="F1904" s="92">
        <v>9.18</v>
      </c>
      <c r="G1904" s="92">
        <v>9.18</v>
      </c>
      <c r="H1904" s="93"/>
      <c r="I1904" s="92"/>
      <c r="J1904" s="92"/>
      <c r="K1904" s="92"/>
    </row>
    <row r="1905" ht="12.75" customHeight="1">
      <c r="E1905" s="79"/>
      <c r="F1905" s="80"/>
      <c r="G1905" s="80"/>
      <c r="H1905" s="81"/>
      <c r="I1905" s="80"/>
      <c r="J1905" s="80"/>
      <c r="K1905" s="80"/>
    </row>
    <row r="1906" ht="12.75" customHeight="1">
      <c r="B1906" s="90" t="s">
        <v>3120</v>
      </c>
      <c r="C1906" s="90"/>
      <c r="D1906" s="89" t="s">
        <v>75</v>
      </c>
      <c r="E1906" s="91">
        <v>1.0</v>
      </c>
      <c r="F1906" s="92">
        <v>9.18</v>
      </c>
      <c r="G1906" s="92">
        <v>9.18</v>
      </c>
      <c r="H1906" s="93"/>
      <c r="I1906" s="92"/>
      <c r="J1906" s="92"/>
      <c r="K1906" s="92"/>
    </row>
    <row r="1907" ht="12.75" customHeight="1">
      <c r="E1907" s="79"/>
      <c r="F1907" s="80"/>
      <c r="G1907" s="80"/>
      <c r="H1907" s="81"/>
      <c r="I1907" s="80"/>
      <c r="J1907" s="80"/>
      <c r="K1907" s="80"/>
    </row>
    <row r="1908" ht="12.75" customHeight="1">
      <c r="B1908" s="90" t="s">
        <v>3122</v>
      </c>
      <c r="C1908" s="90"/>
      <c r="D1908" s="89" t="s">
        <v>75</v>
      </c>
      <c r="E1908" s="91">
        <v>1.0</v>
      </c>
      <c r="F1908" s="92">
        <v>9.18</v>
      </c>
      <c r="G1908" s="92">
        <v>9.18</v>
      </c>
      <c r="H1908" s="93"/>
      <c r="I1908" s="92"/>
      <c r="J1908" s="92"/>
      <c r="K1908" s="92"/>
    </row>
    <row r="1909" ht="12.75" customHeight="1">
      <c r="E1909" s="79"/>
      <c r="F1909" s="80"/>
      <c r="G1909" s="80"/>
      <c r="H1909" s="81"/>
      <c r="I1909" s="80"/>
      <c r="J1909" s="80"/>
      <c r="K1909" s="80"/>
    </row>
    <row r="1910" ht="12.75" customHeight="1">
      <c r="B1910" s="90" t="s">
        <v>3124</v>
      </c>
      <c r="C1910" s="90"/>
      <c r="D1910" s="89" t="s">
        <v>75</v>
      </c>
      <c r="E1910" s="91">
        <v>1.0</v>
      </c>
      <c r="F1910" s="92">
        <v>9.18</v>
      </c>
      <c r="G1910" s="92">
        <v>9.18</v>
      </c>
      <c r="H1910" s="93"/>
      <c r="I1910" s="92"/>
      <c r="J1910" s="92"/>
      <c r="K1910" s="92"/>
    </row>
    <row r="1911" ht="12.75" customHeight="1">
      <c r="E1911" s="79"/>
      <c r="F1911" s="80"/>
      <c r="G1911" s="80"/>
      <c r="H1911" s="81"/>
      <c r="I1911" s="80"/>
      <c r="J1911" s="80"/>
      <c r="K1911" s="80"/>
    </row>
    <row r="1912" ht="12.75" customHeight="1">
      <c r="B1912" s="90" t="s">
        <v>3126</v>
      </c>
      <c r="C1912" s="90"/>
      <c r="D1912" s="89" t="s">
        <v>75</v>
      </c>
      <c r="E1912" s="91">
        <v>1.0</v>
      </c>
      <c r="F1912" s="92">
        <v>9.18</v>
      </c>
      <c r="G1912" s="92">
        <v>9.18</v>
      </c>
      <c r="H1912" s="93"/>
      <c r="I1912" s="92"/>
      <c r="J1912" s="92"/>
      <c r="K1912" s="92"/>
    </row>
    <row r="1913" ht="12.75" customHeight="1">
      <c r="E1913" s="79"/>
      <c r="F1913" s="80"/>
      <c r="G1913" s="80"/>
      <c r="H1913" s="81"/>
      <c r="I1913" s="80"/>
      <c r="J1913" s="80"/>
      <c r="K1913" s="80"/>
    </row>
    <row r="1914" ht="12.75" customHeight="1">
      <c r="B1914" s="90" t="s">
        <v>3128</v>
      </c>
      <c r="C1914" s="90"/>
      <c r="D1914" s="89" t="s">
        <v>75</v>
      </c>
      <c r="E1914" s="91">
        <v>1.0</v>
      </c>
      <c r="F1914" s="92">
        <v>9.18</v>
      </c>
      <c r="G1914" s="92">
        <v>9.18</v>
      </c>
      <c r="H1914" s="93"/>
      <c r="I1914" s="92"/>
      <c r="J1914" s="92"/>
      <c r="K1914" s="92"/>
    </row>
    <row r="1915" ht="12.75" customHeight="1">
      <c r="E1915" s="79"/>
      <c r="F1915" s="80"/>
      <c r="G1915" s="80"/>
      <c r="H1915" s="81"/>
      <c r="I1915" s="80"/>
      <c r="J1915" s="80"/>
      <c r="K1915" s="80"/>
    </row>
    <row r="1916" ht="12.75" customHeight="1">
      <c r="B1916" s="90" t="s">
        <v>3130</v>
      </c>
      <c r="C1916" s="90"/>
      <c r="D1916" s="89" t="s">
        <v>1374</v>
      </c>
      <c r="E1916" s="91">
        <v>1.0</v>
      </c>
      <c r="F1916" s="92">
        <v>9.18</v>
      </c>
      <c r="G1916" s="92">
        <v>9.18</v>
      </c>
      <c r="H1916" s="93"/>
      <c r="I1916" s="92"/>
      <c r="J1916" s="92"/>
      <c r="K1916" s="92"/>
    </row>
    <row r="1917" ht="12.75" customHeight="1">
      <c r="E1917" s="79"/>
      <c r="F1917" s="80"/>
      <c r="G1917" s="80"/>
      <c r="H1917" s="81"/>
      <c r="I1917" s="80"/>
      <c r="J1917" s="80"/>
      <c r="K1917" s="80"/>
    </row>
    <row r="1918" ht="12.75" customHeight="1">
      <c r="B1918" s="90" t="s">
        <v>3132</v>
      </c>
      <c r="C1918" s="90"/>
      <c r="D1918" s="89" t="s">
        <v>75</v>
      </c>
      <c r="E1918" s="91">
        <v>1.0</v>
      </c>
      <c r="F1918" s="92">
        <v>9.18</v>
      </c>
      <c r="G1918" s="92">
        <v>9.18</v>
      </c>
      <c r="H1918" s="93"/>
      <c r="I1918" s="92"/>
      <c r="J1918" s="92"/>
      <c r="K1918" s="92"/>
    </row>
    <row r="1919" ht="12.75" customHeight="1">
      <c r="E1919" s="79"/>
      <c r="F1919" s="80"/>
      <c r="G1919" s="80"/>
      <c r="H1919" s="81"/>
      <c r="I1919" s="80"/>
      <c r="J1919" s="80"/>
      <c r="K1919" s="80"/>
    </row>
    <row r="1920" ht="12.75" customHeight="1">
      <c r="B1920" s="90" t="s">
        <v>3134</v>
      </c>
      <c r="C1920" s="90"/>
      <c r="D1920" s="89" t="s">
        <v>75</v>
      </c>
      <c r="E1920" s="91">
        <v>5.0</v>
      </c>
      <c r="F1920" s="92">
        <v>9.18</v>
      </c>
      <c r="G1920" s="92">
        <v>45.9</v>
      </c>
      <c r="H1920" s="93"/>
      <c r="I1920" s="92"/>
      <c r="J1920" s="92"/>
      <c r="K1920" s="92"/>
    </row>
    <row r="1921" ht="12.75" customHeight="1">
      <c r="E1921" s="79"/>
      <c r="F1921" s="80"/>
      <c r="G1921" s="80"/>
      <c r="H1921" s="81"/>
      <c r="I1921" s="80"/>
      <c r="J1921" s="80"/>
      <c r="K1921" s="80"/>
    </row>
    <row r="1922" ht="12.75" customHeight="1">
      <c r="B1922" s="90" t="s">
        <v>3094</v>
      </c>
      <c r="C1922" s="90"/>
      <c r="D1922" s="89" t="s">
        <v>75</v>
      </c>
      <c r="E1922" s="91">
        <v>2.0</v>
      </c>
      <c r="F1922" s="92">
        <v>9.18</v>
      </c>
      <c r="G1922" s="92">
        <v>18.36</v>
      </c>
      <c r="H1922" s="93"/>
      <c r="I1922" s="92"/>
      <c r="J1922" s="92"/>
      <c r="K1922" s="92"/>
    </row>
    <row r="1923" ht="12.75" customHeight="1">
      <c r="E1923" s="79"/>
      <c r="F1923" s="80"/>
      <c r="G1923" s="80"/>
      <c r="H1923" s="81"/>
      <c r="I1923" s="80"/>
      <c r="J1923" s="80"/>
      <c r="K1923" s="80"/>
    </row>
    <row r="1924" ht="12.75" customHeight="1">
      <c r="B1924" s="90" t="s">
        <v>3137</v>
      </c>
      <c r="C1924" s="90"/>
      <c r="D1924" s="89" t="s">
        <v>75</v>
      </c>
      <c r="E1924" s="91">
        <v>1.0</v>
      </c>
      <c r="F1924" s="92">
        <v>9.18</v>
      </c>
      <c r="G1924" s="92">
        <v>9.18</v>
      </c>
      <c r="H1924" s="93"/>
      <c r="I1924" s="92"/>
      <c r="J1924" s="92"/>
      <c r="K1924" s="92"/>
    </row>
    <row r="1925" ht="12.75" customHeight="1">
      <c r="E1925" s="79"/>
      <c r="F1925" s="80"/>
      <c r="G1925" s="80"/>
      <c r="H1925" s="81"/>
      <c r="I1925" s="80"/>
      <c r="J1925" s="80"/>
      <c r="K1925" s="80"/>
    </row>
    <row r="1926" ht="12.75" customHeight="1">
      <c r="B1926" s="90" t="s">
        <v>3139</v>
      </c>
      <c r="C1926" s="90"/>
      <c r="D1926" s="89" t="s">
        <v>75</v>
      </c>
      <c r="E1926" s="91">
        <v>1.0</v>
      </c>
      <c r="F1926" s="92">
        <v>9.18</v>
      </c>
      <c r="G1926" s="92">
        <v>9.18</v>
      </c>
      <c r="H1926" s="93"/>
      <c r="I1926" s="92"/>
      <c r="J1926" s="92"/>
      <c r="K1926" s="92"/>
    </row>
    <row r="1927" ht="12.75" customHeight="1">
      <c r="E1927" s="79"/>
      <c r="F1927" s="80"/>
      <c r="G1927" s="80"/>
      <c r="H1927" s="81"/>
      <c r="I1927" s="80"/>
      <c r="J1927" s="80"/>
      <c r="K1927" s="80"/>
    </row>
    <row r="1928" ht="12.75" customHeight="1">
      <c r="B1928" s="90" t="s">
        <v>3141</v>
      </c>
      <c r="C1928" s="90"/>
      <c r="D1928" s="89" t="s">
        <v>75</v>
      </c>
      <c r="E1928" s="91">
        <v>1.0</v>
      </c>
      <c r="F1928" s="92">
        <v>9.18</v>
      </c>
      <c r="G1928" s="92">
        <v>9.18</v>
      </c>
      <c r="H1928" s="93"/>
      <c r="I1928" s="92"/>
      <c r="J1928" s="92"/>
      <c r="K1928" s="92"/>
    </row>
    <row r="1929" ht="12.75" customHeight="1">
      <c r="E1929" s="79"/>
      <c r="F1929" s="80"/>
      <c r="G1929" s="80"/>
      <c r="H1929" s="81"/>
      <c r="I1929" s="80"/>
      <c r="J1929" s="80"/>
      <c r="K1929" s="80"/>
    </row>
    <row r="1930" ht="12.75" customHeight="1">
      <c r="B1930" s="90" t="s">
        <v>3143</v>
      </c>
      <c r="C1930" s="90"/>
      <c r="D1930" s="89" t="s">
        <v>75</v>
      </c>
      <c r="E1930" s="91">
        <v>1.0</v>
      </c>
      <c r="F1930" s="92">
        <v>9.18</v>
      </c>
      <c r="G1930" s="92">
        <v>9.18</v>
      </c>
      <c r="H1930" s="93"/>
      <c r="I1930" s="92"/>
      <c r="J1930" s="92"/>
      <c r="K1930" s="92"/>
    </row>
    <row r="1931" ht="12.75" customHeight="1">
      <c r="E1931" s="79"/>
      <c r="F1931" s="80"/>
      <c r="G1931" s="80"/>
      <c r="H1931" s="81"/>
      <c r="I1931" s="80"/>
      <c r="J1931" s="80"/>
      <c r="K1931" s="80"/>
    </row>
    <row r="1932" ht="12.75" customHeight="1">
      <c r="B1932" s="90" t="s">
        <v>3145</v>
      </c>
      <c r="C1932" s="90"/>
      <c r="D1932" s="89" t="s">
        <v>75</v>
      </c>
      <c r="E1932" s="91">
        <v>1.0</v>
      </c>
      <c r="F1932" s="92">
        <v>9.18</v>
      </c>
      <c r="G1932" s="92">
        <v>9.18</v>
      </c>
      <c r="H1932" s="93"/>
      <c r="I1932" s="92"/>
      <c r="J1932" s="92"/>
      <c r="K1932" s="92"/>
    </row>
    <row r="1933" ht="12.75" customHeight="1">
      <c r="E1933" s="79"/>
      <c r="F1933" s="80"/>
      <c r="G1933" s="80"/>
      <c r="H1933" s="81"/>
      <c r="I1933" s="80"/>
      <c r="J1933" s="80"/>
      <c r="K1933" s="80"/>
    </row>
    <row r="1934" ht="12.75" customHeight="1">
      <c r="B1934" s="90" t="s">
        <v>3147</v>
      </c>
      <c r="C1934" s="90"/>
      <c r="D1934" s="89" t="s">
        <v>75</v>
      </c>
      <c r="E1934" s="91">
        <v>1.0</v>
      </c>
      <c r="F1934" s="92">
        <v>9.18</v>
      </c>
      <c r="G1934" s="92">
        <v>9.18</v>
      </c>
      <c r="H1934" s="93"/>
      <c r="I1934" s="92"/>
      <c r="J1934" s="92"/>
      <c r="K1934" s="92"/>
    </row>
    <row r="1935" ht="12.75" customHeight="1">
      <c r="E1935" s="79"/>
      <c r="F1935" s="80"/>
      <c r="G1935" s="80"/>
      <c r="H1935" s="81"/>
      <c r="I1935" s="80"/>
      <c r="J1935" s="80"/>
      <c r="K1935" s="80"/>
    </row>
    <row r="1936" ht="12.75" customHeight="1">
      <c r="B1936" s="90" t="s">
        <v>3149</v>
      </c>
      <c r="C1936" s="90"/>
      <c r="D1936" s="89" t="s">
        <v>75</v>
      </c>
      <c r="E1936" s="91">
        <v>1.0</v>
      </c>
      <c r="F1936" s="92">
        <v>9.18</v>
      </c>
      <c r="G1936" s="92">
        <v>9.18</v>
      </c>
      <c r="H1936" s="93"/>
      <c r="I1936" s="92"/>
      <c r="J1936" s="92"/>
      <c r="K1936" s="92"/>
    </row>
    <row r="1937" ht="12.75" customHeight="1">
      <c r="E1937" s="79"/>
      <c r="F1937" s="80"/>
      <c r="G1937" s="80"/>
      <c r="H1937" s="81"/>
      <c r="I1937" s="80"/>
      <c r="J1937" s="80"/>
      <c r="K1937" s="80"/>
    </row>
    <row r="1938" ht="12.75" customHeight="1">
      <c r="B1938" s="90" t="s">
        <v>3151</v>
      </c>
      <c r="C1938" s="90"/>
      <c r="D1938" s="89" t="s">
        <v>75</v>
      </c>
      <c r="E1938" s="91">
        <v>1.0</v>
      </c>
      <c r="F1938" s="92">
        <v>9.18</v>
      </c>
      <c r="G1938" s="92">
        <v>9.18</v>
      </c>
      <c r="H1938" s="93"/>
      <c r="I1938" s="92"/>
      <c r="J1938" s="92"/>
      <c r="K1938" s="92"/>
    </row>
    <row r="1939" ht="12.75" customHeight="1">
      <c r="E1939" s="79"/>
      <c r="F1939" s="80"/>
      <c r="G1939" s="80"/>
      <c r="H1939" s="81"/>
      <c r="I1939" s="80"/>
      <c r="J1939" s="80"/>
      <c r="K1939" s="80"/>
    </row>
    <row r="1940" ht="12.75" customHeight="1">
      <c r="B1940" s="90" t="s">
        <v>3153</v>
      </c>
      <c r="C1940" s="90"/>
      <c r="D1940" s="89" t="s">
        <v>75</v>
      </c>
      <c r="E1940" s="91">
        <v>1.0</v>
      </c>
      <c r="F1940" s="92">
        <v>9.18</v>
      </c>
      <c r="G1940" s="92">
        <v>9.18</v>
      </c>
      <c r="H1940" s="93"/>
      <c r="I1940" s="92"/>
      <c r="J1940" s="92"/>
      <c r="K1940" s="92"/>
    </row>
    <row r="1941" ht="12.75" customHeight="1">
      <c r="E1941" s="79"/>
      <c r="F1941" s="80"/>
      <c r="G1941" s="80"/>
      <c r="H1941" s="81"/>
      <c r="I1941" s="80"/>
      <c r="J1941" s="80"/>
      <c r="K1941" s="80"/>
    </row>
    <row r="1942" ht="12.75" customHeight="1">
      <c r="B1942" s="90" t="s">
        <v>3155</v>
      </c>
      <c r="C1942" s="90"/>
      <c r="D1942" s="89" t="s">
        <v>75</v>
      </c>
      <c r="E1942" s="91">
        <v>1.0</v>
      </c>
      <c r="F1942" s="92">
        <v>9.18</v>
      </c>
      <c r="G1942" s="92">
        <v>9.18</v>
      </c>
      <c r="H1942" s="93"/>
      <c r="I1942" s="92"/>
      <c r="J1942" s="92"/>
      <c r="K1942" s="92"/>
    </row>
    <row r="1943" ht="12.75" customHeight="1">
      <c r="E1943" s="79"/>
      <c r="F1943" s="80"/>
      <c r="G1943" s="80"/>
      <c r="H1943" s="81"/>
      <c r="I1943" s="80"/>
      <c r="J1943" s="80"/>
      <c r="K1943" s="80"/>
    </row>
    <row r="1944" ht="12.75" customHeight="1">
      <c r="B1944" s="90" t="s">
        <v>3157</v>
      </c>
      <c r="C1944" s="90"/>
      <c r="D1944" s="89" t="s">
        <v>75</v>
      </c>
      <c r="E1944" s="91">
        <v>1.0</v>
      </c>
      <c r="F1944" s="92">
        <v>9.18</v>
      </c>
      <c r="G1944" s="92">
        <v>9.18</v>
      </c>
      <c r="H1944" s="93"/>
      <c r="I1944" s="92"/>
      <c r="J1944" s="92"/>
      <c r="K1944" s="92"/>
    </row>
    <row r="1945" ht="12.75" customHeight="1">
      <c r="E1945" s="79"/>
      <c r="F1945" s="80"/>
      <c r="G1945" s="80"/>
      <c r="H1945" s="81"/>
      <c r="I1945" s="80"/>
      <c r="J1945" s="80"/>
      <c r="K1945" s="80"/>
    </row>
    <row r="1946" ht="12.75" customHeight="1">
      <c r="B1946" s="90" t="s">
        <v>3159</v>
      </c>
      <c r="C1946" s="90"/>
      <c r="D1946" s="89" t="s">
        <v>75</v>
      </c>
      <c r="E1946" s="91">
        <v>1.0</v>
      </c>
      <c r="F1946" s="92">
        <v>9.18</v>
      </c>
      <c r="G1946" s="92">
        <v>9.18</v>
      </c>
      <c r="H1946" s="93"/>
      <c r="I1946" s="92"/>
      <c r="J1946" s="92"/>
      <c r="K1946" s="92"/>
    </row>
    <row r="1947" ht="12.75" customHeight="1">
      <c r="E1947" s="79"/>
      <c r="F1947" s="80"/>
      <c r="G1947" s="80"/>
      <c r="H1947" s="81"/>
      <c r="I1947" s="80"/>
      <c r="J1947" s="80"/>
      <c r="K1947" s="80"/>
    </row>
    <row r="1948" ht="12.75" customHeight="1">
      <c r="B1948" s="90" t="s">
        <v>4363</v>
      </c>
      <c r="C1948" s="90"/>
      <c r="D1948" s="89" t="s">
        <v>75</v>
      </c>
      <c r="E1948" s="91">
        <v>6.0</v>
      </c>
      <c r="F1948" s="92">
        <v>2.12</v>
      </c>
      <c r="G1948" s="92">
        <v>12.72</v>
      </c>
      <c r="H1948" s="93"/>
      <c r="I1948" s="92"/>
      <c r="J1948" s="92"/>
      <c r="K1948" s="92"/>
    </row>
    <row r="1949" ht="12.75" customHeight="1">
      <c r="E1949" s="79"/>
      <c r="F1949" s="80"/>
      <c r="G1949" s="80"/>
      <c r="H1949" s="81"/>
      <c r="I1949" s="80"/>
      <c r="J1949" s="80"/>
      <c r="K1949" s="80"/>
    </row>
    <row r="1950" ht="12.75" customHeight="1">
      <c r="B1950" s="90" t="s">
        <v>4370</v>
      </c>
      <c r="C1950" s="90"/>
      <c r="D1950" s="89" t="s">
        <v>75</v>
      </c>
      <c r="E1950" s="91">
        <v>8.0</v>
      </c>
      <c r="F1950" s="92">
        <v>49.14</v>
      </c>
      <c r="G1950" s="92">
        <v>393.12</v>
      </c>
      <c r="H1950" s="93"/>
      <c r="I1950" s="92"/>
      <c r="J1950" s="92"/>
      <c r="K1950" s="92"/>
    </row>
    <row r="1951" ht="12.75" customHeight="1">
      <c r="E1951" s="79"/>
      <c r="F1951" s="80"/>
      <c r="G1951" s="80"/>
      <c r="H1951" s="81"/>
      <c r="I1951" s="80"/>
      <c r="J1951" s="80"/>
      <c r="K1951" s="80"/>
    </row>
    <row r="1952" ht="12.75" customHeight="1">
      <c r="B1952" s="90" t="s">
        <v>4362</v>
      </c>
      <c r="C1952" s="90"/>
      <c r="D1952" s="89" t="s">
        <v>75</v>
      </c>
      <c r="E1952" s="91">
        <v>1.0</v>
      </c>
      <c r="F1952" s="92">
        <v>9.18</v>
      </c>
      <c r="G1952" s="92">
        <v>9.18</v>
      </c>
      <c r="H1952" s="93"/>
      <c r="I1952" s="92"/>
      <c r="J1952" s="92"/>
      <c r="K1952" s="92"/>
    </row>
    <row r="1953" ht="12.75" customHeight="1">
      <c r="E1953" s="79"/>
      <c r="F1953" s="80"/>
      <c r="G1953" s="80"/>
      <c r="H1953" s="81"/>
      <c r="I1953" s="80"/>
      <c r="J1953" s="80"/>
      <c r="K1953" s="80"/>
    </row>
    <row r="1954" ht="12.75" customHeight="1">
      <c r="B1954" s="90" t="s">
        <v>4369</v>
      </c>
      <c r="C1954" s="90"/>
      <c r="D1954" s="89" t="s">
        <v>75</v>
      </c>
      <c r="E1954" s="91">
        <v>2.0</v>
      </c>
      <c r="F1954" s="92">
        <v>107.0</v>
      </c>
      <c r="G1954" s="92">
        <v>214.0</v>
      </c>
      <c r="H1954" s="93"/>
      <c r="I1954" s="92"/>
      <c r="J1954" s="92"/>
      <c r="K1954" s="92"/>
    </row>
    <row r="1955" ht="12.75" customHeight="1">
      <c r="E1955" s="79"/>
      <c r="F1955" s="80"/>
      <c r="G1955" s="80"/>
      <c r="H1955" s="81"/>
      <c r="I1955" s="80"/>
      <c r="J1955" s="80"/>
      <c r="K1955" s="80"/>
    </row>
    <row r="1956" ht="12.75" customHeight="1">
      <c r="B1956" s="90" t="s">
        <v>4367</v>
      </c>
      <c r="C1956" s="90"/>
      <c r="D1956" s="89" t="s">
        <v>75</v>
      </c>
      <c r="E1956" s="91">
        <v>1.0</v>
      </c>
      <c r="F1956" s="92">
        <v>69.67</v>
      </c>
      <c r="G1956" s="92">
        <v>69.67</v>
      </c>
      <c r="H1956" s="93"/>
      <c r="I1956" s="92"/>
      <c r="J1956" s="92"/>
      <c r="K1956" s="92"/>
    </row>
    <row r="1957" ht="12.75" customHeight="1">
      <c r="E1957" s="79"/>
      <c r="F1957" s="80"/>
      <c r="G1957" s="80"/>
      <c r="H1957" s="81"/>
      <c r="I1957" s="80"/>
      <c r="J1957" s="80"/>
      <c r="K1957" s="80"/>
    </row>
    <row r="1958" ht="12.75" customHeight="1">
      <c r="B1958" s="90" t="s">
        <v>3167</v>
      </c>
      <c r="C1958" s="90"/>
      <c r="E1958" s="79"/>
      <c r="F1958" s="80"/>
      <c r="G1958" s="80"/>
      <c r="H1958" s="81"/>
      <c r="I1958" s="80"/>
      <c r="J1958" s="80"/>
      <c r="K1958" s="80"/>
    </row>
    <row r="1959" ht="12.75" customHeight="1">
      <c r="E1959" s="79"/>
      <c r="F1959" s="80"/>
      <c r="G1959" s="80"/>
      <c r="H1959" s="81"/>
      <c r="I1959" s="80"/>
      <c r="J1959" s="80"/>
      <c r="K1959" s="80"/>
    </row>
    <row r="1960" ht="12.75" customHeight="1">
      <c r="B1960" s="90" t="s">
        <v>4371</v>
      </c>
      <c r="C1960" s="90"/>
      <c r="D1960" s="89" t="s">
        <v>75</v>
      </c>
      <c r="E1960" s="91">
        <v>51.0</v>
      </c>
      <c r="F1960" s="92">
        <v>9.18</v>
      </c>
      <c r="G1960" s="92">
        <v>468.18</v>
      </c>
      <c r="H1960" s="93"/>
      <c r="I1960" s="92"/>
      <c r="J1960" s="92"/>
      <c r="K1960" s="92"/>
    </row>
    <row r="1961" ht="12.75" customHeight="1">
      <c r="E1961" s="79"/>
      <c r="F1961" s="80"/>
      <c r="G1961" s="80"/>
      <c r="H1961" s="81"/>
      <c r="I1961" s="80"/>
      <c r="J1961" s="80"/>
      <c r="K1961" s="80"/>
    </row>
    <row r="1962" ht="12.75" customHeight="1">
      <c r="B1962" s="90" t="s">
        <v>4364</v>
      </c>
      <c r="C1962" s="90"/>
      <c r="D1962" s="89" t="s">
        <v>75</v>
      </c>
      <c r="E1962" s="91">
        <v>6.0</v>
      </c>
      <c r="F1962" s="92">
        <v>9.18</v>
      </c>
      <c r="G1962" s="92">
        <v>55.08</v>
      </c>
      <c r="H1962" s="93"/>
      <c r="I1962" s="92"/>
      <c r="J1962" s="92"/>
      <c r="K1962" s="92"/>
    </row>
    <row r="1963" ht="12.75" customHeight="1">
      <c r="E1963" s="79"/>
      <c r="F1963" s="80"/>
      <c r="G1963" s="80"/>
      <c r="H1963" s="81"/>
      <c r="I1963" s="80"/>
      <c r="J1963" s="80"/>
      <c r="K1963" s="80"/>
    </row>
    <row r="1964" ht="12.75" customHeight="1">
      <c r="B1964" s="90" t="s">
        <v>3084</v>
      </c>
      <c r="C1964" s="90"/>
      <c r="D1964" s="89" t="s">
        <v>75</v>
      </c>
      <c r="E1964" s="91">
        <v>11.0</v>
      </c>
      <c r="F1964" s="92">
        <v>9.18</v>
      </c>
      <c r="G1964" s="92">
        <v>100.98</v>
      </c>
      <c r="H1964" s="93"/>
      <c r="I1964" s="92"/>
      <c r="J1964" s="92"/>
      <c r="K1964" s="92"/>
    </row>
    <row r="1965" ht="12.75" customHeight="1">
      <c r="E1965" s="79"/>
      <c r="F1965" s="80"/>
      <c r="G1965" s="80"/>
      <c r="H1965" s="81"/>
      <c r="I1965" s="80"/>
      <c r="J1965" s="80"/>
      <c r="K1965" s="80"/>
    </row>
    <row r="1966" ht="12.75" customHeight="1">
      <c r="B1966" s="90" t="s">
        <v>3082</v>
      </c>
      <c r="C1966" s="90"/>
      <c r="D1966" s="89" t="s">
        <v>1374</v>
      </c>
      <c r="E1966" s="91">
        <v>4.0</v>
      </c>
      <c r="F1966" s="92">
        <v>9.18</v>
      </c>
      <c r="G1966" s="92">
        <v>36.72</v>
      </c>
      <c r="H1966" s="93"/>
      <c r="I1966" s="92"/>
      <c r="J1966" s="92"/>
      <c r="K1966" s="92"/>
    </row>
    <row r="1967" ht="12.75" customHeight="1">
      <c r="E1967" s="79"/>
      <c r="F1967" s="80"/>
      <c r="G1967" s="80"/>
      <c r="H1967" s="81"/>
      <c r="I1967" s="80"/>
      <c r="J1967" s="80"/>
      <c r="K1967" s="80"/>
    </row>
    <row r="1968" ht="12.75" customHeight="1">
      <c r="B1968" s="90" t="s">
        <v>3174</v>
      </c>
      <c r="C1968" s="90"/>
      <c r="D1968" s="89" t="s">
        <v>75</v>
      </c>
      <c r="E1968" s="91">
        <v>1.0</v>
      </c>
      <c r="F1968" s="92">
        <v>9.18</v>
      </c>
      <c r="G1968" s="92">
        <v>9.18</v>
      </c>
      <c r="H1968" s="93"/>
      <c r="I1968" s="92"/>
      <c r="J1968" s="92"/>
      <c r="K1968" s="92"/>
    </row>
    <row r="1969" ht="12.75" customHeight="1">
      <c r="E1969" s="79"/>
      <c r="F1969" s="80"/>
      <c r="G1969" s="80"/>
      <c r="H1969" s="81"/>
      <c r="I1969" s="80"/>
      <c r="J1969" s="80"/>
      <c r="K1969" s="80"/>
    </row>
    <row r="1970" ht="12.75" customHeight="1">
      <c r="B1970" s="90" t="s">
        <v>3074</v>
      </c>
      <c r="C1970" s="90"/>
      <c r="D1970" s="89" t="s">
        <v>75</v>
      </c>
      <c r="E1970" s="91">
        <v>9.0</v>
      </c>
      <c r="F1970" s="92">
        <v>9.18</v>
      </c>
      <c r="G1970" s="92">
        <v>82.62</v>
      </c>
      <c r="H1970" s="93"/>
      <c r="I1970" s="92"/>
      <c r="J1970" s="92"/>
      <c r="K1970" s="92"/>
    </row>
    <row r="1971" ht="12.75" customHeight="1">
      <c r="E1971" s="79"/>
      <c r="F1971" s="80"/>
      <c r="G1971" s="80"/>
      <c r="H1971" s="81"/>
      <c r="I1971" s="80"/>
      <c r="J1971" s="80"/>
      <c r="K1971" s="80"/>
    </row>
    <row r="1972" ht="12.75" customHeight="1">
      <c r="B1972" s="90" t="s">
        <v>3116</v>
      </c>
      <c r="C1972" s="90"/>
      <c r="D1972" s="89" t="s">
        <v>75</v>
      </c>
      <c r="E1972" s="91">
        <v>4.0</v>
      </c>
      <c r="F1972" s="92">
        <v>9.18</v>
      </c>
      <c r="G1972" s="92">
        <v>36.72</v>
      </c>
      <c r="H1972" s="93"/>
      <c r="I1972" s="92"/>
      <c r="J1972" s="92"/>
      <c r="K1972" s="92"/>
    </row>
    <row r="1973" ht="12.75" customHeight="1">
      <c r="E1973" s="79"/>
      <c r="F1973" s="80"/>
      <c r="G1973" s="80"/>
      <c r="H1973" s="81"/>
      <c r="I1973" s="80"/>
      <c r="J1973" s="80"/>
      <c r="K1973" s="80"/>
    </row>
    <row r="1974" ht="12.75" customHeight="1">
      <c r="B1974" s="90" t="s">
        <v>3114</v>
      </c>
      <c r="C1974" s="90"/>
      <c r="D1974" s="89" t="s">
        <v>75</v>
      </c>
      <c r="E1974" s="91">
        <v>4.0</v>
      </c>
      <c r="F1974" s="92">
        <v>9.18</v>
      </c>
      <c r="G1974" s="92">
        <v>36.72</v>
      </c>
      <c r="H1974" s="93"/>
      <c r="I1974" s="92"/>
      <c r="J1974" s="92"/>
      <c r="K1974" s="92"/>
    </row>
    <row r="1975" ht="12.75" customHeight="1">
      <c r="E1975" s="79"/>
      <c r="F1975" s="80"/>
      <c r="G1975" s="80"/>
      <c r="H1975" s="81"/>
      <c r="I1975" s="80"/>
      <c r="J1975" s="80"/>
      <c r="K1975" s="80"/>
    </row>
    <row r="1976" ht="12.75" customHeight="1">
      <c r="B1976" s="90" t="s">
        <v>4363</v>
      </c>
      <c r="C1976" s="90"/>
      <c r="D1976" s="89" t="s">
        <v>75</v>
      </c>
      <c r="E1976" s="91">
        <v>4.0</v>
      </c>
      <c r="F1976" s="92">
        <v>2.12</v>
      </c>
      <c r="G1976" s="92">
        <v>8.48</v>
      </c>
      <c r="H1976" s="93"/>
      <c r="I1976" s="92"/>
      <c r="J1976" s="92"/>
      <c r="K1976" s="92"/>
    </row>
    <row r="1977" ht="12.75" customHeight="1">
      <c r="E1977" s="79"/>
      <c r="F1977" s="80"/>
      <c r="G1977" s="80"/>
      <c r="H1977" s="81"/>
      <c r="I1977" s="80"/>
      <c r="J1977" s="80"/>
      <c r="K1977" s="80"/>
    </row>
    <row r="1978" ht="12.75" customHeight="1">
      <c r="B1978" s="90" t="s">
        <v>3180</v>
      </c>
      <c r="C1978" s="90"/>
      <c r="D1978" s="89" t="s">
        <v>75</v>
      </c>
      <c r="E1978" s="91">
        <v>1.0</v>
      </c>
      <c r="F1978" s="92">
        <v>9.18</v>
      </c>
      <c r="G1978" s="92">
        <v>9.18</v>
      </c>
      <c r="H1978" s="93"/>
      <c r="I1978" s="92"/>
      <c r="J1978" s="92"/>
      <c r="K1978" s="92"/>
    </row>
    <row r="1979" ht="12.75" customHeight="1">
      <c r="E1979" s="79"/>
      <c r="F1979" s="80"/>
      <c r="G1979" s="80"/>
      <c r="H1979" s="81"/>
      <c r="I1979" s="80"/>
      <c r="J1979" s="80"/>
      <c r="K1979" s="80"/>
    </row>
    <row r="1980" ht="12.75" customHeight="1">
      <c r="B1980" s="90" t="s">
        <v>3182</v>
      </c>
      <c r="C1980" s="90"/>
      <c r="D1980" s="89" t="s">
        <v>75</v>
      </c>
      <c r="E1980" s="91">
        <v>1.0</v>
      </c>
      <c r="F1980" s="92">
        <v>9.18</v>
      </c>
      <c r="G1980" s="92">
        <v>9.18</v>
      </c>
      <c r="H1980" s="93"/>
      <c r="I1980" s="92"/>
      <c r="J1980" s="92"/>
      <c r="K1980" s="92"/>
    </row>
    <row r="1981" ht="12.75" customHeight="1">
      <c r="E1981" s="79"/>
      <c r="F1981" s="80"/>
      <c r="G1981" s="80"/>
      <c r="H1981" s="81"/>
      <c r="I1981" s="80"/>
      <c r="J1981" s="80"/>
      <c r="K1981" s="80"/>
    </row>
    <row r="1982" ht="12.75" customHeight="1">
      <c r="B1982" s="90" t="s">
        <v>3184</v>
      </c>
      <c r="C1982" s="90"/>
      <c r="D1982" s="89" t="s">
        <v>75</v>
      </c>
      <c r="E1982" s="91">
        <v>1.0</v>
      </c>
      <c r="F1982" s="92">
        <v>9.18</v>
      </c>
      <c r="G1982" s="92">
        <v>9.18</v>
      </c>
      <c r="H1982" s="93"/>
      <c r="I1982" s="92"/>
      <c r="J1982" s="92"/>
      <c r="K1982" s="92"/>
    </row>
    <row r="1983" ht="12.75" customHeight="1">
      <c r="E1983" s="79"/>
      <c r="F1983" s="80"/>
      <c r="G1983" s="80"/>
      <c r="H1983" s="81"/>
      <c r="I1983" s="80"/>
      <c r="J1983" s="80"/>
      <c r="K1983" s="80"/>
    </row>
    <row r="1984" ht="12.75" customHeight="1">
      <c r="B1984" s="90" t="s">
        <v>3186</v>
      </c>
      <c r="C1984" s="90"/>
      <c r="D1984" s="89" t="s">
        <v>75</v>
      </c>
      <c r="E1984" s="91">
        <v>1.0</v>
      </c>
      <c r="F1984" s="92">
        <v>9.18</v>
      </c>
      <c r="G1984" s="92">
        <v>9.18</v>
      </c>
      <c r="H1984" s="93"/>
      <c r="I1984" s="92"/>
      <c r="J1984" s="92"/>
      <c r="K1984" s="92"/>
    </row>
    <row r="1985" ht="12.75" customHeight="1">
      <c r="E1985" s="79"/>
      <c r="F1985" s="80"/>
      <c r="G1985" s="80"/>
      <c r="H1985" s="81"/>
      <c r="I1985" s="80"/>
      <c r="J1985" s="80"/>
      <c r="K1985" s="80"/>
    </row>
    <row r="1986" ht="12.75" customHeight="1">
      <c r="B1986" s="90" t="s">
        <v>3188</v>
      </c>
      <c r="C1986" s="90"/>
      <c r="D1986" s="89" t="s">
        <v>75</v>
      </c>
      <c r="E1986" s="91">
        <v>1.0</v>
      </c>
      <c r="F1986" s="92">
        <v>9.18</v>
      </c>
      <c r="G1986" s="92">
        <v>9.18</v>
      </c>
      <c r="H1986" s="93"/>
      <c r="I1986" s="92"/>
      <c r="J1986" s="92"/>
      <c r="K1986" s="92"/>
    </row>
    <row r="1987" ht="12.75" customHeight="1">
      <c r="E1987" s="79"/>
      <c r="F1987" s="80"/>
      <c r="G1987" s="80"/>
      <c r="H1987" s="81"/>
      <c r="I1987" s="80"/>
      <c r="J1987" s="80"/>
      <c r="K1987" s="80"/>
    </row>
    <row r="1988" ht="12.75" customHeight="1">
      <c r="B1988" s="90" t="s">
        <v>3190</v>
      </c>
      <c r="C1988" s="90"/>
      <c r="D1988" s="89" t="s">
        <v>75</v>
      </c>
      <c r="E1988" s="91">
        <v>1.0</v>
      </c>
      <c r="F1988" s="92">
        <v>9.18</v>
      </c>
      <c r="G1988" s="92">
        <v>9.18</v>
      </c>
      <c r="H1988" s="93"/>
      <c r="I1988" s="92"/>
      <c r="J1988" s="92"/>
      <c r="K1988" s="92"/>
    </row>
    <row r="1989" ht="12.75" customHeight="1">
      <c r="E1989" s="79"/>
      <c r="F1989" s="80"/>
      <c r="G1989" s="80"/>
      <c r="H1989" s="81"/>
      <c r="I1989" s="80"/>
      <c r="J1989" s="80"/>
      <c r="K1989" s="80"/>
    </row>
    <row r="1990" ht="12.75" customHeight="1">
      <c r="B1990" s="90" t="s">
        <v>3192</v>
      </c>
      <c r="C1990" s="90"/>
      <c r="D1990" s="89" t="s">
        <v>75</v>
      </c>
      <c r="E1990" s="91">
        <v>1.0</v>
      </c>
      <c r="F1990" s="92">
        <v>9.18</v>
      </c>
      <c r="G1990" s="92">
        <v>9.18</v>
      </c>
      <c r="H1990" s="93"/>
      <c r="I1990" s="92"/>
      <c r="J1990" s="92"/>
      <c r="K1990" s="92"/>
    </row>
    <row r="1991" ht="12.75" customHeight="1">
      <c r="E1991" s="79"/>
      <c r="F1991" s="80"/>
      <c r="G1991" s="80"/>
      <c r="H1991" s="81"/>
      <c r="I1991" s="80"/>
      <c r="J1991" s="80"/>
      <c r="K1991" s="80"/>
    </row>
    <row r="1992" ht="12.75" customHeight="1">
      <c r="B1992" s="90" t="s">
        <v>3194</v>
      </c>
      <c r="C1992" s="90"/>
      <c r="D1992" s="89" t="s">
        <v>75</v>
      </c>
      <c r="E1992" s="91">
        <v>1.0</v>
      </c>
      <c r="F1992" s="92">
        <v>9.18</v>
      </c>
      <c r="G1992" s="92">
        <v>9.18</v>
      </c>
      <c r="H1992" s="93"/>
      <c r="I1992" s="92"/>
      <c r="J1992" s="92"/>
      <c r="K1992" s="92"/>
    </row>
    <row r="1993" ht="12.75" customHeight="1">
      <c r="E1993" s="79"/>
      <c r="F1993" s="80"/>
      <c r="G1993" s="80"/>
      <c r="H1993" s="81"/>
      <c r="I1993" s="80"/>
      <c r="J1993" s="80"/>
      <c r="K1993" s="80"/>
    </row>
    <row r="1994" ht="12.75" customHeight="1">
      <c r="B1994" s="90" t="s">
        <v>3196</v>
      </c>
      <c r="C1994" s="90"/>
      <c r="D1994" s="89" t="s">
        <v>1374</v>
      </c>
      <c r="E1994" s="91">
        <v>1.0</v>
      </c>
      <c r="F1994" s="92">
        <v>9.18</v>
      </c>
      <c r="G1994" s="92">
        <v>9.18</v>
      </c>
      <c r="H1994" s="93"/>
      <c r="I1994" s="92"/>
      <c r="J1994" s="92"/>
      <c r="K1994" s="92"/>
    </row>
    <row r="1995" ht="12.75" customHeight="1">
      <c r="E1995" s="79"/>
      <c r="F1995" s="80"/>
      <c r="G1995" s="80"/>
      <c r="H1995" s="81"/>
      <c r="I1995" s="80"/>
      <c r="J1995" s="80"/>
      <c r="K1995" s="80"/>
    </row>
    <row r="1996" ht="12.75" customHeight="1">
      <c r="B1996" s="90" t="s">
        <v>3130</v>
      </c>
      <c r="C1996" s="90"/>
      <c r="D1996" s="89" t="s">
        <v>1374</v>
      </c>
      <c r="E1996" s="91">
        <v>1.0</v>
      </c>
      <c r="F1996" s="92">
        <v>9.18</v>
      </c>
      <c r="G1996" s="92">
        <v>9.18</v>
      </c>
      <c r="H1996" s="93"/>
      <c r="I1996" s="92"/>
      <c r="J1996" s="92"/>
      <c r="K1996" s="92"/>
    </row>
    <row r="1997" ht="12.75" customHeight="1">
      <c r="E1997" s="79"/>
      <c r="F1997" s="80"/>
      <c r="G1997" s="80"/>
      <c r="H1997" s="81"/>
      <c r="I1997" s="80"/>
      <c r="J1997" s="80"/>
      <c r="K1997" s="80"/>
    </row>
    <row r="1998" ht="12.75" customHeight="1">
      <c r="B1998" s="90" t="s">
        <v>3199</v>
      </c>
      <c r="C1998" s="90"/>
      <c r="D1998" s="89" t="s">
        <v>75</v>
      </c>
      <c r="E1998" s="91">
        <v>1.0</v>
      </c>
      <c r="F1998" s="92">
        <v>9.18</v>
      </c>
      <c r="G1998" s="92">
        <v>9.18</v>
      </c>
      <c r="H1998" s="93"/>
      <c r="I1998" s="92"/>
      <c r="J1998" s="92"/>
      <c r="K1998" s="92"/>
    </row>
    <row r="1999" ht="12.75" customHeight="1">
      <c r="E1999" s="79"/>
      <c r="F1999" s="80"/>
      <c r="G1999" s="80"/>
      <c r="H1999" s="81"/>
      <c r="I1999" s="80"/>
      <c r="J1999" s="80"/>
      <c r="K1999" s="80"/>
    </row>
    <row r="2000" ht="12.75" customHeight="1">
      <c r="B2000" s="90" t="s">
        <v>4369</v>
      </c>
      <c r="C2000" s="90"/>
      <c r="D2000" s="89" t="s">
        <v>75</v>
      </c>
      <c r="E2000" s="91">
        <v>14.0</v>
      </c>
      <c r="F2000" s="92">
        <v>107.0</v>
      </c>
      <c r="G2000" s="92">
        <v>1498.0</v>
      </c>
      <c r="H2000" s="93"/>
      <c r="I2000" s="92"/>
      <c r="J2000" s="92"/>
      <c r="K2000" s="92"/>
    </row>
    <row r="2001" ht="12.75" customHeight="1">
      <c r="E2001" s="79"/>
      <c r="F2001" s="80"/>
      <c r="G2001" s="80"/>
      <c r="H2001" s="81"/>
      <c r="I2001" s="80"/>
      <c r="J2001" s="80"/>
      <c r="K2001" s="80"/>
    </row>
    <row r="2002" ht="12.75" customHeight="1">
      <c r="B2002" s="90" t="s">
        <v>4372</v>
      </c>
      <c r="C2002" s="90"/>
      <c r="D2002" s="89" t="s">
        <v>75</v>
      </c>
      <c r="E2002" s="91">
        <v>3.0</v>
      </c>
      <c r="F2002" s="92">
        <v>49.14</v>
      </c>
      <c r="G2002" s="92">
        <v>147.42</v>
      </c>
      <c r="H2002" s="93"/>
      <c r="I2002" s="92"/>
      <c r="J2002" s="92"/>
      <c r="K2002" s="92"/>
    </row>
    <row r="2003" ht="12.75" customHeight="1">
      <c r="E2003" s="79"/>
      <c r="F2003" s="80"/>
      <c r="G2003" s="80"/>
      <c r="H2003" s="81"/>
      <c r="I2003" s="80"/>
      <c r="J2003" s="80"/>
      <c r="K2003" s="80"/>
    </row>
    <row r="2004" ht="12.75" customHeight="1">
      <c r="B2004" s="90" t="s">
        <v>4373</v>
      </c>
      <c r="C2004" s="90"/>
      <c r="D2004" s="89" t="s">
        <v>33</v>
      </c>
      <c r="E2004" s="91">
        <v>1.0</v>
      </c>
      <c r="F2004" s="92">
        <v>19571.21</v>
      </c>
      <c r="G2004" s="92">
        <v>19571.21</v>
      </c>
      <c r="H2004" s="93"/>
      <c r="I2004" s="92"/>
      <c r="J2004" s="92"/>
      <c r="K2004" s="92"/>
    </row>
    <row r="2005" ht="12.75" customHeight="1">
      <c r="E2005" s="79"/>
      <c r="F2005" s="80"/>
      <c r="G2005" s="80"/>
      <c r="H2005" s="81"/>
      <c r="I2005" s="80"/>
      <c r="J2005" s="80"/>
      <c r="K2005" s="80"/>
    </row>
    <row r="2006" ht="12.75" customHeight="1">
      <c r="B2006" s="90" t="s">
        <v>4374</v>
      </c>
      <c r="C2006" s="90"/>
      <c r="D2006" s="89" t="s">
        <v>33</v>
      </c>
      <c r="E2006" s="91">
        <v>1.0</v>
      </c>
      <c r="F2006" s="80"/>
      <c r="G2006" s="135" t="s">
        <v>1428</v>
      </c>
      <c r="H2006" s="159"/>
      <c r="I2006" s="135"/>
      <c r="J2006" s="135"/>
      <c r="K2006" s="135"/>
    </row>
    <row r="2007" ht="12.75" customHeight="1">
      <c r="E2007" s="79"/>
      <c r="F2007" s="80"/>
      <c r="G2007" s="80"/>
      <c r="H2007" s="81"/>
      <c r="I2007" s="80"/>
      <c r="J2007" s="80"/>
      <c r="K2007" s="80"/>
    </row>
    <row r="2008" ht="12.75" customHeight="1">
      <c r="A2008" s="89" t="s">
        <v>1429</v>
      </c>
      <c r="B2008" s="90" t="s">
        <v>2884</v>
      </c>
      <c r="C2008" s="90"/>
      <c r="E2008" s="79"/>
      <c r="F2008" s="80"/>
      <c r="G2008" s="80"/>
      <c r="H2008" s="81"/>
      <c r="I2008" s="80"/>
      <c r="J2008" s="80"/>
      <c r="K2008" s="80"/>
    </row>
    <row r="2009" ht="12.75" customHeight="1">
      <c r="E2009" s="79"/>
      <c r="F2009" s="80"/>
      <c r="G2009" s="80"/>
      <c r="H2009" s="81"/>
      <c r="I2009" s="80"/>
      <c r="J2009" s="80"/>
      <c r="K2009" s="80"/>
    </row>
    <row r="2010" ht="12.75" customHeight="1">
      <c r="B2010" s="90" t="s">
        <v>4224</v>
      </c>
      <c r="C2010" s="90"/>
      <c r="D2010" s="89" t="s">
        <v>33</v>
      </c>
      <c r="E2010" s="91">
        <v>1.0</v>
      </c>
      <c r="F2010" s="92">
        <v>338.79</v>
      </c>
      <c r="G2010" s="92">
        <v>338.79</v>
      </c>
      <c r="H2010" s="93"/>
      <c r="I2010" s="92"/>
      <c r="J2010" s="92"/>
      <c r="K2010" s="92"/>
    </row>
    <row r="2011" ht="12.75" customHeight="1">
      <c r="E2011" s="79"/>
      <c r="F2011" s="80"/>
      <c r="G2011" s="80"/>
      <c r="H2011" s="81"/>
      <c r="I2011" s="80"/>
      <c r="J2011" s="80"/>
      <c r="K2011" s="80"/>
    </row>
    <row r="2012" ht="12.75" customHeight="1">
      <c r="B2012" s="90" t="s">
        <v>4375</v>
      </c>
      <c r="C2012" s="90"/>
      <c r="D2012" s="89" t="s">
        <v>33</v>
      </c>
      <c r="E2012" s="91">
        <v>1.0</v>
      </c>
      <c r="F2012" s="92">
        <v>499.78</v>
      </c>
      <c r="G2012" s="92">
        <v>499.78</v>
      </c>
      <c r="H2012" s="93"/>
      <c r="I2012" s="92"/>
      <c r="J2012" s="92"/>
      <c r="K2012" s="92"/>
    </row>
    <row r="2013" ht="12.75" customHeight="1">
      <c r="E2013" s="79"/>
      <c r="F2013" s="80"/>
      <c r="G2013" s="80"/>
      <c r="H2013" s="81"/>
      <c r="I2013" s="80"/>
      <c r="J2013" s="80"/>
      <c r="K2013" s="80"/>
    </row>
    <row r="2014" ht="12.75" customHeight="1">
      <c r="A2014" s="89" t="s">
        <v>1432</v>
      </c>
      <c r="B2014" s="90" t="s">
        <v>4376</v>
      </c>
      <c r="C2014" s="90"/>
      <c r="E2014" s="79"/>
      <c r="F2014" s="80"/>
      <c r="G2014" s="80"/>
      <c r="H2014" s="81"/>
      <c r="I2014" s="80"/>
      <c r="J2014" s="80"/>
      <c r="K2014" s="80"/>
    </row>
    <row r="2015" ht="12.75" customHeight="1">
      <c r="E2015" s="79"/>
      <c r="F2015" s="80"/>
      <c r="G2015" s="80"/>
      <c r="H2015" s="81"/>
      <c r="I2015" s="80"/>
      <c r="J2015" s="80"/>
      <c r="K2015" s="80"/>
    </row>
    <row r="2016" ht="12.75" customHeight="1">
      <c r="A2016" s="160"/>
      <c r="B2016" s="161" t="s">
        <v>4377</v>
      </c>
      <c r="C2016" s="161"/>
      <c r="D2016" s="162" t="s">
        <v>1435</v>
      </c>
      <c r="E2016" s="163">
        <v>1.0</v>
      </c>
      <c r="F2016" s="164">
        <v>58958.71</v>
      </c>
      <c r="G2016" s="164">
        <v>58958.71</v>
      </c>
      <c r="H2016" s="165">
        <f>G2016</f>
        <v>58958.71</v>
      </c>
      <c r="I2016" s="164"/>
      <c r="J2016" s="164"/>
      <c r="K2016" s="164"/>
    </row>
    <row r="2017" ht="12.75" customHeight="1">
      <c r="E2017" s="79"/>
      <c r="F2017" s="80"/>
      <c r="G2017" s="80"/>
      <c r="H2017" s="81"/>
      <c r="I2017" s="80"/>
      <c r="J2017" s="80"/>
      <c r="K2017" s="80"/>
    </row>
    <row r="2018" ht="12.75" customHeight="1">
      <c r="A2018" s="89" t="s">
        <v>1436</v>
      </c>
      <c r="B2018" s="90" t="s">
        <v>4378</v>
      </c>
      <c r="C2018" s="90"/>
      <c r="E2018" s="79"/>
      <c r="F2018" s="80"/>
      <c r="G2018" s="80"/>
      <c r="H2018" s="81"/>
      <c r="I2018" s="80"/>
      <c r="J2018" s="80"/>
      <c r="K2018" s="80"/>
    </row>
    <row r="2019" ht="12.75" customHeight="1">
      <c r="E2019" s="79"/>
      <c r="F2019" s="80"/>
      <c r="G2019" s="80"/>
      <c r="H2019" s="81"/>
      <c r="I2019" s="80"/>
      <c r="J2019" s="80"/>
      <c r="K2019" s="80"/>
    </row>
    <row r="2020" ht="12.75" customHeight="1">
      <c r="B2020" s="90" t="s">
        <v>4379</v>
      </c>
      <c r="C2020" s="90"/>
      <c r="E2020" s="79"/>
      <c r="F2020" s="80"/>
      <c r="G2020" s="80"/>
      <c r="H2020" s="81"/>
      <c r="I2020" s="80"/>
      <c r="J2020" s="80"/>
      <c r="K2020" s="80"/>
    </row>
    <row r="2021" ht="12.75" customHeight="1">
      <c r="E2021" s="79"/>
      <c r="F2021" s="80"/>
      <c r="G2021" s="80"/>
      <c r="H2021" s="81"/>
      <c r="I2021" s="80"/>
      <c r="J2021" s="80"/>
      <c r="K2021" s="80"/>
    </row>
    <row r="2022" ht="12.75" customHeight="1">
      <c r="B2022" s="90" t="s">
        <v>4380</v>
      </c>
      <c r="C2022" s="90"/>
      <c r="E2022" s="79"/>
      <c r="F2022" s="80"/>
      <c r="G2022" s="80"/>
      <c r="H2022" s="81"/>
      <c r="I2022" s="80"/>
      <c r="J2022" s="80"/>
      <c r="K2022" s="80"/>
    </row>
    <row r="2023" ht="12.75" customHeight="1">
      <c r="E2023" s="79"/>
      <c r="F2023" s="80"/>
      <c r="G2023" s="80"/>
      <c r="H2023" s="81"/>
      <c r="I2023" s="80"/>
      <c r="J2023" s="80"/>
      <c r="K2023" s="80"/>
    </row>
    <row r="2024" ht="12.75" customHeight="1">
      <c r="B2024" s="90" t="s">
        <v>4381</v>
      </c>
      <c r="C2024" s="90"/>
      <c r="D2024" s="89" t="s">
        <v>75</v>
      </c>
      <c r="E2024" s="91">
        <v>28.0</v>
      </c>
      <c r="F2024" s="80"/>
      <c r="G2024" s="135" t="s">
        <v>619</v>
      </c>
      <c r="H2024" s="159"/>
      <c r="I2024" s="135"/>
      <c r="J2024" s="135"/>
      <c r="K2024" s="135"/>
    </row>
    <row r="2025" ht="12.75" customHeight="1">
      <c r="E2025" s="79"/>
      <c r="F2025" s="80"/>
      <c r="G2025" s="80"/>
      <c r="H2025" s="81"/>
      <c r="I2025" s="80"/>
      <c r="J2025" s="80"/>
      <c r="K2025" s="80"/>
    </row>
    <row r="2026" ht="12.75" customHeight="1">
      <c r="B2026" s="90" t="s">
        <v>4382</v>
      </c>
      <c r="C2026" s="90"/>
      <c r="D2026" s="89" t="s">
        <v>75</v>
      </c>
      <c r="E2026" s="91">
        <v>6.0</v>
      </c>
      <c r="F2026" s="80"/>
      <c r="G2026" s="135" t="s">
        <v>619</v>
      </c>
      <c r="H2026" s="159"/>
      <c r="I2026" s="135"/>
      <c r="J2026" s="135"/>
      <c r="K2026" s="135"/>
    </row>
    <row r="2027" ht="12.75" customHeight="1">
      <c r="E2027" s="79"/>
      <c r="F2027" s="80"/>
      <c r="G2027" s="80"/>
      <c r="H2027" s="81"/>
      <c r="I2027" s="80"/>
      <c r="J2027" s="80"/>
      <c r="K2027" s="80"/>
    </row>
    <row r="2028" ht="12.75" customHeight="1">
      <c r="B2028" s="90" t="s">
        <v>4383</v>
      </c>
      <c r="C2028" s="90"/>
      <c r="D2028" s="89" t="s">
        <v>75</v>
      </c>
      <c r="E2028" s="91">
        <v>1.0</v>
      </c>
      <c r="F2028" s="80"/>
      <c r="G2028" s="135" t="s">
        <v>619</v>
      </c>
      <c r="H2028" s="159"/>
      <c r="I2028" s="135"/>
      <c r="J2028" s="135"/>
      <c r="K2028" s="135"/>
    </row>
    <row r="2029" ht="12.75" customHeight="1">
      <c r="E2029" s="79"/>
      <c r="F2029" s="80"/>
      <c r="G2029" s="80"/>
      <c r="H2029" s="81"/>
      <c r="I2029" s="80"/>
      <c r="J2029" s="80"/>
      <c r="K2029" s="80"/>
    </row>
    <row r="2030" ht="12.75" customHeight="1">
      <c r="B2030" s="90" t="s">
        <v>4384</v>
      </c>
      <c r="C2030" s="90"/>
      <c r="E2030" s="79"/>
      <c r="F2030" s="80"/>
      <c r="G2030" s="80"/>
      <c r="H2030" s="81"/>
      <c r="I2030" s="80"/>
      <c r="J2030" s="80"/>
      <c r="K2030" s="80"/>
    </row>
    <row r="2031" ht="12.75" customHeight="1">
      <c r="E2031" s="79"/>
      <c r="F2031" s="80"/>
      <c r="G2031" s="80"/>
      <c r="H2031" s="81"/>
      <c r="I2031" s="80"/>
      <c r="J2031" s="80"/>
      <c r="K2031" s="80"/>
    </row>
    <row r="2032" ht="12.75" customHeight="1">
      <c r="B2032" s="90" t="s">
        <v>4385</v>
      </c>
      <c r="C2032" s="90"/>
      <c r="D2032" s="89" t="s">
        <v>75</v>
      </c>
      <c r="E2032" s="91">
        <v>7.0</v>
      </c>
      <c r="F2032" s="80"/>
      <c r="G2032" s="135" t="s">
        <v>619</v>
      </c>
      <c r="H2032" s="159"/>
      <c r="I2032" s="135"/>
      <c r="J2032" s="135"/>
      <c r="K2032" s="135"/>
    </row>
    <row r="2033" ht="12.75" customHeight="1">
      <c r="E2033" s="79"/>
      <c r="F2033" s="80"/>
      <c r="G2033" s="80"/>
      <c r="H2033" s="81"/>
      <c r="I2033" s="80"/>
      <c r="J2033" s="80"/>
      <c r="K2033" s="80"/>
    </row>
    <row r="2034" ht="12.75" customHeight="1">
      <c r="B2034" s="90" t="s">
        <v>4386</v>
      </c>
      <c r="C2034" s="90"/>
      <c r="D2034" s="89" t="s">
        <v>75</v>
      </c>
      <c r="E2034" s="91">
        <v>8.0</v>
      </c>
      <c r="F2034" s="80"/>
      <c r="G2034" s="135" t="s">
        <v>619</v>
      </c>
      <c r="H2034" s="159"/>
      <c r="I2034" s="135"/>
      <c r="J2034" s="135"/>
      <c r="K2034" s="135"/>
    </row>
    <row r="2035" ht="12.75" customHeight="1">
      <c r="E2035" s="79"/>
      <c r="F2035" s="80"/>
      <c r="G2035" s="80"/>
      <c r="H2035" s="81"/>
      <c r="I2035" s="80"/>
      <c r="J2035" s="80"/>
      <c r="K2035" s="80"/>
    </row>
    <row r="2036" ht="12.75" customHeight="1">
      <c r="B2036" s="90" t="s">
        <v>4387</v>
      </c>
      <c r="C2036" s="90"/>
      <c r="E2036" s="79"/>
      <c r="F2036" s="80"/>
      <c r="G2036" s="80"/>
      <c r="H2036" s="81"/>
      <c r="I2036" s="80"/>
      <c r="J2036" s="80"/>
      <c r="K2036" s="80"/>
    </row>
    <row r="2037" ht="12.75" customHeight="1">
      <c r="E2037" s="79"/>
      <c r="F2037" s="80"/>
      <c r="G2037" s="80"/>
      <c r="H2037" s="81"/>
      <c r="I2037" s="80"/>
      <c r="J2037" s="80"/>
      <c r="K2037" s="80"/>
    </row>
    <row r="2038" ht="12.75" customHeight="1">
      <c r="B2038" s="90" t="s">
        <v>4306</v>
      </c>
      <c r="C2038" s="90"/>
      <c r="E2038" s="79"/>
      <c r="F2038" s="80"/>
      <c r="G2038" s="80"/>
      <c r="H2038" s="81"/>
      <c r="I2038" s="80"/>
      <c r="J2038" s="80"/>
      <c r="K2038" s="80"/>
    </row>
    <row r="2039" ht="12.75" customHeight="1">
      <c r="E2039" s="79"/>
      <c r="F2039" s="80"/>
      <c r="G2039" s="80"/>
      <c r="H2039" s="81"/>
      <c r="I2039" s="80"/>
      <c r="J2039" s="80"/>
      <c r="K2039" s="80"/>
    </row>
    <row r="2040" ht="12.75" customHeight="1">
      <c r="B2040" s="90" t="s">
        <v>4330</v>
      </c>
      <c r="C2040" s="90"/>
      <c r="E2040" s="79"/>
      <c r="F2040" s="80"/>
      <c r="G2040" s="80"/>
      <c r="H2040" s="81"/>
      <c r="I2040" s="80"/>
      <c r="J2040" s="80"/>
      <c r="K2040" s="80"/>
    </row>
    <row r="2041" ht="12.75" customHeight="1">
      <c r="E2041" s="79"/>
      <c r="F2041" s="80"/>
      <c r="G2041" s="80"/>
      <c r="H2041" s="81"/>
      <c r="I2041" s="80"/>
      <c r="J2041" s="80"/>
      <c r="K2041" s="80"/>
    </row>
    <row r="2042" ht="12.75" customHeight="1">
      <c r="B2042" s="90" t="s">
        <v>3231</v>
      </c>
      <c r="C2042" s="90"/>
      <c r="D2042" s="89" t="s">
        <v>161</v>
      </c>
      <c r="E2042" s="91">
        <v>488.0</v>
      </c>
      <c r="F2042" s="80"/>
      <c r="G2042" s="135" t="s">
        <v>619</v>
      </c>
      <c r="H2042" s="159"/>
      <c r="I2042" s="135"/>
      <c r="J2042" s="135"/>
      <c r="K2042" s="135"/>
    </row>
    <row r="2043" ht="12.75" customHeight="1">
      <c r="E2043" s="79"/>
      <c r="F2043" s="80"/>
      <c r="G2043" s="80"/>
      <c r="H2043" s="81"/>
      <c r="I2043" s="80"/>
      <c r="J2043" s="80"/>
      <c r="K2043" s="80"/>
    </row>
    <row r="2044" ht="12.75" customHeight="1">
      <c r="B2044" s="90" t="s">
        <v>2697</v>
      </c>
      <c r="C2044" s="90"/>
      <c r="E2044" s="79"/>
      <c r="F2044" s="80"/>
      <c r="G2044" s="80"/>
      <c r="H2044" s="81"/>
      <c r="I2044" s="80"/>
      <c r="J2044" s="80"/>
      <c r="K2044" s="80"/>
    </row>
    <row r="2045" ht="12.75" customHeight="1">
      <c r="E2045" s="79"/>
      <c r="F2045" s="80"/>
      <c r="G2045" s="80"/>
      <c r="H2045" s="81"/>
      <c r="I2045" s="80"/>
      <c r="J2045" s="80"/>
      <c r="K2045" s="80"/>
    </row>
    <row r="2046" ht="12.75" customHeight="1">
      <c r="B2046" s="90" t="s">
        <v>4330</v>
      </c>
      <c r="C2046" s="90"/>
      <c r="E2046" s="79"/>
      <c r="F2046" s="80"/>
      <c r="G2046" s="80"/>
      <c r="H2046" s="81"/>
      <c r="I2046" s="80"/>
      <c r="J2046" s="80"/>
      <c r="K2046" s="80"/>
    </row>
    <row r="2047" ht="12.75" customHeight="1">
      <c r="E2047" s="79"/>
      <c r="F2047" s="80"/>
      <c r="G2047" s="80"/>
      <c r="H2047" s="81"/>
      <c r="I2047" s="80"/>
      <c r="J2047" s="80"/>
      <c r="K2047" s="80"/>
    </row>
    <row r="2048" ht="12.75" customHeight="1">
      <c r="B2048" s="90" t="s">
        <v>3001</v>
      </c>
      <c r="C2048" s="90"/>
      <c r="D2048" s="89" t="s">
        <v>161</v>
      </c>
      <c r="E2048" s="91">
        <v>457.0</v>
      </c>
      <c r="F2048" s="92">
        <v>1.81</v>
      </c>
      <c r="G2048" s="92">
        <v>827.17</v>
      </c>
      <c r="H2048" s="93"/>
      <c r="I2048" s="92"/>
      <c r="J2048" s="92"/>
      <c r="K2048" s="92"/>
    </row>
    <row r="2049" ht="12.75" customHeight="1">
      <c r="E2049" s="79"/>
      <c r="F2049" s="80"/>
      <c r="G2049" s="80"/>
      <c r="H2049" s="81"/>
      <c r="I2049" s="80"/>
      <c r="J2049" s="80"/>
      <c r="K2049" s="80"/>
    </row>
    <row r="2050" ht="12.75" customHeight="1">
      <c r="B2050" s="90" t="s">
        <v>3234</v>
      </c>
      <c r="C2050" s="90"/>
      <c r="D2050" s="89" t="s">
        <v>161</v>
      </c>
      <c r="E2050" s="91">
        <v>32.0</v>
      </c>
      <c r="F2050" s="92">
        <v>2.2</v>
      </c>
      <c r="G2050" s="92">
        <v>70.4</v>
      </c>
      <c r="H2050" s="93"/>
      <c r="I2050" s="92"/>
      <c r="J2050" s="92"/>
      <c r="K2050" s="92"/>
    </row>
    <row r="2051" ht="12.75" customHeight="1">
      <c r="E2051" s="79"/>
      <c r="F2051" s="80"/>
      <c r="G2051" s="80"/>
      <c r="H2051" s="81"/>
      <c r="I2051" s="80"/>
      <c r="J2051" s="80"/>
      <c r="K2051" s="80"/>
    </row>
    <row r="2052" ht="12.75" customHeight="1">
      <c r="B2052" s="90" t="s">
        <v>2702</v>
      </c>
      <c r="C2052" s="90"/>
      <c r="E2052" s="79"/>
      <c r="F2052" s="80"/>
      <c r="G2052" s="80"/>
      <c r="H2052" s="81"/>
      <c r="I2052" s="80"/>
      <c r="J2052" s="80"/>
      <c r="K2052" s="80"/>
    </row>
    <row r="2053" ht="12.75" customHeight="1">
      <c r="E2053" s="79"/>
      <c r="F2053" s="80"/>
      <c r="G2053" s="80"/>
      <c r="H2053" s="81"/>
      <c r="I2053" s="80"/>
      <c r="J2053" s="80"/>
      <c r="K2053" s="80"/>
    </row>
    <row r="2054" ht="12.75" customHeight="1">
      <c r="B2054" s="90" t="s">
        <v>4330</v>
      </c>
      <c r="C2054" s="90"/>
      <c r="E2054" s="79"/>
      <c r="F2054" s="80"/>
      <c r="G2054" s="80"/>
      <c r="H2054" s="81"/>
      <c r="I2054" s="80"/>
      <c r="J2054" s="80"/>
      <c r="K2054" s="80"/>
    </row>
    <row r="2055" ht="12.75" customHeight="1">
      <c r="E2055" s="79"/>
      <c r="F2055" s="80"/>
      <c r="G2055" s="80"/>
      <c r="H2055" s="81"/>
      <c r="I2055" s="80"/>
      <c r="J2055" s="80"/>
      <c r="K2055" s="80"/>
    </row>
    <row r="2056" ht="12.75" customHeight="1">
      <c r="B2056" s="90" t="s">
        <v>3237</v>
      </c>
      <c r="C2056" s="90"/>
      <c r="D2056" s="89" t="s">
        <v>75</v>
      </c>
      <c r="E2056" s="91">
        <v>50.0</v>
      </c>
      <c r="F2056" s="92">
        <v>2.3</v>
      </c>
      <c r="G2056" s="92">
        <v>115.0</v>
      </c>
      <c r="H2056" s="93"/>
      <c r="I2056" s="92"/>
      <c r="J2056" s="92"/>
      <c r="K2056" s="92"/>
    </row>
    <row r="2057" ht="12.75" customHeight="1">
      <c r="E2057" s="79"/>
      <c r="F2057" s="80"/>
      <c r="G2057" s="80"/>
      <c r="H2057" s="81"/>
      <c r="I2057" s="80"/>
      <c r="J2057" s="80"/>
      <c r="K2057" s="80"/>
    </row>
    <row r="2058" ht="12.75" customHeight="1">
      <c r="B2058" s="90" t="s">
        <v>1450</v>
      </c>
      <c r="C2058" s="90"/>
      <c r="D2058" s="89" t="s">
        <v>75</v>
      </c>
      <c r="E2058" s="91">
        <v>2.0</v>
      </c>
      <c r="F2058" s="92">
        <v>21.66</v>
      </c>
      <c r="G2058" s="92">
        <v>43.32</v>
      </c>
      <c r="H2058" s="93"/>
      <c r="I2058" s="92"/>
      <c r="J2058" s="92"/>
      <c r="K2058" s="92"/>
    </row>
    <row r="2059" ht="12.75" customHeight="1">
      <c r="E2059" s="79"/>
      <c r="F2059" s="80"/>
      <c r="G2059" s="80"/>
      <c r="H2059" s="81"/>
      <c r="I2059" s="80"/>
      <c r="J2059" s="80"/>
      <c r="K2059" s="80"/>
    </row>
    <row r="2060" ht="12.75" customHeight="1">
      <c r="A2060" s="89" t="s">
        <v>1451</v>
      </c>
      <c r="B2060" s="90" t="s">
        <v>4388</v>
      </c>
      <c r="C2060" s="90"/>
      <c r="D2060" s="89" t="s">
        <v>1435</v>
      </c>
      <c r="E2060" s="91">
        <v>1.0</v>
      </c>
      <c r="F2060" s="92">
        <v>5810.6</v>
      </c>
      <c r="G2060" s="92">
        <v>5810.6</v>
      </c>
      <c r="H2060" s="93"/>
      <c r="I2060" s="92"/>
      <c r="J2060" s="92"/>
      <c r="K2060" s="92"/>
    </row>
    <row r="2061" ht="12.75" customHeight="1">
      <c r="E2061" s="79"/>
      <c r="F2061" s="80"/>
      <c r="G2061" s="80"/>
      <c r="H2061" s="81"/>
      <c r="I2061" s="80"/>
      <c r="J2061" s="80"/>
      <c r="K2061" s="80"/>
    </row>
    <row r="2062" ht="12.75" customHeight="1">
      <c r="B2062" s="90" t="s">
        <v>4389</v>
      </c>
      <c r="C2062" s="90"/>
      <c r="E2062" s="79"/>
      <c r="F2062" s="80"/>
      <c r="G2062" s="80"/>
      <c r="H2062" s="81"/>
      <c r="I2062" s="80"/>
      <c r="J2062" s="80"/>
      <c r="K2062" s="80"/>
    </row>
    <row r="2063" ht="12.75" customHeight="1">
      <c r="E2063" s="79"/>
      <c r="F2063" s="80"/>
      <c r="G2063" s="80"/>
      <c r="H2063" s="81"/>
      <c r="I2063" s="80"/>
      <c r="J2063" s="80"/>
      <c r="K2063" s="80"/>
    </row>
    <row r="2064" ht="12.75" customHeight="1">
      <c r="B2064" s="90" t="s">
        <v>4390</v>
      </c>
      <c r="C2064" s="90"/>
      <c r="E2064" s="79"/>
      <c r="F2064" s="80"/>
      <c r="G2064" s="80"/>
      <c r="H2064" s="81"/>
      <c r="I2064" s="80"/>
      <c r="J2064" s="80"/>
      <c r="K2064" s="80"/>
    </row>
    <row r="2065" ht="12.75" customHeight="1">
      <c r="E2065" s="79"/>
      <c r="F2065" s="80"/>
      <c r="G2065" s="80"/>
      <c r="H2065" s="81"/>
      <c r="I2065" s="80"/>
      <c r="J2065" s="80"/>
      <c r="K2065" s="80"/>
    </row>
    <row r="2066" ht="12.75" customHeight="1">
      <c r="B2066" s="90" t="s">
        <v>4391</v>
      </c>
      <c r="C2066" s="90"/>
      <c r="D2066" s="89" t="s">
        <v>75</v>
      </c>
      <c r="E2066" s="91">
        <v>10.0</v>
      </c>
      <c r="F2066" s="80"/>
      <c r="G2066" s="135" t="s">
        <v>619</v>
      </c>
      <c r="H2066" s="159"/>
      <c r="I2066" s="135"/>
      <c r="J2066" s="135"/>
      <c r="K2066" s="135"/>
    </row>
    <row r="2067" ht="12.75" customHeight="1">
      <c r="E2067" s="79"/>
      <c r="F2067" s="80"/>
      <c r="G2067" s="80"/>
      <c r="H2067" s="81"/>
      <c r="I2067" s="80"/>
      <c r="J2067" s="80"/>
      <c r="K2067" s="80"/>
    </row>
    <row r="2068" ht="12.75" customHeight="1">
      <c r="B2068" s="90" t="s">
        <v>4392</v>
      </c>
      <c r="C2068" s="90"/>
      <c r="D2068" s="89" t="s">
        <v>75</v>
      </c>
      <c r="E2068" s="91">
        <v>1.0</v>
      </c>
      <c r="F2068" s="80"/>
      <c r="G2068" s="135" t="s">
        <v>619</v>
      </c>
      <c r="H2068" s="159"/>
      <c r="I2068" s="135"/>
      <c r="J2068" s="135"/>
      <c r="K2068" s="135"/>
    </row>
    <row r="2069" ht="12.75" customHeight="1">
      <c r="E2069" s="79"/>
      <c r="F2069" s="80"/>
      <c r="G2069" s="80"/>
      <c r="H2069" s="81"/>
      <c r="I2069" s="80"/>
      <c r="J2069" s="80"/>
      <c r="K2069" s="80"/>
    </row>
    <row r="2070" ht="12.75" customHeight="1">
      <c r="B2070" s="90" t="s">
        <v>4393</v>
      </c>
      <c r="C2070" s="90"/>
      <c r="D2070" s="89" t="s">
        <v>75</v>
      </c>
      <c r="E2070" s="91">
        <v>11.0</v>
      </c>
      <c r="F2070" s="80"/>
      <c r="G2070" s="135" t="s">
        <v>619</v>
      </c>
      <c r="H2070" s="159"/>
      <c r="I2070" s="135"/>
      <c r="J2070" s="135"/>
      <c r="K2070" s="135"/>
    </row>
    <row r="2071" ht="12.75" customHeight="1">
      <c r="E2071" s="79"/>
      <c r="F2071" s="80"/>
      <c r="G2071" s="80"/>
      <c r="H2071" s="81"/>
      <c r="I2071" s="80"/>
      <c r="J2071" s="80"/>
      <c r="K2071" s="80"/>
    </row>
    <row r="2072" ht="12.75" customHeight="1">
      <c r="B2072" s="90" t="s">
        <v>4394</v>
      </c>
      <c r="C2072" s="90"/>
      <c r="E2072" s="79"/>
      <c r="F2072" s="80"/>
      <c r="G2072" s="80"/>
      <c r="H2072" s="81"/>
      <c r="I2072" s="80"/>
      <c r="J2072" s="80"/>
      <c r="K2072" s="80"/>
    </row>
    <row r="2073" ht="12.75" customHeight="1">
      <c r="E2073" s="79"/>
      <c r="F2073" s="80"/>
      <c r="G2073" s="80"/>
      <c r="H2073" s="81"/>
      <c r="I2073" s="80"/>
      <c r="J2073" s="80"/>
      <c r="K2073" s="80"/>
    </row>
    <row r="2074" ht="12.75" customHeight="1">
      <c r="B2074" s="90" t="s">
        <v>4395</v>
      </c>
      <c r="C2074" s="90"/>
      <c r="D2074" s="89" t="s">
        <v>75</v>
      </c>
      <c r="E2074" s="91">
        <v>1.0</v>
      </c>
      <c r="F2074" s="80"/>
      <c r="G2074" s="135" t="s">
        <v>619</v>
      </c>
      <c r="H2074" s="159"/>
      <c r="I2074" s="135"/>
      <c r="J2074" s="135"/>
      <c r="K2074" s="135"/>
    </row>
    <row r="2075" ht="12.75" customHeight="1">
      <c r="E2075" s="79"/>
      <c r="F2075" s="80"/>
      <c r="G2075" s="80"/>
      <c r="H2075" s="81"/>
      <c r="I2075" s="80"/>
      <c r="J2075" s="80"/>
      <c r="K2075" s="80"/>
    </row>
    <row r="2076" ht="12.75" customHeight="1">
      <c r="B2076" s="90" t="s">
        <v>4396</v>
      </c>
      <c r="C2076" s="90"/>
      <c r="D2076" s="89" t="s">
        <v>75</v>
      </c>
      <c r="E2076" s="91">
        <v>1.0</v>
      </c>
      <c r="F2076" s="80"/>
      <c r="G2076" s="135" t="s">
        <v>619</v>
      </c>
      <c r="H2076" s="159"/>
      <c r="I2076" s="135"/>
      <c r="J2076" s="135"/>
      <c r="K2076" s="135"/>
    </row>
    <row r="2077" ht="12.75" customHeight="1">
      <c r="E2077" s="79"/>
      <c r="F2077" s="80"/>
      <c r="G2077" s="80"/>
      <c r="H2077" s="81"/>
      <c r="I2077" s="80"/>
      <c r="J2077" s="80"/>
      <c r="K2077" s="80"/>
    </row>
    <row r="2078" ht="12.75" customHeight="1">
      <c r="B2078" s="90" t="s">
        <v>4397</v>
      </c>
      <c r="C2078" s="90"/>
      <c r="D2078" s="89" t="s">
        <v>75</v>
      </c>
      <c r="E2078" s="91">
        <v>1.0</v>
      </c>
      <c r="F2078" s="80"/>
      <c r="G2078" s="135" t="s">
        <v>619</v>
      </c>
      <c r="H2078" s="159"/>
      <c r="I2078" s="135"/>
      <c r="J2078" s="135"/>
      <c r="K2078" s="135"/>
    </row>
    <row r="2079" ht="12.75" customHeight="1">
      <c r="E2079" s="79"/>
      <c r="F2079" s="80"/>
      <c r="G2079" s="80"/>
      <c r="H2079" s="81"/>
      <c r="I2079" s="80"/>
      <c r="J2079" s="80"/>
      <c r="K2079" s="80"/>
    </row>
    <row r="2080" ht="12.75" customHeight="1">
      <c r="B2080" s="90" t="s">
        <v>4398</v>
      </c>
      <c r="C2080" s="90"/>
      <c r="D2080" s="89" t="s">
        <v>75</v>
      </c>
      <c r="E2080" s="91">
        <v>1.0</v>
      </c>
      <c r="F2080" s="80"/>
      <c r="G2080" s="135" t="s">
        <v>619</v>
      </c>
      <c r="H2080" s="159"/>
      <c r="I2080" s="135"/>
      <c r="J2080" s="135"/>
      <c r="K2080" s="135"/>
    </row>
    <row r="2081" ht="12.75" customHeight="1">
      <c r="E2081" s="79"/>
      <c r="F2081" s="80"/>
      <c r="G2081" s="80"/>
      <c r="H2081" s="81"/>
      <c r="I2081" s="80"/>
      <c r="J2081" s="80"/>
      <c r="K2081" s="80"/>
    </row>
    <row r="2082" ht="12.75" customHeight="1">
      <c r="B2082" s="90" t="s">
        <v>4399</v>
      </c>
      <c r="C2082" s="90"/>
      <c r="D2082" s="89" t="s">
        <v>75</v>
      </c>
      <c r="E2082" s="91">
        <v>1.0</v>
      </c>
      <c r="F2082" s="80"/>
      <c r="G2082" s="135" t="s">
        <v>619</v>
      </c>
      <c r="H2082" s="159"/>
      <c r="I2082" s="135"/>
      <c r="J2082" s="135"/>
      <c r="K2082" s="135"/>
    </row>
    <row r="2083" ht="12.75" customHeight="1">
      <c r="E2083" s="79"/>
      <c r="F2083" s="80"/>
      <c r="G2083" s="80"/>
      <c r="H2083" s="81"/>
      <c r="I2083" s="80"/>
      <c r="J2083" s="80"/>
      <c r="K2083" s="80"/>
    </row>
    <row r="2084" ht="12.75" customHeight="1">
      <c r="B2084" s="90" t="s">
        <v>4400</v>
      </c>
      <c r="C2084" s="90"/>
      <c r="D2084" s="89" t="s">
        <v>161</v>
      </c>
      <c r="E2084" s="91">
        <v>303.0</v>
      </c>
      <c r="F2084" s="80"/>
      <c r="G2084" s="135" t="s">
        <v>619</v>
      </c>
      <c r="H2084" s="159"/>
      <c r="I2084" s="135"/>
      <c r="J2084" s="135"/>
      <c r="K2084" s="135"/>
    </row>
    <row r="2085" ht="12.75" customHeight="1">
      <c r="E2085" s="79"/>
      <c r="F2085" s="80"/>
      <c r="G2085" s="80"/>
      <c r="H2085" s="81"/>
      <c r="I2085" s="80"/>
      <c r="J2085" s="80"/>
      <c r="K2085" s="80"/>
    </row>
    <row r="2086" ht="12.75" customHeight="1">
      <c r="B2086" s="90" t="s">
        <v>4401</v>
      </c>
      <c r="C2086" s="90"/>
      <c r="D2086" s="89" t="s">
        <v>75</v>
      </c>
      <c r="E2086" s="91">
        <v>11.0</v>
      </c>
      <c r="F2086" s="80"/>
      <c r="G2086" s="135" t="s">
        <v>619</v>
      </c>
      <c r="H2086" s="159"/>
      <c r="I2086" s="135"/>
      <c r="J2086" s="135"/>
      <c r="K2086" s="135"/>
    </row>
    <row r="2087" ht="12.75" customHeight="1">
      <c r="E2087" s="79"/>
      <c r="F2087" s="80"/>
      <c r="G2087" s="80"/>
      <c r="H2087" s="81"/>
      <c r="I2087" s="80"/>
      <c r="J2087" s="80"/>
      <c r="K2087" s="80"/>
    </row>
    <row r="2088" ht="12.75" customHeight="1">
      <c r="B2088" s="90" t="s">
        <v>3265</v>
      </c>
      <c r="C2088" s="90"/>
      <c r="D2088" s="89" t="s">
        <v>161</v>
      </c>
      <c r="E2088" s="91">
        <v>183.0</v>
      </c>
      <c r="F2088" s="92">
        <v>2.2</v>
      </c>
      <c r="G2088" s="92">
        <v>402.6</v>
      </c>
      <c r="H2088" s="93"/>
      <c r="I2088" s="92"/>
      <c r="J2088" s="92"/>
      <c r="K2088" s="92"/>
    </row>
    <row r="2089" ht="12.75" customHeight="1">
      <c r="E2089" s="79"/>
      <c r="F2089" s="80"/>
      <c r="G2089" s="80"/>
      <c r="H2089" s="81"/>
      <c r="I2089" s="80"/>
      <c r="J2089" s="80"/>
      <c r="K2089" s="80"/>
    </row>
    <row r="2090" ht="12.75" customHeight="1">
      <c r="B2090" s="90" t="s">
        <v>3267</v>
      </c>
      <c r="C2090" s="90"/>
      <c r="D2090" s="89" t="s">
        <v>161</v>
      </c>
      <c r="E2090" s="91">
        <v>19.0</v>
      </c>
      <c r="F2090" s="92">
        <v>3.34</v>
      </c>
      <c r="G2090" s="92">
        <v>63.46</v>
      </c>
      <c r="H2090" s="93"/>
      <c r="I2090" s="92"/>
      <c r="J2090" s="92"/>
      <c r="K2090" s="92"/>
    </row>
    <row r="2091" ht="12.75" customHeight="1">
      <c r="E2091" s="79"/>
      <c r="F2091" s="80"/>
      <c r="G2091" s="80"/>
      <c r="H2091" s="81"/>
      <c r="I2091" s="80"/>
      <c r="J2091" s="80"/>
      <c r="K2091" s="80"/>
    </row>
    <row r="2092" ht="12.75" customHeight="1">
      <c r="B2092" s="90" t="s">
        <v>3269</v>
      </c>
      <c r="C2092" s="90"/>
      <c r="D2092" s="89" t="s">
        <v>75</v>
      </c>
      <c r="E2092" s="91">
        <v>2.0</v>
      </c>
      <c r="F2092" s="92">
        <v>61.67</v>
      </c>
      <c r="G2092" s="92">
        <v>123.34</v>
      </c>
      <c r="H2092" s="93"/>
      <c r="I2092" s="92"/>
      <c r="J2092" s="92"/>
      <c r="K2092" s="92"/>
    </row>
    <row r="2093" ht="12.75" customHeight="1">
      <c r="E2093" s="79"/>
      <c r="F2093" s="80"/>
      <c r="G2093" s="80"/>
      <c r="H2093" s="81"/>
      <c r="I2093" s="80"/>
      <c r="J2093" s="80"/>
      <c r="K2093" s="80"/>
    </row>
    <row r="2094" ht="12.75" customHeight="1">
      <c r="A2094" s="89" t="s">
        <v>1469</v>
      </c>
      <c r="B2094" s="90" t="s">
        <v>4402</v>
      </c>
      <c r="C2094" s="90"/>
      <c r="D2094" s="89" t="s">
        <v>1435</v>
      </c>
      <c r="E2094" s="91">
        <v>0.0</v>
      </c>
      <c r="F2094" s="80"/>
      <c r="G2094" s="92">
        <v>0.0</v>
      </c>
      <c r="H2094" s="93"/>
      <c r="I2094" s="92"/>
      <c r="J2094" s="92"/>
      <c r="K2094" s="92"/>
    </row>
    <row r="2095" ht="12.75" customHeight="1">
      <c r="E2095" s="79"/>
      <c r="F2095" s="80"/>
      <c r="G2095" s="80"/>
      <c r="H2095" s="81"/>
      <c r="I2095" s="80"/>
      <c r="J2095" s="80"/>
      <c r="K2095" s="80"/>
    </row>
    <row r="2096" ht="12.75" customHeight="1">
      <c r="A2096" s="89" t="s">
        <v>1471</v>
      </c>
      <c r="B2096" s="90" t="s">
        <v>4403</v>
      </c>
      <c r="C2096" s="90"/>
      <c r="D2096" s="89" t="s">
        <v>1435</v>
      </c>
      <c r="E2096" s="91">
        <v>1.0</v>
      </c>
      <c r="F2096" s="92">
        <v>21963.67</v>
      </c>
      <c r="G2096" s="92">
        <v>21963.67</v>
      </c>
      <c r="H2096" s="93"/>
      <c r="I2096" s="92"/>
      <c r="J2096" s="92"/>
      <c r="K2096" s="92"/>
    </row>
    <row r="2097" ht="12.75" customHeight="1">
      <c r="E2097" s="79"/>
      <c r="F2097" s="80"/>
      <c r="G2097" s="80"/>
      <c r="H2097" s="81"/>
      <c r="I2097" s="80"/>
      <c r="J2097" s="80"/>
      <c r="K2097" s="80"/>
    </row>
    <row r="2098" ht="12.75" customHeight="1">
      <c r="B2098" s="90" t="s">
        <v>4404</v>
      </c>
      <c r="C2098" s="90"/>
      <c r="D2098" s="89" t="s">
        <v>161</v>
      </c>
      <c r="E2098" s="91">
        <v>98.0</v>
      </c>
      <c r="F2098" s="80"/>
      <c r="G2098" s="135" t="s">
        <v>619</v>
      </c>
      <c r="H2098" s="159"/>
      <c r="I2098" s="135"/>
      <c r="J2098" s="135"/>
      <c r="K2098" s="135"/>
    </row>
    <row r="2099" ht="12.75" customHeight="1">
      <c r="E2099" s="79"/>
      <c r="F2099" s="80"/>
      <c r="G2099" s="80"/>
      <c r="H2099" s="81"/>
      <c r="I2099" s="80"/>
      <c r="J2099" s="80"/>
      <c r="K2099" s="80"/>
    </row>
    <row r="2100" ht="12.75" customHeight="1">
      <c r="B2100" s="90" t="s">
        <v>4330</v>
      </c>
      <c r="C2100" s="90"/>
      <c r="E2100" s="79"/>
      <c r="F2100" s="80"/>
      <c r="G2100" s="80"/>
      <c r="H2100" s="81"/>
      <c r="I2100" s="80"/>
      <c r="J2100" s="80"/>
      <c r="K2100" s="80"/>
    </row>
    <row r="2101" ht="12.75" customHeight="1">
      <c r="E2101" s="79"/>
      <c r="F2101" s="80"/>
      <c r="G2101" s="80"/>
      <c r="H2101" s="81"/>
      <c r="I2101" s="80"/>
      <c r="J2101" s="80"/>
      <c r="K2101" s="80"/>
    </row>
    <row r="2102" ht="12.75" customHeight="1">
      <c r="B2102" s="90" t="s">
        <v>4405</v>
      </c>
      <c r="C2102" s="90"/>
      <c r="D2102" s="89" t="s">
        <v>75</v>
      </c>
      <c r="E2102" s="91">
        <v>1.0</v>
      </c>
      <c r="F2102" s="80"/>
      <c r="G2102" s="135" t="s">
        <v>619</v>
      </c>
      <c r="H2102" s="159"/>
      <c r="I2102" s="135"/>
      <c r="J2102" s="135"/>
      <c r="K2102" s="135"/>
    </row>
    <row r="2103" ht="12.75" customHeight="1">
      <c r="E2103" s="79"/>
      <c r="F2103" s="80"/>
      <c r="G2103" s="80"/>
      <c r="H2103" s="81"/>
      <c r="I2103" s="80"/>
      <c r="J2103" s="80"/>
      <c r="K2103" s="80"/>
    </row>
    <row r="2104" ht="12.75" customHeight="1">
      <c r="B2104" s="90" t="s">
        <v>4406</v>
      </c>
      <c r="C2104" s="90"/>
      <c r="D2104" s="89" t="s">
        <v>75</v>
      </c>
      <c r="E2104" s="91">
        <v>1.0</v>
      </c>
      <c r="F2104" s="80"/>
      <c r="G2104" s="135" t="s">
        <v>619</v>
      </c>
      <c r="H2104" s="159"/>
      <c r="I2104" s="135"/>
      <c r="J2104" s="135"/>
      <c r="K2104" s="135"/>
    </row>
    <row r="2105" ht="12.75" customHeight="1">
      <c r="E2105" s="79"/>
      <c r="F2105" s="80"/>
      <c r="G2105" s="80"/>
      <c r="H2105" s="81"/>
      <c r="I2105" s="80"/>
      <c r="J2105" s="80"/>
      <c r="K2105" s="80"/>
    </row>
    <row r="2106" ht="12.75" customHeight="1">
      <c r="B2106" s="90" t="s">
        <v>4401</v>
      </c>
      <c r="C2106" s="90"/>
      <c r="D2106" s="89" t="s">
        <v>75</v>
      </c>
      <c r="E2106" s="91">
        <v>1.0</v>
      </c>
      <c r="F2106" s="80"/>
      <c r="G2106" s="135" t="s">
        <v>619</v>
      </c>
      <c r="H2106" s="159"/>
      <c r="I2106" s="135"/>
      <c r="J2106" s="135"/>
      <c r="K2106" s="135"/>
    </row>
    <row r="2107" ht="12.75" customHeight="1">
      <c r="E2107" s="79"/>
      <c r="F2107" s="80"/>
      <c r="G2107" s="80"/>
      <c r="H2107" s="81"/>
      <c r="I2107" s="80"/>
      <c r="J2107" s="80"/>
      <c r="K2107" s="80"/>
    </row>
    <row r="2108" ht="12.75" customHeight="1">
      <c r="B2108" s="90" t="s">
        <v>4330</v>
      </c>
      <c r="C2108" s="90"/>
      <c r="E2108" s="79"/>
      <c r="F2108" s="80"/>
      <c r="G2108" s="80"/>
      <c r="H2108" s="81"/>
      <c r="I2108" s="80"/>
      <c r="J2108" s="80"/>
      <c r="K2108" s="80"/>
    </row>
    <row r="2109" ht="12.75" customHeight="1">
      <c r="E2109" s="79"/>
      <c r="F2109" s="80"/>
      <c r="G2109" s="80"/>
      <c r="H2109" s="81"/>
      <c r="I2109" s="80"/>
      <c r="J2109" s="80"/>
      <c r="K2109" s="80"/>
    </row>
    <row r="2110" ht="12.75" customHeight="1">
      <c r="B2110" s="90" t="s">
        <v>3265</v>
      </c>
      <c r="C2110" s="90"/>
      <c r="D2110" s="89" t="s">
        <v>161</v>
      </c>
      <c r="E2110" s="91">
        <v>50.0</v>
      </c>
      <c r="F2110" s="92">
        <v>2.2</v>
      </c>
      <c r="G2110" s="92">
        <v>110.0</v>
      </c>
      <c r="H2110" s="93"/>
      <c r="I2110" s="92"/>
      <c r="J2110" s="92"/>
      <c r="K2110" s="92"/>
    </row>
    <row r="2111" ht="12.75" customHeight="1">
      <c r="E2111" s="79"/>
      <c r="F2111" s="80"/>
      <c r="G2111" s="80"/>
      <c r="H2111" s="81"/>
      <c r="I2111" s="80"/>
      <c r="J2111" s="80"/>
      <c r="K2111" s="80"/>
    </row>
    <row r="2112" ht="12.75" customHeight="1">
      <c r="B2112" s="90" t="s">
        <v>3281</v>
      </c>
      <c r="C2112" s="90"/>
      <c r="D2112" s="89" t="s">
        <v>75</v>
      </c>
      <c r="E2112" s="91">
        <v>1.0</v>
      </c>
      <c r="F2112" s="92">
        <v>21.66</v>
      </c>
      <c r="G2112" s="92">
        <v>21.66</v>
      </c>
      <c r="H2112" s="93"/>
      <c r="I2112" s="92"/>
      <c r="J2112" s="92"/>
      <c r="K2112" s="92"/>
    </row>
    <row r="2113" ht="12.75" customHeight="1">
      <c r="E2113" s="79"/>
      <c r="F2113" s="80"/>
      <c r="G2113" s="80"/>
      <c r="H2113" s="81"/>
      <c r="I2113" s="80"/>
      <c r="J2113" s="80"/>
      <c r="K2113" s="80"/>
    </row>
    <row r="2114" ht="12.75" customHeight="1">
      <c r="A2114" s="89" t="s">
        <v>1477</v>
      </c>
      <c r="B2114" s="90" t="s">
        <v>4407</v>
      </c>
      <c r="C2114" s="90"/>
      <c r="E2114" s="79"/>
      <c r="F2114" s="80"/>
      <c r="G2114" s="80"/>
      <c r="H2114" s="81"/>
      <c r="I2114" s="80"/>
      <c r="J2114" s="80"/>
      <c r="K2114" s="80"/>
    </row>
    <row r="2115" ht="12.75" customHeight="1">
      <c r="E2115" s="79"/>
      <c r="F2115" s="80"/>
      <c r="G2115" s="80"/>
      <c r="H2115" s="81"/>
      <c r="I2115" s="80"/>
      <c r="J2115" s="80"/>
      <c r="K2115" s="80"/>
    </row>
    <row r="2116" ht="12.75" customHeight="1">
      <c r="B2116" s="90" t="s">
        <v>4408</v>
      </c>
      <c r="C2116" s="90"/>
      <c r="D2116" s="89" t="s">
        <v>75</v>
      </c>
      <c r="E2116" s="91">
        <v>1.0</v>
      </c>
      <c r="F2116" s="80"/>
      <c r="G2116" s="135" t="s">
        <v>619</v>
      </c>
      <c r="H2116" s="159"/>
      <c r="I2116" s="135"/>
      <c r="J2116" s="135"/>
      <c r="K2116" s="135"/>
    </row>
    <row r="2117" ht="12.75" customHeight="1">
      <c r="E2117" s="79"/>
      <c r="F2117" s="80"/>
      <c r="G2117" s="80"/>
      <c r="H2117" s="81"/>
      <c r="I2117" s="80"/>
      <c r="J2117" s="80"/>
      <c r="K2117" s="80"/>
    </row>
    <row r="2118" ht="12.75" customHeight="1">
      <c r="B2118" s="90" t="s">
        <v>4409</v>
      </c>
      <c r="C2118" s="90"/>
      <c r="D2118" s="89" t="s">
        <v>75</v>
      </c>
      <c r="E2118" s="91">
        <v>1.0</v>
      </c>
      <c r="F2118" s="80"/>
      <c r="G2118" s="135" t="s">
        <v>619</v>
      </c>
      <c r="H2118" s="159"/>
      <c r="I2118" s="135"/>
      <c r="J2118" s="135"/>
      <c r="K2118" s="135"/>
    </row>
    <row r="2119" ht="12.75" customHeight="1">
      <c r="E2119" s="79"/>
      <c r="F2119" s="80"/>
      <c r="G2119" s="80"/>
      <c r="H2119" s="81"/>
      <c r="I2119" s="80"/>
      <c r="J2119" s="80"/>
      <c r="K2119" s="80"/>
    </row>
    <row r="2120" ht="12.75" customHeight="1">
      <c r="B2120" s="90" t="s">
        <v>4410</v>
      </c>
      <c r="C2120" s="90"/>
      <c r="D2120" s="89" t="s">
        <v>75</v>
      </c>
      <c r="E2120" s="91">
        <v>3.0</v>
      </c>
      <c r="F2120" s="80"/>
      <c r="G2120" s="135" t="s">
        <v>619</v>
      </c>
      <c r="H2120" s="159"/>
      <c r="I2120" s="135"/>
      <c r="J2120" s="135"/>
      <c r="K2120" s="135"/>
    </row>
    <row r="2121" ht="12.75" customHeight="1">
      <c r="E2121" s="79"/>
      <c r="F2121" s="80"/>
      <c r="G2121" s="80"/>
      <c r="H2121" s="81"/>
      <c r="I2121" s="80"/>
      <c r="J2121" s="80"/>
      <c r="K2121" s="80"/>
    </row>
    <row r="2122" ht="12.75" customHeight="1">
      <c r="B2122" s="90" t="s">
        <v>4411</v>
      </c>
      <c r="C2122" s="90"/>
      <c r="D2122" s="89" t="s">
        <v>75</v>
      </c>
      <c r="E2122" s="91">
        <v>1.0</v>
      </c>
      <c r="F2122" s="80"/>
      <c r="G2122" s="135" t="s">
        <v>619</v>
      </c>
      <c r="H2122" s="159"/>
      <c r="I2122" s="135"/>
      <c r="J2122" s="135"/>
      <c r="K2122" s="135"/>
    </row>
    <row r="2123" ht="12.75" customHeight="1">
      <c r="E2123" s="79"/>
      <c r="F2123" s="80"/>
      <c r="G2123" s="80"/>
      <c r="H2123" s="81"/>
      <c r="I2123" s="80"/>
      <c r="J2123" s="80"/>
      <c r="K2123" s="80"/>
    </row>
    <row r="2124" ht="12.75" customHeight="1">
      <c r="A2124" s="89" t="s">
        <v>1483</v>
      </c>
      <c r="B2124" s="90" t="s">
        <v>4412</v>
      </c>
      <c r="C2124" s="90"/>
      <c r="D2124" s="89" t="s">
        <v>1485</v>
      </c>
      <c r="E2124" s="91">
        <v>0.0</v>
      </c>
      <c r="F2124" s="80"/>
      <c r="G2124" s="92">
        <v>0.0</v>
      </c>
      <c r="H2124" s="93"/>
      <c r="I2124" s="92"/>
      <c r="J2124" s="92"/>
      <c r="K2124" s="92"/>
    </row>
    <row r="2125" ht="12.75" customHeight="1">
      <c r="E2125" s="79"/>
      <c r="F2125" s="80"/>
      <c r="G2125" s="80"/>
      <c r="H2125" s="81"/>
      <c r="I2125" s="80"/>
      <c r="J2125" s="80"/>
      <c r="K2125" s="80"/>
    </row>
    <row r="2126" ht="12.75" customHeight="1">
      <c r="A2126" s="89" t="s">
        <v>1486</v>
      </c>
      <c r="B2126" s="90" t="s">
        <v>4413</v>
      </c>
      <c r="C2126" s="90"/>
      <c r="D2126" s="89" t="s">
        <v>1435</v>
      </c>
      <c r="E2126" s="91">
        <v>1.0</v>
      </c>
      <c r="F2126" s="92">
        <v>6366.06</v>
      </c>
      <c r="G2126" s="92">
        <v>6366.06</v>
      </c>
      <c r="H2126" s="93"/>
      <c r="I2126" s="92"/>
      <c r="J2126" s="92"/>
      <c r="K2126" s="92"/>
    </row>
    <row r="2127" ht="12.75" customHeight="1">
      <c r="E2127" s="79"/>
      <c r="F2127" s="80"/>
      <c r="G2127" s="80"/>
      <c r="H2127" s="81"/>
      <c r="I2127" s="80"/>
      <c r="J2127" s="80"/>
      <c r="K2127" s="80"/>
    </row>
    <row r="2128" ht="12.75" customHeight="1">
      <c r="B2128" s="90" t="s">
        <v>4414</v>
      </c>
      <c r="C2128" s="90"/>
      <c r="E2128" s="79"/>
      <c r="F2128" s="80"/>
      <c r="G2128" s="80"/>
      <c r="H2128" s="81"/>
      <c r="I2128" s="80"/>
      <c r="J2128" s="80"/>
      <c r="K2128" s="80"/>
    </row>
    <row r="2129" ht="12.75" customHeight="1">
      <c r="E2129" s="79"/>
      <c r="F2129" s="80"/>
      <c r="G2129" s="80"/>
      <c r="H2129" s="81"/>
      <c r="I2129" s="80"/>
      <c r="J2129" s="80"/>
      <c r="K2129" s="80"/>
    </row>
    <row r="2130" ht="12.75" customHeight="1">
      <c r="B2130" s="90" t="s">
        <v>4415</v>
      </c>
      <c r="C2130" s="90"/>
      <c r="E2130" s="79"/>
      <c r="F2130" s="80"/>
      <c r="G2130" s="80"/>
      <c r="H2130" s="81"/>
      <c r="I2130" s="80"/>
      <c r="J2130" s="80"/>
      <c r="K2130" s="80"/>
    </row>
    <row r="2131" ht="12.75" customHeight="1">
      <c r="E2131" s="79"/>
      <c r="F2131" s="80"/>
      <c r="G2131" s="80"/>
      <c r="H2131" s="81"/>
      <c r="I2131" s="80"/>
      <c r="J2131" s="80"/>
      <c r="K2131" s="80"/>
    </row>
    <row r="2132" ht="12.75" customHeight="1">
      <c r="B2132" s="90" t="s">
        <v>3296</v>
      </c>
      <c r="C2132" s="90"/>
      <c r="D2132" s="89" t="s">
        <v>33</v>
      </c>
      <c r="E2132" s="91">
        <v>1.0</v>
      </c>
      <c r="F2132" s="80"/>
      <c r="G2132" s="135" t="s">
        <v>619</v>
      </c>
      <c r="H2132" s="159"/>
      <c r="I2132" s="135"/>
      <c r="J2132" s="135"/>
      <c r="K2132" s="135"/>
    </row>
    <row r="2133" ht="12.75" customHeight="1">
      <c r="E2133" s="79"/>
      <c r="F2133" s="80"/>
      <c r="G2133" s="80"/>
      <c r="H2133" s="81"/>
      <c r="I2133" s="80"/>
      <c r="J2133" s="80"/>
      <c r="K2133" s="80"/>
    </row>
    <row r="2134" ht="12.75" customHeight="1">
      <c r="B2134" s="90" t="s">
        <v>4416</v>
      </c>
      <c r="C2134" s="90"/>
      <c r="D2134" s="89" t="s">
        <v>75</v>
      </c>
      <c r="E2134" s="91">
        <v>1.0</v>
      </c>
      <c r="F2134" s="80"/>
      <c r="G2134" s="135" t="s">
        <v>619</v>
      </c>
      <c r="H2134" s="159"/>
      <c r="I2134" s="135"/>
      <c r="J2134" s="135"/>
      <c r="K2134" s="135"/>
    </row>
    <row r="2135" ht="12.75" customHeight="1">
      <c r="E2135" s="79"/>
      <c r="F2135" s="80"/>
      <c r="G2135" s="80"/>
      <c r="H2135" s="81"/>
      <c r="I2135" s="80"/>
      <c r="J2135" s="80"/>
      <c r="K2135" s="80"/>
    </row>
    <row r="2136" ht="12.75" customHeight="1">
      <c r="B2136" s="90" t="s">
        <v>3300</v>
      </c>
      <c r="C2136" s="90"/>
      <c r="D2136" s="89" t="s">
        <v>161</v>
      </c>
      <c r="E2136" s="91">
        <v>654.0</v>
      </c>
      <c r="F2136" s="80"/>
      <c r="G2136" s="135" t="s">
        <v>619</v>
      </c>
      <c r="H2136" s="159"/>
      <c r="I2136" s="135"/>
      <c r="J2136" s="135"/>
      <c r="K2136" s="135"/>
    </row>
    <row r="2137" ht="12.75" customHeight="1">
      <c r="E2137" s="79"/>
      <c r="F2137" s="80"/>
      <c r="G2137" s="80"/>
      <c r="H2137" s="81"/>
      <c r="I2137" s="80"/>
      <c r="J2137" s="80"/>
      <c r="K2137" s="80"/>
    </row>
    <row r="2138" ht="12.75" customHeight="1">
      <c r="B2138" s="90" t="s">
        <v>4417</v>
      </c>
      <c r="C2138" s="90"/>
      <c r="D2138" s="89" t="s">
        <v>75</v>
      </c>
      <c r="E2138" s="91">
        <v>1.0</v>
      </c>
      <c r="F2138" s="80"/>
      <c r="G2138" s="135" t="s">
        <v>619</v>
      </c>
      <c r="H2138" s="159"/>
      <c r="I2138" s="135"/>
      <c r="J2138" s="135"/>
      <c r="K2138" s="135"/>
    </row>
    <row r="2139" ht="12.75" customHeight="1">
      <c r="E2139" s="79"/>
      <c r="F2139" s="80"/>
      <c r="G2139" s="80"/>
      <c r="H2139" s="81"/>
      <c r="I2139" s="80"/>
      <c r="J2139" s="80"/>
      <c r="K2139" s="80"/>
    </row>
    <row r="2140" ht="12.75" customHeight="1">
      <c r="B2140" s="90" t="s">
        <v>4418</v>
      </c>
      <c r="C2140" s="90"/>
      <c r="D2140" s="89" t="s">
        <v>75</v>
      </c>
      <c r="E2140" s="91">
        <v>1.0</v>
      </c>
      <c r="F2140" s="80"/>
      <c r="G2140" s="135" t="s">
        <v>619</v>
      </c>
      <c r="H2140" s="159"/>
      <c r="I2140" s="135"/>
      <c r="J2140" s="135"/>
      <c r="K2140" s="135"/>
    </row>
    <row r="2141" ht="12.75" customHeight="1">
      <c r="E2141" s="79"/>
      <c r="F2141" s="80"/>
      <c r="G2141" s="80"/>
      <c r="H2141" s="81"/>
      <c r="I2141" s="80"/>
      <c r="J2141" s="80"/>
      <c r="K2141" s="80"/>
    </row>
    <row r="2142" ht="12.75" customHeight="1">
      <c r="B2142" s="90" t="s">
        <v>3306</v>
      </c>
      <c r="C2142" s="90"/>
      <c r="D2142" s="89" t="s">
        <v>75</v>
      </c>
      <c r="E2142" s="91">
        <v>1.0</v>
      </c>
      <c r="F2142" s="80"/>
      <c r="G2142" s="135" t="s">
        <v>619</v>
      </c>
      <c r="H2142" s="159"/>
      <c r="I2142" s="135"/>
      <c r="J2142" s="135"/>
      <c r="K2142" s="135"/>
    </row>
    <row r="2143" ht="12.75" customHeight="1">
      <c r="E2143" s="79"/>
      <c r="F2143" s="80"/>
      <c r="G2143" s="80"/>
      <c r="H2143" s="81"/>
      <c r="I2143" s="80"/>
      <c r="J2143" s="80"/>
      <c r="K2143" s="80"/>
    </row>
    <row r="2144" ht="12.75" customHeight="1">
      <c r="B2144" s="90" t="s">
        <v>3308</v>
      </c>
      <c r="C2144" s="90"/>
      <c r="D2144" s="89" t="s">
        <v>75</v>
      </c>
      <c r="E2144" s="91">
        <v>1.0</v>
      </c>
      <c r="F2144" s="80"/>
      <c r="G2144" s="135" t="s">
        <v>619</v>
      </c>
      <c r="H2144" s="159"/>
      <c r="I2144" s="135"/>
      <c r="J2144" s="135"/>
      <c r="K2144" s="135"/>
    </row>
    <row r="2145" ht="12.75" customHeight="1">
      <c r="E2145" s="79"/>
      <c r="F2145" s="80"/>
      <c r="G2145" s="80"/>
      <c r="H2145" s="81"/>
      <c r="I2145" s="80"/>
      <c r="J2145" s="80"/>
      <c r="K2145" s="80"/>
    </row>
    <row r="2146" ht="12.75" customHeight="1">
      <c r="B2146" s="90" t="s">
        <v>4419</v>
      </c>
      <c r="C2146" s="90"/>
      <c r="D2146" s="89" t="s">
        <v>75</v>
      </c>
      <c r="E2146" s="91">
        <v>5.0</v>
      </c>
      <c r="F2146" s="80"/>
      <c r="G2146" s="135" t="s">
        <v>619</v>
      </c>
      <c r="H2146" s="159"/>
      <c r="I2146" s="135"/>
      <c r="J2146" s="135"/>
      <c r="K2146" s="135"/>
    </row>
    <row r="2147" ht="12.75" customHeight="1">
      <c r="E2147" s="79"/>
      <c r="F2147" s="80"/>
      <c r="G2147" s="80"/>
      <c r="H2147" s="81"/>
      <c r="I2147" s="80"/>
      <c r="J2147" s="80"/>
      <c r="K2147" s="80"/>
    </row>
    <row r="2148" ht="12.75" customHeight="1">
      <c r="B2148" s="90" t="s">
        <v>4420</v>
      </c>
      <c r="C2148" s="90"/>
      <c r="D2148" s="89" t="s">
        <v>75</v>
      </c>
      <c r="E2148" s="91">
        <v>19.0</v>
      </c>
      <c r="F2148" s="80"/>
      <c r="G2148" s="135" t="s">
        <v>619</v>
      </c>
      <c r="H2148" s="159"/>
      <c r="I2148" s="135"/>
      <c r="J2148" s="135"/>
      <c r="K2148" s="135"/>
    </row>
    <row r="2149" ht="12.75" customHeight="1">
      <c r="E2149" s="79"/>
      <c r="F2149" s="80"/>
      <c r="G2149" s="80"/>
      <c r="H2149" s="81"/>
      <c r="I2149" s="80"/>
      <c r="J2149" s="80"/>
      <c r="K2149" s="80"/>
    </row>
    <row r="2150" ht="12.75" customHeight="1">
      <c r="B2150" s="90" t="s">
        <v>4421</v>
      </c>
      <c r="C2150" s="90"/>
      <c r="D2150" s="89" t="s">
        <v>75</v>
      </c>
      <c r="E2150" s="91">
        <v>4.0</v>
      </c>
      <c r="F2150" s="80"/>
      <c r="G2150" s="135" t="s">
        <v>619</v>
      </c>
      <c r="H2150" s="159"/>
      <c r="I2150" s="135"/>
      <c r="J2150" s="135"/>
      <c r="K2150" s="135"/>
    </row>
    <row r="2151" ht="12.75" customHeight="1">
      <c r="E2151" s="79"/>
      <c r="F2151" s="80"/>
      <c r="G2151" s="80"/>
      <c r="H2151" s="81"/>
      <c r="I2151" s="80"/>
      <c r="J2151" s="80"/>
      <c r="K2151" s="80"/>
    </row>
    <row r="2152" ht="12.75" customHeight="1">
      <c r="B2152" s="90" t="s">
        <v>4422</v>
      </c>
      <c r="C2152" s="90"/>
      <c r="D2152" s="89" t="s">
        <v>75</v>
      </c>
      <c r="E2152" s="91">
        <v>9.0</v>
      </c>
      <c r="F2152" s="80"/>
      <c r="G2152" s="135" t="s">
        <v>619</v>
      </c>
      <c r="H2152" s="159"/>
      <c r="I2152" s="135"/>
      <c r="J2152" s="135"/>
      <c r="K2152" s="135"/>
    </row>
    <row r="2153" ht="12.75" customHeight="1">
      <c r="E2153" s="79"/>
      <c r="F2153" s="80"/>
      <c r="G2153" s="80"/>
      <c r="H2153" s="81"/>
      <c r="I2153" s="80"/>
      <c r="J2153" s="80"/>
      <c r="K2153" s="80"/>
    </row>
    <row r="2154" ht="12.75" customHeight="1">
      <c r="B2154" s="90" t="s">
        <v>4423</v>
      </c>
      <c r="C2154" s="90"/>
      <c r="D2154" s="89" t="s">
        <v>75</v>
      </c>
      <c r="E2154" s="91">
        <v>1.0</v>
      </c>
      <c r="F2154" s="80"/>
      <c r="G2154" s="135" t="s">
        <v>619</v>
      </c>
      <c r="H2154" s="159"/>
      <c r="I2154" s="135"/>
      <c r="J2154" s="135"/>
      <c r="K2154" s="135"/>
    </row>
    <row r="2155" ht="12.75" customHeight="1">
      <c r="E2155" s="79"/>
      <c r="F2155" s="80"/>
      <c r="G2155" s="80"/>
      <c r="H2155" s="81"/>
      <c r="I2155" s="80"/>
      <c r="J2155" s="80"/>
      <c r="K2155" s="80"/>
    </row>
    <row r="2156" ht="12.75" customHeight="1">
      <c r="B2156" s="90" t="s">
        <v>4424</v>
      </c>
      <c r="C2156" s="90"/>
      <c r="D2156" s="89" t="s">
        <v>75</v>
      </c>
      <c r="E2156" s="91">
        <v>2.0</v>
      </c>
      <c r="F2156" s="80"/>
      <c r="G2156" s="135" t="s">
        <v>619</v>
      </c>
      <c r="H2156" s="159"/>
      <c r="I2156" s="135"/>
      <c r="J2156" s="135"/>
      <c r="K2156" s="135"/>
    </row>
    <row r="2157" ht="12.75" customHeight="1">
      <c r="E2157" s="79"/>
      <c r="F2157" s="80"/>
      <c r="G2157" s="80"/>
      <c r="H2157" s="81"/>
      <c r="I2157" s="80"/>
      <c r="J2157" s="80"/>
      <c r="K2157" s="80"/>
    </row>
    <row r="2158" ht="12.75" customHeight="1">
      <c r="B2158" s="90" t="s">
        <v>4425</v>
      </c>
      <c r="C2158" s="90"/>
      <c r="D2158" s="89" t="s">
        <v>75</v>
      </c>
      <c r="E2158" s="91">
        <v>1.0</v>
      </c>
      <c r="F2158" s="80"/>
      <c r="G2158" s="135" t="s">
        <v>619</v>
      </c>
      <c r="H2158" s="159"/>
      <c r="I2158" s="135"/>
      <c r="J2158" s="135"/>
      <c r="K2158" s="135"/>
    </row>
    <row r="2159" ht="12.75" customHeight="1">
      <c r="E2159" s="79"/>
      <c r="F2159" s="80"/>
      <c r="G2159" s="80"/>
      <c r="H2159" s="81"/>
      <c r="I2159" s="80"/>
      <c r="J2159" s="80"/>
      <c r="K2159" s="80"/>
    </row>
    <row r="2160" ht="12.75" customHeight="1">
      <c r="B2160" s="90" t="s">
        <v>4426</v>
      </c>
      <c r="C2160" s="90"/>
      <c r="D2160" s="89" t="s">
        <v>161</v>
      </c>
      <c r="E2160" s="91">
        <v>628.0</v>
      </c>
      <c r="F2160" s="92">
        <v>1.81</v>
      </c>
      <c r="G2160" s="92">
        <v>1136.68</v>
      </c>
      <c r="H2160" s="93"/>
      <c r="I2160" s="92"/>
      <c r="J2160" s="92"/>
      <c r="K2160" s="92"/>
    </row>
    <row r="2161" ht="12.75" customHeight="1">
      <c r="E2161" s="79"/>
      <c r="F2161" s="80"/>
      <c r="G2161" s="80"/>
      <c r="H2161" s="81"/>
      <c r="I2161" s="80"/>
      <c r="J2161" s="80"/>
      <c r="K2161" s="80"/>
    </row>
    <row r="2162" ht="12.75" customHeight="1">
      <c r="B2162" s="90" t="s">
        <v>3352</v>
      </c>
      <c r="C2162" s="90"/>
      <c r="D2162" s="89" t="s">
        <v>161</v>
      </c>
      <c r="E2162" s="91">
        <v>25.0</v>
      </c>
      <c r="F2162" s="92">
        <v>2.34</v>
      </c>
      <c r="G2162" s="92">
        <v>58.5</v>
      </c>
      <c r="H2162" s="93"/>
      <c r="I2162" s="92"/>
      <c r="J2162" s="92"/>
      <c r="K2162" s="92"/>
    </row>
    <row r="2163" ht="12.75" customHeight="1">
      <c r="E2163" s="79"/>
      <c r="F2163" s="80"/>
      <c r="G2163" s="80"/>
      <c r="H2163" s="81"/>
      <c r="I2163" s="80"/>
      <c r="J2163" s="80"/>
      <c r="K2163" s="80"/>
    </row>
    <row r="2164" ht="12.75" customHeight="1">
      <c r="B2164" s="90" t="s">
        <v>3269</v>
      </c>
      <c r="C2164" s="90"/>
      <c r="D2164" s="89" t="s">
        <v>75</v>
      </c>
      <c r="E2164" s="91">
        <v>2.0</v>
      </c>
      <c r="F2164" s="92">
        <v>61.67</v>
      </c>
      <c r="G2164" s="92">
        <v>123.34</v>
      </c>
      <c r="H2164" s="93"/>
      <c r="I2164" s="92"/>
      <c r="J2164" s="92"/>
      <c r="K2164" s="92"/>
    </row>
    <row r="2165" ht="12.75" customHeight="1">
      <c r="E2165" s="79"/>
      <c r="F2165" s="80"/>
      <c r="G2165" s="80"/>
      <c r="H2165" s="81"/>
      <c r="I2165" s="80"/>
      <c r="J2165" s="80"/>
      <c r="K2165" s="80"/>
    </row>
    <row r="2166" ht="12.75" customHeight="1">
      <c r="B2166" s="90" t="s">
        <v>3329</v>
      </c>
      <c r="C2166" s="90"/>
      <c r="D2166" s="89" t="s">
        <v>75</v>
      </c>
      <c r="E2166" s="91">
        <v>1.0</v>
      </c>
      <c r="F2166" s="92">
        <v>77.83</v>
      </c>
      <c r="G2166" s="92">
        <v>77.83</v>
      </c>
      <c r="H2166" s="93"/>
      <c r="I2166" s="92"/>
      <c r="J2166" s="92"/>
      <c r="K2166" s="92"/>
    </row>
    <row r="2167" ht="12.75" customHeight="1">
      <c r="E2167" s="79"/>
      <c r="F2167" s="80"/>
      <c r="G2167" s="80"/>
      <c r="H2167" s="81"/>
      <c r="I2167" s="80"/>
      <c r="J2167" s="80"/>
      <c r="K2167" s="80"/>
    </row>
    <row r="2168" ht="12.75" customHeight="1">
      <c r="A2168" s="89" t="s">
        <v>1507</v>
      </c>
      <c r="B2168" s="90" t="s">
        <v>4427</v>
      </c>
      <c r="C2168" s="90"/>
      <c r="D2168" s="89" t="s">
        <v>1435</v>
      </c>
      <c r="E2168" s="91">
        <v>1.0</v>
      </c>
      <c r="F2168" s="92">
        <v>8837.23</v>
      </c>
      <c r="G2168" s="92">
        <v>8837.23</v>
      </c>
      <c r="H2168" s="93"/>
      <c r="I2168" s="92"/>
      <c r="J2168" s="92"/>
      <c r="K2168" s="92"/>
    </row>
    <row r="2169" ht="12.75" customHeight="1">
      <c r="E2169" s="79"/>
      <c r="F2169" s="80"/>
      <c r="G2169" s="80"/>
      <c r="H2169" s="81"/>
      <c r="I2169" s="80"/>
      <c r="J2169" s="80"/>
      <c r="K2169" s="80"/>
    </row>
    <row r="2170" ht="12.75" customHeight="1">
      <c r="B2170" s="90" t="s">
        <v>4428</v>
      </c>
      <c r="C2170" s="90"/>
      <c r="E2170" s="79"/>
      <c r="F2170" s="80"/>
      <c r="G2170" s="80"/>
      <c r="H2170" s="81"/>
      <c r="I2170" s="80"/>
      <c r="J2170" s="80"/>
      <c r="K2170" s="80"/>
    </row>
    <row r="2171" ht="12.75" customHeight="1">
      <c r="E2171" s="79"/>
      <c r="F2171" s="80"/>
      <c r="G2171" s="80"/>
      <c r="H2171" s="81"/>
      <c r="I2171" s="80"/>
      <c r="J2171" s="80"/>
      <c r="K2171" s="80"/>
    </row>
    <row r="2172" ht="12.75" customHeight="1">
      <c r="B2172" s="90" t="s">
        <v>4429</v>
      </c>
      <c r="C2172" s="90"/>
      <c r="E2172" s="79"/>
      <c r="F2172" s="80"/>
      <c r="G2172" s="80"/>
      <c r="H2172" s="81"/>
      <c r="I2172" s="80"/>
      <c r="J2172" s="80"/>
      <c r="K2172" s="80"/>
    </row>
    <row r="2173" ht="12.75" customHeight="1">
      <c r="E2173" s="79"/>
      <c r="F2173" s="80"/>
      <c r="G2173" s="80"/>
      <c r="H2173" s="81"/>
      <c r="I2173" s="80"/>
      <c r="J2173" s="80"/>
      <c r="K2173" s="80"/>
    </row>
    <row r="2174" ht="12.75" customHeight="1">
      <c r="B2174" s="90" t="s">
        <v>4430</v>
      </c>
      <c r="C2174" s="90"/>
      <c r="D2174" s="89" t="s">
        <v>75</v>
      </c>
      <c r="E2174" s="91">
        <v>1.0</v>
      </c>
      <c r="F2174" s="80"/>
      <c r="G2174" s="135" t="s">
        <v>619</v>
      </c>
      <c r="H2174" s="159"/>
      <c r="I2174" s="135"/>
      <c r="J2174" s="135"/>
      <c r="K2174" s="135"/>
    </row>
    <row r="2175" ht="12.75" customHeight="1">
      <c r="E2175" s="79"/>
      <c r="F2175" s="80"/>
      <c r="G2175" s="80"/>
      <c r="H2175" s="81"/>
      <c r="I2175" s="80"/>
      <c r="J2175" s="80"/>
      <c r="K2175" s="80"/>
    </row>
    <row r="2176" ht="12.75" customHeight="1">
      <c r="B2176" s="90" t="s">
        <v>4431</v>
      </c>
      <c r="C2176" s="90"/>
      <c r="D2176" s="89" t="s">
        <v>75</v>
      </c>
      <c r="E2176" s="91">
        <v>1.0</v>
      </c>
      <c r="F2176" s="80"/>
      <c r="G2176" s="135" t="s">
        <v>619</v>
      </c>
      <c r="H2176" s="159"/>
      <c r="I2176" s="135"/>
      <c r="J2176" s="135"/>
      <c r="K2176" s="135"/>
    </row>
    <row r="2177" ht="12.75" customHeight="1">
      <c r="E2177" s="79"/>
      <c r="F2177" s="80"/>
      <c r="G2177" s="80"/>
      <c r="H2177" s="81"/>
      <c r="I2177" s="80"/>
      <c r="J2177" s="80"/>
      <c r="K2177" s="80"/>
    </row>
    <row r="2178" ht="12.75" customHeight="1">
      <c r="B2178" s="90" t="s">
        <v>4432</v>
      </c>
      <c r="C2178" s="90"/>
      <c r="D2178" s="89" t="s">
        <v>75</v>
      </c>
      <c r="E2178" s="91">
        <v>1.0</v>
      </c>
      <c r="F2178" s="80"/>
      <c r="G2178" s="135" t="s">
        <v>619</v>
      </c>
      <c r="H2178" s="159"/>
      <c r="I2178" s="135"/>
      <c r="J2178" s="135"/>
      <c r="K2178" s="135"/>
    </row>
    <row r="2179" ht="12.75" customHeight="1">
      <c r="E2179" s="79"/>
      <c r="F2179" s="80"/>
      <c r="G2179" s="80"/>
      <c r="H2179" s="81"/>
      <c r="I2179" s="80"/>
      <c r="J2179" s="80"/>
      <c r="K2179" s="80"/>
    </row>
    <row r="2180" ht="12.75" customHeight="1">
      <c r="B2180" s="90" t="s">
        <v>4433</v>
      </c>
      <c r="C2180" s="90"/>
      <c r="D2180" s="89" t="s">
        <v>75</v>
      </c>
      <c r="E2180" s="91">
        <v>1.0</v>
      </c>
      <c r="F2180" s="80"/>
      <c r="G2180" s="135" t="s">
        <v>619</v>
      </c>
      <c r="H2180" s="159"/>
      <c r="I2180" s="135"/>
      <c r="J2180" s="135"/>
      <c r="K2180" s="135"/>
    </row>
    <row r="2181" ht="12.75" customHeight="1">
      <c r="E2181" s="79"/>
      <c r="F2181" s="80"/>
      <c r="G2181" s="80"/>
      <c r="H2181" s="81"/>
      <c r="I2181" s="80"/>
      <c r="J2181" s="80"/>
      <c r="K2181" s="80"/>
    </row>
    <row r="2182" ht="12.75" customHeight="1">
      <c r="B2182" s="90" t="s">
        <v>4400</v>
      </c>
      <c r="C2182" s="90"/>
      <c r="D2182" s="89" t="s">
        <v>161</v>
      </c>
      <c r="E2182" s="91">
        <v>398.0</v>
      </c>
      <c r="F2182" s="80"/>
      <c r="G2182" s="135" t="s">
        <v>619</v>
      </c>
      <c r="H2182" s="159"/>
      <c r="I2182" s="135"/>
      <c r="J2182" s="135"/>
      <c r="K2182" s="135"/>
    </row>
    <row r="2183" ht="12.75" customHeight="1">
      <c r="E2183" s="79"/>
      <c r="F2183" s="80"/>
      <c r="G2183" s="80"/>
      <c r="H2183" s="81"/>
      <c r="I2183" s="80"/>
      <c r="J2183" s="80"/>
      <c r="K2183" s="80"/>
    </row>
    <row r="2184" ht="12.75" customHeight="1">
      <c r="B2184" s="90" t="s">
        <v>4434</v>
      </c>
      <c r="C2184" s="90"/>
      <c r="D2184" s="89" t="s">
        <v>75</v>
      </c>
      <c r="E2184" s="91">
        <v>9.0</v>
      </c>
      <c r="F2184" s="80"/>
      <c r="G2184" s="135" t="s">
        <v>619</v>
      </c>
      <c r="H2184" s="159"/>
      <c r="I2184" s="135"/>
      <c r="J2184" s="135"/>
      <c r="K2184" s="135"/>
    </row>
    <row r="2185" ht="12.75" customHeight="1">
      <c r="E2185" s="79"/>
      <c r="F2185" s="80"/>
      <c r="G2185" s="80"/>
      <c r="H2185" s="81"/>
      <c r="I2185" s="80"/>
      <c r="J2185" s="80"/>
      <c r="K2185" s="80"/>
    </row>
    <row r="2186" ht="12.75" customHeight="1">
      <c r="B2186" s="90" t="s">
        <v>4435</v>
      </c>
      <c r="C2186" s="90"/>
      <c r="D2186" s="89" t="s">
        <v>75</v>
      </c>
      <c r="E2186" s="91">
        <v>4.0</v>
      </c>
      <c r="F2186" s="80"/>
      <c r="G2186" s="135" t="s">
        <v>619</v>
      </c>
      <c r="H2186" s="159"/>
      <c r="I2186" s="135"/>
      <c r="J2186" s="135"/>
      <c r="K2186" s="135"/>
    </row>
    <row r="2187" ht="12.75" customHeight="1">
      <c r="E2187" s="79"/>
      <c r="F2187" s="80"/>
      <c r="G2187" s="80"/>
      <c r="H2187" s="81"/>
      <c r="I2187" s="80"/>
      <c r="J2187" s="80"/>
      <c r="K2187" s="80"/>
    </row>
    <row r="2188" ht="12.75" customHeight="1">
      <c r="B2188" s="90" t="s">
        <v>4401</v>
      </c>
      <c r="C2188" s="90"/>
      <c r="D2188" s="89" t="s">
        <v>75</v>
      </c>
      <c r="E2188" s="91">
        <v>1.0</v>
      </c>
      <c r="F2188" s="80"/>
      <c r="G2188" s="135" t="s">
        <v>619</v>
      </c>
      <c r="H2188" s="159"/>
      <c r="I2188" s="135"/>
      <c r="J2188" s="135"/>
      <c r="K2188" s="135"/>
    </row>
    <row r="2189" ht="12.75" customHeight="1">
      <c r="E2189" s="79"/>
      <c r="F2189" s="80"/>
      <c r="G2189" s="80"/>
      <c r="H2189" s="81"/>
      <c r="I2189" s="80"/>
      <c r="J2189" s="80"/>
      <c r="K2189" s="80"/>
    </row>
    <row r="2190" ht="12.75" customHeight="1">
      <c r="B2190" s="90" t="s">
        <v>3350</v>
      </c>
      <c r="C2190" s="90"/>
      <c r="D2190" s="89" t="s">
        <v>161</v>
      </c>
      <c r="E2190" s="91">
        <v>369.0</v>
      </c>
      <c r="F2190" s="92">
        <v>2.2</v>
      </c>
      <c r="G2190" s="92">
        <v>811.8</v>
      </c>
      <c r="H2190" s="93"/>
      <c r="I2190" s="92"/>
      <c r="J2190" s="92"/>
      <c r="K2190" s="92"/>
    </row>
    <row r="2191" ht="12.75" customHeight="1">
      <c r="E2191" s="79"/>
      <c r="F2191" s="80"/>
      <c r="G2191" s="80"/>
      <c r="H2191" s="81"/>
      <c r="I2191" s="80"/>
      <c r="J2191" s="80"/>
      <c r="K2191" s="80"/>
    </row>
    <row r="2192" ht="12.75" customHeight="1">
      <c r="B2192" s="90" t="s">
        <v>3352</v>
      </c>
      <c r="C2192" s="90"/>
      <c r="D2192" s="89" t="s">
        <v>161</v>
      </c>
      <c r="E2192" s="91">
        <v>13.0</v>
      </c>
      <c r="F2192" s="92">
        <v>2.34</v>
      </c>
      <c r="G2192" s="92">
        <v>30.42</v>
      </c>
      <c r="H2192" s="93"/>
      <c r="I2192" s="92"/>
      <c r="J2192" s="92"/>
      <c r="K2192" s="92"/>
    </row>
    <row r="2193" ht="12.75" customHeight="1">
      <c r="E2193" s="79"/>
      <c r="F2193" s="80"/>
      <c r="G2193" s="80"/>
      <c r="H2193" s="81"/>
      <c r="I2193" s="80"/>
      <c r="J2193" s="80"/>
      <c r="K2193" s="80"/>
    </row>
    <row r="2194" ht="12.75" customHeight="1">
      <c r="A2194" s="89" t="s">
        <v>1521</v>
      </c>
      <c r="B2194" s="90" t="s">
        <v>2884</v>
      </c>
      <c r="C2194" s="90"/>
      <c r="E2194" s="79"/>
      <c r="F2194" s="80"/>
      <c r="G2194" s="80"/>
      <c r="H2194" s="81"/>
      <c r="I2194" s="80"/>
      <c r="J2194" s="80"/>
      <c r="K2194" s="80"/>
    </row>
    <row r="2195" ht="12.75" customHeight="1">
      <c r="E2195" s="79"/>
      <c r="F2195" s="80"/>
      <c r="G2195" s="80"/>
      <c r="H2195" s="81"/>
      <c r="I2195" s="80"/>
      <c r="J2195" s="80"/>
      <c r="K2195" s="80"/>
    </row>
    <row r="2196" ht="12.75" customHeight="1">
      <c r="B2196" s="90" t="s">
        <v>4224</v>
      </c>
      <c r="C2196" s="90"/>
      <c r="D2196" s="89" t="s">
        <v>33</v>
      </c>
      <c r="E2196" s="91">
        <v>1.0</v>
      </c>
      <c r="F2196" s="92">
        <v>451.94</v>
      </c>
      <c r="G2196" s="92">
        <v>451.94</v>
      </c>
      <c r="H2196" s="93"/>
      <c r="I2196" s="92"/>
      <c r="J2196" s="92"/>
      <c r="K2196" s="92"/>
    </row>
    <row r="2197" ht="12.75" customHeight="1">
      <c r="E2197" s="79"/>
      <c r="F2197" s="80"/>
      <c r="G2197" s="80"/>
      <c r="H2197" s="81"/>
      <c r="I2197" s="80"/>
      <c r="J2197" s="80"/>
      <c r="K2197" s="80"/>
    </row>
    <row r="2198" ht="12.75" customHeight="1">
      <c r="B2198" s="90" t="s">
        <v>4375</v>
      </c>
      <c r="C2198" s="90"/>
      <c r="D2198" s="89" t="s">
        <v>33</v>
      </c>
      <c r="E2198" s="91">
        <v>1.0</v>
      </c>
      <c r="F2198" s="92">
        <v>404.09</v>
      </c>
      <c r="G2198" s="92">
        <v>404.09</v>
      </c>
      <c r="H2198" s="93"/>
      <c r="I2198" s="92"/>
      <c r="J2198" s="92"/>
      <c r="K2198" s="92"/>
    </row>
    <row r="2199" ht="12.75" customHeight="1">
      <c r="E2199" s="79"/>
      <c r="F2199" s="80"/>
      <c r="G2199" s="80"/>
      <c r="H2199" s="81"/>
      <c r="I2199" s="80"/>
      <c r="J2199" s="80"/>
      <c r="K2199" s="80"/>
    </row>
    <row r="2200" ht="12.75" customHeight="1">
      <c r="A2200" s="162" t="s">
        <v>4292</v>
      </c>
      <c r="B2200" s="161" t="s">
        <v>2896</v>
      </c>
      <c r="C2200" s="161"/>
      <c r="D2200" s="160"/>
      <c r="E2200" s="415"/>
      <c r="F2200" s="416"/>
      <c r="G2200" s="164">
        <v>213667.64</v>
      </c>
      <c r="H2200" s="165">
        <f>G2200</f>
        <v>213667.64</v>
      </c>
      <c r="I2200" s="164"/>
      <c r="J2200" s="164"/>
      <c r="K2200" s="164"/>
    </row>
    <row r="2201" ht="12.75" customHeight="1">
      <c r="E2201" s="79"/>
      <c r="F2201" s="80"/>
      <c r="G2201" s="80"/>
      <c r="H2201" s="81"/>
      <c r="I2201" s="80"/>
      <c r="J2201" s="80"/>
      <c r="K2201" s="80"/>
    </row>
    <row r="2202" ht="12.75" customHeight="1">
      <c r="E2202" s="79"/>
      <c r="F2202" s="80"/>
      <c r="G2202" s="80"/>
      <c r="H2202" s="81"/>
      <c r="I2202" s="80"/>
      <c r="J2202" s="80"/>
      <c r="K2202" s="80"/>
    </row>
    <row r="2203" ht="12.75" customHeight="1">
      <c r="A2203" s="89" t="s">
        <v>1522</v>
      </c>
      <c r="B2203" s="90" t="s">
        <v>4436</v>
      </c>
      <c r="C2203" s="90"/>
      <c r="E2203" s="79"/>
      <c r="F2203" s="80"/>
      <c r="G2203" s="80"/>
      <c r="H2203" s="81"/>
      <c r="I2203" s="80"/>
      <c r="J2203" s="80"/>
      <c r="K2203" s="80"/>
    </row>
    <row r="2204" ht="12.75" customHeight="1">
      <c r="E2204" s="79"/>
      <c r="F2204" s="80"/>
      <c r="G2204" s="80"/>
      <c r="H2204" s="81"/>
      <c r="I2204" s="80"/>
      <c r="J2204" s="80"/>
      <c r="K2204" s="80"/>
    </row>
    <row r="2205" ht="12.75" customHeight="1">
      <c r="B2205" s="90" t="s">
        <v>4437</v>
      </c>
      <c r="C2205" s="90"/>
      <c r="E2205" s="79"/>
      <c r="F2205" s="80"/>
      <c r="G2205" s="80"/>
      <c r="H2205" s="81"/>
      <c r="I2205" s="80"/>
      <c r="J2205" s="80"/>
      <c r="K2205" s="80"/>
    </row>
    <row r="2206" ht="12.75" customHeight="1">
      <c r="E2206" s="79"/>
      <c r="F2206" s="80"/>
      <c r="G2206" s="80"/>
      <c r="H2206" s="81"/>
      <c r="I2206" s="80"/>
      <c r="J2206" s="80"/>
      <c r="K2206" s="80"/>
    </row>
    <row r="2207" ht="12.75" customHeight="1">
      <c r="A2207" s="89" t="s">
        <v>1525</v>
      </c>
      <c r="B2207" s="90" t="s">
        <v>4438</v>
      </c>
      <c r="C2207" s="90"/>
      <c r="E2207" s="79"/>
      <c r="F2207" s="80"/>
      <c r="G2207" s="80"/>
      <c r="H2207" s="81"/>
      <c r="I2207" s="80"/>
      <c r="J2207" s="80"/>
      <c r="K2207" s="80"/>
    </row>
    <row r="2208" ht="12.75" customHeight="1">
      <c r="E2208" s="79"/>
      <c r="F2208" s="80"/>
      <c r="G2208" s="80"/>
      <c r="H2208" s="81"/>
      <c r="I2208" s="80"/>
      <c r="J2208" s="80"/>
      <c r="K2208" s="80"/>
    </row>
    <row r="2209" ht="12.75" customHeight="1">
      <c r="B2209" s="90" t="s">
        <v>1527</v>
      </c>
      <c r="C2209" s="90"/>
      <c r="D2209" s="89" t="s">
        <v>161</v>
      </c>
      <c r="E2209" s="91">
        <v>369.0</v>
      </c>
      <c r="F2209" s="92">
        <v>3.09</v>
      </c>
      <c r="G2209" s="92">
        <v>1140.21</v>
      </c>
      <c r="H2209" s="93"/>
      <c r="I2209" s="92"/>
      <c r="J2209" s="92"/>
      <c r="K2209" s="92"/>
    </row>
    <row r="2210" ht="12.75" customHeight="1">
      <c r="E2210" s="79"/>
      <c r="F2210" s="80"/>
      <c r="G2210" s="80"/>
      <c r="H2210" s="81"/>
      <c r="I2210" s="80"/>
      <c r="J2210" s="80"/>
      <c r="K2210" s="80"/>
    </row>
    <row r="2211" ht="12.75" customHeight="1">
      <c r="B2211" s="90" t="s">
        <v>1528</v>
      </c>
      <c r="C2211" s="90"/>
      <c r="D2211" s="89" t="s">
        <v>161</v>
      </c>
      <c r="E2211" s="91">
        <v>44.0</v>
      </c>
      <c r="F2211" s="92">
        <v>4.93</v>
      </c>
      <c r="G2211" s="92">
        <v>216.92</v>
      </c>
      <c r="H2211" s="93"/>
      <c r="I2211" s="92"/>
      <c r="J2211" s="92"/>
      <c r="K2211" s="92"/>
    </row>
    <row r="2212" ht="12.75" customHeight="1">
      <c r="E2212" s="79"/>
      <c r="F2212" s="80"/>
      <c r="G2212" s="80"/>
      <c r="H2212" s="81"/>
      <c r="I2212" s="80"/>
      <c r="J2212" s="80"/>
      <c r="K2212" s="80"/>
    </row>
    <row r="2213" ht="12.75" customHeight="1">
      <c r="B2213" s="90" t="s">
        <v>1529</v>
      </c>
      <c r="C2213" s="90"/>
      <c r="D2213" s="89" t="s">
        <v>161</v>
      </c>
      <c r="E2213" s="91">
        <v>10.0</v>
      </c>
      <c r="F2213" s="92">
        <v>8.7</v>
      </c>
      <c r="G2213" s="92">
        <v>87.0</v>
      </c>
      <c r="H2213" s="93"/>
      <c r="I2213" s="92"/>
      <c r="J2213" s="92"/>
      <c r="K2213" s="92"/>
    </row>
    <row r="2214" ht="12.75" customHeight="1">
      <c r="E2214" s="79"/>
      <c r="F2214" s="80"/>
      <c r="G2214" s="80"/>
      <c r="H2214" s="81"/>
      <c r="I2214" s="80"/>
      <c r="J2214" s="80"/>
      <c r="K2214" s="80"/>
    </row>
    <row r="2215" ht="12.75" customHeight="1">
      <c r="A2215" s="89" t="s">
        <v>1530</v>
      </c>
      <c r="B2215" s="90" t="s">
        <v>4439</v>
      </c>
      <c r="C2215" s="90"/>
      <c r="E2215" s="79"/>
      <c r="F2215" s="80"/>
      <c r="G2215" s="80"/>
      <c r="H2215" s="81"/>
      <c r="I2215" s="80"/>
      <c r="J2215" s="80"/>
      <c r="K2215" s="80"/>
    </row>
    <row r="2216" ht="12.75" customHeight="1">
      <c r="E2216" s="79"/>
      <c r="F2216" s="80"/>
      <c r="G2216" s="80"/>
      <c r="H2216" s="81"/>
      <c r="I2216" s="80"/>
      <c r="J2216" s="80"/>
      <c r="K2216" s="80"/>
    </row>
    <row r="2217" ht="12.75" customHeight="1">
      <c r="B2217" s="90" t="s">
        <v>1532</v>
      </c>
      <c r="C2217" s="90"/>
      <c r="D2217" s="89" t="s">
        <v>75</v>
      </c>
      <c r="E2217" s="91">
        <v>1.0</v>
      </c>
      <c r="F2217" s="92">
        <v>193.97</v>
      </c>
      <c r="G2217" s="92">
        <v>193.97</v>
      </c>
      <c r="H2217" s="93"/>
      <c r="I2217" s="92"/>
      <c r="J2217" s="92"/>
      <c r="K2217" s="92"/>
    </row>
    <row r="2218" ht="12.75" customHeight="1">
      <c r="E2218" s="79"/>
      <c r="F2218" s="80"/>
      <c r="G2218" s="80"/>
      <c r="H2218" s="81"/>
      <c r="I2218" s="80"/>
      <c r="J2218" s="80"/>
      <c r="K2218" s="80"/>
    </row>
    <row r="2219" ht="12.75" customHeight="1">
      <c r="B2219" s="90" t="s">
        <v>4440</v>
      </c>
      <c r="C2219" s="90"/>
      <c r="D2219" s="89" t="s">
        <v>75</v>
      </c>
      <c r="E2219" s="91">
        <v>1.0</v>
      </c>
      <c r="F2219" s="92">
        <v>258.62</v>
      </c>
      <c r="G2219" s="92">
        <v>258.62</v>
      </c>
      <c r="H2219" s="93"/>
      <c r="I2219" s="92"/>
      <c r="J2219" s="92"/>
      <c r="K2219" s="92"/>
    </row>
    <row r="2220" ht="12.75" customHeight="1">
      <c r="E2220" s="79"/>
      <c r="F2220" s="80"/>
      <c r="G2220" s="80"/>
      <c r="H2220" s="81"/>
      <c r="I2220" s="80"/>
      <c r="J2220" s="80"/>
      <c r="K2220" s="80"/>
    </row>
    <row r="2221" ht="12.75" customHeight="1">
      <c r="A2221" s="89" t="s">
        <v>1534</v>
      </c>
      <c r="B2221" s="90" t="s">
        <v>3368</v>
      </c>
      <c r="C2221" s="90"/>
      <c r="E2221" s="79"/>
      <c r="F2221" s="80"/>
      <c r="G2221" s="80"/>
      <c r="H2221" s="81"/>
      <c r="I2221" s="80"/>
      <c r="J2221" s="80"/>
      <c r="K2221" s="80"/>
    </row>
    <row r="2222" ht="12.75" customHeight="1">
      <c r="E2222" s="79"/>
      <c r="F2222" s="80"/>
      <c r="G2222" s="80"/>
      <c r="H2222" s="81"/>
      <c r="I2222" s="80"/>
      <c r="J2222" s="80"/>
      <c r="K2222" s="80"/>
    </row>
    <row r="2223" ht="12.75" customHeight="1">
      <c r="B2223" s="90" t="s">
        <v>4441</v>
      </c>
      <c r="C2223" s="90"/>
      <c r="D2223" s="89" t="s">
        <v>33</v>
      </c>
      <c r="E2223" s="91">
        <v>1.0</v>
      </c>
      <c r="F2223" s="92">
        <v>6465.16</v>
      </c>
      <c r="G2223" s="92">
        <v>6465.16</v>
      </c>
      <c r="H2223" s="93"/>
      <c r="I2223" s="92"/>
      <c r="J2223" s="92"/>
      <c r="K2223" s="92"/>
    </row>
    <row r="2224" ht="12.75" customHeight="1">
      <c r="E2224" s="79"/>
      <c r="F2224" s="80"/>
      <c r="G2224" s="80"/>
      <c r="H2224" s="81"/>
      <c r="I2224" s="80"/>
      <c r="J2224" s="80"/>
      <c r="K2224" s="80"/>
    </row>
    <row r="2225" ht="12.75" customHeight="1">
      <c r="A2225" s="89" t="s">
        <v>1537</v>
      </c>
      <c r="B2225" s="90" t="s">
        <v>3371</v>
      </c>
      <c r="C2225" s="90"/>
      <c r="E2225" s="79"/>
      <c r="F2225" s="80"/>
      <c r="G2225" s="80"/>
      <c r="H2225" s="81"/>
      <c r="I2225" s="80"/>
      <c r="J2225" s="80"/>
      <c r="K2225" s="80"/>
    </row>
    <row r="2226" ht="12.75" customHeight="1">
      <c r="E2226" s="79"/>
      <c r="F2226" s="80"/>
      <c r="G2226" s="80"/>
      <c r="H2226" s="81"/>
      <c r="I2226" s="80"/>
      <c r="J2226" s="80"/>
      <c r="K2226" s="80"/>
    </row>
    <row r="2227" ht="12.75" customHeight="1">
      <c r="B2227" s="90" t="s">
        <v>3373</v>
      </c>
      <c r="C2227" s="90"/>
      <c r="D2227" s="89" t="s">
        <v>75</v>
      </c>
      <c r="E2227" s="91">
        <v>23.0</v>
      </c>
      <c r="F2227" s="92">
        <v>2.3</v>
      </c>
      <c r="G2227" s="92">
        <v>52.9</v>
      </c>
      <c r="H2227" s="93"/>
      <c r="I2227" s="92"/>
      <c r="J2227" s="92"/>
      <c r="K2227" s="92"/>
    </row>
    <row r="2228" ht="12.75" customHeight="1">
      <c r="E2228" s="79"/>
      <c r="F2228" s="80"/>
      <c r="G2228" s="80"/>
      <c r="H2228" s="81"/>
      <c r="I2228" s="80"/>
      <c r="J2228" s="80"/>
      <c r="K2228" s="80"/>
    </row>
    <row r="2229" ht="12.75" customHeight="1">
      <c r="B2229" s="90" t="s">
        <v>3375</v>
      </c>
      <c r="C2229" s="90"/>
      <c r="D2229" s="89" t="s">
        <v>75</v>
      </c>
      <c r="E2229" s="91">
        <v>3.0</v>
      </c>
      <c r="F2229" s="92">
        <v>61.67</v>
      </c>
      <c r="G2229" s="92">
        <v>185.01</v>
      </c>
      <c r="H2229" s="93"/>
      <c r="I2229" s="92"/>
      <c r="J2229" s="92"/>
      <c r="K2229" s="92"/>
    </row>
    <row r="2230" ht="12.75" customHeight="1">
      <c r="E2230" s="79"/>
      <c r="F2230" s="80"/>
      <c r="G2230" s="80"/>
      <c r="H2230" s="81"/>
      <c r="I2230" s="80"/>
      <c r="J2230" s="80"/>
      <c r="K2230" s="80"/>
    </row>
    <row r="2231" ht="12.75" customHeight="1">
      <c r="A2231" s="89" t="s">
        <v>1541</v>
      </c>
      <c r="B2231" s="90" t="s">
        <v>3376</v>
      </c>
      <c r="C2231" s="90"/>
      <c r="E2231" s="79"/>
      <c r="F2231" s="80"/>
      <c r="G2231" s="80"/>
      <c r="H2231" s="81"/>
      <c r="I2231" s="80"/>
      <c r="J2231" s="80"/>
      <c r="K2231" s="80"/>
    </row>
    <row r="2232" ht="12.75" customHeight="1">
      <c r="E2232" s="79"/>
      <c r="F2232" s="80"/>
      <c r="G2232" s="80"/>
      <c r="H2232" s="81"/>
      <c r="I2232" s="80"/>
      <c r="J2232" s="80"/>
      <c r="K2232" s="80"/>
    </row>
    <row r="2233" ht="12.75" customHeight="1">
      <c r="B2233" s="90" t="s">
        <v>4442</v>
      </c>
      <c r="C2233" s="90"/>
      <c r="D2233" s="89" t="s">
        <v>75</v>
      </c>
      <c r="E2233" s="91">
        <v>10.0</v>
      </c>
      <c r="F2233" s="92">
        <v>37.82</v>
      </c>
      <c r="G2233" s="92">
        <v>378.2</v>
      </c>
      <c r="H2233" s="93"/>
      <c r="I2233" s="92"/>
      <c r="J2233" s="92"/>
      <c r="K2233" s="92"/>
    </row>
    <row r="2234" ht="12.75" customHeight="1">
      <c r="E2234" s="79"/>
      <c r="F2234" s="80"/>
      <c r="G2234" s="80"/>
      <c r="H2234" s="81"/>
      <c r="I2234" s="80"/>
      <c r="J2234" s="80"/>
      <c r="K2234" s="80"/>
    </row>
    <row r="2235" ht="12.75" customHeight="1">
      <c r="B2235" s="90" t="s">
        <v>4443</v>
      </c>
      <c r="C2235" s="90"/>
      <c r="D2235" s="89" t="s">
        <v>75</v>
      </c>
      <c r="E2235" s="91">
        <v>12.0</v>
      </c>
      <c r="F2235" s="92">
        <v>34.59</v>
      </c>
      <c r="G2235" s="92">
        <v>415.08</v>
      </c>
      <c r="H2235" s="93"/>
      <c r="I2235" s="92"/>
      <c r="J2235" s="92"/>
      <c r="K2235" s="92"/>
    </row>
    <row r="2236" ht="12.75" customHeight="1">
      <c r="E2236" s="79"/>
      <c r="F2236" s="80"/>
      <c r="G2236" s="80"/>
      <c r="H2236" s="81"/>
      <c r="I2236" s="80"/>
      <c r="J2236" s="80"/>
      <c r="K2236" s="80"/>
    </row>
    <row r="2237" ht="12.75" customHeight="1">
      <c r="B2237" s="90" t="s">
        <v>4444</v>
      </c>
      <c r="C2237" s="90"/>
      <c r="D2237" s="89" t="s">
        <v>75</v>
      </c>
      <c r="E2237" s="91">
        <v>1.0</v>
      </c>
      <c r="F2237" s="92">
        <v>57.87</v>
      </c>
      <c r="G2237" s="92">
        <v>57.87</v>
      </c>
      <c r="H2237" s="93"/>
      <c r="I2237" s="92"/>
      <c r="J2237" s="92"/>
      <c r="K2237" s="92"/>
    </row>
    <row r="2238" ht="12.75" customHeight="1">
      <c r="E2238" s="79"/>
      <c r="F2238" s="80"/>
      <c r="G2238" s="80"/>
      <c r="H2238" s="81"/>
      <c r="I2238" s="80"/>
      <c r="J2238" s="80"/>
      <c r="K2238" s="80"/>
    </row>
    <row r="2239" ht="12.75" customHeight="1">
      <c r="A2239" s="89" t="s">
        <v>1546</v>
      </c>
      <c r="B2239" s="90" t="s">
        <v>3383</v>
      </c>
      <c r="C2239" s="90"/>
      <c r="E2239" s="79"/>
      <c r="F2239" s="80"/>
      <c r="G2239" s="80"/>
      <c r="H2239" s="81"/>
      <c r="I2239" s="80"/>
      <c r="J2239" s="80"/>
      <c r="K2239" s="80"/>
    </row>
    <row r="2240" ht="12.75" customHeight="1">
      <c r="E2240" s="79"/>
      <c r="F2240" s="80"/>
      <c r="G2240" s="80"/>
      <c r="H2240" s="81"/>
      <c r="I2240" s="80"/>
      <c r="J2240" s="80"/>
      <c r="K2240" s="80"/>
    </row>
    <row r="2241" ht="12.75" customHeight="1">
      <c r="B2241" s="90" t="s">
        <v>3385</v>
      </c>
      <c r="C2241" s="90"/>
      <c r="D2241" s="89" t="s">
        <v>75</v>
      </c>
      <c r="E2241" s="91">
        <v>1.0</v>
      </c>
      <c r="F2241" s="92">
        <v>775.21</v>
      </c>
      <c r="G2241" s="92">
        <v>775.21</v>
      </c>
      <c r="H2241" s="93"/>
      <c r="I2241" s="92"/>
      <c r="J2241" s="92"/>
      <c r="K2241" s="92"/>
    </row>
    <row r="2242" ht="12.75" customHeight="1">
      <c r="E2242" s="79"/>
      <c r="F2242" s="80"/>
      <c r="G2242" s="80"/>
      <c r="H2242" s="81"/>
      <c r="I2242" s="80"/>
      <c r="J2242" s="80"/>
      <c r="K2242" s="80"/>
    </row>
    <row r="2243" ht="12.75" customHeight="1">
      <c r="B2243" s="90" t="s">
        <v>4445</v>
      </c>
      <c r="C2243" s="90"/>
      <c r="D2243" s="89" t="s">
        <v>75</v>
      </c>
      <c r="E2243" s="91">
        <v>1.0</v>
      </c>
      <c r="F2243" s="92">
        <v>110.08</v>
      </c>
      <c r="G2243" s="92">
        <v>110.08</v>
      </c>
      <c r="H2243" s="93"/>
      <c r="I2243" s="92"/>
      <c r="J2243" s="92"/>
      <c r="K2243" s="92"/>
    </row>
    <row r="2244" ht="12.75" customHeight="1">
      <c r="E2244" s="79"/>
      <c r="F2244" s="80"/>
      <c r="G2244" s="80"/>
      <c r="H2244" s="81"/>
      <c r="I2244" s="80"/>
      <c r="J2244" s="80"/>
      <c r="K2244" s="80"/>
    </row>
    <row r="2245" ht="12.75" customHeight="1">
      <c r="A2245" s="89" t="s">
        <v>1550</v>
      </c>
      <c r="B2245" s="90" t="s">
        <v>4446</v>
      </c>
      <c r="C2245" s="90"/>
      <c r="E2245" s="79"/>
      <c r="F2245" s="80"/>
      <c r="G2245" s="80"/>
      <c r="H2245" s="81"/>
      <c r="I2245" s="80"/>
      <c r="J2245" s="80"/>
      <c r="K2245" s="80"/>
    </row>
    <row r="2246" ht="12.75" customHeight="1">
      <c r="E2246" s="79"/>
      <c r="F2246" s="80"/>
      <c r="G2246" s="80"/>
      <c r="H2246" s="81"/>
      <c r="I2246" s="80"/>
      <c r="J2246" s="80"/>
      <c r="K2246" s="80"/>
    </row>
    <row r="2247" ht="12.75" customHeight="1">
      <c r="B2247" s="90" t="s">
        <v>3390</v>
      </c>
      <c r="C2247" s="90"/>
      <c r="D2247" s="89" t="s">
        <v>161</v>
      </c>
      <c r="E2247" s="91">
        <v>532.0</v>
      </c>
      <c r="F2247" s="92">
        <v>2.39</v>
      </c>
      <c r="G2247" s="92">
        <v>1271.48</v>
      </c>
      <c r="H2247" s="93"/>
      <c r="I2247" s="92"/>
      <c r="J2247" s="92"/>
      <c r="K2247" s="92"/>
    </row>
    <row r="2248" ht="12.75" customHeight="1">
      <c r="E2248" s="79"/>
      <c r="F2248" s="80"/>
      <c r="G2248" s="80"/>
      <c r="H2248" s="81"/>
      <c r="I2248" s="80"/>
      <c r="J2248" s="80"/>
      <c r="K2248" s="80"/>
    </row>
    <row r="2249" ht="12.75" customHeight="1">
      <c r="B2249" s="90" t="s">
        <v>3392</v>
      </c>
      <c r="C2249" s="90"/>
      <c r="D2249" s="89" t="s">
        <v>161</v>
      </c>
      <c r="E2249" s="91">
        <v>557.0</v>
      </c>
      <c r="F2249" s="92">
        <v>2.33</v>
      </c>
      <c r="G2249" s="92">
        <v>1297.81</v>
      </c>
      <c r="H2249" s="93"/>
      <c r="I2249" s="92"/>
      <c r="J2249" s="92"/>
      <c r="K2249" s="92"/>
    </row>
    <row r="2250" ht="12.75" customHeight="1">
      <c r="E2250" s="79"/>
      <c r="F2250" s="80"/>
      <c r="G2250" s="80"/>
      <c r="H2250" s="81"/>
      <c r="I2250" s="80"/>
      <c r="J2250" s="80"/>
      <c r="K2250" s="80"/>
    </row>
    <row r="2251" ht="12.75" customHeight="1">
      <c r="B2251" s="90" t="s">
        <v>4447</v>
      </c>
      <c r="C2251" s="90"/>
      <c r="D2251" s="89" t="s">
        <v>161</v>
      </c>
      <c r="E2251" s="91">
        <v>25.0</v>
      </c>
      <c r="F2251" s="92">
        <v>5.09</v>
      </c>
      <c r="G2251" s="92">
        <v>127.25</v>
      </c>
      <c r="H2251" s="93"/>
      <c r="I2251" s="92"/>
      <c r="J2251" s="92"/>
      <c r="K2251" s="92"/>
    </row>
    <row r="2252" ht="12.75" customHeight="1">
      <c r="E2252" s="79"/>
      <c r="F2252" s="80"/>
      <c r="G2252" s="80"/>
      <c r="H2252" s="81"/>
      <c r="I2252" s="80"/>
      <c r="J2252" s="80"/>
      <c r="K2252" s="80"/>
    </row>
    <row r="2253" ht="12.75" customHeight="1">
      <c r="A2253" s="89" t="s">
        <v>1555</v>
      </c>
      <c r="B2253" s="90" t="s">
        <v>4448</v>
      </c>
      <c r="C2253" s="90"/>
      <c r="E2253" s="79"/>
      <c r="F2253" s="80"/>
      <c r="G2253" s="80"/>
      <c r="H2253" s="81"/>
      <c r="I2253" s="80"/>
      <c r="J2253" s="80"/>
      <c r="K2253" s="80"/>
    </row>
    <row r="2254" ht="12.75" customHeight="1">
      <c r="E2254" s="79"/>
      <c r="F2254" s="80"/>
      <c r="G2254" s="80"/>
      <c r="H2254" s="81"/>
      <c r="I2254" s="80"/>
      <c r="J2254" s="80"/>
      <c r="K2254" s="80"/>
    </row>
    <row r="2255" ht="12.75" customHeight="1">
      <c r="B2255" s="90" t="s">
        <v>1556</v>
      </c>
      <c r="C2255" s="90"/>
      <c r="D2255" s="89" t="s">
        <v>161</v>
      </c>
      <c r="E2255" s="91">
        <v>13.0</v>
      </c>
      <c r="F2255" s="92">
        <v>2.04</v>
      </c>
      <c r="G2255" s="92">
        <v>26.52</v>
      </c>
      <c r="H2255" s="93"/>
      <c r="I2255" s="92"/>
      <c r="J2255" s="92"/>
      <c r="K2255" s="92"/>
    </row>
    <row r="2256" ht="12.75" customHeight="1">
      <c r="E2256" s="79"/>
      <c r="F2256" s="80"/>
      <c r="G2256" s="80"/>
      <c r="H2256" s="81"/>
      <c r="I2256" s="80"/>
      <c r="J2256" s="80"/>
      <c r="K2256" s="80"/>
    </row>
    <row r="2257" ht="12.75" customHeight="1">
      <c r="B2257" s="90" t="s">
        <v>1557</v>
      </c>
      <c r="C2257" s="90"/>
      <c r="D2257" s="89" t="s">
        <v>161</v>
      </c>
      <c r="E2257" s="91">
        <v>19.0</v>
      </c>
      <c r="F2257" s="92">
        <v>4.12</v>
      </c>
      <c r="G2257" s="92">
        <v>78.28</v>
      </c>
      <c r="H2257" s="93"/>
      <c r="I2257" s="92"/>
      <c r="J2257" s="92"/>
      <c r="K2257" s="92"/>
    </row>
    <row r="2258" ht="12.75" customHeight="1">
      <c r="E2258" s="79"/>
      <c r="F2258" s="80"/>
      <c r="G2258" s="80"/>
      <c r="H2258" s="81"/>
      <c r="I2258" s="80"/>
      <c r="J2258" s="80"/>
      <c r="K2258" s="80"/>
    </row>
    <row r="2259" ht="12.75" customHeight="1">
      <c r="A2259" s="89" t="s">
        <v>1558</v>
      </c>
      <c r="B2259" s="90" t="s">
        <v>2884</v>
      </c>
      <c r="C2259" s="90"/>
      <c r="E2259" s="79"/>
      <c r="F2259" s="80"/>
      <c r="G2259" s="80"/>
      <c r="H2259" s="81"/>
      <c r="I2259" s="80"/>
      <c r="J2259" s="80"/>
      <c r="K2259" s="80"/>
    </row>
    <row r="2260" ht="12.75" customHeight="1">
      <c r="E2260" s="79"/>
      <c r="F2260" s="80"/>
      <c r="G2260" s="80"/>
      <c r="H2260" s="81"/>
      <c r="I2260" s="80"/>
      <c r="J2260" s="80"/>
      <c r="K2260" s="80"/>
    </row>
    <row r="2261" ht="12.75" customHeight="1">
      <c r="B2261" s="90" t="s">
        <v>4224</v>
      </c>
      <c r="C2261" s="90"/>
      <c r="D2261" s="89" t="s">
        <v>33</v>
      </c>
      <c r="E2261" s="91">
        <v>1.0</v>
      </c>
      <c r="F2261" s="92">
        <v>581.25</v>
      </c>
      <c r="G2261" s="92">
        <v>581.25</v>
      </c>
      <c r="H2261" s="93"/>
      <c r="I2261" s="92"/>
      <c r="J2261" s="92"/>
      <c r="K2261" s="92"/>
    </row>
    <row r="2262" ht="12.75" customHeight="1">
      <c r="E2262" s="79"/>
      <c r="F2262" s="80"/>
      <c r="G2262" s="80"/>
      <c r="H2262" s="81"/>
      <c r="I2262" s="80"/>
      <c r="J2262" s="80"/>
      <c r="K2262" s="80"/>
    </row>
    <row r="2263" ht="12.75" customHeight="1">
      <c r="B2263" s="90" t="s">
        <v>4375</v>
      </c>
      <c r="C2263" s="90"/>
      <c r="D2263" s="89" t="s">
        <v>33</v>
      </c>
      <c r="E2263" s="91">
        <v>1.0</v>
      </c>
      <c r="F2263" s="92">
        <v>499.78</v>
      </c>
      <c r="G2263" s="92">
        <v>499.78</v>
      </c>
      <c r="H2263" s="93"/>
      <c r="I2263" s="92"/>
      <c r="J2263" s="92"/>
      <c r="K2263" s="92"/>
    </row>
    <row r="2264" ht="12.75" customHeight="1">
      <c r="E2264" s="79"/>
      <c r="F2264" s="80"/>
      <c r="G2264" s="80"/>
      <c r="H2264" s="81"/>
      <c r="I2264" s="80"/>
      <c r="J2264" s="80"/>
      <c r="K2264" s="80"/>
    </row>
    <row r="2265" ht="12.75" customHeight="1">
      <c r="A2265" s="89" t="s">
        <v>1522</v>
      </c>
      <c r="B2265" s="90" t="s">
        <v>4436</v>
      </c>
      <c r="C2265" s="90"/>
      <c r="E2265" s="79"/>
      <c r="F2265" s="80"/>
      <c r="G2265" s="92">
        <v>14218.6</v>
      </c>
      <c r="H2265" s="93">
        <f>G2265</f>
        <v>14218.6</v>
      </c>
      <c r="I2265" s="92"/>
      <c r="J2265" s="92"/>
      <c r="K2265" s="92"/>
    </row>
    <row r="2266" ht="12.75" customHeight="1">
      <c r="E2266" s="79"/>
      <c r="F2266" s="80"/>
      <c r="G2266" s="80"/>
      <c r="H2266" s="81"/>
      <c r="I2266" s="80"/>
      <c r="J2266" s="80"/>
      <c r="K2266" s="80"/>
    </row>
    <row r="2267" ht="12.75" customHeight="1">
      <c r="B2267" s="90" t="s">
        <v>4035</v>
      </c>
      <c r="C2267" s="90"/>
      <c r="E2267" s="79"/>
      <c r="F2267" s="80"/>
      <c r="G2267" s="92">
        <v>1136262.47</v>
      </c>
      <c r="H2267" s="93"/>
      <c r="I2267" s="92"/>
      <c r="J2267" s="92"/>
      <c r="K2267" s="92"/>
    </row>
    <row r="2268" ht="12.75" customHeight="1">
      <c r="E2268" s="79"/>
      <c r="F2268" s="80"/>
      <c r="G2268" s="80"/>
      <c r="H2268" s="81"/>
      <c r="I2268" s="80"/>
      <c r="J2268" s="80"/>
      <c r="K2268" s="80"/>
    </row>
    <row r="2269" ht="12.75" customHeight="1">
      <c r="E2269" s="79"/>
      <c r="F2269" s="80"/>
      <c r="G2269" s="80"/>
      <c r="H2269" s="81"/>
      <c r="I2269" s="80"/>
      <c r="J2269" s="80"/>
      <c r="K2269" s="80"/>
    </row>
    <row r="2270" ht="12.75" customHeight="1">
      <c r="B2270" s="90" t="s">
        <v>3606</v>
      </c>
      <c r="C2270" s="90"/>
      <c r="E2270" s="79"/>
      <c r="F2270" s="80"/>
      <c r="G2270" s="80"/>
      <c r="H2270" s="81"/>
      <c r="I2270" s="80"/>
      <c r="J2270" s="80"/>
      <c r="K2270" s="80"/>
    </row>
    <row r="2271" ht="12.75" customHeight="1">
      <c r="E2271" s="79"/>
      <c r="F2271" s="80"/>
      <c r="G2271" s="80"/>
      <c r="H2271" s="81"/>
      <c r="I2271" s="80"/>
      <c r="J2271" s="80"/>
      <c r="K2271" s="80"/>
    </row>
    <row r="2272" ht="12.75" customHeight="1">
      <c r="B2272" s="90" t="s">
        <v>4449</v>
      </c>
      <c r="C2272" s="90"/>
      <c r="E2272" s="79"/>
      <c r="F2272" s="80"/>
      <c r="G2272" s="80"/>
      <c r="H2272" s="81"/>
      <c r="I2272" s="80"/>
      <c r="J2272" s="80"/>
      <c r="K2272" s="80"/>
    </row>
    <row r="2273" ht="12.75" customHeight="1">
      <c r="E2273" s="79"/>
      <c r="F2273" s="80"/>
      <c r="G2273" s="80"/>
      <c r="H2273" s="81"/>
      <c r="I2273" s="80"/>
      <c r="J2273" s="80"/>
      <c r="K2273" s="80"/>
    </row>
    <row r="2274" ht="12.75" customHeight="1">
      <c r="B2274" s="90" t="s">
        <v>4450</v>
      </c>
      <c r="C2274" s="90"/>
      <c r="E2274" s="79"/>
      <c r="F2274" s="80"/>
      <c r="G2274" s="80"/>
      <c r="H2274" s="81"/>
      <c r="I2274" s="80"/>
      <c r="J2274" s="80"/>
      <c r="K2274" s="80"/>
    </row>
    <row r="2275" ht="12.75" customHeight="1">
      <c r="E2275" s="79"/>
      <c r="F2275" s="80"/>
      <c r="G2275" s="80"/>
      <c r="H2275" s="81"/>
      <c r="I2275" s="80"/>
      <c r="J2275" s="80"/>
      <c r="K2275" s="80"/>
    </row>
    <row r="2276" ht="12.75" customHeight="1">
      <c r="B2276" s="90" t="s">
        <v>4451</v>
      </c>
      <c r="C2276" s="90"/>
      <c r="E2276" s="79"/>
      <c r="F2276" s="80"/>
      <c r="G2276" s="80"/>
      <c r="H2276" s="81"/>
      <c r="I2276" s="80"/>
      <c r="J2276" s="80"/>
      <c r="K2276" s="80"/>
    </row>
    <row r="2277" ht="12.75" customHeight="1">
      <c r="E2277" s="79"/>
      <c r="F2277" s="80"/>
      <c r="G2277" s="80"/>
      <c r="H2277" s="81"/>
      <c r="I2277" s="80"/>
      <c r="J2277" s="80"/>
      <c r="K2277" s="80"/>
    </row>
    <row r="2278" ht="12.75" customHeight="1">
      <c r="B2278" s="90" t="s">
        <v>4452</v>
      </c>
      <c r="C2278" s="90"/>
      <c r="E2278" s="79"/>
      <c r="F2278" s="80"/>
      <c r="G2278" s="80"/>
      <c r="H2278" s="81"/>
      <c r="I2278" s="80"/>
      <c r="J2278" s="80"/>
      <c r="K2278" s="80"/>
    </row>
    <row r="2279" ht="12.75" customHeight="1">
      <c r="E2279" s="79"/>
      <c r="F2279" s="80"/>
      <c r="G2279" s="80"/>
      <c r="H2279" s="81"/>
      <c r="I2279" s="80"/>
      <c r="J2279" s="80"/>
      <c r="K2279" s="80"/>
    </row>
    <row r="2280" ht="12.75" customHeight="1">
      <c r="B2280" s="90" t="s">
        <v>4453</v>
      </c>
      <c r="C2280" s="90"/>
      <c r="E2280" s="79"/>
      <c r="F2280" s="80"/>
      <c r="G2280" s="80"/>
      <c r="H2280" s="81"/>
      <c r="I2280" s="80"/>
      <c r="J2280" s="80"/>
      <c r="K2280" s="80"/>
    </row>
    <row r="2281" ht="12.75" customHeight="1">
      <c r="E2281" s="79"/>
      <c r="F2281" s="80"/>
      <c r="G2281" s="80"/>
      <c r="H2281" s="81"/>
      <c r="I2281" s="80"/>
      <c r="J2281" s="80"/>
      <c r="K2281" s="80"/>
    </row>
    <row r="2282" ht="12.75" customHeight="1">
      <c r="A2282" s="89" t="s">
        <v>1565</v>
      </c>
      <c r="B2282" s="90" t="s">
        <v>4454</v>
      </c>
      <c r="C2282" s="90"/>
      <c r="E2282" s="79"/>
      <c r="F2282" s="80"/>
      <c r="G2282" s="80"/>
      <c r="H2282" s="81"/>
      <c r="I2282" s="80"/>
      <c r="J2282" s="80"/>
      <c r="K2282" s="80"/>
    </row>
    <row r="2283" ht="12.75" customHeight="1">
      <c r="E2283" s="79"/>
      <c r="F2283" s="80"/>
      <c r="G2283" s="80"/>
      <c r="H2283" s="81"/>
      <c r="I2283" s="80"/>
      <c r="J2283" s="80"/>
      <c r="K2283" s="80"/>
    </row>
    <row r="2284" ht="12.75" customHeight="1">
      <c r="A2284" s="136" t="s">
        <v>29</v>
      </c>
      <c r="B2284" s="137" t="s">
        <v>4455</v>
      </c>
      <c r="C2284" s="137"/>
      <c r="D2284" s="138"/>
      <c r="E2284" s="139"/>
      <c r="F2284" s="106"/>
      <c r="G2284" s="106"/>
      <c r="H2284" s="105"/>
      <c r="I2284" s="106"/>
      <c r="J2284" s="106"/>
      <c r="K2284" s="106"/>
    </row>
    <row r="2285" ht="12.75" customHeight="1">
      <c r="A2285" s="138"/>
      <c r="B2285" s="138"/>
      <c r="C2285" s="138"/>
      <c r="D2285" s="138"/>
      <c r="E2285" s="139"/>
      <c r="F2285" s="106"/>
      <c r="G2285" s="106"/>
      <c r="H2285" s="105"/>
      <c r="I2285" s="106"/>
      <c r="J2285" s="106"/>
      <c r="K2285" s="106"/>
    </row>
    <row r="2286" ht="12.75" customHeight="1">
      <c r="A2286" s="136" t="s">
        <v>31</v>
      </c>
      <c r="B2286" s="137" t="s">
        <v>4456</v>
      </c>
      <c r="C2286" s="137"/>
      <c r="D2286" s="138"/>
      <c r="E2286" s="139"/>
      <c r="F2286" s="106"/>
      <c r="G2286" s="106"/>
      <c r="H2286" s="105"/>
      <c r="I2286" s="106"/>
      <c r="J2286" s="106"/>
      <c r="K2286" s="106"/>
    </row>
    <row r="2287" ht="12.75" customHeight="1">
      <c r="A2287" s="138"/>
      <c r="B2287" s="138"/>
      <c r="C2287" s="138"/>
      <c r="D2287" s="138"/>
      <c r="E2287" s="139"/>
      <c r="F2287" s="106"/>
      <c r="G2287" s="106"/>
      <c r="H2287" s="105"/>
      <c r="I2287" s="106"/>
      <c r="J2287" s="106"/>
      <c r="K2287" s="106"/>
    </row>
    <row r="2288" ht="12.75" customHeight="1">
      <c r="A2288" s="136" t="s">
        <v>1569</v>
      </c>
      <c r="B2288" s="137" t="s">
        <v>4457</v>
      </c>
      <c r="C2288" s="137"/>
      <c r="D2288" s="136" t="s">
        <v>33</v>
      </c>
      <c r="E2288" s="140">
        <v>1.0</v>
      </c>
      <c r="F2288" s="106"/>
      <c r="G2288" s="181" t="s">
        <v>1571</v>
      </c>
      <c r="H2288" s="182"/>
      <c r="I2288" s="181"/>
      <c r="J2288" s="181"/>
      <c r="K2288" s="181"/>
    </row>
    <row r="2289" ht="12.75" customHeight="1">
      <c r="A2289" s="138"/>
      <c r="B2289" s="138"/>
      <c r="C2289" s="138"/>
      <c r="D2289" s="138"/>
      <c r="E2289" s="139"/>
      <c r="F2289" s="106"/>
      <c r="G2289" s="106"/>
      <c r="H2289" s="105"/>
      <c r="I2289" s="106"/>
      <c r="J2289" s="106"/>
      <c r="K2289" s="106"/>
    </row>
    <row r="2290" ht="12.75" customHeight="1">
      <c r="A2290" s="136" t="s">
        <v>1572</v>
      </c>
      <c r="B2290" s="137" t="s">
        <v>4458</v>
      </c>
      <c r="C2290" s="137"/>
      <c r="D2290" s="138"/>
      <c r="E2290" s="139"/>
      <c r="F2290" s="106"/>
      <c r="G2290" s="106"/>
      <c r="H2290" s="105"/>
      <c r="I2290" s="106"/>
      <c r="J2290" s="106"/>
      <c r="K2290" s="106"/>
    </row>
    <row r="2291" ht="12.75" customHeight="1">
      <c r="A2291" s="138"/>
      <c r="B2291" s="138"/>
      <c r="C2291" s="138"/>
      <c r="D2291" s="138"/>
      <c r="E2291" s="139"/>
      <c r="F2291" s="106"/>
      <c r="G2291" s="106"/>
      <c r="H2291" s="105"/>
      <c r="I2291" s="106"/>
      <c r="J2291" s="106"/>
      <c r="K2291" s="106"/>
    </row>
    <row r="2292" ht="12.75" customHeight="1">
      <c r="A2292" s="136" t="s">
        <v>1574</v>
      </c>
      <c r="B2292" s="137" t="s">
        <v>4459</v>
      </c>
      <c r="C2292" s="137"/>
      <c r="D2292" s="136" t="s">
        <v>40</v>
      </c>
      <c r="E2292" s="140">
        <v>2000.0</v>
      </c>
      <c r="F2292" s="100">
        <v>2.3</v>
      </c>
      <c r="G2292" s="100">
        <v>4600.0</v>
      </c>
      <c r="H2292" s="99"/>
      <c r="I2292" s="100"/>
      <c r="J2292" s="100"/>
      <c r="K2292" s="100"/>
    </row>
    <row r="2293" ht="12.75" customHeight="1">
      <c r="A2293" s="138"/>
      <c r="B2293" s="138"/>
      <c r="C2293" s="138"/>
      <c r="D2293" s="138"/>
      <c r="E2293" s="139"/>
      <c r="F2293" s="106"/>
      <c r="G2293" s="106"/>
      <c r="H2293" s="105"/>
      <c r="I2293" s="106"/>
      <c r="J2293" s="106"/>
      <c r="K2293" s="106"/>
    </row>
    <row r="2294" ht="12.75" customHeight="1">
      <c r="A2294" s="136" t="s">
        <v>29</v>
      </c>
      <c r="B2294" s="137" t="s">
        <v>4455</v>
      </c>
      <c r="C2294" s="137"/>
      <c r="D2294" s="138"/>
      <c r="E2294" s="139"/>
      <c r="F2294" s="106"/>
      <c r="G2294" s="100">
        <v>4600.0</v>
      </c>
      <c r="H2294" s="99"/>
      <c r="I2294" s="100"/>
      <c r="J2294" s="100"/>
      <c r="K2294" s="100"/>
    </row>
    <row r="2295" ht="12.75" customHeight="1">
      <c r="A2295" s="138"/>
      <c r="B2295" s="138"/>
      <c r="C2295" s="138"/>
      <c r="D2295" s="138"/>
      <c r="E2295" s="139"/>
      <c r="F2295" s="106"/>
      <c r="G2295" s="106"/>
      <c r="H2295" s="105"/>
      <c r="I2295" s="106"/>
      <c r="J2295" s="106"/>
      <c r="K2295" s="106"/>
    </row>
    <row r="2296" ht="12.75" customHeight="1">
      <c r="A2296" s="138"/>
      <c r="B2296" s="138"/>
      <c r="C2296" s="138"/>
      <c r="D2296" s="138"/>
      <c r="E2296" s="139"/>
      <c r="F2296" s="106"/>
      <c r="G2296" s="106"/>
      <c r="H2296" s="105"/>
      <c r="I2296" s="106"/>
      <c r="J2296" s="106"/>
      <c r="K2296" s="106"/>
    </row>
    <row r="2297" ht="12.75" customHeight="1">
      <c r="A2297" s="136" t="s">
        <v>1576</v>
      </c>
      <c r="B2297" s="137" t="s">
        <v>4460</v>
      </c>
      <c r="C2297" s="137"/>
      <c r="D2297" s="138"/>
      <c r="E2297" s="139"/>
      <c r="F2297" s="106"/>
      <c r="G2297" s="106"/>
      <c r="H2297" s="105"/>
      <c r="I2297" s="106"/>
      <c r="J2297" s="106"/>
      <c r="K2297" s="106"/>
    </row>
    <row r="2298" ht="12.75" customHeight="1">
      <c r="E2298" s="79"/>
      <c r="F2298" s="80"/>
      <c r="G2298" s="80"/>
      <c r="H2298" s="81"/>
      <c r="I2298" s="80"/>
      <c r="J2298" s="80"/>
      <c r="K2298" s="80"/>
    </row>
    <row r="2299" ht="12.75" customHeight="1">
      <c r="A2299" s="89" t="s">
        <v>1577</v>
      </c>
      <c r="B2299" s="90" t="s">
        <v>4461</v>
      </c>
      <c r="C2299" s="90"/>
      <c r="E2299" s="79"/>
      <c r="F2299" s="80"/>
      <c r="G2299" s="80"/>
      <c r="H2299" s="81"/>
      <c r="I2299" s="80"/>
      <c r="J2299" s="80"/>
      <c r="K2299" s="80"/>
    </row>
    <row r="2300" ht="12.75" customHeight="1">
      <c r="E2300" s="79"/>
      <c r="F2300" s="80"/>
      <c r="G2300" s="80"/>
      <c r="H2300" s="81"/>
      <c r="I2300" s="80"/>
      <c r="J2300" s="80"/>
      <c r="K2300" s="80"/>
    </row>
    <row r="2301" ht="12.75" customHeight="1">
      <c r="A2301" s="136" t="s">
        <v>1579</v>
      </c>
      <c r="B2301" s="137" t="s">
        <v>4462</v>
      </c>
      <c r="C2301" s="137"/>
      <c r="D2301" s="136" t="s">
        <v>933</v>
      </c>
      <c r="E2301" s="140">
        <v>68.0</v>
      </c>
      <c r="F2301" s="100">
        <v>15.83</v>
      </c>
      <c r="G2301" s="100">
        <v>1076.44</v>
      </c>
      <c r="H2301" s="99"/>
      <c r="I2301" s="100"/>
      <c r="J2301" s="100"/>
      <c r="K2301" s="100"/>
    </row>
    <row r="2302" ht="12.75" customHeight="1">
      <c r="A2302" s="138"/>
      <c r="B2302" s="138"/>
      <c r="C2302" s="138"/>
      <c r="D2302" s="138"/>
      <c r="E2302" s="139"/>
      <c r="F2302" s="106"/>
      <c r="G2302" s="106"/>
      <c r="H2302" s="105"/>
      <c r="I2302" s="106"/>
      <c r="J2302" s="106"/>
      <c r="K2302" s="106"/>
    </row>
    <row r="2303" ht="12.75" customHeight="1">
      <c r="A2303" s="136" t="s">
        <v>1581</v>
      </c>
      <c r="B2303" s="137" t="s">
        <v>4463</v>
      </c>
      <c r="C2303" s="137"/>
      <c r="D2303" s="138"/>
      <c r="E2303" s="139"/>
      <c r="F2303" s="106"/>
      <c r="G2303" s="106"/>
      <c r="H2303" s="105"/>
      <c r="I2303" s="106"/>
      <c r="J2303" s="106"/>
      <c r="K2303" s="106"/>
    </row>
    <row r="2304" ht="12.75" customHeight="1">
      <c r="A2304" s="138"/>
      <c r="B2304" s="138"/>
      <c r="C2304" s="138"/>
      <c r="D2304" s="138"/>
      <c r="E2304" s="139"/>
      <c r="F2304" s="106"/>
      <c r="G2304" s="106"/>
      <c r="H2304" s="105"/>
      <c r="I2304" s="106"/>
      <c r="J2304" s="106"/>
      <c r="K2304" s="106"/>
    </row>
    <row r="2305" ht="12.75" customHeight="1">
      <c r="A2305" s="136" t="s">
        <v>1583</v>
      </c>
      <c r="B2305" s="137" t="s">
        <v>4464</v>
      </c>
      <c r="C2305" s="137"/>
      <c r="D2305" s="136" t="s">
        <v>933</v>
      </c>
      <c r="E2305" s="140">
        <v>386.0</v>
      </c>
      <c r="F2305" s="100">
        <v>8.04</v>
      </c>
      <c r="G2305" s="100">
        <v>3103.44</v>
      </c>
      <c r="H2305" s="99"/>
      <c r="I2305" s="100"/>
      <c r="J2305" s="100"/>
      <c r="K2305" s="100"/>
    </row>
    <row r="2306" ht="12.75" customHeight="1">
      <c r="A2306" s="138"/>
      <c r="B2306" s="138"/>
      <c r="C2306" s="138"/>
      <c r="D2306" s="138"/>
      <c r="E2306" s="139"/>
      <c r="F2306" s="106"/>
      <c r="G2306" s="106"/>
      <c r="H2306" s="105"/>
      <c r="I2306" s="106"/>
      <c r="J2306" s="106"/>
      <c r="K2306" s="106"/>
    </row>
    <row r="2307" ht="12.75" customHeight="1">
      <c r="A2307" s="136" t="s">
        <v>1585</v>
      </c>
      <c r="B2307" s="137" t="s">
        <v>4465</v>
      </c>
      <c r="C2307" s="137"/>
      <c r="D2307" s="138"/>
      <c r="E2307" s="139"/>
      <c r="F2307" s="106"/>
      <c r="G2307" s="106"/>
      <c r="H2307" s="105"/>
      <c r="I2307" s="106"/>
      <c r="J2307" s="106"/>
      <c r="K2307" s="106"/>
    </row>
    <row r="2308" ht="12.75" customHeight="1">
      <c r="A2308" s="138"/>
      <c r="B2308" s="138"/>
      <c r="C2308" s="138"/>
      <c r="D2308" s="138"/>
      <c r="E2308" s="139"/>
      <c r="F2308" s="106"/>
      <c r="G2308" s="106"/>
      <c r="H2308" s="105"/>
      <c r="I2308" s="106"/>
      <c r="J2308" s="106"/>
      <c r="K2308" s="106"/>
    </row>
    <row r="2309" ht="12.75" customHeight="1">
      <c r="A2309" s="136" t="s">
        <v>1587</v>
      </c>
      <c r="B2309" s="137" t="s">
        <v>4466</v>
      </c>
      <c r="C2309" s="137"/>
      <c r="D2309" s="136" t="s">
        <v>933</v>
      </c>
      <c r="E2309" s="140">
        <v>318.0</v>
      </c>
      <c r="F2309" s="100">
        <v>57.23</v>
      </c>
      <c r="G2309" s="100">
        <v>18199.14</v>
      </c>
      <c r="H2309" s="99"/>
      <c r="I2309" s="100"/>
      <c r="J2309" s="100"/>
      <c r="K2309" s="100"/>
    </row>
    <row r="2310" ht="12.75" customHeight="1">
      <c r="A2310" s="138"/>
      <c r="B2310" s="138"/>
      <c r="C2310" s="138"/>
      <c r="D2310" s="138"/>
      <c r="E2310" s="139"/>
      <c r="F2310" s="106"/>
      <c r="G2310" s="106"/>
      <c r="H2310" s="105"/>
      <c r="I2310" s="106"/>
      <c r="J2310" s="106"/>
      <c r="K2310" s="106"/>
    </row>
    <row r="2311" ht="12.75" customHeight="1">
      <c r="A2311" s="136" t="s">
        <v>1576</v>
      </c>
      <c r="B2311" s="137" t="s">
        <v>4460</v>
      </c>
      <c r="C2311" s="137"/>
      <c r="D2311" s="138"/>
      <c r="E2311" s="139"/>
      <c r="F2311" s="106"/>
      <c r="G2311" s="100">
        <v>22379.02</v>
      </c>
      <c r="H2311" s="99">
        <f>G2311</f>
        <v>22379.02</v>
      </c>
      <c r="I2311" s="100"/>
      <c r="J2311" s="100"/>
      <c r="K2311" s="100"/>
    </row>
    <row r="2312" ht="12.75" customHeight="1">
      <c r="E2312" s="79"/>
      <c r="F2312" s="80"/>
      <c r="G2312" s="80"/>
      <c r="H2312" s="81"/>
      <c r="I2312" s="80"/>
      <c r="J2312" s="80"/>
      <c r="K2312" s="80"/>
    </row>
    <row r="2313" ht="12.75" customHeight="1">
      <c r="E2313" s="79"/>
      <c r="F2313" s="80"/>
      <c r="G2313" s="80"/>
      <c r="H2313" s="81"/>
      <c r="I2313" s="80"/>
      <c r="J2313" s="80"/>
      <c r="K2313" s="80"/>
    </row>
    <row r="2314" ht="12.75" customHeight="1">
      <c r="A2314" s="89" t="s">
        <v>4467</v>
      </c>
      <c r="B2314" s="90" t="s">
        <v>4468</v>
      </c>
      <c r="C2314" s="90"/>
      <c r="E2314" s="79"/>
      <c r="F2314" s="80"/>
      <c r="G2314" s="80"/>
      <c r="H2314" s="81"/>
      <c r="I2314" s="80"/>
      <c r="J2314" s="80"/>
      <c r="K2314" s="80"/>
    </row>
    <row r="2315" ht="12.75" customHeight="1">
      <c r="E2315" s="79"/>
      <c r="F2315" s="80"/>
      <c r="G2315" s="80"/>
      <c r="H2315" s="81"/>
      <c r="I2315" s="80"/>
      <c r="J2315" s="80"/>
      <c r="K2315" s="80"/>
    </row>
    <row r="2316" ht="12.75" customHeight="1">
      <c r="B2316" s="90" t="s">
        <v>4469</v>
      </c>
      <c r="C2316" s="90"/>
      <c r="E2316" s="79"/>
      <c r="F2316" s="80"/>
      <c r="G2316" s="80"/>
      <c r="H2316" s="81"/>
      <c r="I2316" s="80"/>
      <c r="J2316" s="80"/>
      <c r="K2316" s="80"/>
    </row>
    <row r="2317" ht="12.75" customHeight="1">
      <c r="E2317" s="79"/>
      <c r="F2317" s="80"/>
      <c r="G2317" s="80"/>
      <c r="H2317" s="81"/>
      <c r="I2317" s="80"/>
      <c r="J2317" s="80"/>
      <c r="K2317" s="80"/>
    </row>
    <row r="2318" ht="12.75" customHeight="1">
      <c r="A2318" s="89" t="s">
        <v>1591</v>
      </c>
      <c r="B2318" s="90" t="s">
        <v>4470</v>
      </c>
      <c r="C2318" s="90"/>
      <c r="E2318" s="79"/>
      <c r="F2318" s="80"/>
      <c r="G2318" s="80"/>
      <c r="H2318" s="81"/>
      <c r="I2318" s="80"/>
      <c r="J2318" s="80"/>
      <c r="K2318" s="80"/>
    </row>
    <row r="2319" ht="12.75" customHeight="1">
      <c r="E2319" s="79"/>
      <c r="F2319" s="80"/>
      <c r="G2319" s="80"/>
      <c r="H2319" s="81"/>
      <c r="I2319" s="80"/>
      <c r="J2319" s="80"/>
      <c r="K2319" s="80"/>
    </row>
    <row r="2320" ht="12.75" customHeight="1">
      <c r="A2320" s="89" t="s">
        <v>1593</v>
      </c>
      <c r="B2320" s="90" t="s">
        <v>4471</v>
      </c>
      <c r="C2320" s="90"/>
      <c r="D2320" s="89" t="s">
        <v>40</v>
      </c>
      <c r="E2320" s="91">
        <v>180.0</v>
      </c>
      <c r="F2320" s="92">
        <v>62.28</v>
      </c>
      <c r="G2320" s="92">
        <v>11210.4</v>
      </c>
      <c r="H2320" s="93"/>
      <c r="I2320" s="92"/>
      <c r="J2320" s="92"/>
      <c r="K2320" s="92"/>
    </row>
    <row r="2321" ht="12.75" customHeight="1">
      <c r="E2321" s="79"/>
      <c r="F2321" s="80"/>
      <c r="G2321" s="80"/>
      <c r="H2321" s="81"/>
      <c r="I2321" s="80"/>
      <c r="J2321" s="80"/>
      <c r="K2321" s="80"/>
    </row>
    <row r="2322" ht="12.75" customHeight="1">
      <c r="A2322" s="89" t="s">
        <v>1595</v>
      </c>
      <c r="B2322" s="90" t="s">
        <v>4472</v>
      </c>
      <c r="C2322" s="90"/>
      <c r="D2322" s="89" t="s">
        <v>933</v>
      </c>
      <c r="E2322" s="91">
        <v>10.0</v>
      </c>
      <c r="F2322" s="92">
        <v>108.91</v>
      </c>
      <c r="G2322" s="92">
        <v>1089.1</v>
      </c>
      <c r="H2322" s="93"/>
      <c r="I2322" s="92"/>
      <c r="J2322" s="92"/>
      <c r="K2322" s="92"/>
    </row>
    <row r="2323" ht="12.75" customHeight="1">
      <c r="E2323" s="79"/>
      <c r="F2323" s="80"/>
      <c r="G2323" s="80"/>
      <c r="H2323" s="81"/>
      <c r="I2323" s="80"/>
      <c r="J2323" s="80"/>
      <c r="K2323" s="80"/>
    </row>
    <row r="2324" ht="12.75" customHeight="1">
      <c r="A2324" s="89" t="s">
        <v>1597</v>
      </c>
      <c r="B2324" s="90" t="s">
        <v>3407</v>
      </c>
      <c r="C2324" s="90"/>
      <c r="E2324" s="79"/>
      <c r="F2324" s="80"/>
      <c r="G2324" s="80"/>
      <c r="H2324" s="81"/>
      <c r="I2324" s="80"/>
      <c r="J2324" s="80"/>
      <c r="K2324" s="80"/>
    </row>
    <row r="2325" ht="12.75" customHeight="1">
      <c r="E2325" s="79"/>
      <c r="F2325" s="80"/>
      <c r="G2325" s="80"/>
      <c r="H2325" s="81"/>
      <c r="I2325" s="80"/>
      <c r="J2325" s="80"/>
      <c r="K2325" s="80"/>
    </row>
    <row r="2326" ht="12.75" customHeight="1">
      <c r="A2326" s="89" t="s">
        <v>1599</v>
      </c>
      <c r="B2326" s="90" t="s">
        <v>4473</v>
      </c>
      <c r="C2326" s="90"/>
      <c r="D2326" s="89" t="s">
        <v>40</v>
      </c>
      <c r="E2326" s="91">
        <v>20.0</v>
      </c>
      <c r="F2326" s="92">
        <v>30.49</v>
      </c>
      <c r="G2326" s="92">
        <v>609.8</v>
      </c>
      <c r="H2326" s="93"/>
      <c r="I2326" s="92"/>
      <c r="J2326" s="92"/>
      <c r="K2326" s="92"/>
    </row>
    <row r="2327" ht="12.75" customHeight="1">
      <c r="E2327" s="79"/>
      <c r="F2327" s="80"/>
      <c r="G2327" s="80"/>
      <c r="H2327" s="81"/>
      <c r="I2327" s="80"/>
      <c r="J2327" s="80"/>
      <c r="K2327" s="80"/>
    </row>
    <row r="2328" ht="12.75" customHeight="1">
      <c r="A2328" s="89" t="s">
        <v>1601</v>
      </c>
      <c r="B2328" s="90" t="s">
        <v>4474</v>
      </c>
      <c r="C2328" s="90"/>
      <c r="E2328" s="79"/>
      <c r="F2328" s="80"/>
      <c r="G2328" s="80"/>
      <c r="H2328" s="81"/>
      <c r="I2328" s="80"/>
      <c r="J2328" s="80"/>
      <c r="K2328" s="80"/>
    </row>
    <row r="2329" ht="12.75" customHeight="1">
      <c r="E2329" s="79"/>
      <c r="F2329" s="80"/>
      <c r="G2329" s="80"/>
      <c r="H2329" s="81"/>
      <c r="I2329" s="80"/>
      <c r="J2329" s="80"/>
      <c r="K2329" s="80"/>
    </row>
    <row r="2330" ht="12.75" customHeight="1">
      <c r="A2330" s="89" t="s">
        <v>1603</v>
      </c>
      <c r="B2330" s="90" t="s">
        <v>4475</v>
      </c>
      <c r="C2330" s="90"/>
      <c r="D2330" s="89" t="s">
        <v>40</v>
      </c>
      <c r="E2330" s="91">
        <v>6.0</v>
      </c>
      <c r="F2330" s="92">
        <v>225.0</v>
      </c>
      <c r="G2330" s="92">
        <v>1350.0</v>
      </c>
      <c r="H2330" s="93"/>
      <c r="I2330" s="92"/>
      <c r="J2330" s="92"/>
      <c r="K2330" s="92"/>
    </row>
    <row r="2331" ht="12.75" customHeight="1">
      <c r="E2331" s="79"/>
      <c r="F2331" s="80"/>
      <c r="G2331" s="80"/>
      <c r="H2331" s="81"/>
      <c r="I2331" s="80"/>
      <c r="J2331" s="80"/>
      <c r="K2331" s="80"/>
    </row>
    <row r="2332" ht="12.75" customHeight="1">
      <c r="A2332" s="89" t="s">
        <v>1605</v>
      </c>
      <c r="B2332" s="90" t="s">
        <v>4476</v>
      </c>
      <c r="C2332" s="90"/>
      <c r="E2332" s="79"/>
      <c r="F2332" s="80"/>
      <c r="G2332" s="80"/>
      <c r="H2332" s="81"/>
      <c r="I2332" s="80"/>
      <c r="J2332" s="80"/>
      <c r="K2332" s="80"/>
    </row>
    <row r="2333" ht="12.75" customHeight="1">
      <c r="E2333" s="79"/>
      <c r="F2333" s="80"/>
      <c r="G2333" s="80"/>
      <c r="H2333" s="81"/>
      <c r="I2333" s="80"/>
      <c r="J2333" s="80"/>
      <c r="K2333" s="80"/>
    </row>
    <row r="2334" ht="12.75" customHeight="1">
      <c r="A2334" s="89" t="s">
        <v>1607</v>
      </c>
      <c r="B2334" s="90" t="s">
        <v>4477</v>
      </c>
      <c r="C2334" s="90"/>
      <c r="D2334" s="89" t="s">
        <v>40</v>
      </c>
      <c r="E2334" s="91">
        <v>45.0</v>
      </c>
      <c r="F2334" s="92">
        <v>185.0</v>
      </c>
      <c r="G2334" s="92">
        <v>8325.0</v>
      </c>
      <c r="H2334" s="93"/>
      <c r="I2334" s="92"/>
      <c r="J2334" s="92"/>
      <c r="K2334" s="92"/>
    </row>
    <row r="2335" ht="12.75" customHeight="1">
      <c r="E2335" s="79"/>
      <c r="F2335" s="80"/>
      <c r="G2335" s="80"/>
      <c r="H2335" s="81"/>
      <c r="I2335" s="80"/>
      <c r="J2335" s="80"/>
      <c r="K2335" s="80"/>
    </row>
    <row r="2336" ht="12.75" customHeight="1">
      <c r="A2336" s="89" t="s">
        <v>1609</v>
      </c>
      <c r="B2336" s="90" t="s">
        <v>4478</v>
      </c>
      <c r="C2336" s="90"/>
      <c r="E2336" s="79"/>
      <c r="F2336" s="80"/>
      <c r="G2336" s="80"/>
      <c r="H2336" s="81"/>
      <c r="I2336" s="80"/>
      <c r="J2336" s="80"/>
      <c r="K2336" s="80"/>
    </row>
    <row r="2337" ht="12.75" customHeight="1">
      <c r="E2337" s="79"/>
      <c r="F2337" s="80"/>
      <c r="G2337" s="80"/>
      <c r="H2337" s="81"/>
      <c r="I2337" s="80"/>
      <c r="J2337" s="80"/>
      <c r="K2337" s="80"/>
    </row>
    <row r="2338" ht="12.75" customHeight="1">
      <c r="A2338" s="89" t="s">
        <v>1611</v>
      </c>
      <c r="B2338" s="90" t="s">
        <v>4479</v>
      </c>
      <c r="C2338" s="90"/>
      <c r="D2338" s="89" t="s">
        <v>40</v>
      </c>
      <c r="E2338" s="91">
        <v>140.0</v>
      </c>
      <c r="F2338" s="92">
        <v>70.86</v>
      </c>
      <c r="G2338" s="92">
        <v>9920.4</v>
      </c>
      <c r="H2338" s="93"/>
      <c r="I2338" s="92"/>
      <c r="J2338" s="92"/>
      <c r="K2338" s="92"/>
    </row>
    <row r="2339" ht="12.75" customHeight="1">
      <c r="E2339" s="79"/>
      <c r="F2339" s="80"/>
      <c r="G2339" s="80"/>
      <c r="H2339" s="81"/>
      <c r="I2339" s="80"/>
      <c r="J2339" s="80"/>
      <c r="K2339" s="80"/>
    </row>
    <row r="2340" ht="12.75" customHeight="1">
      <c r="A2340" s="89" t="s">
        <v>1613</v>
      </c>
      <c r="B2340" s="90" t="s">
        <v>4480</v>
      </c>
      <c r="C2340" s="90"/>
      <c r="E2340" s="79"/>
      <c r="F2340" s="80"/>
      <c r="G2340" s="80"/>
      <c r="H2340" s="81"/>
      <c r="I2340" s="80"/>
      <c r="J2340" s="80"/>
      <c r="K2340" s="80"/>
    </row>
    <row r="2341" ht="12.75" customHeight="1">
      <c r="E2341" s="79"/>
      <c r="F2341" s="80"/>
      <c r="G2341" s="80"/>
      <c r="H2341" s="81"/>
      <c r="I2341" s="80"/>
      <c r="J2341" s="80"/>
      <c r="K2341" s="80"/>
    </row>
    <row r="2342" ht="12.75" customHeight="1">
      <c r="A2342" s="89" t="s">
        <v>1615</v>
      </c>
      <c r="B2342" s="90" t="s">
        <v>4481</v>
      </c>
      <c r="C2342" s="90"/>
      <c r="D2342" s="89" t="s">
        <v>161</v>
      </c>
      <c r="E2342" s="91">
        <v>32.0</v>
      </c>
      <c r="F2342" s="92">
        <v>175.0</v>
      </c>
      <c r="G2342" s="92">
        <v>5600.0</v>
      </c>
      <c r="H2342" s="93"/>
      <c r="I2342" s="92"/>
      <c r="J2342" s="92"/>
      <c r="K2342" s="92"/>
    </row>
    <row r="2343" ht="12.75" customHeight="1">
      <c r="E2343" s="79"/>
      <c r="F2343" s="80"/>
      <c r="G2343" s="80"/>
      <c r="H2343" s="81"/>
      <c r="I2343" s="80"/>
      <c r="J2343" s="80"/>
      <c r="K2343" s="80"/>
    </row>
    <row r="2344" ht="12.75" customHeight="1">
      <c r="A2344" s="89" t="s">
        <v>4482</v>
      </c>
      <c r="B2344" s="90" t="s">
        <v>3423</v>
      </c>
      <c r="C2344" s="90"/>
      <c r="E2344" s="79"/>
      <c r="F2344" s="80"/>
      <c r="G2344" s="80"/>
      <c r="H2344" s="81"/>
      <c r="I2344" s="80"/>
      <c r="J2344" s="80"/>
      <c r="K2344" s="80"/>
    </row>
    <row r="2345" ht="12.75" customHeight="1">
      <c r="E2345" s="79"/>
      <c r="F2345" s="80"/>
      <c r="G2345" s="80"/>
      <c r="H2345" s="81"/>
      <c r="I2345" s="80"/>
      <c r="J2345" s="80"/>
      <c r="K2345" s="80"/>
    </row>
    <row r="2346" ht="12.75" customHeight="1">
      <c r="B2346" s="90" t="s">
        <v>4483</v>
      </c>
      <c r="C2346" s="90"/>
      <c r="E2346" s="79"/>
      <c r="F2346" s="80"/>
      <c r="G2346" s="80"/>
      <c r="H2346" s="81"/>
      <c r="I2346" s="80"/>
      <c r="J2346" s="80"/>
      <c r="K2346" s="80"/>
    </row>
    <row r="2347" ht="12.75" customHeight="1">
      <c r="E2347" s="79"/>
      <c r="F2347" s="80"/>
      <c r="G2347" s="80"/>
      <c r="H2347" s="81"/>
      <c r="I2347" s="80"/>
      <c r="J2347" s="80"/>
      <c r="K2347" s="80"/>
    </row>
    <row r="2348" ht="12.75" customHeight="1">
      <c r="A2348" s="89" t="s">
        <v>781</v>
      </c>
      <c r="B2348" s="90" t="s">
        <v>4484</v>
      </c>
      <c r="C2348" s="90"/>
      <c r="E2348" s="79"/>
      <c r="F2348" s="80"/>
      <c r="G2348" s="80"/>
      <c r="H2348" s="81"/>
      <c r="I2348" s="80"/>
      <c r="J2348" s="80"/>
      <c r="K2348" s="80"/>
    </row>
    <row r="2349" ht="12.75" customHeight="1">
      <c r="E2349" s="79"/>
      <c r="F2349" s="80"/>
      <c r="G2349" s="80"/>
      <c r="H2349" s="81"/>
      <c r="I2349" s="80"/>
      <c r="J2349" s="80"/>
      <c r="K2349" s="80"/>
    </row>
    <row r="2350" ht="12.75" customHeight="1">
      <c r="A2350" s="89" t="s">
        <v>1620</v>
      </c>
      <c r="B2350" s="90" t="s">
        <v>4485</v>
      </c>
      <c r="C2350" s="90"/>
      <c r="D2350" s="89" t="s">
        <v>75</v>
      </c>
      <c r="E2350" s="91">
        <v>8.0</v>
      </c>
      <c r="F2350" s="80"/>
      <c r="G2350" s="135" t="s">
        <v>1428</v>
      </c>
      <c r="H2350" s="159"/>
      <c r="I2350" s="135"/>
      <c r="J2350" s="135"/>
      <c r="K2350" s="135"/>
    </row>
    <row r="2351" ht="12.75" customHeight="1">
      <c r="E2351" s="79"/>
      <c r="F2351" s="80"/>
      <c r="G2351" s="80"/>
      <c r="H2351" s="81"/>
      <c r="I2351" s="80"/>
      <c r="J2351" s="80"/>
      <c r="K2351" s="80"/>
    </row>
    <row r="2352" ht="12.75" customHeight="1">
      <c r="A2352" s="89" t="s">
        <v>1622</v>
      </c>
      <c r="B2352" s="90" t="s">
        <v>4486</v>
      </c>
      <c r="C2352" s="90"/>
      <c r="D2352" s="89" t="s">
        <v>75</v>
      </c>
      <c r="E2352" s="91">
        <v>10.0</v>
      </c>
      <c r="F2352" s="80"/>
      <c r="G2352" s="135" t="s">
        <v>1428</v>
      </c>
      <c r="H2352" s="159"/>
      <c r="I2352" s="135"/>
      <c r="J2352" s="135"/>
      <c r="K2352" s="135"/>
    </row>
    <row r="2353" ht="12.75" customHeight="1">
      <c r="E2353" s="79"/>
      <c r="F2353" s="80"/>
      <c r="G2353" s="80"/>
      <c r="H2353" s="81"/>
      <c r="I2353" s="80"/>
      <c r="J2353" s="80"/>
      <c r="K2353" s="80"/>
    </row>
    <row r="2354" ht="12.75" customHeight="1">
      <c r="A2354" s="89" t="s">
        <v>1624</v>
      </c>
      <c r="B2354" s="90" t="s">
        <v>4487</v>
      </c>
      <c r="C2354" s="90"/>
      <c r="E2354" s="79"/>
      <c r="F2354" s="80"/>
      <c r="G2354" s="80"/>
      <c r="H2354" s="81"/>
      <c r="I2354" s="80"/>
      <c r="J2354" s="80"/>
      <c r="K2354" s="80"/>
    </row>
    <row r="2355" ht="12.75" customHeight="1">
      <c r="E2355" s="79"/>
      <c r="F2355" s="80"/>
      <c r="G2355" s="80"/>
      <c r="H2355" s="81"/>
      <c r="I2355" s="80"/>
      <c r="J2355" s="80"/>
      <c r="K2355" s="80"/>
    </row>
    <row r="2356" ht="12.75" customHeight="1">
      <c r="A2356" s="89" t="s">
        <v>1626</v>
      </c>
      <c r="B2356" s="90" t="s">
        <v>4488</v>
      </c>
      <c r="C2356" s="90"/>
      <c r="D2356" s="89" t="s">
        <v>75</v>
      </c>
      <c r="E2356" s="91">
        <v>4.0</v>
      </c>
      <c r="F2356" s="80"/>
      <c r="G2356" s="135" t="s">
        <v>1428</v>
      </c>
      <c r="H2356" s="159"/>
      <c r="I2356" s="135"/>
      <c r="J2356" s="135"/>
      <c r="K2356" s="135"/>
    </row>
    <row r="2357" ht="12.75" customHeight="1">
      <c r="E2357" s="79"/>
      <c r="F2357" s="80"/>
      <c r="G2357" s="80"/>
      <c r="H2357" s="81"/>
      <c r="I2357" s="80"/>
      <c r="J2357" s="80"/>
      <c r="K2357" s="80"/>
    </row>
    <row r="2358" ht="12.75" customHeight="1">
      <c r="A2358" s="89" t="s">
        <v>1628</v>
      </c>
      <c r="B2358" s="90" t="s">
        <v>4489</v>
      </c>
      <c r="C2358" s="90"/>
      <c r="E2358" s="79"/>
      <c r="F2358" s="80"/>
      <c r="G2358" s="80"/>
      <c r="H2358" s="81"/>
      <c r="I2358" s="80"/>
      <c r="J2358" s="80"/>
      <c r="K2358" s="80"/>
    </row>
    <row r="2359" ht="12.75" customHeight="1">
      <c r="E2359" s="79"/>
      <c r="F2359" s="80"/>
      <c r="G2359" s="80"/>
      <c r="H2359" s="81"/>
      <c r="I2359" s="80"/>
      <c r="J2359" s="80"/>
      <c r="K2359" s="80"/>
    </row>
    <row r="2360" ht="12.75" customHeight="1">
      <c r="A2360" s="89" t="s">
        <v>1630</v>
      </c>
      <c r="B2360" s="90" t="s">
        <v>4490</v>
      </c>
      <c r="C2360" s="90"/>
      <c r="E2360" s="79"/>
      <c r="F2360" s="80"/>
      <c r="G2360" s="80"/>
      <c r="H2360" s="81"/>
      <c r="I2360" s="80"/>
      <c r="J2360" s="80"/>
      <c r="K2360" s="80"/>
    </row>
    <row r="2361" ht="12.75" customHeight="1">
      <c r="E2361" s="79"/>
      <c r="F2361" s="80"/>
      <c r="G2361" s="80"/>
      <c r="H2361" s="81"/>
      <c r="I2361" s="80"/>
      <c r="J2361" s="80"/>
      <c r="K2361" s="80"/>
    </row>
    <row r="2362" ht="12.75" customHeight="1">
      <c r="A2362" s="89" t="s">
        <v>1632</v>
      </c>
      <c r="B2362" s="90" t="s">
        <v>4491</v>
      </c>
      <c r="C2362" s="90"/>
      <c r="D2362" s="89" t="s">
        <v>75</v>
      </c>
      <c r="E2362" s="91">
        <v>4.0</v>
      </c>
      <c r="F2362" s="80"/>
      <c r="G2362" s="135" t="s">
        <v>1428</v>
      </c>
      <c r="H2362" s="159"/>
      <c r="I2362" s="135"/>
      <c r="J2362" s="135"/>
      <c r="K2362" s="135"/>
    </row>
    <row r="2363" ht="12.75" customHeight="1">
      <c r="E2363" s="79"/>
      <c r="F2363" s="80"/>
      <c r="G2363" s="80"/>
      <c r="H2363" s="81"/>
      <c r="I2363" s="80"/>
      <c r="J2363" s="80"/>
      <c r="K2363" s="80"/>
    </row>
    <row r="2364" ht="12.75" customHeight="1">
      <c r="A2364" s="89" t="s">
        <v>1634</v>
      </c>
      <c r="B2364" s="90" t="s">
        <v>4492</v>
      </c>
      <c r="C2364" s="90"/>
      <c r="D2364" s="89" t="s">
        <v>75</v>
      </c>
      <c r="E2364" s="91">
        <v>2.0</v>
      </c>
      <c r="F2364" s="80"/>
      <c r="G2364" s="135" t="s">
        <v>1428</v>
      </c>
      <c r="H2364" s="159"/>
      <c r="I2364" s="135"/>
      <c r="J2364" s="135"/>
      <c r="K2364" s="135"/>
    </row>
    <row r="2365" ht="12.75" customHeight="1">
      <c r="E2365" s="79"/>
      <c r="F2365" s="80"/>
      <c r="G2365" s="80"/>
      <c r="H2365" s="81"/>
      <c r="I2365" s="80"/>
      <c r="J2365" s="80"/>
      <c r="K2365" s="80"/>
    </row>
    <row r="2366" ht="12.75" customHeight="1">
      <c r="A2366" s="89" t="s">
        <v>4493</v>
      </c>
      <c r="B2366" s="90" t="s">
        <v>2563</v>
      </c>
      <c r="C2366" s="90"/>
      <c r="E2366" s="79"/>
      <c r="F2366" s="80"/>
      <c r="G2366" s="80"/>
      <c r="H2366" s="81"/>
      <c r="I2366" s="80"/>
      <c r="J2366" s="80"/>
      <c r="K2366" s="80"/>
    </row>
    <row r="2367" ht="12.75" customHeight="1">
      <c r="E2367" s="79"/>
      <c r="F2367" s="80"/>
      <c r="G2367" s="80"/>
      <c r="H2367" s="81"/>
      <c r="I2367" s="80"/>
      <c r="J2367" s="80"/>
      <c r="K2367" s="80"/>
    </row>
    <row r="2368" ht="12.75" customHeight="1">
      <c r="A2368" s="89" t="s">
        <v>1636</v>
      </c>
      <c r="B2368" s="90" t="s">
        <v>4494</v>
      </c>
      <c r="C2368" s="90"/>
      <c r="E2368" s="79"/>
      <c r="F2368" s="80"/>
      <c r="G2368" s="80"/>
      <c r="H2368" s="81"/>
      <c r="I2368" s="80"/>
      <c r="J2368" s="80"/>
      <c r="K2368" s="80"/>
    </row>
    <row r="2369" ht="12.75" customHeight="1">
      <c r="E2369" s="79"/>
      <c r="F2369" s="80"/>
      <c r="G2369" s="80"/>
      <c r="H2369" s="81"/>
      <c r="I2369" s="80"/>
      <c r="J2369" s="80"/>
      <c r="K2369" s="80"/>
    </row>
    <row r="2370" ht="12.75" customHeight="1">
      <c r="A2370" s="89" t="s">
        <v>1638</v>
      </c>
      <c r="B2370" s="90" t="s">
        <v>4495</v>
      </c>
      <c r="C2370" s="90"/>
      <c r="D2370" s="89" t="s">
        <v>75</v>
      </c>
      <c r="E2370" s="91">
        <v>1.0</v>
      </c>
      <c r="F2370" s="92">
        <v>1500.0</v>
      </c>
      <c r="G2370" s="92">
        <v>1500.0</v>
      </c>
      <c r="H2370" s="93"/>
      <c r="I2370" s="92"/>
      <c r="J2370" s="92"/>
      <c r="K2370" s="92"/>
    </row>
    <row r="2371" ht="12.75" customHeight="1">
      <c r="E2371" s="79"/>
      <c r="F2371" s="80"/>
      <c r="G2371" s="80"/>
      <c r="H2371" s="81"/>
      <c r="I2371" s="80"/>
      <c r="J2371" s="80"/>
      <c r="K2371" s="80"/>
    </row>
    <row r="2372" ht="12.75" customHeight="1">
      <c r="A2372" s="89" t="s">
        <v>1640</v>
      </c>
      <c r="B2372" s="90" t="s">
        <v>4496</v>
      </c>
      <c r="C2372" s="90"/>
      <c r="D2372" s="89" t="s">
        <v>75</v>
      </c>
      <c r="E2372" s="91">
        <v>1.0</v>
      </c>
      <c r="F2372" s="92">
        <v>1098.0</v>
      </c>
      <c r="G2372" s="92">
        <v>1098.0</v>
      </c>
      <c r="H2372" s="93"/>
      <c r="I2372" s="92"/>
      <c r="J2372" s="92"/>
      <c r="K2372" s="92"/>
    </row>
    <row r="2373" ht="12.75" customHeight="1">
      <c r="E2373" s="79"/>
      <c r="F2373" s="80"/>
      <c r="G2373" s="80"/>
      <c r="H2373" s="81"/>
      <c r="I2373" s="80"/>
      <c r="J2373" s="80"/>
      <c r="K2373" s="80"/>
    </row>
    <row r="2374" ht="12.75" customHeight="1">
      <c r="A2374" s="89" t="s">
        <v>1642</v>
      </c>
      <c r="B2374" s="90" t="s">
        <v>4497</v>
      </c>
      <c r="C2374" s="90"/>
      <c r="D2374" s="89" t="s">
        <v>75</v>
      </c>
      <c r="E2374" s="91">
        <v>1.0</v>
      </c>
      <c r="F2374" s="92">
        <v>750.0</v>
      </c>
      <c r="G2374" s="92">
        <v>750.0</v>
      </c>
      <c r="H2374" s="93"/>
      <c r="I2374" s="92"/>
      <c r="J2374" s="92"/>
      <c r="K2374" s="92"/>
    </row>
    <row r="2375" ht="12.75" customHeight="1">
      <c r="E2375" s="79"/>
      <c r="F2375" s="80"/>
      <c r="G2375" s="80"/>
      <c r="H2375" s="81"/>
      <c r="I2375" s="80"/>
      <c r="J2375" s="80"/>
      <c r="K2375" s="80"/>
    </row>
    <row r="2376" ht="12.75" customHeight="1">
      <c r="A2376" s="89" t="s">
        <v>1644</v>
      </c>
      <c r="B2376" s="90" t="s">
        <v>4498</v>
      </c>
      <c r="C2376" s="90"/>
      <c r="D2376" s="89" t="s">
        <v>75</v>
      </c>
      <c r="E2376" s="91">
        <v>1.0</v>
      </c>
      <c r="F2376" s="92">
        <v>7200.0</v>
      </c>
      <c r="G2376" s="92">
        <v>7200.0</v>
      </c>
      <c r="H2376" s="93"/>
      <c r="I2376" s="92"/>
      <c r="J2376" s="92"/>
      <c r="K2376" s="92"/>
    </row>
    <row r="2377" ht="12.75" customHeight="1">
      <c r="E2377" s="79"/>
      <c r="F2377" s="80"/>
      <c r="G2377" s="80"/>
      <c r="H2377" s="81"/>
      <c r="I2377" s="80"/>
      <c r="J2377" s="80"/>
      <c r="K2377" s="80"/>
    </row>
    <row r="2378" ht="12.75" customHeight="1">
      <c r="A2378" s="89" t="s">
        <v>4467</v>
      </c>
      <c r="B2378" s="90" t="s">
        <v>4468</v>
      </c>
      <c r="C2378" s="90"/>
      <c r="E2378" s="79"/>
      <c r="F2378" s="80"/>
      <c r="G2378" s="92">
        <v>48652.7</v>
      </c>
      <c r="H2378" s="93"/>
      <c r="I2378" s="92"/>
      <c r="J2378" s="92"/>
      <c r="K2378" s="92"/>
    </row>
    <row r="2379" ht="12.75" customHeight="1">
      <c r="E2379" s="79"/>
      <c r="F2379" s="80"/>
      <c r="G2379" s="80"/>
      <c r="H2379" s="81"/>
      <c r="I2379" s="80"/>
      <c r="J2379" s="80"/>
      <c r="K2379" s="80"/>
    </row>
    <row r="2380" ht="12.75" customHeight="1">
      <c r="A2380" s="89" t="s">
        <v>1565</v>
      </c>
      <c r="B2380" s="90" t="s">
        <v>4454</v>
      </c>
      <c r="C2380" s="90"/>
      <c r="E2380" s="79"/>
      <c r="F2380" s="80"/>
      <c r="G2380" s="92">
        <v>75631.72</v>
      </c>
      <c r="H2380" s="93">
        <f>G2380</f>
        <v>75631.72</v>
      </c>
      <c r="I2380" s="92"/>
      <c r="J2380" s="92"/>
      <c r="K2380" s="92"/>
    </row>
    <row r="2381" ht="12.75" customHeight="1">
      <c r="E2381" s="79"/>
      <c r="F2381" s="80"/>
      <c r="G2381" s="80"/>
      <c r="H2381" s="81"/>
      <c r="I2381" s="80"/>
      <c r="J2381" s="80"/>
      <c r="K2381" s="80"/>
    </row>
    <row r="2382" ht="12.75" customHeight="1">
      <c r="E2382" s="79"/>
      <c r="F2382" s="80"/>
      <c r="G2382" s="80"/>
      <c r="H2382" s="81"/>
      <c r="I2382" s="80"/>
      <c r="J2382" s="80"/>
      <c r="K2382" s="80"/>
    </row>
    <row r="2383" ht="12.75" customHeight="1">
      <c r="A2383" s="89" t="s">
        <v>1646</v>
      </c>
      <c r="B2383" s="90" t="s">
        <v>3449</v>
      </c>
      <c r="C2383" s="90"/>
      <c r="E2383" s="79"/>
      <c r="F2383" s="80"/>
      <c r="G2383" s="80"/>
      <c r="H2383" s="81"/>
      <c r="I2383" s="80"/>
      <c r="J2383" s="80"/>
      <c r="K2383" s="80"/>
    </row>
    <row r="2384" ht="12.75" customHeight="1">
      <c r="E2384" s="79"/>
      <c r="F2384" s="80"/>
      <c r="G2384" s="80"/>
      <c r="H2384" s="81"/>
      <c r="I2384" s="80"/>
      <c r="J2384" s="80"/>
      <c r="K2384" s="80"/>
    </row>
    <row r="2385" ht="12.75" customHeight="1">
      <c r="A2385" s="89" t="s">
        <v>1648</v>
      </c>
      <c r="B2385" s="90" t="s">
        <v>3450</v>
      </c>
      <c r="C2385" s="90"/>
      <c r="E2385" s="79"/>
      <c r="F2385" s="80"/>
      <c r="G2385" s="80"/>
      <c r="H2385" s="81"/>
      <c r="I2385" s="80"/>
      <c r="J2385" s="80"/>
      <c r="K2385" s="80"/>
    </row>
    <row r="2386" ht="12.75" customHeight="1">
      <c r="E2386" s="79"/>
      <c r="F2386" s="80"/>
      <c r="G2386" s="80"/>
      <c r="H2386" s="81"/>
      <c r="I2386" s="80"/>
      <c r="J2386" s="80"/>
      <c r="K2386" s="80"/>
    </row>
    <row r="2387" ht="12.75" customHeight="1">
      <c r="A2387" s="89" t="s">
        <v>1650</v>
      </c>
      <c r="B2387" s="90" t="s">
        <v>3451</v>
      </c>
      <c r="C2387" s="90"/>
      <c r="E2387" s="79"/>
      <c r="F2387" s="80"/>
      <c r="G2387" s="80"/>
      <c r="H2387" s="81"/>
      <c r="I2387" s="80"/>
      <c r="J2387" s="80"/>
      <c r="K2387" s="80"/>
    </row>
    <row r="2388" ht="12.75" customHeight="1">
      <c r="E2388" s="79"/>
      <c r="F2388" s="80"/>
      <c r="G2388" s="80"/>
      <c r="H2388" s="81"/>
      <c r="I2388" s="80"/>
      <c r="J2388" s="80"/>
      <c r="K2388" s="80"/>
    </row>
    <row r="2389" ht="12.75" customHeight="1">
      <c r="A2389" s="89" t="s">
        <v>1652</v>
      </c>
      <c r="B2389" s="90" t="s">
        <v>4499</v>
      </c>
      <c r="C2389" s="90"/>
      <c r="D2389" s="89" t="s">
        <v>40</v>
      </c>
      <c r="E2389" s="91">
        <v>2000.0</v>
      </c>
      <c r="F2389" s="92">
        <v>2.5</v>
      </c>
      <c r="G2389" s="92">
        <v>5000.0</v>
      </c>
      <c r="H2389" s="93"/>
      <c r="I2389" s="92"/>
      <c r="J2389" s="92"/>
      <c r="K2389" s="92"/>
    </row>
    <row r="2390" ht="12.75" customHeight="1">
      <c r="E2390" s="79"/>
      <c r="F2390" s="80"/>
      <c r="G2390" s="80"/>
      <c r="H2390" s="81"/>
      <c r="I2390" s="80"/>
      <c r="J2390" s="80"/>
      <c r="K2390" s="80"/>
    </row>
    <row r="2391" ht="12.75" customHeight="1">
      <c r="A2391" s="89" t="s">
        <v>1654</v>
      </c>
      <c r="B2391" s="90" t="s">
        <v>3454</v>
      </c>
      <c r="C2391" s="90"/>
      <c r="E2391" s="79"/>
      <c r="F2391" s="80"/>
      <c r="G2391" s="80"/>
      <c r="H2391" s="81"/>
      <c r="I2391" s="80"/>
      <c r="J2391" s="80"/>
      <c r="K2391" s="80"/>
    </row>
    <row r="2392" ht="12.75" customHeight="1">
      <c r="E2392" s="79"/>
      <c r="F2392" s="80"/>
      <c r="G2392" s="80"/>
      <c r="H2392" s="81"/>
      <c r="I2392" s="80"/>
      <c r="J2392" s="80"/>
      <c r="K2392" s="80"/>
    </row>
    <row r="2393" ht="12.75" customHeight="1">
      <c r="A2393" s="89" t="s">
        <v>1656</v>
      </c>
      <c r="B2393" s="90" t="s">
        <v>4500</v>
      </c>
      <c r="C2393" s="90"/>
      <c r="D2393" s="89" t="s">
        <v>933</v>
      </c>
      <c r="E2393" s="91">
        <v>70.0</v>
      </c>
      <c r="F2393" s="92">
        <v>10.76</v>
      </c>
      <c r="G2393" s="92">
        <v>753.2</v>
      </c>
      <c r="H2393" s="93"/>
      <c r="I2393" s="92"/>
      <c r="J2393" s="92"/>
      <c r="K2393" s="92"/>
    </row>
    <row r="2394" ht="12.75" customHeight="1">
      <c r="E2394" s="79"/>
      <c r="F2394" s="80"/>
      <c r="G2394" s="80"/>
      <c r="H2394" s="81"/>
      <c r="I2394" s="80"/>
      <c r="J2394" s="80"/>
      <c r="K2394" s="80"/>
    </row>
    <row r="2395" ht="12.75" customHeight="1">
      <c r="A2395" s="89" t="s">
        <v>1658</v>
      </c>
      <c r="B2395" s="90" t="s">
        <v>4501</v>
      </c>
      <c r="C2395" s="90"/>
      <c r="D2395" s="89" t="s">
        <v>933</v>
      </c>
      <c r="E2395" s="91">
        <v>177.0</v>
      </c>
      <c r="F2395" s="92">
        <v>10.76</v>
      </c>
      <c r="G2395" s="92">
        <v>1904.52</v>
      </c>
      <c r="H2395" s="93"/>
      <c r="I2395" s="92"/>
      <c r="J2395" s="92"/>
      <c r="K2395" s="92"/>
    </row>
    <row r="2396" ht="12.75" customHeight="1">
      <c r="E2396" s="79"/>
      <c r="F2396" s="80"/>
      <c r="G2396" s="80"/>
      <c r="H2396" s="81"/>
      <c r="I2396" s="80"/>
      <c r="J2396" s="80"/>
      <c r="K2396" s="80"/>
    </row>
    <row r="2397" ht="12.75" customHeight="1">
      <c r="A2397" s="89" t="s">
        <v>1660</v>
      </c>
      <c r="B2397" s="90" t="s">
        <v>4502</v>
      </c>
      <c r="C2397" s="90"/>
      <c r="D2397" s="89" t="s">
        <v>933</v>
      </c>
      <c r="E2397" s="91">
        <v>134.0</v>
      </c>
      <c r="F2397" s="92">
        <v>10.76</v>
      </c>
      <c r="G2397" s="92">
        <v>1441.84</v>
      </c>
      <c r="H2397" s="93"/>
      <c r="I2397" s="92"/>
      <c r="J2397" s="92"/>
      <c r="K2397" s="92"/>
    </row>
    <row r="2398" ht="12.75" customHeight="1">
      <c r="E2398" s="79"/>
      <c r="F2398" s="80"/>
      <c r="G2398" s="80"/>
      <c r="H2398" s="81"/>
      <c r="I2398" s="80"/>
      <c r="J2398" s="80"/>
      <c r="K2398" s="80"/>
    </row>
    <row r="2399" ht="12.75" customHeight="1">
      <c r="A2399" s="89" t="s">
        <v>1662</v>
      </c>
      <c r="B2399" s="90" t="s">
        <v>4503</v>
      </c>
      <c r="C2399" s="90"/>
      <c r="E2399" s="79"/>
      <c r="F2399" s="80"/>
      <c r="G2399" s="80"/>
      <c r="H2399" s="81"/>
      <c r="I2399" s="80"/>
      <c r="J2399" s="80"/>
      <c r="K2399" s="80"/>
    </row>
    <row r="2400" ht="12.75" customHeight="1">
      <c r="E2400" s="79"/>
      <c r="F2400" s="80"/>
      <c r="G2400" s="80"/>
      <c r="H2400" s="81"/>
      <c r="I2400" s="80"/>
      <c r="J2400" s="80"/>
      <c r="K2400" s="80"/>
    </row>
    <row r="2401" ht="12.75" customHeight="1">
      <c r="A2401" s="89" t="s">
        <v>1664</v>
      </c>
      <c r="B2401" s="90" t="s">
        <v>4504</v>
      </c>
      <c r="C2401" s="90"/>
      <c r="E2401" s="79"/>
      <c r="F2401" s="80"/>
      <c r="G2401" s="80"/>
      <c r="H2401" s="81"/>
      <c r="I2401" s="80"/>
      <c r="J2401" s="80"/>
      <c r="K2401" s="80"/>
    </row>
    <row r="2402" ht="12.75" customHeight="1">
      <c r="E2402" s="79"/>
      <c r="F2402" s="80"/>
      <c r="G2402" s="80"/>
      <c r="H2402" s="81"/>
      <c r="I2402" s="80"/>
      <c r="J2402" s="80"/>
      <c r="K2402" s="80"/>
    </row>
    <row r="2403" ht="12.75" customHeight="1">
      <c r="A2403" s="89" t="s">
        <v>1666</v>
      </c>
      <c r="B2403" s="90" t="s">
        <v>3464</v>
      </c>
      <c r="C2403" s="90"/>
      <c r="D2403" s="89" t="s">
        <v>933</v>
      </c>
      <c r="E2403" s="91">
        <v>72.5</v>
      </c>
      <c r="F2403" s="92">
        <v>57.17</v>
      </c>
      <c r="G2403" s="92">
        <v>4144.83</v>
      </c>
      <c r="H2403" s="93"/>
      <c r="I2403" s="92"/>
      <c r="J2403" s="92"/>
      <c r="K2403" s="92"/>
    </row>
    <row r="2404" ht="12.75" customHeight="1">
      <c r="E2404" s="79"/>
      <c r="F2404" s="80"/>
      <c r="G2404" s="80"/>
      <c r="H2404" s="81"/>
      <c r="I2404" s="80"/>
      <c r="J2404" s="80"/>
      <c r="K2404" s="80"/>
    </row>
    <row r="2405" ht="12.75" customHeight="1">
      <c r="A2405" s="89" t="s">
        <v>1668</v>
      </c>
      <c r="B2405" s="90" t="s">
        <v>4505</v>
      </c>
      <c r="C2405" s="90"/>
      <c r="D2405" s="89" t="s">
        <v>933</v>
      </c>
      <c r="E2405" s="91">
        <v>177.0</v>
      </c>
      <c r="F2405" s="92">
        <v>57.17</v>
      </c>
      <c r="G2405" s="92">
        <v>10119.09</v>
      </c>
      <c r="H2405" s="93"/>
      <c r="I2405" s="92"/>
      <c r="J2405" s="92"/>
      <c r="K2405" s="92"/>
    </row>
    <row r="2406" ht="12.75" customHeight="1">
      <c r="E2406" s="79"/>
      <c r="F2406" s="80"/>
      <c r="G2406" s="80"/>
      <c r="H2406" s="81"/>
      <c r="I2406" s="80"/>
      <c r="J2406" s="80"/>
      <c r="K2406" s="80"/>
    </row>
    <row r="2407" ht="12.75" customHeight="1">
      <c r="A2407" s="89" t="s">
        <v>1670</v>
      </c>
      <c r="B2407" s="90" t="s">
        <v>3468</v>
      </c>
      <c r="C2407" s="90"/>
      <c r="D2407" s="89" t="s">
        <v>933</v>
      </c>
      <c r="E2407" s="91">
        <v>134.0</v>
      </c>
      <c r="F2407" s="92">
        <v>57.17</v>
      </c>
      <c r="G2407" s="92">
        <v>7660.78</v>
      </c>
      <c r="H2407" s="93"/>
      <c r="I2407" s="92"/>
      <c r="J2407" s="92"/>
      <c r="K2407" s="92"/>
    </row>
    <row r="2408" ht="12.75" customHeight="1">
      <c r="E2408" s="79"/>
      <c r="F2408" s="80"/>
      <c r="G2408" s="80"/>
      <c r="H2408" s="81"/>
      <c r="I2408" s="80"/>
      <c r="J2408" s="80"/>
      <c r="K2408" s="80"/>
    </row>
    <row r="2409" ht="12.75" customHeight="1">
      <c r="A2409" s="89" t="s">
        <v>1672</v>
      </c>
      <c r="B2409" s="90" t="s">
        <v>4506</v>
      </c>
      <c r="C2409" s="90"/>
      <c r="D2409" s="89" t="s">
        <v>933</v>
      </c>
      <c r="E2409" s="91">
        <v>70.0</v>
      </c>
      <c r="F2409" s="92">
        <v>57.17</v>
      </c>
      <c r="G2409" s="92">
        <v>4001.9</v>
      </c>
      <c r="H2409" s="93"/>
      <c r="I2409" s="92"/>
      <c r="J2409" s="92"/>
      <c r="K2409" s="92"/>
    </row>
    <row r="2410" ht="12.75" customHeight="1">
      <c r="E2410" s="79"/>
      <c r="F2410" s="80"/>
      <c r="G2410" s="80"/>
      <c r="H2410" s="81"/>
      <c r="I2410" s="80"/>
      <c r="J2410" s="80"/>
      <c r="K2410" s="80"/>
    </row>
    <row r="2411" ht="12.75" customHeight="1">
      <c r="A2411" s="89" t="s">
        <v>1648</v>
      </c>
      <c r="B2411" s="90" t="s">
        <v>3450</v>
      </c>
      <c r="C2411" s="90"/>
      <c r="E2411" s="79"/>
      <c r="F2411" s="80"/>
      <c r="G2411" s="92">
        <v>35026.16</v>
      </c>
      <c r="H2411" s="93"/>
      <c r="I2411" s="92"/>
      <c r="J2411" s="92"/>
      <c r="K2411" s="92"/>
    </row>
    <row r="2412" ht="12.75" customHeight="1">
      <c r="E2412" s="79"/>
      <c r="F2412" s="80"/>
      <c r="G2412" s="80"/>
      <c r="H2412" s="81"/>
      <c r="I2412" s="80"/>
      <c r="J2412" s="80"/>
      <c r="K2412" s="80"/>
    </row>
    <row r="2413" ht="12.75" customHeight="1">
      <c r="E2413" s="79"/>
      <c r="F2413" s="80"/>
      <c r="G2413" s="80"/>
      <c r="H2413" s="81"/>
      <c r="I2413" s="80"/>
      <c r="J2413" s="80"/>
      <c r="K2413" s="80"/>
    </row>
    <row r="2414" ht="12.75" customHeight="1">
      <c r="A2414" s="89" t="s">
        <v>1674</v>
      </c>
      <c r="B2414" s="90" t="s">
        <v>3471</v>
      </c>
      <c r="C2414" s="90"/>
      <c r="E2414" s="79"/>
      <c r="F2414" s="80"/>
      <c r="G2414" s="80"/>
      <c r="H2414" s="81"/>
      <c r="I2414" s="80"/>
      <c r="J2414" s="80"/>
      <c r="K2414" s="80"/>
    </row>
    <row r="2415" ht="12.75" customHeight="1">
      <c r="E2415" s="79"/>
      <c r="F2415" s="80"/>
      <c r="G2415" s="80"/>
      <c r="H2415" s="81"/>
      <c r="I2415" s="80"/>
      <c r="J2415" s="80"/>
      <c r="K2415" s="80"/>
    </row>
    <row r="2416" ht="12.75" customHeight="1">
      <c r="A2416" s="89" t="s">
        <v>1676</v>
      </c>
      <c r="B2416" s="90" t="s">
        <v>4507</v>
      </c>
      <c r="C2416" s="90"/>
      <c r="E2416" s="79"/>
      <c r="F2416" s="80"/>
      <c r="G2416" s="80"/>
      <c r="H2416" s="81"/>
      <c r="I2416" s="80"/>
      <c r="J2416" s="80"/>
      <c r="K2416" s="80"/>
    </row>
    <row r="2417" ht="12.75" customHeight="1">
      <c r="E2417" s="79"/>
      <c r="F2417" s="80"/>
      <c r="G2417" s="80"/>
      <c r="H2417" s="81"/>
      <c r="I2417" s="80"/>
      <c r="J2417" s="80"/>
      <c r="K2417" s="80"/>
    </row>
    <row r="2418" ht="12.75" customHeight="1">
      <c r="A2418" s="89" t="s">
        <v>1678</v>
      </c>
      <c r="B2418" s="90" t="s">
        <v>4508</v>
      </c>
      <c r="C2418" s="90"/>
      <c r="E2418" s="79"/>
      <c r="F2418" s="80"/>
      <c r="G2418" s="80"/>
      <c r="H2418" s="81"/>
      <c r="I2418" s="80"/>
      <c r="J2418" s="80"/>
      <c r="K2418" s="80"/>
    </row>
    <row r="2419" ht="12.75" customHeight="1">
      <c r="E2419" s="79"/>
      <c r="F2419" s="80"/>
      <c r="G2419" s="80"/>
      <c r="H2419" s="81"/>
      <c r="I2419" s="80"/>
      <c r="J2419" s="80"/>
      <c r="K2419" s="80"/>
    </row>
    <row r="2420" ht="12.75" customHeight="1">
      <c r="A2420" s="89" t="s">
        <v>1680</v>
      </c>
      <c r="B2420" s="90" t="s">
        <v>4509</v>
      </c>
      <c r="C2420" s="90"/>
      <c r="D2420" s="89" t="s">
        <v>75</v>
      </c>
      <c r="E2420" s="91">
        <v>3.0</v>
      </c>
      <c r="F2420" s="92">
        <v>70.12</v>
      </c>
      <c r="G2420" s="92">
        <v>210.36</v>
      </c>
      <c r="H2420" s="93"/>
      <c r="I2420" s="92"/>
      <c r="J2420" s="92"/>
      <c r="K2420" s="92"/>
    </row>
    <row r="2421" ht="12.75" customHeight="1">
      <c r="E2421" s="79"/>
      <c r="F2421" s="80"/>
      <c r="G2421" s="80"/>
      <c r="H2421" s="81"/>
      <c r="I2421" s="80"/>
      <c r="J2421" s="80"/>
      <c r="K2421" s="80"/>
    </row>
    <row r="2422" ht="12.75" customHeight="1">
      <c r="A2422" s="89" t="s">
        <v>1682</v>
      </c>
      <c r="B2422" s="90" t="s">
        <v>4510</v>
      </c>
      <c r="C2422" s="90"/>
      <c r="D2422" s="89" t="s">
        <v>75</v>
      </c>
      <c r="E2422" s="91">
        <v>3.0</v>
      </c>
      <c r="F2422" s="92">
        <v>70.12</v>
      </c>
      <c r="G2422" s="92">
        <v>210.36</v>
      </c>
      <c r="H2422" s="93"/>
      <c r="I2422" s="92"/>
      <c r="J2422" s="92"/>
      <c r="K2422" s="92"/>
    </row>
    <row r="2423" ht="12.75" customHeight="1">
      <c r="E2423" s="79"/>
      <c r="F2423" s="80"/>
      <c r="G2423" s="80"/>
      <c r="H2423" s="81"/>
      <c r="I2423" s="80"/>
      <c r="J2423" s="80"/>
      <c r="K2423" s="80"/>
    </row>
    <row r="2424" ht="12.75" customHeight="1">
      <c r="A2424" s="89" t="s">
        <v>1684</v>
      </c>
      <c r="B2424" s="90" t="s">
        <v>4511</v>
      </c>
      <c r="C2424" s="90"/>
      <c r="D2424" s="89" t="s">
        <v>75</v>
      </c>
      <c r="E2424" s="91">
        <v>5.0</v>
      </c>
      <c r="F2424" s="92">
        <v>197.23</v>
      </c>
      <c r="G2424" s="92">
        <v>986.15</v>
      </c>
      <c r="H2424" s="93"/>
      <c r="I2424" s="92"/>
      <c r="J2424" s="92"/>
      <c r="K2424" s="92"/>
    </row>
    <row r="2425" ht="12.75" customHeight="1">
      <c r="E2425" s="79"/>
      <c r="F2425" s="80"/>
      <c r="G2425" s="80"/>
      <c r="H2425" s="81"/>
      <c r="I2425" s="80"/>
      <c r="J2425" s="80"/>
      <c r="K2425" s="80"/>
    </row>
    <row r="2426" ht="12.75" customHeight="1">
      <c r="A2426" s="89" t="s">
        <v>1686</v>
      </c>
      <c r="B2426" s="90" t="s">
        <v>4512</v>
      </c>
      <c r="C2426" s="90"/>
      <c r="D2426" s="89" t="s">
        <v>75</v>
      </c>
      <c r="E2426" s="91">
        <v>6.0</v>
      </c>
      <c r="F2426" s="92">
        <v>161.92</v>
      </c>
      <c r="G2426" s="92">
        <v>971.52</v>
      </c>
      <c r="H2426" s="93"/>
      <c r="I2426" s="92"/>
      <c r="J2426" s="92"/>
      <c r="K2426" s="92"/>
    </row>
    <row r="2427" ht="12.75" customHeight="1">
      <c r="E2427" s="79"/>
      <c r="F2427" s="80"/>
      <c r="G2427" s="80"/>
      <c r="H2427" s="81"/>
      <c r="I2427" s="80"/>
      <c r="J2427" s="80"/>
      <c r="K2427" s="80"/>
    </row>
    <row r="2428" ht="12.75" customHeight="1">
      <c r="A2428" s="89" t="s">
        <v>1688</v>
      </c>
      <c r="B2428" s="90" t="s">
        <v>4513</v>
      </c>
      <c r="C2428" s="90"/>
      <c r="D2428" s="89" t="s">
        <v>75</v>
      </c>
      <c r="E2428" s="91">
        <v>6.0</v>
      </c>
      <c r="F2428" s="92">
        <v>125.24</v>
      </c>
      <c r="G2428" s="92">
        <v>751.44</v>
      </c>
      <c r="H2428" s="93"/>
      <c r="I2428" s="92"/>
      <c r="J2428" s="92"/>
      <c r="K2428" s="92"/>
    </row>
    <row r="2429" ht="12.75" customHeight="1">
      <c r="E2429" s="79"/>
      <c r="F2429" s="80"/>
      <c r="G2429" s="80"/>
      <c r="H2429" s="81"/>
      <c r="I2429" s="80"/>
      <c r="J2429" s="80"/>
      <c r="K2429" s="80"/>
    </row>
    <row r="2430" ht="12.75" customHeight="1">
      <c r="A2430" s="89" t="s">
        <v>1690</v>
      </c>
      <c r="B2430" s="90" t="s">
        <v>4514</v>
      </c>
      <c r="C2430" s="90"/>
      <c r="D2430" s="89" t="s">
        <v>75</v>
      </c>
      <c r="E2430" s="91">
        <v>2.0</v>
      </c>
      <c r="F2430" s="92">
        <v>73.57</v>
      </c>
      <c r="G2430" s="92">
        <v>147.14</v>
      </c>
      <c r="H2430" s="93"/>
      <c r="I2430" s="92"/>
      <c r="J2430" s="92"/>
      <c r="K2430" s="92"/>
    </row>
    <row r="2431" ht="12.75" customHeight="1">
      <c r="E2431" s="79"/>
      <c r="F2431" s="80"/>
      <c r="G2431" s="80"/>
      <c r="H2431" s="81"/>
      <c r="I2431" s="80"/>
      <c r="J2431" s="80"/>
      <c r="K2431" s="80"/>
    </row>
    <row r="2432" ht="12.75" customHeight="1">
      <c r="A2432" s="89" t="s">
        <v>1692</v>
      </c>
      <c r="B2432" s="90" t="s">
        <v>4515</v>
      </c>
      <c r="C2432" s="90"/>
      <c r="D2432" s="89" t="s">
        <v>75</v>
      </c>
      <c r="E2432" s="91">
        <v>4.0</v>
      </c>
      <c r="F2432" s="92">
        <v>295.6</v>
      </c>
      <c r="G2432" s="92">
        <v>1182.4</v>
      </c>
      <c r="H2432" s="93"/>
      <c r="I2432" s="92"/>
      <c r="J2432" s="92"/>
      <c r="K2432" s="92"/>
    </row>
    <row r="2433" ht="12.75" customHeight="1">
      <c r="E2433" s="79"/>
      <c r="F2433" s="80"/>
      <c r="G2433" s="80"/>
      <c r="H2433" s="81"/>
      <c r="I2433" s="80"/>
      <c r="J2433" s="80"/>
      <c r="K2433" s="80"/>
    </row>
    <row r="2434" ht="12.75" customHeight="1">
      <c r="A2434" s="89" t="s">
        <v>1694</v>
      </c>
      <c r="B2434" s="90" t="s">
        <v>4516</v>
      </c>
      <c r="C2434" s="90"/>
      <c r="D2434" s="89" t="s">
        <v>75</v>
      </c>
      <c r="E2434" s="91">
        <v>5.0</v>
      </c>
      <c r="F2434" s="92">
        <v>243.93</v>
      </c>
      <c r="G2434" s="92">
        <v>1219.65</v>
      </c>
      <c r="H2434" s="93"/>
      <c r="I2434" s="92"/>
      <c r="J2434" s="92"/>
      <c r="K2434" s="92"/>
    </row>
    <row r="2435" ht="12.75" customHeight="1">
      <c r="E2435" s="79"/>
      <c r="F2435" s="80"/>
      <c r="G2435" s="80"/>
      <c r="H2435" s="81"/>
      <c r="I2435" s="80"/>
      <c r="J2435" s="80"/>
      <c r="K2435" s="80"/>
    </row>
    <row r="2436" ht="12.75" customHeight="1">
      <c r="A2436" s="89" t="s">
        <v>1696</v>
      </c>
      <c r="B2436" s="90" t="s">
        <v>4517</v>
      </c>
      <c r="C2436" s="90"/>
      <c r="D2436" s="89" t="s">
        <v>75</v>
      </c>
      <c r="E2436" s="91">
        <v>6.0</v>
      </c>
      <c r="F2436" s="92">
        <v>350.72</v>
      </c>
      <c r="G2436" s="92">
        <v>2104.32</v>
      </c>
      <c r="H2436" s="93"/>
      <c r="I2436" s="92"/>
      <c r="J2436" s="92"/>
      <c r="K2436" s="92"/>
    </row>
    <row r="2437" ht="12.75" customHeight="1">
      <c r="E2437" s="79"/>
      <c r="F2437" s="80"/>
      <c r="G2437" s="80"/>
      <c r="H2437" s="81"/>
      <c r="I2437" s="80"/>
      <c r="J2437" s="80"/>
      <c r="K2437" s="80"/>
    </row>
    <row r="2438" ht="12.75" customHeight="1">
      <c r="A2438" s="89" t="s">
        <v>1698</v>
      </c>
      <c r="B2438" s="90" t="s">
        <v>4518</v>
      </c>
      <c r="C2438" s="90"/>
      <c r="D2438" s="89" t="s">
        <v>75</v>
      </c>
      <c r="E2438" s="91">
        <v>12.0</v>
      </c>
      <c r="F2438" s="92">
        <v>88.9</v>
      </c>
      <c r="G2438" s="92">
        <v>1066.8</v>
      </c>
      <c r="H2438" s="93"/>
      <c r="I2438" s="92"/>
      <c r="J2438" s="92"/>
      <c r="K2438" s="92"/>
    </row>
    <row r="2439" ht="12.75" customHeight="1">
      <c r="E2439" s="79"/>
      <c r="F2439" s="80"/>
      <c r="G2439" s="80"/>
      <c r="H2439" s="81"/>
      <c r="I2439" s="80"/>
      <c r="J2439" s="80"/>
      <c r="K2439" s="80"/>
    </row>
    <row r="2440" ht="12.75" customHeight="1">
      <c r="A2440" s="89" t="s">
        <v>1700</v>
      </c>
      <c r="B2440" s="90" t="s">
        <v>4519</v>
      </c>
      <c r="C2440" s="90"/>
      <c r="E2440" s="79"/>
      <c r="F2440" s="80"/>
      <c r="G2440" s="80"/>
      <c r="H2440" s="81"/>
      <c r="I2440" s="80"/>
      <c r="J2440" s="80"/>
      <c r="K2440" s="80"/>
    </row>
    <row r="2441" ht="12.75" customHeight="1">
      <c r="E2441" s="79"/>
      <c r="F2441" s="80"/>
      <c r="G2441" s="80"/>
      <c r="H2441" s="81"/>
      <c r="I2441" s="80"/>
      <c r="J2441" s="80"/>
      <c r="K2441" s="80"/>
    </row>
    <row r="2442" ht="12.75" customHeight="1">
      <c r="A2442" s="89" t="s">
        <v>1702</v>
      </c>
      <c r="B2442" s="90" t="s">
        <v>4520</v>
      </c>
      <c r="C2442" s="90"/>
      <c r="E2442" s="79"/>
      <c r="F2442" s="80"/>
      <c r="G2442" s="80"/>
      <c r="H2442" s="81"/>
      <c r="I2442" s="80"/>
      <c r="J2442" s="80"/>
      <c r="K2442" s="80"/>
    </row>
    <row r="2443" ht="12.75" customHeight="1">
      <c r="E2443" s="79"/>
      <c r="F2443" s="80"/>
      <c r="G2443" s="80"/>
      <c r="H2443" s="81"/>
      <c r="I2443" s="80"/>
      <c r="J2443" s="80"/>
      <c r="K2443" s="80"/>
    </row>
    <row r="2444" ht="12.75" customHeight="1">
      <c r="A2444" s="89" t="s">
        <v>1704</v>
      </c>
      <c r="B2444" s="90" t="s">
        <v>4521</v>
      </c>
      <c r="C2444" s="90"/>
      <c r="D2444" s="89" t="s">
        <v>75</v>
      </c>
      <c r="E2444" s="91">
        <v>9.0</v>
      </c>
      <c r="F2444" s="92">
        <v>21.95</v>
      </c>
      <c r="G2444" s="92">
        <v>197.55</v>
      </c>
      <c r="H2444" s="93"/>
      <c r="I2444" s="92"/>
      <c r="J2444" s="92"/>
      <c r="K2444" s="92"/>
    </row>
    <row r="2445" ht="12.75" customHeight="1">
      <c r="E2445" s="79"/>
      <c r="F2445" s="80"/>
      <c r="G2445" s="80"/>
      <c r="H2445" s="81"/>
      <c r="I2445" s="80"/>
      <c r="J2445" s="80"/>
      <c r="K2445" s="80"/>
    </row>
    <row r="2446" ht="12.75" customHeight="1">
      <c r="A2446" s="89" t="s">
        <v>1706</v>
      </c>
      <c r="B2446" s="90" t="s">
        <v>4522</v>
      </c>
      <c r="C2446" s="90"/>
      <c r="D2446" s="89" t="s">
        <v>75</v>
      </c>
      <c r="E2446" s="91">
        <v>8.0</v>
      </c>
      <c r="F2446" s="92">
        <v>44.69</v>
      </c>
      <c r="G2446" s="92">
        <v>357.52</v>
      </c>
      <c r="H2446" s="93"/>
      <c r="I2446" s="92"/>
      <c r="J2446" s="92"/>
      <c r="K2446" s="92"/>
    </row>
    <row r="2447" ht="12.75" customHeight="1">
      <c r="E2447" s="79"/>
      <c r="F2447" s="80"/>
      <c r="G2447" s="80"/>
      <c r="H2447" s="81"/>
      <c r="I2447" s="80"/>
      <c r="J2447" s="80"/>
      <c r="K2447" s="80"/>
    </row>
    <row r="2448" ht="12.75" customHeight="1">
      <c r="A2448" s="89" t="s">
        <v>1708</v>
      </c>
      <c r="B2448" s="90" t="s">
        <v>4523</v>
      </c>
      <c r="C2448" s="90"/>
      <c r="D2448" s="89" t="s">
        <v>75</v>
      </c>
      <c r="E2448" s="91">
        <v>42.0</v>
      </c>
      <c r="F2448" s="92">
        <v>8.58</v>
      </c>
      <c r="G2448" s="92">
        <v>360.36</v>
      </c>
      <c r="H2448" s="93"/>
      <c r="I2448" s="92"/>
      <c r="J2448" s="92"/>
      <c r="K2448" s="92"/>
    </row>
    <row r="2449" ht="12.75" customHeight="1">
      <c r="E2449" s="79"/>
      <c r="F2449" s="80"/>
      <c r="G2449" s="80"/>
      <c r="H2449" s="81"/>
      <c r="I2449" s="80"/>
      <c r="J2449" s="80"/>
      <c r="K2449" s="80"/>
    </row>
    <row r="2450" ht="12.75" customHeight="1">
      <c r="A2450" s="89" t="s">
        <v>1710</v>
      </c>
      <c r="B2450" s="90" t="s">
        <v>4524</v>
      </c>
      <c r="C2450" s="90"/>
      <c r="D2450" s="89" t="s">
        <v>75</v>
      </c>
      <c r="E2450" s="91">
        <v>76.0</v>
      </c>
      <c r="F2450" s="92">
        <v>25.05</v>
      </c>
      <c r="G2450" s="92">
        <v>1903.8</v>
      </c>
      <c r="H2450" s="93"/>
      <c r="I2450" s="92"/>
      <c r="J2450" s="92"/>
      <c r="K2450" s="92"/>
    </row>
    <row r="2451" ht="12.75" customHeight="1">
      <c r="E2451" s="79"/>
      <c r="F2451" s="80"/>
      <c r="G2451" s="80"/>
      <c r="H2451" s="81"/>
      <c r="I2451" s="80"/>
      <c r="J2451" s="80"/>
      <c r="K2451" s="80"/>
    </row>
    <row r="2452" ht="12.75" customHeight="1">
      <c r="A2452" s="89" t="s">
        <v>1712</v>
      </c>
      <c r="B2452" s="90" t="s">
        <v>4525</v>
      </c>
      <c r="C2452" s="90"/>
      <c r="D2452" s="89" t="s">
        <v>75</v>
      </c>
      <c r="E2452" s="91">
        <v>62.0</v>
      </c>
      <c r="F2452" s="92">
        <v>32.63</v>
      </c>
      <c r="G2452" s="92">
        <v>2023.06</v>
      </c>
      <c r="H2452" s="93"/>
      <c r="I2452" s="92"/>
      <c r="J2452" s="92"/>
      <c r="K2452" s="92"/>
    </row>
    <row r="2453" ht="12.75" customHeight="1">
      <c r="E2453" s="79"/>
      <c r="F2453" s="80"/>
      <c r="G2453" s="80"/>
      <c r="H2453" s="81"/>
      <c r="I2453" s="80"/>
      <c r="J2453" s="80"/>
      <c r="K2453" s="80"/>
    </row>
    <row r="2454" ht="12.75" customHeight="1">
      <c r="A2454" s="89" t="s">
        <v>1714</v>
      </c>
      <c r="B2454" s="90" t="s">
        <v>4526</v>
      </c>
      <c r="C2454" s="90"/>
      <c r="D2454" s="89" t="s">
        <v>75</v>
      </c>
      <c r="E2454" s="91">
        <v>20.0</v>
      </c>
      <c r="F2454" s="92">
        <v>14.65</v>
      </c>
      <c r="G2454" s="92">
        <v>293.0</v>
      </c>
      <c r="H2454" s="93"/>
      <c r="I2454" s="92"/>
      <c r="J2454" s="92"/>
      <c r="K2454" s="92"/>
    </row>
    <row r="2455" ht="12.75" customHeight="1">
      <c r="E2455" s="79"/>
      <c r="F2455" s="80"/>
      <c r="G2455" s="80"/>
      <c r="H2455" s="81"/>
      <c r="I2455" s="80"/>
      <c r="J2455" s="80"/>
      <c r="K2455" s="80"/>
    </row>
    <row r="2456" ht="12.75" customHeight="1">
      <c r="A2456" s="89" t="s">
        <v>1716</v>
      </c>
      <c r="B2456" s="90" t="s">
        <v>4527</v>
      </c>
      <c r="C2456" s="90"/>
      <c r="D2456" s="89" t="s">
        <v>75</v>
      </c>
      <c r="E2456" s="91">
        <v>118.0</v>
      </c>
      <c r="F2456" s="92">
        <v>7.55</v>
      </c>
      <c r="G2456" s="92">
        <v>890.9</v>
      </c>
      <c r="H2456" s="93"/>
      <c r="I2456" s="92"/>
      <c r="J2456" s="92"/>
      <c r="K2456" s="92"/>
    </row>
    <row r="2457" ht="12.75" customHeight="1">
      <c r="E2457" s="79"/>
      <c r="F2457" s="80"/>
      <c r="G2457" s="80"/>
      <c r="H2457" s="81"/>
      <c r="I2457" s="80"/>
      <c r="J2457" s="80"/>
      <c r="K2457" s="80"/>
    </row>
    <row r="2458" ht="12.75" customHeight="1">
      <c r="A2458" s="89" t="s">
        <v>1718</v>
      </c>
      <c r="B2458" s="90" t="s">
        <v>4528</v>
      </c>
      <c r="C2458" s="90"/>
      <c r="D2458" s="89" t="s">
        <v>75</v>
      </c>
      <c r="E2458" s="91">
        <v>14.0</v>
      </c>
      <c r="F2458" s="92">
        <v>14.38</v>
      </c>
      <c r="G2458" s="92">
        <v>201.32</v>
      </c>
      <c r="H2458" s="93"/>
      <c r="I2458" s="92"/>
      <c r="J2458" s="92"/>
      <c r="K2458" s="92"/>
    </row>
    <row r="2459" ht="12.75" customHeight="1">
      <c r="E2459" s="79"/>
      <c r="F2459" s="80"/>
      <c r="G2459" s="80"/>
      <c r="H2459" s="81"/>
      <c r="I2459" s="80"/>
      <c r="J2459" s="80"/>
      <c r="K2459" s="80"/>
    </row>
    <row r="2460" ht="12.75" customHeight="1">
      <c r="A2460" s="89" t="s">
        <v>1720</v>
      </c>
      <c r="B2460" s="90" t="s">
        <v>4529</v>
      </c>
      <c r="C2460" s="90"/>
      <c r="D2460" s="89" t="s">
        <v>75</v>
      </c>
      <c r="E2460" s="91">
        <v>17.0</v>
      </c>
      <c r="F2460" s="92">
        <v>10.15</v>
      </c>
      <c r="G2460" s="92">
        <v>172.55</v>
      </c>
      <c r="H2460" s="93"/>
      <c r="I2460" s="92"/>
      <c r="J2460" s="92"/>
      <c r="K2460" s="92"/>
    </row>
    <row r="2461" ht="12.75" customHeight="1">
      <c r="E2461" s="79"/>
      <c r="F2461" s="80"/>
      <c r="G2461" s="80"/>
      <c r="H2461" s="81"/>
      <c r="I2461" s="80"/>
      <c r="J2461" s="80"/>
      <c r="K2461" s="80"/>
    </row>
    <row r="2462" ht="12.75" customHeight="1">
      <c r="A2462" s="89" t="s">
        <v>1722</v>
      </c>
      <c r="B2462" s="90" t="s">
        <v>4530</v>
      </c>
      <c r="C2462" s="90"/>
      <c r="D2462" s="89" t="s">
        <v>75</v>
      </c>
      <c r="E2462" s="91">
        <v>40.0</v>
      </c>
      <c r="F2462" s="92">
        <v>8.66</v>
      </c>
      <c r="G2462" s="92">
        <v>346.4</v>
      </c>
      <c r="H2462" s="93"/>
      <c r="I2462" s="92"/>
      <c r="J2462" s="92"/>
      <c r="K2462" s="92"/>
    </row>
    <row r="2463" ht="12.75" customHeight="1">
      <c r="E2463" s="79"/>
      <c r="F2463" s="80"/>
      <c r="G2463" s="80"/>
      <c r="H2463" s="81"/>
      <c r="I2463" s="80"/>
      <c r="J2463" s="80"/>
      <c r="K2463" s="80"/>
    </row>
    <row r="2464" ht="12.75" customHeight="1">
      <c r="A2464" s="89" t="s">
        <v>1724</v>
      </c>
      <c r="B2464" s="90" t="s">
        <v>4531</v>
      </c>
      <c r="C2464" s="90"/>
      <c r="E2464" s="79"/>
      <c r="F2464" s="80"/>
      <c r="G2464" s="80"/>
      <c r="H2464" s="81"/>
      <c r="I2464" s="80"/>
      <c r="J2464" s="80"/>
      <c r="K2464" s="80"/>
    </row>
    <row r="2465" ht="12.75" customHeight="1">
      <c r="E2465" s="79"/>
      <c r="F2465" s="80"/>
      <c r="G2465" s="80"/>
      <c r="H2465" s="81"/>
      <c r="I2465" s="80"/>
      <c r="J2465" s="80"/>
      <c r="K2465" s="80"/>
    </row>
    <row r="2466" ht="12.75" customHeight="1">
      <c r="A2466" s="89" t="s">
        <v>1726</v>
      </c>
      <c r="B2466" s="90" t="s">
        <v>4532</v>
      </c>
      <c r="C2466" s="90"/>
      <c r="E2466" s="79"/>
      <c r="F2466" s="80"/>
      <c r="G2466" s="80"/>
      <c r="H2466" s="81"/>
      <c r="I2466" s="80"/>
      <c r="J2466" s="80"/>
      <c r="K2466" s="80"/>
    </row>
    <row r="2467" ht="12.75" customHeight="1">
      <c r="E2467" s="79"/>
      <c r="F2467" s="80"/>
      <c r="G2467" s="80"/>
      <c r="H2467" s="81"/>
      <c r="I2467" s="80"/>
      <c r="J2467" s="80"/>
      <c r="K2467" s="80"/>
    </row>
    <row r="2468" ht="12.75" customHeight="1">
      <c r="A2468" s="89" t="s">
        <v>1728</v>
      </c>
      <c r="B2468" s="90" t="s">
        <v>4533</v>
      </c>
      <c r="C2468" s="90"/>
      <c r="D2468" s="89" t="s">
        <v>75</v>
      </c>
      <c r="E2468" s="91">
        <v>5.0</v>
      </c>
      <c r="F2468" s="92">
        <v>116.69</v>
      </c>
      <c r="G2468" s="92">
        <v>583.45</v>
      </c>
      <c r="H2468" s="93"/>
      <c r="I2468" s="92"/>
      <c r="J2468" s="92"/>
      <c r="K2468" s="92"/>
    </row>
    <row r="2469" ht="12.75" customHeight="1">
      <c r="E2469" s="79"/>
      <c r="F2469" s="80"/>
      <c r="G2469" s="80"/>
      <c r="H2469" s="81"/>
      <c r="I2469" s="80"/>
      <c r="J2469" s="80"/>
      <c r="K2469" s="80"/>
    </row>
    <row r="2470" ht="12.75" customHeight="1">
      <c r="A2470" s="89" t="s">
        <v>1730</v>
      </c>
      <c r="B2470" s="90" t="s">
        <v>4534</v>
      </c>
      <c r="C2470" s="90"/>
      <c r="D2470" s="89" t="s">
        <v>75</v>
      </c>
      <c r="E2470" s="91">
        <v>3.0</v>
      </c>
      <c r="F2470" s="92">
        <v>111.46</v>
      </c>
      <c r="G2470" s="92">
        <v>334.38</v>
      </c>
      <c r="H2470" s="93"/>
      <c r="I2470" s="92"/>
      <c r="J2470" s="92"/>
      <c r="K2470" s="92"/>
    </row>
    <row r="2471" ht="12.75" customHeight="1">
      <c r="E2471" s="79"/>
      <c r="F2471" s="80"/>
      <c r="G2471" s="80"/>
      <c r="H2471" s="81"/>
      <c r="I2471" s="80"/>
      <c r="J2471" s="80"/>
      <c r="K2471" s="80"/>
    </row>
    <row r="2472" ht="12.75" customHeight="1">
      <c r="A2472" s="89" t="s">
        <v>1732</v>
      </c>
      <c r="B2472" s="90" t="s">
        <v>4535</v>
      </c>
      <c r="C2472" s="90"/>
      <c r="E2472" s="79"/>
      <c r="F2472" s="80"/>
      <c r="G2472" s="80"/>
      <c r="H2472" s="81"/>
      <c r="I2472" s="80"/>
      <c r="J2472" s="80"/>
      <c r="K2472" s="80"/>
    </row>
    <row r="2473" ht="12.75" customHeight="1">
      <c r="E2473" s="79"/>
      <c r="F2473" s="80"/>
      <c r="G2473" s="80"/>
      <c r="H2473" s="81"/>
      <c r="I2473" s="80"/>
      <c r="J2473" s="80"/>
      <c r="K2473" s="80"/>
    </row>
    <row r="2474" ht="12.75" customHeight="1">
      <c r="A2474" s="89" t="s">
        <v>1734</v>
      </c>
      <c r="B2474" s="90" t="s">
        <v>4536</v>
      </c>
      <c r="C2474" s="90"/>
      <c r="E2474" s="79"/>
      <c r="F2474" s="80"/>
      <c r="G2474" s="80"/>
      <c r="H2474" s="81"/>
      <c r="I2474" s="80"/>
      <c r="J2474" s="80"/>
      <c r="K2474" s="80"/>
    </row>
    <row r="2475" ht="12.75" customHeight="1">
      <c r="E2475" s="79"/>
      <c r="F2475" s="80"/>
      <c r="G2475" s="80"/>
      <c r="H2475" s="81"/>
      <c r="I2475" s="80"/>
      <c r="J2475" s="80"/>
      <c r="K2475" s="80"/>
    </row>
    <row r="2476" ht="12.75" customHeight="1">
      <c r="A2476" s="89" t="s">
        <v>1736</v>
      </c>
      <c r="B2476" s="90" t="s">
        <v>4537</v>
      </c>
      <c r="C2476" s="90"/>
      <c r="D2476" s="89" t="s">
        <v>75</v>
      </c>
      <c r="E2476" s="91">
        <v>170.0</v>
      </c>
      <c r="F2476" s="92">
        <v>3.28</v>
      </c>
      <c r="G2476" s="92">
        <v>557.6</v>
      </c>
      <c r="H2476" s="93"/>
      <c r="I2476" s="92"/>
      <c r="J2476" s="92"/>
      <c r="K2476" s="92"/>
    </row>
    <row r="2477" ht="12.75" customHeight="1">
      <c r="E2477" s="79"/>
      <c r="F2477" s="80"/>
      <c r="G2477" s="80"/>
      <c r="H2477" s="81"/>
      <c r="I2477" s="80"/>
      <c r="J2477" s="80"/>
      <c r="K2477" s="80"/>
    </row>
    <row r="2478" ht="12.75" customHeight="1">
      <c r="A2478" s="89" t="s">
        <v>1738</v>
      </c>
      <c r="B2478" s="90" t="s">
        <v>4538</v>
      </c>
      <c r="C2478" s="90"/>
      <c r="D2478" s="89" t="s">
        <v>75</v>
      </c>
      <c r="E2478" s="91">
        <v>250.0</v>
      </c>
      <c r="F2478" s="92">
        <v>3.69</v>
      </c>
      <c r="G2478" s="92">
        <v>922.5</v>
      </c>
      <c r="H2478" s="93"/>
      <c r="I2478" s="92"/>
      <c r="J2478" s="92"/>
      <c r="K2478" s="92"/>
    </row>
    <row r="2479" ht="12.75" customHeight="1">
      <c r="E2479" s="79"/>
      <c r="F2479" s="80"/>
      <c r="G2479" s="80"/>
      <c r="H2479" s="81"/>
      <c r="I2479" s="80"/>
      <c r="J2479" s="80"/>
      <c r="K2479" s="80"/>
    </row>
    <row r="2480" ht="12.75" customHeight="1">
      <c r="A2480" s="89" t="s">
        <v>1740</v>
      </c>
      <c r="B2480" s="90" t="s">
        <v>4539</v>
      </c>
      <c r="C2480" s="90"/>
      <c r="D2480" s="89" t="s">
        <v>75</v>
      </c>
      <c r="E2480" s="91">
        <v>250.0</v>
      </c>
      <c r="F2480" s="92">
        <v>6.37</v>
      </c>
      <c r="G2480" s="92">
        <v>1592.5</v>
      </c>
      <c r="H2480" s="93"/>
      <c r="I2480" s="92"/>
      <c r="J2480" s="92"/>
      <c r="K2480" s="92"/>
    </row>
    <row r="2481" ht="12.75" customHeight="1">
      <c r="E2481" s="79"/>
      <c r="F2481" s="80"/>
      <c r="G2481" s="80"/>
      <c r="H2481" s="81"/>
      <c r="I2481" s="80"/>
      <c r="J2481" s="80"/>
      <c r="K2481" s="80"/>
    </row>
    <row r="2482" ht="12.75" customHeight="1">
      <c r="A2482" s="89" t="s">
        <v>1742</v>
      </c>
      <c r="B2482" s="90" t="s">
        <v>4540</v>
      </c>
      <c r="C2482" s="90"/>
      <c r="D2482" s="89" t="s">
        <v>75</v>
      </c>
      <c r="E2482" s="91">
        <v>250.0</v>
      </c>
      <c r="F2482" s="92">
        <v>6.37</v>
      </c>
      <c r="G2482" s="92">
        <v>1592.5</v>
      </c>
      <c r="H2482" s="93"/>
      <c r="I2482" s="92"/>
      <c r="J2482" s="92"/>
      <c r="K2482" s="92"/>
    </row>
    <row r="2483" ht="12.75" customHeight="1">
      <c r="E2483" s="79"/>
      <c r="F2483" s="80"/>
      <c r="G2483" s="80"/>
      <c r="H2483" s="81"/>
      <c r="I2483" s="80"/>
      <c r="J2483" s="80"/>
      <c r="K2483" s="80"/>
    </row>
    <row r="2484" ht="12.75" customHeight="1">
      <c r="A2484" s="89" t="s">
        <v>1744</v>
      </c>
      <c r="B2484" s="90" t="s">
        <v>4541</v>
      </c>
      <c r="C2484" s="90"/>
      <c r="D2484" s="89" t="s">
        <v>75</v>
      </c>
      <c r="E2484" s="91">
        <v>250.0</v>
      </c>
      <c r="F2484" s="92">
        <v>5.13</v>
      </c>
      <c r="G2484" s="92">
        <v>1282.5</v>
      </c>
      <c r="H2484" s="93"/>
      <c r="I2484" s="92"/>
      <c r="J2484" s="92"/>
      <c r="K2484" s="92"/>
    </row>
    <row r="2485" ht="12.75" customHeight="1">
      <c r="E2485" s="79"/>
      <c r="F2485" s="80"/>
      <c r="G2485" s="80"/>
      <c r="H2485" s="81"/>
      <c r="I2485" s="80"/>
      <c r="J2485" s="80"/>
      <c r="K2485" s="80"/>
    </row>
    <row r="2486" ht="12.75" customHeight="1">
      <c r="A2486" s="89" t="s">
        <v>1746</v>
      </c>
      <c r="B2486" s="90" t="s">
        <v>4542</v>
      </c>
      <c r="C2486" s="90"/>
      <c r="D2486" s="89" t="s">
        <v>75</v>
      </c>
      <c r="E2486" s="91">
        <v>300.0</v>
      </c>
      <c r="F2486" s="92">
        <v>5.55</v>
      </c>
      <c r="G2486" s="92">
        <v>1665.0</v>
      </c>
      <c r="H2486" s="93"/>
      <c r="I2486" s="92"/>
      <c r="J2486" s="92"/>
      <c r="K2486" s="92"/>
    </row>
    <row r="2487" ht="12.75" customHeight="1">
      <c r="E2487" s="79"/>
      <c r="F2487" s="80"/>
      <c r="G2487" s="80"/>
      <c r="H2487" s="81"/>
      <c r="I2487" s="80"/>
      <c r="J2487" s="80"/>
      <c r="K2487" s="80"/>
    </row>
    <row r="2488" ht="12.75" customHeight="1">
      <c r="A2488" s="89" t="s">
        <v>1748</v>
      </c>
      <c r="B2488" s="90" t="s">
        <v>4543</v>
      </c>
      <c r="C2488" s="90"/>
      <c r="D2488" s="89" t="s">
        <v>75</v>
      </c>
      <c r="E2488" s="91">
        <v>150.0</v>
      </c>
      <c r="F2488" s="92">
        <v>3.07</v>
      </c>
      <c r="G2488" s="92">
        <v>460.5</v>
      </c>
      <c r="H2488" s="93"/>
      <c r="I2488" s="92"/>
      <c r="J2488" s="92"/>
      <c r="K2488" s="92"/>
    </row>
    <row r="2489" ht="12.75" customHeight="1">
      <c r="E2489" s="79"/>
      <c r="F2489" s="80"/>
      <c r="G2489" s="80"/>
      <c r="H2489" s="81"/>
      <c r="I2489" s="80"/>
      <c r="J2489" s="80"/>
      <c r="K2489" s="80"/>
    </row>
    <row r="2490" ht="12.75" customHeight="1">
      <c r="A2490" s="89" t="s">
        <v>1750</v>
      </c>
      <c r="B2490" s="90" t="s">
        <v>3536</v>
      </c>
      <c r="C2490" s="90"/>
      <c r="E2490" s="79"/>
      <c r="F2490" s="80"/>
      <c r="G2490" s="80"/>
      <c r="H2490" s="81"/>
      <c r="I2490" s="80"/>
      <c r="J2490" s="80"/>
      <c r="K2490" s="80"/>
    </row>
    <row r="2491" ht="12.75" customHeight="1">
      <c r="E2491" s="79"/>
      <c r="F2491" s="80"/>
      <c r="G2491" s="80"/>
      <c r="H2491" s="81"/>
      <c r="I2491" s="80"/>
      <c r="J2491" s="80"/>
      <c r="K2491" s="80"/>
    </row>
    <row r="2492" ht="12.75" customHeight="1">
      <c r="A2492" s="89" t="s">
        <v>1752</v>
      </c>
      <c r="B2492" s="90" t="s">
        <v>4544</v>
      </c>
      <c r="C2492" s="90"/>
      <c r="D2492" s="89" t="s">
        <v>40</v>
      </c>
      <c r="E2492" s="91">
        <v>725.0</v>
      </c>
      <c r="F2492" s="92">
        <v>4.52</v>
      </c>
      <c r="G2492" s="92">
        <v>3277.0</v>
      </c>
      <c r="H2492" s="93"/>
      <c r="I2492" s="92"/>
      <c r="J2492" s="92"/>
      <c r="K2492" s="92"/>
    </row>
    <row r="2493" ht="12.75" customHeight="1">
      <c r="E2493" s="79"/>
      <c r="F2493" s="80"/>
      <c r="G2493" s="80"/>
      <c r="H2493" s="81"/>
      <c r="I2493" s="80"/>
      <c r="J2493" s="80"/>
      <c r="K2493" s="80"/>
    </row>
    <row r="2494" ht="12.75" customHeight="1">
      <c r="B2494" s="90" t="s">
        <v>4545</v>
      </c>
      <c r="C2494" s="90"/>
      <c r="E2494" s="79"/>
      <c r="F2494" s="80"/>
      <c r="G2494" s="80"/>
      <c r="H2494" s="81"/>
      <c r="I2494" s="80"/>
      <c r="J2494" s="80"/>
      <c r="K2494" s="80"/>
    </row>
    <row r="2495" ht="12.75" customHeight="1">
      <c r="E2495" s="79"/>
      <c r="F2495" s="80"/>
      <c r="G2495" s="80"/>
      <c r="H2495" s="81"/>
      <c r="I2495" s="80"/>
      <c r="J2495" s="80"/>
      <c r="K2495" s="80"/>
    </row>
    <row r="2496" ht="12.75" customHeight="1">
      <c r="A2496" s="89" t="s">
        <v>1755</v>
      </c>
      <c r="B2496" s="90" t="s">
        <v>4546</v>
      </c>
      <c r="C2496" s="90"/>
      <c r="E2496" s="79"/>
      <c r="F2496" s="80"/>
      <c r="G2496" s="80"/>
      <c r="H2496" s="81"/>
      <c r="I2496" s="80"/>
      <c r="J2496" s="80"/>
      <c r="K2496" s="80"/>
    </row>
    <row r="2497" ht="12.75" customHeight="1">
      <c r="E2497" s="79"/>
      <c r="F2497" s="80"/>
      <c r="G2497" s="80"/>
      <c r="H2497" s="81"/>
      <c r="I2497" s="80"/>
      <c r="J2497" s="80"/>
      <c r="K2497" s="80"/>
    </row>
    <row r="2498" ht="12.75" customHeight="1">
      <c r="A2498" s="89" t="s">
        <v>1757</v>
      </c>
      <c r="B2498" s="90" t="s">
        <v>4547</v>
      </c>
      <c r="C2498" s="90"/>
      <c r="D2498" s="89" t="s">
        <v>40</v>
      </c>
      <c r="E2498" s="91">
        <v>886.0</v>
      </c>
      <c r="F2498" s="92">
        <v>4.07</v>
      </c>
      <c r="G2498" s="92">
        <v>3606.02</v>
      </c>
      <c r="H2498" s="93"/>
      <c r="I2498" s="92"/>
      <c r="J2498" s="92"/>
      <c r="K2498" s="92"/>
    </row>
    <row r="2499" ht="12.75" customHeight="1">
      <c r="E2499" s="79"/>
      <c r="F2499" s="80"/>
      <c r="G2499" s="80"/>
      <c r="H2499" s="81"/>
      <c r="I2499" s="80"/>
      <c r="J2499" s="80"/>
      <c r="K2499" s="80"/>
    </row>
    <row r="2500" ht="12.75" customHeight="1">
      <c r="B2500" s="90" t="s">
        <v>4548</v>
      </c>
      <c r="C2500" s="90"/>
      <c r="E2500" s="79"/>
      <c r="F2500" s="80"/>
      <c r="G2500" s="80"/>
      <c r="H2500" s="81"/>
      <c r="I2500" s="80"/>
      <c r="J2500" s="80"/>
      <c r="K2500" s="80"/>
    </row>
    <row r="2501" ht="12.75" customHeight="1">
      <c r="E2501" s="79"/>
      <c r="F2501" s="80"/>
      <c r="G2501" s="80"/>
      <c r="H2501" s="81"/>
      <c r="I2501" s="80"/>
      <c r="J2501" s="80"/>
      <c r="K2501" s="80"/>
    </row>
    <row r="2502" ht="12.75" customHeight="1">
      <c r="A2502" s="89" t="s">
        <v>1760</v>
      </c>
      <c r="B2502" s="90" t="s">
        <v>3542</v>
      </c>
      <c r="C2502" s="90"/>
      <c r="E2502" s="79"/>
      <c r="F2502" s="80"/>
      <c r="G2502" s="80"/>
      <c r="H2502" s="81"/>
      <c r="I2502" s="80"/>
      <c r="J2502" s="80"/>
      <c r="K2502" s="80"/>
    </row>
    <row r="2503" ht="12.75" customHeight="1">
      <c r="E2503" s="79"/>
      <c r="F2503" s="80"/>
      <c r="G2503" s="80"/>
      <c r="H2503" s="81"/>
      <c r="I2503" s="80"/>
      <c r="J2503" s="80"/>
      <c r="K2503" s="80"/>
    </row>
    <row r="2504" ht="12.75" customHeight="1">
      <c r="A2504" s="89" t="s">
        <v>1762</v>
      </c>
      <c r="B2504" s="90" t="s">
        <v>4549</v>
      </c>
      <c r="C2504" s="90"/>
      <c r="D2504" s="89" t="s">
        <v>75</v>
      </c>
      <c r="E2504" s="91">
        <v>52.0</v>
      </c>
      <c r="F2504" s="92">
        <v>26.99</v>
      </c>
      <c r="G2504" s="92">
        <v>1403.48</v>
      </c>
      <c r="H2504" s="93"/>
      <c r="I2504" s="92"/>
      <c r="J2504" s="92"/>
      <c r="K2504" s="92"/>
    </row>
    <row r="2505" ht="12.75" customHeight="1">
      <c r="E2505" s="79"/>
      <c r="F2505" s="80"/>
      <c r="G2505" s="80"/>
      <c r="H2505" s="81"/>
      <c r="I2505" s="80"/>
      <c r="J2505" s="80"/>
      <c r="K2505" s="80"/>
    </row>
    <row r="2506" ht="12.75" customHeight="1">
      <c r="A2506" s="89" t="s">
        <v>1764</v>
      </c>
      <c r="B2506" s="90" t="s">
        <v>3545</v>
      </c>
      <c r="C2506" s="90"/>
      <c r="E2506" s="79"/>
      <c r="F2506" s="80"/>
      <c r="G2506" s="80"/>
      <c r="H2506" s="81"/>
      <c r="I2506" s="80"/>
      <c r="J2506" s="80"/>
      <c r="K2506" s="80"/>
    </row>
    <row r="2507" ht="12.75" customHeight="1">
      <c r="E2507" s="79"/>
      <c r="F2507" s="80"/>
      <c r="G2507" s="80"/>
      <c r="H2507" s="81"/>
      <c r="I2507" s="80"/>
      <c r="J2507" s="80"/>
      <c r="K2507" s="80"/>
    </row>
    <row r="2508" ht="12.75" customHeight="1">
      <c r="A2508" s="89" t="s">
        <v>1766</v>
      </c>
      <c r="B2508" s="90" t="s">
        <v>4550</v>
      </c>
      <c r="C2508" s="90"/>
      <c r="D2508" s="89" t="s">
        <v>40</v>
      </c>
      <c r="E2508" s="91">
        <v>335.0</v>
      </c>
      <c r="F2508" s="92">
        <v>16.3</v>
      </c>
      <c r="G2508" s="92">
        <v>5460.5</v>
      </c>
      <c r="H2508" s="93"/>
      <c r="I2508" s="92"/>
      <c r="J2508" s="92"/>
      <c r="K2508" s="92"/>
    </row>
    <row r="2509" ht="12.75" customHeight="1">
      <c r="E2509" s="79"/>
      <c r="F2509" s="80"/>
      <c r="G2509" s="80"/>
      <c r="H2509" s="81"/>
      <c r="I2509" s="80"/>
      <c r="J2509" s="80"/>
      <c r="K2509" s="80"/>
    </row>
    <row r="2510" ht="12.75" customHeight="1">
      <c r="A2510" s="89" t="s">
        <v>1674</v>
      </c>
      <c r="B2510" s="90" t="s">
        <v>3471</v>
      </c>
      <c r="C2510" s="90"/>
      <c r="E2510" s="79"/>
      <c r="F2510" s="80"/>
      <c r="G2510" s="92">
        <v>38334.53</v>
      </c>
      <c r="H2510" s="93"/>
      <c r="I2510" s="92"/>
      <c r="J2510" s="92"/>
      <c r="K2510" s="92"/>
    </row>
    <row r="2511" ht="12.75" customHeight="1">
      <c r="E2511" s="79"/>
      <c r="F2511" s="80"/>
      <c r="G2511" s="80"/>
      <c r="H2511" s="81"/>
      <c r="I2511" s="80"/>
      <c r="J2511" s="80"/>
      <c r="K2511" s="80"/>
    </row>
    <row r="2512" ht="12.75" customHeight="1">
      <c r="A2512" s="89" t="s">
        <v>1646</v>
      </c>
      <c r="B2512" s="90" t="s">
        <v>3449</v>
      </c>
      <c r="C2512" s="90"/>
      <c r="E2512" s="79"/>
      <c r="F2512" s="80"/>
      <c r="G2512" s="92">
        <v>73360.69</v>
      </c>
      <c r="H2512" s="93"/>
      <c r="I2512" s="92"/>
      <c r="J2512" s="92"/>
      <c r="K2512" s="92"/>
    </row>
    <row r="2513" ht="12.75" customHeight="1">
      <c r="E2513" s="79"/>
      <c r="F2513" s="80"/>
      <c r="G2513" s="80"/>
      <c r="H2513" s="81"/>
      <c r="I2513" s="80"/>
      <c r="J2513" s="80"/>
      <c r="K2513" s="80"/>
    </row>
    <row r="2514" ht="12.75" customHeight="1">
      <c r="E2514" s="79"/>
      <c r="F2514" s="80"/>
      <c r="G2514" s="80"/>
      <c r="H2514" s="81"/>
      <c r="I2514" s="80"/>
      <c r="J2514" s="80"/>
      <c r="K2514" s="80"/>
    </row>
    <row r="2515" ht="12.75" customHeight="1">
      <c r="A2515" s="89" t="s">
        <v>1768</v>
      </c>
      <c r="B2515" s="90" t="s">
        <v>3548</v>
      </c>
      <c r="C2515" s="90"/>
      <c r="E2515" s="79"/>
      <c r="F2515" s="80"/>
      <c r="G2515" s="80"/>
      <c r="H2515" s="81"/>
      <c r="I2515" s="80"/>
      <c r="J2515" s="80"/>
      <c r="K2515" s="80"/>
    </row>
    <row r="2516" ht="12.75" customHeight="1">
      <c r="E2516" s="79"/>
      <c r="F2516" s="80"/>
      <c r="G2516" s="80"/>
      <c r="H2516" s="81"/>
      <c r="I2516" s="80"/>
      <c r="J2516" s="80"/>
      <c r="K2516" s="80"/>
    </row>
    <row r="2517" ht="12.75" customHeight="1">
      <c r="A2517" s="89" t="s">
        <v>1770</v>
      </c>
      <c r="B2517" s="90" t="s">
        <v>4551</v>
      </c>
      <c r="C2517" s="90"/>
      <c r="E2517" s="79"/>
      <c r="F2517" s="80"/>
      <c r="G2517" s="80"/>
      <c r="H2517" s="81"/>
      <c r="I2517" s="80"/>
      <c r="J2517" s="80"/>
      <c r="K2517" s="80"/>
    </row>
    <row r="2518" ht="12.75" customHeight="1">
      <c r="E2518" s="79"/>
      <c r="F2518" s="80"/>
      <c r="G2518" s="80"/>
      <c r="H2518" s="81"/>
      <c r="I2518" s="80"/>
      <c r="J2518" s="80"/>
      <c r="K2518" s="80"/>
    </row>
    <row r="2519" ht="12.75" customHeight="1">
      <c r="B2519" s="90" t="s">
        <v>4552</v>
      </c>
      <c r="C2519" s="90"/>
      <c r="E2519" s="79"/>
      <c r="F2519" s="80"/>
      <c r="G2519" s="80"/>
      <c r="H2519" s="81"/>
      <c r="I2519" s="80"/>
      <c r="J2519" s="80"/>
      <c r="K2519" s="80"/>
    </row>
    <row r="2520" ht="12.75" customHeight="1">
      <c r="E2520" s="79"/>
      <c r="F2520" s="80"/>
      <c r="G2520" s="80"/>
      <c r="H2520" s="81"/>
      <c r="I2520" s="80"/>
      <c r="J2520" s="80"/>
      <c r="K2520" s="80"/>
    </row>
    <row r="2521" ht="12.75" customHeight="1">
      <c r="A2521" s="89" t="s">
        <v>1773</v>
      </c>
      <c r="B2521" s="90" t="s">
        <v>3549</v>
      </c>
      <c r="C2521" s="90"/>
      <c r="E2521" s="79"/>
      <c r="F2521" s="80"/>
      <c r="G2521" s="80"/>
      <c r="H2521" s="81"/>
      <c r="I2521" s="80"/>
      <c r="J2521" s="80"/>
      <c r="K2521" s="80"/>
    </row>
    <row r="2522" ht="12.75" customHeight="1">
      <c r="E2522" s="79"/>
      <c r="F2522" s="80"/>
      <c r="G2522" s="80"/>
      <c r="H2522" s="81"/>
      <c r="I2522" s="80"/>
      <c r="J2522" s="80"/>
      <c r="K2522" s="80"/>
    </row>
    <row r="2523" ht="12.75" customHeight="1">
      <c r="A2523" s="89" t="s">
        <v>1775</v>
      </c>
      <c r="B2523" s="90" t="s">
        <v>4553</v>
      </c>
      <c r="C2523" s="90"/>
      <c r="D2523" s="89" t="s">
        <v>933</v>
      </c>
      <c r="E2523" s="91">
        <v>232.0</v>
      </c>
      <c r="F2523" s="92">
        <v>3.66</v>
      </c>
      <c r="G2523" s="92">
        <v>849.12</v>
      </c>
      <c r="H2523" s="93"/>
      <c r="I2523" s="92"/>
      <c r="J2523" s="92"/>
      <c r="K2523" s="92"/>
    </row>
    <row r="2524" ht="12.75" customHeight="1">
      <c r="E2524" s="79"/>
      <c r="F2524" s="80"/>
      <c r="G2524" s="80"/>
      <c r="H2524" s="81"/>
      <c r="I2524" s="80"/>
      <c r="J2524" s="80"/>
      <c r="K2524" s="80"/>
    </row>
    <row r="2525" ht="12.75" customHeight="1">
      <c r="A2525" s="89" t="s">
        <v>1777</v>
      </c>
      <c r="B2525" s="90" t="s">
        <v>4554</v>
      </c>
      <c r="C2525" s="90"/>
      <c r="D2525" s="89" t="s">
        <v>933</v>
      </c>
      <c r="E2525" s="91">
        <v>92.8</v>
      </c>
      <c r="F2525" s="92">
        <v>36.98</v>
      </c>
      <c r="G2525" s="92">
        <v>3431.74</v>
      </c>
      <c r="H2525" s="93"/>
      <c r="I2525" s="92"/>
      <c r="J2525" s="92"/>
      <c r="K2525" s="92"/>
    </row>
    <row r="2526" ht="12.75" customHeight="1">
      <c r="E2526" s="79"/>
      <c r="F2526" s="80"/>
      <c r="G2526" s="80"/>
      <c r="H2526" s="81"/>
      <c r="I2526" s="80"/>
      <c r="J2526" s="80"/>
      <c r="K2526" s="80"/>
    </row>
    <row r="2527" ht="12.75" customHeight="1">
      <c r="A2527" s="89" t="s">
        <v>1779</v>
      </c>
      <c r="B2527" s="90" t="s">
        <v>4555</v>
      </c>
      <c r="C2527" s="90"/>
      <c r="D2527" s="89" t="s">
        <v>933</v>
      </c>
      <c r="E2527" s="91">
        <v>111.36</v>
      </c>
      <c r="F2527" s="92">
        <v>17.23</v>
      </c>
      <c r="G2527" s="92">
        <v>1918.73</v>
      </c>
      <c r="H2527" s="93"/>
      <c r="I2527" s="92"/>
      <c r="J2527" s="92"/>
      <c r="K2527" s="92"/>
    </row>
    <row r="2528" ht="12.75" customHeight="1">
      <c r="E2528" s="79"/>
      <c r="F2528" s="80"/>
      <c r="G2528" s="80"/>
      <c r="H2528" s="81"/>
      <c r="I2528" s="80"/>
      <c r="J2528" s="80"/>
      <c r="K2528" s="80"/>
    </row>
    <row r="2529" ht="12.75" customHeight="1">
      <c r="A2529" s="89" t="s">
        <v>1781</v>
      </c>
      <c r="B2529" s="90" t="s">
        <v>4556</v>
      </c>
      <c r="C2529" s="90"/>
      <c r="E2529" s="79"/>
      <c r="F2529" s="80"/>
      <c r="G2529" s="80"/>
      <c r="H2529" s="81"/>
      <c r="I2529" s="80"/>
      <c r="J2529" s="80"/>
      <c r="K2529" s="80"/>
    </row>
    <row r="2530" ht="12.75" customHeight="1">
      <c r="E2530" s="79"/>
      <c r="F2530" s="80"/>
      <c r="G2530" s="80"/>
      <c r="H2530" s="81"/>
      <c r="I2530" s="80"/>
      <c r="J2530" s="80"/>
      <c r="K2530" s="80"/>
    </row>
    <row r="2531" ht="12.75" customHeight="1">
      <c r="A2531" s="89" t="s">
        <v>1783</v>
      </c>
      <c r="B2531" s="90" t="s">
        <v>4557</v>
      </c>
      <c r="C2531" s="90"/>
      <c r="E2531" s="79"/>
      <c r="F2531" s="80"/>
      <c r="G2531" s="80"/>
      <c r="H2531" s="81"/>
      <c r="I2531" s="80"/>
      <c r="J2531" s="80"/>
      <c r="K2531" s="80"/>
    </row>
    <row r="2532" ht="12.75" customHeight="1">
      <c r="E2532" s="79"/>
      <c r="F2532" s="80"/>
      <c r="G2532" s="80"/>
      <c r="H2532" s="81"/>
      <c r="I2532" s="80"/>
      <c r="J2532" s="80"/>
      <c r="K2532" s="80"/>
    </row>
    <row r="2533" ht="12.75" customHeight="1">
      <c r="A2533" s="89" t="s">
        <v>1785</v>
      </c>
      <c r="B2533" s="90" t="s">
        <v>3559</v>
      </c>
      <c r="C2533" s="90"/>
      <c r="D2533" s="89" t="s">
        <v>877</v>
      </c>
      <c r="E2533" s="91">
        <v>380.0</v>
      </c>
      <c r="F2533" s="92">
        <v>2.4</v>
      </c>
      <c r="G2533" s="92">
        <v>912.0</v>
      </c>
      <c r="H2533" s="93"/>
      <c r="I2533" s="92"/>
      <c r="J2533" s="92"/>
      <c r="K2533" s="92"/>
    </row>
    <row r="2534" ht="12.75" customHeight="1">
      <c r="E2534" s="79"/>
      <c r="F2534" s="80"/>
      <c r="G2534" s="80"/>
      <c r="H2534" s="81"/>
      <c r="I2534" s="80"/>
      <c r="J2534" s="80"/>
      <c r="K2534" s="80"/>
    </row>
    <row r="2535" ht="12.75" customHeight="1">
      <c r="A2535" s="89" t="s">
        <v>1787</v>
      </c>
      <c r="B2535" s="90" t="s">
        <v>3561</v>
      </c>
      <c r="C2535" s="90"/>
      <c r="D2535" s="89" t="s">
        <v>877</v>
      </c>
      <c r="E2535" s="91">
        <v>65.0</v>
      </c>
      <c r="F2535" s="92">
        <v>3.2</v>
      </c>
      <c r="G2535" s="92">
        <v>208.0</v>
      </c>
      <c r="H2535" s="93"/>
      <c r="I2535" s="92"/>
      <c r="J2535" s="92"/>
      <c r="K2535" s="92"/>
    </row>
    <row r="2536" ht="12.75" customHeight="1">
      <c r="E2536" s="79"/>
      <c r="F2536" s="80"/>
      <c r="G2536" s="80"/>
      <c r="H2536" s="81"/>
      <c r="I2536" s="80"/>
      <c r="J2536" s="80"/>
      <c r="K2536" s="80"/>
    </row>
    <row r="2537" ht="12.75" customHeight="1">
      <c r="A2537" s="89" t="s">
        <v>1789</v>
      </c>
      <c r="B2537" s="90" t="s">
        <v>3563</v>
      </c>
      <c r="C2537" s="90"/>
      <c r="D2537" s="89" t="s">
        <v>877</v>
      </c>
      <c r="E2537" s="91">
        <v>80.0</v>
      </c>
      <c r="F2537" s="92">
        <v>4.34</v>
      </c>
      <c r="G2537" s="92">
        <v>347.2</v>
      </c>
      <c r="H2537" s="93"/>
      <c r="I2537" s="92"/>
      <c r="J2537" s="92"/>
      <c r="K2537" s="92"/>
    </row>
    <row r="2538" ht="12.75" customHeight="1">
      <c r="E2538" s="79"/>
      <c r="F2538" s="80"/>
      <c r="G2538" s="80"/>
      <c r="H2538" s="81"/>
      <c r="I2538" s="80"/>
      <c r="J2538" s="80"/>
      <c r="K2538" s="80"/>
    </row>
    <row r="2539" ht="12.75" customHeight="1">
      <c r="A2539" s="89" t="s">
        <v>1791</v>
      </c>
      <c r="B2539" s="90" t="s">
        <v>4558</v>
      </c>
      <c r="C2539" s="90"/>
      <c r="E2539" s="79"/>
      <c r="F2539" s="80"/>
      <c r="G2539" s="80"/>
      <c r="H2539" s="81"/>
      <c r="I2539" s="80"/>
      <c r="J2539" s="80"/>
      <c r="K2539" s="80"/>
    </row>
    <row r="2540" ht="12.75" customHeight="1">
      <c r="E2540" s="79"/>
      <c r="F2540" s="80"/>
      <c r="G2540" s="80"/>
      <c r="H2540" s="81"/>
      <c r="I2540" s="80"/>
      <c r="J2540" s="80"/>
      <c r="K2540" s="80"/>
    </row>
    <row r="2541" ht="12.75" customHeight="1">
      <c r="A2541" s="89" t="s">
        <v>1793</v>
      </c>
      <c r="B2541" s="90" t="s">
        <v>3566</v>
      </c>
      <c r="C2541" s="90"/>
      <c r="D2541" s="89" t="s">
        <v>877</v>
      </c>
      <c r="E2541" s="91">
        <v>20.0</v>
      </c>
      <c r="F2541" s="92">
        <v>62.5</v>
      </c>
      <c r="G2541" s="92">
        <v>1250.0</v>
      </c>
      <c r="H2541" s="93"/>
      <c r="I2541" s="92"/>
      <c r="J2541" s="92"/>
      <c r="K2541" s="92"/>
    </row>
    <row r="2542" ht="12.75" customHeight="1">
      <c r="E2542" s="79"/>
      <c r="F2542" s="80"/>
      <c r="G2542" s="80"/>
      <c r="H2542" s="81"/>
      <c r="I2542" s="80"/>
      <c r="J2542" s="80"/>
      <c r="K2542" s="80"/>
    </row>
    <row r="2543" ht="12.75" customHeight="1">
      <c r="A2543" s="89" t="s">
        <v>1795</v>
      </c>
      <c r="B2543" s="90" t="s">
        <v>3567</v>
      </c>
      <c r="C2543" s="90"/>
      <c r="E2543" s="79"/>
      <c r="F2543" s="80"/>
      <c r="G2543" s="80"/>
      <c r="H2543" s="81"/>
      <c r="I2543" s="80"/>
      <c r="J2543" s="80"/>
      <c r="K2543" s="80"/>
    </row>
    <row r="2544" ht="12.75" customHeight="1">
      <c r="E2544" s="79"/>
      <c r="F2544" s="80"/>
      <c r="G2544" s="80"/>
      <c r="H2544" s="81"/>
      <c r="I2544" s="80"/>
      <c r="J2544" s="80"/>
      <c r="K2544" s="80"/>
    </row>
    <row r="2545" ht="12.75" customHeight="1">
      <c r="A2545" s="89" t="s">
        <v>1797</v>
      </c>
      <c r="B2545" s="90" t="s">
        <v>4559</v>
      </c>
      <c r="C2545" s="90"/>
      <c r="D2545" s="89" t="s">
        <v>40</v>
      </c>
      <c r="E2545" s="91">
        <v>335.0</v>
      </c>
      <c r="F2545" s="92">
        <v>25.0</v>
      </c>
      <c r="G2545" s="92">
        <v>8375.0</v>
      </c>
      <c r="H2545" s="93"/>
      <c r="I2545" s="92"/>
      <c r="J2545" s="92"/>
      <c r="K2545" s="92"/>
    </row>
    <row r="2546" ht="12.75" customHeight="1">
      <c r="E2546" s="79"/>
      <c r="F2546" s="80"/>
      <c r="G2546" s="80"/>
      <c r="H2546" s="81"/>
      <c r="I2546" s="80"/>
      <c r="J2546" s="80"/>
      <c r="K2546" s="80"/>
    </row>
    <row r="2547" ht="12.75" customHeight="1">
      <c r="A2547" s="89" t="s">
        <v>1799</v>
      </c>
      <c r="B2547" s="90" t="s">
        <v>4560</v>
      </c>
      <c r="C2547" s="90"/>
      <c r="E2547" s="79"/>
      <c r="F2547" s="80"/>
      <c r="G2547" s="80"/>
      <c r="H2547" s="81"/>
      <c r="I2547" s="80"/>
      <c r="J2547" s="80"/>
      <c r="K2547" s="80"/>
    </row>
    <row r="2548" ht="12.75" customHeight="1">
      <c r="E2548" s="79"/>
      <c r="F2548" s="80"/>
      <c r="G2548" s="80"/>
      <c r="H2548" s="81"/>
      <c r="I2548" s="80"/>
      <c r="J2548" s="80"/>
      <c r="K2548" s="80"/>
    </row>
    <row r="2549" ht="12.75" customHeight="1">
      <c r="A2549" s="89" t="s">
        <v>1801</v>
      </c>
      <c r="B2549" s="90" t="s">
        <v>4561</v>
      </c>
      <c r="C2549" s="90"/>
      <c r="D2549" s="89" t="s">
        <v>75</v>
      </c>
      <c r="E2549" s="91">
        <v>56.0</v>
      </c>
      <c r="F2549" s="92">
        <v>10.0</v>
      </c>
      <c r="G2549" s="92">
        <v>560.0</v>
      </c>
      <c r="H2549" s="93"/>
      <c r="I2549" s="92"/>
      <c r="J2549" s="92"/>
      <c r="K2549" s="92"/>
    </row>
    <row r="2550" ht="12.75" customHeight="1">
      <c r="E2550" s="79"/>
      <c r="F2550" s="80"/>
      <c r="G2550" s="80"/>
      <c r="H2550" s="81"/>
      <c r="I2550" s="80"/>
      <c r="J2550" s="80"/>
      <c r="K2550" s="80"/>
    </row>
    <row r="2551" ht="12.75" customHeight="1">
      <c r="A2551" s="89" t="s">
        <v>1799</v>
      </c>
      <c r="B2551" s="90" t="s">
        <v>4562</v>
      </c>
      <c r="C2551" s="90"/>
      <c r="D2551" s="89" t="s">
        <v>75</v>
      </c>
      <c r="E2551" s="91">
        <v>2.0</v>
      </c>
      <c r="F2551" s="92">
        <v>116.01</v>
      </c>
      <c r="G2551" s="92">
        <v>232.02</v>
      </c>
      <c r="H2551" s="93"/>
      <c r="I2551" s="92"/>
      <c r="J2551" s="92"/>
      <c r="K2551" s="92"/>
    </row>
    <row r="2552" ht="12.75" customHeight="1">
      <c r="E2552" s="79"/>
      <c r="F2552" s="80"/>
      <c r="G2552" s="80"/>
      <c r="H2552" s="81"/>
      <c r="I2552" s="80"/>
      <c r="J2552" s="80"/>
      <c r="K2552" s="80"/>
    </row>
    <row r="2553" ht="12.75" customHeight="1">
      <c r="A2553" s="89" t="s">
        <v>1804</v>
      </c>
      <c r="B2553" s="90" t="s">
        <v>3575</v>
      </c>
      <c r="C2553" s="90"/>
      <c r="E2553" s="79"/>
      <c r="F2553" s="80"/>
      <c r="G2553" s="80"/>
      <c r="H2553" s="81"/>
      <c r="I2553" s="80"/>
      <c r="J2553" s="80"/>
      <c r="K2553" s="80"/>
    </row>
    <row r="2554" ht="12.75" customHeight="1">
      <c r="E2554" s="79"/>
      <c r="F2554" s="80"/>
      <c r="G2554" s="80"/>
      <c r="H2554" s="81"/>
      <c r="I2554" s="80"/>
      <c r="J2554" s="80"/>
      <c r="K2554" s="80"/>
    </row>
    <row r="2555" ht="12.75" customHeight="1">
      <c r="A2555" s="89" t="s">
        <v>1806</v>
      </c>
      <c r="B2555" s="90" t="s">
        <v>4563</v>
      </c>
      <c r="C2555" s="90"/>
      <c r="E2555" s="79"/>
      <c r="F2555" s="80"/>
      <c r="G2555" s="80"/>
      <c r="H2555" s="81"/>
      <c r="I2555" s="80"/>
      <c r="J2555" s="80"/>
      <c r="K2555" s="80"/>
    </row>
    <row r="2556" ht="12.75" customHeight="1">
      <c r="E2556" s="79"/>
      <c r="F2556" s="80"/>
      <c r="G2556" s="80"/>
      <c r="H2556" s="81"/>
      <c r="I2556" s="80"/>
      <c r="J2556" s="80"/>
      <c r="K2556" s="80"/>
    </row>
    <row r="2557" ht="12.75" customHeight="1">
      <c r="A2557" s="89" t="s">
        <v>1808</v>
      </c>
      <c r="B2557" s="90" t="s">
        <v>1809</v>
      </c>
      <c r="C2557" s="90"/>
      <c r="D2557" s="89" t="s">
        <v>75</v>
      </c>
      <c r="E2557" s="91">
        <v>8.0</v>
      </c>
      <c r="F2557" s="92">
        <v>184.18</v>
      </c>
      <c r="G2557" s="92">
        <v>1473.44</v>
      </c>
      <c r="H2557" s="93"/>
      <c r="I2557" s="92"/>
      <c r="J2557" s="92"/>
      <c r="K2557" s="92"/>
    </row>
    <row r="2558" ht="12.75" customHeight="1">
      <c r="E2558" s="79"/>
      <c r="F2558" s="80"/>
      <c r="G2558" s="80"/>
      <c r="H2558" s="81"/>
      <c r="I2558" s="80"/>
      <c r="J2558" s="80"/>
      <c r="K2558" s="80"/>
    </row>
    <row r="2559" ht="12.75" customHeight="1">
      <c r="A2559" s="89" t="s">
        <v>1810</v>
      </c>
      <c r="B2559" s="90" t="s">
        <v>4564</v>
      </c>
      <c r="C2559" s="90"/>
      <c r="D2559" s="89" t="s">
        <v>75</v>
      </c>
      <c r="E2559" s="91">
        <v>8.0</v>
      </c>
      <c r="F2559" s="92">
        <v>134.81</v>
      </c>
      <c r="G2559" s="92">
        <v>1078.48</v>
      </c>
      <c r="H2559" s="93"/>
      <c r="I2559" s="92"/>
      <c r="J2559" s="92"/>
      <c r="K2559" s="92"/>
    </row>
    <row r="2560" ht="12.75" customHeight="1">
      <c r="E2560" s="79"/>
      <c r="F2560" s="80"/>
      <c r="G2560" s="80"/>
      <c r="H2560" s="81"/>
      <c r="I2560" s="80"/>
      <c r="J2560" s="80"/>
      <c r="K2560" s="80"/>
    </row>
    <row r="2561" ht="12.75" customHeight="1">
      <c r="A2561" s="89" t="s">
        <v>1812</v>
      </c>
      <c r="B2561" s="90" t="s">
        <v>4565</v>
      </c>
      <c r="C2561" s="90"/>
      <c r="E2561" s="79"/>
      <c r="F2561" s="80"/>
      <c r="G2561" s="80"/>
      <c r="H2561" s="81"/>
      <c r="I2561" s="80"/>
      <c r="J2561" s="80"/>
      <c r="K2561" s="80"/>
    </row>
    <row r="2562" ht="12.75" customHeight="1">
      <c r="E2562" s="79"/>
      <c r="F2562" s="80"/>
      <c r="G2562" s="80"/>
      <c r="H2562" s="81"/>
      <c r="I2562" s="80"/>
      <c r="J2562" s="80"/>
      <c r="K2562" s="80"/>
    </row>
    <row r="2563" ht="12.75" customHeight="1">
      <c r="A2563" s="89" t="s">
        <v>1814</v>
      </c>
      <c r="B2563" s="90" t="s">
        <v>4566</v>
      </c>
      <c r="C2563" s="90"/>
      <c r="D2563" s="89" t="s">
        <v>75</v>
      </c>
      <c r="E2563" s="91">
        <v>1.0</v>
      </c>
      <c r="F2563" s="92">
        <v>466.99</v>
      </c>
      <c r="G2563" s="92">
        <v>466.99</v>
      </c>
      <c r="H2563" s="93"/>
      <c r="I2563" s="92"/>
      <c r="J2563" s="92"/>
      <c r="K2563" s="92"/>
    </row>
    <row r="2564" ht="12.75" customHeight="1">
      <c r="E2564" s="79"/>
      <c r="F2564" s="80"/>
      <c r="G2564" s="80"/>
      <c r="H2564" s="81"/>
      <c r="I2564" s="80"/>
      <c r="J2564" s="80"/>
      <c r="K2564" s="80"/>
    </row>
    <row r="2565" ht="12.75" customHeight="1">
      <c r="A2565" s="89" t="s">
        <v>1816</v>
      </c>
      <c r="B2565" s="90" t="s">
        <v>4567</v>
      </c>
      <c r="C2565" s="90"/>
      <c r="E2565" s="79"/>
      <c r="F2565" s="80"/>
      <c r="G2565" s="80"/>
      <c r="H2565" s="81"/>
      <c r="I2565" s="80"/>
      <c r="J2565" s="80"/>
      <c r="K2565" s="80"/>
    </row>
    <row r="2566" ht="12.75" customHeight="1">
      <c r="E2566" s="79"/>
      <c r="F2566" s="80"/>
      <c r="G2566" s="80"/>
      <c r="H2566" s="81"/>
      <c r="I2566" s="80"/>
      <c r="J2566" s="80"/>
      <c r="K2566" s="80"/>
    </row>
    <row r="2567" ht="12.75" customHeight="1">
      <c r="A2567" s="89" t="s">
        <v>1818</v>
      </c>
      <c r="B2567" s="90" t="s">
        <v>4568</v>
      </c>
      <c r="C2567" s="90"/>
      <c r="D2567" s="89" t="s">
        <v>161</v>
      </c>
      <c r="E2567" s="91">
        <v>100.0</v>
      </c>
      <c r="F2567" s="92">
        <v>55.0</v>
      </c>
      <c r="G2567" s="92">
        <v>5500.0</v>
      </c>
      <c r="H2567" s="93"/>
      <c r="I2567" s="92"/>
      <c r="J2567" s="92"/>
      <c r="K2567" s="92"/>
    </row>
    <row r="2568" ht="12.75" customHeight="1">
      <c r="E2568" s="79"/>
      <c r="F2568" s="80"/>
      <c r="G2568" s="80"/>
      <c r="H2568" s="81"/>
      <c r="I2568" s="80"/>
      <c r="J2568" s="80"/>
      <c r="K2568" s="80"/>
    </row>
    <row r="2569" ht="12.75" customHeight="1">
      <c r="A2569" s="89" t="s">
        <v>1820</v>
      </c>
      <c r="B2569" s="90" t="s">
        <v>3586</v>
      </c>
      <c r="C2569" s="90"/>
      <c r="E2569" s="79"/>
      <c r="F2569" s="80"/>
      <c r="G2569" s="80"/>
      <c r="H2569" s="81"/>
      <c r="I2569" s="80"/>
      <c r="J2569" s="80"/>
      <c r="K2569" s="80"/>
    </row>
    <row r="2570" ht="12.75" customHeight="1">
      <c r="E2570" s="79"/>
      <c r="F2570" s="80"/>
      <c r="G2570" s="80"/>
      <c r="H2570" s="81"/>
      <c r="I2570" s="80"/>
      <c r="J2570" s="80"/>
      <c r="K2570" s="80"/>
    </row>
    <row r="2571" ht="12.75" customHeight="1">
      <c r="A2571" s="89" t="s">
        <v>1822</v>
      </c>
      <c r="B2571" s="90" t="s">
        <v>4569</v>
      </c>
      <c r="C2571" s="90"/>
      <c r="D2571" s="89" t="s">
        <v>75</v>
      </c>
      <c r="E2571" s="91">
        <v>1.0</v>
      </c>
      <c r="F2571" s="92">
        <v>30.7</v>
      </c>
      <c r="G2571" s="92">
        <v>30.7</v>
      </c>
      <c r="H2571" s="93"/>
      <c r="I2571" s="92"/>
      <c r="J2571" s="92"/>
      <c r="K2571" s="92"/>
    </row>
    <row r="2572" ht="12.75" customHeight="1">
      <c r="E2572" s="79"/>
      <c r="F2572" s="80"/>
      <c r="G2572" s="80"/>
      <c r="H2572" s="81"/>
      <c r="I2572" s="80"/>
      <c r="J2572" s="80"/>
      <c r="K2572" s="80"/>
    </row>
    <row r="2573" ht="12.75" customHeight="1">
      <c r="A2573" s="89" t="s">
        <v>1824</v>
      </c>
      <c r="B2573" s="90" t="s">
        <v>3589</v>
      </c>
      <c r="C2573" s="90"/>
      <c r="E2573" s="79"/>
      <c r="F2573" s="80"/>
      <c r="G2573" s="80"/>
      <c r="H2573" s="81"/>
      <c r="I2573" s="80"/>
      <c r="J2573" s="80"/>
      <c r="K2573" s="80"/>
    </row>
    <row r="2574" ht="12.75" customHeight="1">
      <c r="E2574" s="79"/>
      <c r="F2574" s="80"/>
      <c r="G2574" s="80"/>
      <c r="H2574" s="81"/>
      <c r="I2574" s="80"/>
      <c r="J2574" s="80"/>
      <c r="K2574" s="80"/>
    </row>
    <row r="2575" ht="12.75" customHeight="1">
      <c r="A2575" s="89" t="s">
        <v>1826</v>
      </c>
      <c r="B2575" s="90" t="s">
        <v>4570</v>
      </c>
      <c r="C2575" s="90"/>
      <c r="D2575" s="89" t="s">
        <v>75</v>
      </c>
      <c r="E2575" s="91">
        <v>8.0</v>
      </c>
      <c r="F2575" s="92">
        <v>53.6</v>
      </c>
      <c r="G2575" s="92">
        <v>428.8</v>
      </c>
      <c r="H2575" s="93"/>
      <c r="I2575" s="92"/>
      <c r="J2575" s="92"/>
      <c r="K2575" s="92"/>
    </row>
    <row r="2576" ht="12.75" customHeight="1">
      <c r="E2576" s="79"/>
      <c r="F2576" s="80"/>
      <c r="G2576" s="80"/>
      <c r="H2576" s="81"/>
      <c r="I2576" s="80"/>
      <c r="J2576" s="80"/>
      <c r="K2576" s="80"/>
    </row>
    <row r="2577" ht="12.75" customHeight="1">
      <c r="A2577" s="89" t="s">
        <v>1828</v>
      </c>
      <c r="B2577" s="90" t="s">
        <v>4571</v>
      </c>
      <c r="C2577" s="90"/>
      <c r="D2577" s="89" t="s">
        <v>75</v>
      </c>
      <c r="E2577" s="91">
        <v>2.0</v>
      </c>
      <c r="F2577" s="92">
        <v>67.03</v>
      </c>
      <c r="G2577" s="92">
        <v>134.06</v>
      </c>
      <c r="H2577" s="93"/>
      <c r="I2577" s="92"/>
      <c r="J2577" s="92"/>
      <c r="K2577" s="92"/>
    </row>
    <row r="2578" ht="12.75" customHeight="1">
      <c r="E2578" s="79"/>
      <c r="F2578" s="80"/>
      <c r="G2578" s="80"/>
      <c r="H2578" s="81"/>
      <c r="I2578" s="80"/>
      <c r="J2578" s="80"/>
      <c r="K2578" s="80"/>
    </row>
    <row r="2579" ht="12.75" customHeight="1">
      <c r="A2579" s="89" t="s">
        <v>1830</v>
      </c>
      <c r="B2579" s="90" t="s">
        <v>4572</v>
      </c>
      <c r="C2579" s="90"/>
      <c r="E2579" s="79"/>
      <c r="F2579" s="80"/>
      <c r="G2579" s="80"/>
      <c r="H2579" s="81"/>
      <c r="I2579" s="80"/>
      <c r="J2579" s="80"/>
      <c r="K2579" s="80"/>
    </row>
    <row r="2580" ht="12.75" customHeight="1">
      <c r="E2580" s="79"/>
      <c r="F2580" s="80"/>
      <c r="G2580" s="80"/>
      <c r="H2580" s="81"/>
      <c r="I2580" s="80"/>
      <c r="J2580" s="80"/>
      <c r="K2580" s="80"/>
    </row>
    <row r="2581" ht="12.75" customHeight="1">
      <c r="A2581" s="89" t="s">
        <v>1832</v>
      </c>
      <c r="B2581" s="90" t="s">
        <v>1833</v>
      </c>
      <c r="C2581" s="90"/>
      <c r="D2581" s="89" t="s">
        <v>75</v>
      </c>
      <c r="E2581" s="91">
        <v>1.0</v>
      </c>
      <c r="F2581" s="92">
        <v>15.66</v>
      </c>
      <c r="G2581" s="92">
        <v>15.66</v>
      </c>
      <c r="H2581" s="93"/>
      <c r="I2581" s="92"/>
      <c r="J2581" s="92"/>
      <c r="K2581" s="92"/>
    </row>
    <row r="2582" ht="12.75" customHeight="1">
      <c r="E2582" s="79"/>
      <c r="F2582" s="80"/>
      <c r="G2582" s="80"/>
      <c r="H2582" s="81"/>
      <c r="I2582" s="80"/>
      <c r="J2582" s="80"/>
      <c r="K2582" s="80"/>
    </row>
    <row r="2583" ht="12.75" customHeight="1">
      <c r="A2583" s="89" t="s">
        <v>1834</v>
      </c>
      <c r="B2583" s="90" t="s">
        <v>3597</v>
      </c>
      <c r="C2583" s="90"/>
      <c r="E2583" s="79"/>
      <c r="F2583" s="80"/>
      <c r="G2583" s="80"/>
      <c r="H2583" s="81"/>
      <c r="I2583" s="80"/>
      <c r="J2583" s="80"/>
      <c r="K2583" s="80"/>
    </row>
    <row r="2584" ht="12.75" customHeight="1">
      <c r="E2584" s="79"/>
      <c r="F2584" s="80"/>
      <c r="G2584" s="80"/>
      <c r="H2584" s="81"/>
      <c r="I2584" s="80"/>
      <c r="J2584" s="80"/>
      <c r="K2584" s="80"/>
    </row>
    <row r="2585" ht="12.75" customHeight="1">
      <c r="A2585" s="89" t="s">
        <v>1836</v>
      </c>
      <c r="B2585" s="90" t="s">
        <v>4573</v>
      </c>
      <c r="C2585" s="90"/>
      <c r="D2585" s="89" t="s">
        <v>75</v>
      </c>
      <c r="E2585" s="91">
        <v>1.0</v>
      </c>
      <c r="F2585" s="92">
        <v>4954.0</v>
      </c>
      <c r="G2585" s="92">
        <v>4954.0</v>
      </c>
      <c r="H2585" s="93"/>
      <c r="I2585" s="92"/>
      <c r="J2585" s="92"/>
      <c r="K2585" s="92"/>
    </row>
    <row r="2586" ht="12.75" customHeight="1">
      <c r="E2586" s="79"/>
      <c r="F2586" s="80"/>
      <c r="G2586" s="80"/>
      <c r="H2586" s="81"/>
      <c r="I2586" s="80"/>
      <c r="J2586" s="80"/>
      <c r="K2586" s="80"/>
    </row>
    <row r="2587" ht="12.75" customHeight="1">
      <c r="A2587" s="89" t="s">
        <v>1838</v>
      </c>
      <c r="B2587" s="90" t="s">
        <v>3600</v>
      </c>
      <c r="C2587" s="90"/>
      <c r="E2587" s="79"/>
      <c r="F2587" s="80"/>
      <c r="G2587" s="80"/>
      <c r="H2587" s="81"/>
      <c r="I2587" s="80"/>
      <c r="J2587" s="80"/>
      <c r="K2587" s="80"/>
    </row>
    <row r="2588" ht="12.75" customHeight="1">
      <c r="E2588" s="79"/>
      <c r="F2588" s="80"/>
      <c r="G2588" s="80"/>
      <c r="H2588" s="81"/>
      <c r="I2588" s="80"/>
      <c r="J2588" s="80"/>
      <c r="K2588" s="80"/>
    </row>
    <row r="2589" ht="12.75" customHeight="1">
      <c r="A2589" s="89" t="s">
        <v>1840</v>
      </c>
      <c r="B2589" s="90" t="s">
        <v>4574</v>
      </c>
      <c r="C2589" s="90"/>
      <c r="D2589" s="89" t="s">
        <v>75</v>
      </c>
      <c r="E2589" s="91">
        <v>1.0</v>
      </c>
      <c r="F2589" s="92">
        <v>1500.0</v>
      </c>
      <c r="G2589" s="92">
        <v>1500.0</v>
      </c>
      <c r="H2589" s="93"/>
      <c r="I2589" s="92"/>
      <c r="J2589" s="92"/>
      <c r="K2589" s="92"/>
    </row>
    <row r="2590" ht="12.75" customHeight="1">
      <c r="E2590" s="79"/>
      <c r="F2590" s="80"/>
      <c r="G2590" s="80"/>
      <c r="H2590" s="81"/>
      <c r="I2590" s="80"/>
      <c r="J2590" s="80"/>
      <c r="K2590" s="80"/>
    </row>
    <row r="2591" ht="12.75" customHeight="1">
      <c r="A2591" s="89" t="s">
        <v>1770</v>
      </c>
      <c r="B2591" s="90" t="s">
        <v>4551</v>
      </c>
      <c r="C2591" s="90"/>
      <c r="E2591" s="79"/>
      <c r="F2591" s="80"/>
      <c r="G2591" s="92">
        <v>33665.94</v>
      </c>
      <c r="H2591" s="93"/>
      <c r="I2591" s="92"/>
      <c r="J2591" s="92"/>
      <c r="K2591" s="92"/>
    </row>
    <row r="2592" ht="12.75" customHeight="1">
      <c r="E2592" s="79"/>
      <c r="F2592" s="80"/>
      <c r="G2592" s="80"/>
      <c r="H2592" s="81"/>
      <c r="I2592" s="80"/>
      <c r="J2592" s="80"/>
      <c r="K2592" s="80"/>
    </row>
    <row r="2593" ht="12.75" customHeight="1">
      <c r="A2593" s="89" t="s">
        <v>1768</v>
      </c>
      <c r="B2593" s="90" t="s">
        <v>3548</v>
      </c>
      <c r="C2593" s="90"/>
      <c r="E2593" s="79"/>
      <c r="F2593" s="80"/>
      <c r="G2593" s="92">
        <v>33665.94</v>
      </c>
      <c r="H2593" s="93"/>
      <c r="I2593" s="92"/>
      <c r="J2593" s="92"/>
      <c r="K2593" s="92"/>
    </row>
    <row r="2594" ht="12.75" customHeight="1">
      <c r="E2594" s="79"/>
      <c r="F2594" s="80"/>
      <c r="G2594" s="80"/>
      <c r="H2594" s="81"/>
      <c r="I2594" s="80"/>
      <c r="J2594" s="80"/>
      <c r="K2594" s="80"/>
    </row>
    <row r="2595" ht="12.75" customHeight="1">
      <c r="E2595" s="79"/>
      <c r="F2595" s="80"/>
      <c r="G2595" s="80"/>
      <c r="H2595" s="81"/>
      <c r="I2595" s="80"/>
      <c r="J2595" s="80"/>
      <c r="K2595" s="80"/>
    </row>
    <row r="2596" ht="12.75" customHeight="1">
      <c r="A2596" s="89" t="s">
        <v>1842</v>
      </c>
      <c r="B2596" s="90" t="s">
        <v>4575</v>
      </c>
      <c r="C2596" s="90"/>
      <c r="E2596" s="79"/>
      <c r="F2596" s="80"/>
      <c r="G2596" s="80"/>
      <c r="H2596" s="81"/>
      <c r="I2596" s="80"/>
      <c r="J2596" s="80"/>
      <c r="K2596" s="80"/>
    </row>
    <row r="2597" ht="12.75" customHeight="1">
      <c r="E2597" s="79"/>
      <c r="F2597" s="80"/>
      <c r="G2597" s="80"/>
      <c r="H2597" s="81"/>
      <c r="I2597" s="80"/>
      <c r="J2597" s="80"/>
      <c r="K2597" s="80"/>
    </row>
    <row r="2598" ht="12.75" customHeight="1">
      <c r="A2598" s="89" t="s">
        <v>1844</v>
      </c>
      <c r="B2598" s="90" t="s">
        <v>4576</v>
      </c>
      <c r="C2598" s="90"/>
      <c r="D2598" s="89" t="s">
        <v>1846</v>
      </c>
      <c r="E2598" s="91">
        <v>12.0</v>
      </c>
      <c r="F2598" s="92">
        <v>800.0</v>
      </c>
      <c r="G2598" s="92">
        <v>9600.0</v>
      </c>
      <c r="H2598" s="93"/>
      <c r="I2598" s="92"/>
      <c r="J2598" s="92"/>
      <c r="K2598" s="92"/>
    </row>
    <row r="2599" ht="12.75" customHeight="1">
      <c r="E2599" s="79"/>
      <c r="F2599" s="80"/>
      <c r="G2599" s="80"/>
      <c r="H2599" s="81"/>
      <c r="I2599" s="80"/>
      <c r="J2599" s="80"/>
      <c r="K2599" s="80"/>
    </row>
    <row r="2600" ht="12.75" customHeight="1">
      <c r="A2600" s="89" t="s">
        <v>1842</v>
      </c>
      <c r="B2600" s="90" t="s">
        <v>4575</v>
      </c>
      <c r="C2600" s="90"/>
      <c r="E2600" s="79"/>
      <c r="F2600" s="80"/>
      <c r="G2600" s="92">
        <v>9600.0</v>
      </c>
      <c r="H2600" s="93"/>
      <c r="I2600" s="92"/>
      <c r="J2600" s="92"/>
      <c r="K2600" s="92"/>
    </row>
    <row r="2601" ht="12.75" customHeight="1">
      <c r="E2601" s="79"/>
      <c r="F2601" s="80"/>
      <c r="G2601" s="80"/>
      <c r="H2601" s="81"/>
      <c r="I2601" s="80"/>
      <c r="J2601" s="80"/>
      <c r="K2601" s="80"/>
    </row>
    <row r="2602" ht="12.75" customHeight="1">
      <c r="B2602" s="90" t="s">
        <v>3606</v>
      </c>
      <c r="C2602" s="90"/>
      <c r="E2602" s="79"/>
      <c r="F2602" s="80"/>
      <c r="G2602" s="92">
        <v>192258.35</v>
      </c>
      <c r="H2602" s="93">
        <f>G2602</f>
        <v>192258.35</v>
      </c>
      <c r="I2602" s="92"/>
      <c r="J2602" s="92"/>
      <c r="K2602" s="92"/>
    </row>
    <row r="2603" ht="12.75" customHeight="1">
      <c r="E2603" s="79"/>
      <c r="F2603" s="80"/>
      <c r="G2603" s="80"/>
      <c r="H2603" s="81"/>
      <c r="I2603" s="80"/>
      <c r="J2603" s="80"/>
      <c r="K2603" s="80"/>
    </row>
    <row r="2604" ht="12.75" customHeight="1">
      <c r="B2604" s="90" t="s">
        <v>3692</v>
      </c>
      <c r="C2604" s="90"/>
      <c r="E2604" s="79"/>
      <c r="F2604" s="80"/>
      <c r="G2604" s="92">
        <v>2405735.04</v>
      </c>
      <c r="H2604" s="93">
        <f>SUM(H1:H2602)</f>
        <v>2403411.33</v>
      </c>
      <c r="I2604" s="92"/>
      <c r="J2604" s="92"/>
      <c r="K2604" s="92"/>
    </row>
    <row r="2605" ht="12.75" customHeight="1">
      <c r="E2605" s="79"/>
      <c r="F2605" s="80"/>
      <c r="G2605" s="80"/>
      <c r="H2605" s="81"/>
      <c r="I2605" s="80"/>
      <c r="J2605" s="80"/>
      <c r="K2605" s="80"/>
    </row>
    <row r="2606" ht="12.75" customHeight="1">
      <c r="B2606" s="90" t="s">
        <v>4577</v>
      </c>
      <c r="C2606" s="90"/>
      <c r="E2606" s="79"/>
      <c r="F2606" s="80"/>
      <c r="G2606" s="92">
        <v>2405735.04</v>
      </c>
      <c r="H2606" s="93"/>
      <c r="I2606" s="92"/>
      <c r="J2606" s="92"/>
      <c r="K2606" s="92"/>
    </row>
  </sheetData>
  <mergeCells count="2">
    <mergeCell ref="F4:G4"/>
    <mergeCell ref="A5:E5"/>
  </mergeCells>
  <hyperlinks>
    <hyperlink r:id="rId1" ref="J586"/>
    <hyperlink r:id="rId2" ref="J588"/>
    <hyperlink r:id="rId3" ref="H590"/>
    <hyperlink r:id="rId4" ref="J590"/>
    <hyperlink r:id="rId5" ref="J592"/>
    <hyperlink r:id="rId6" ref="J594"/>
    <hyperlink r:id="rId7" ref="J598"/>
    <hyperlink r:id="rId8" ref="J606"/>
    <hyperlink r:id="rId9" ref="J667"/>
    <hyperlink r:id="rId10" ref="J690"/>
  </hyperlinks>
  <printOptions/>
  <pageMargins bottom="0.41" footer="0.0" header="0.0" left="0.41" right="0.3" top="0.62"/>
  <pageSetup paperSize="9" orientation="portrait"/>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8.88"/>
    <col customWidth="1" min="2" max="2" width="38.5"/>
    <col customWidth="1" min="3" max="3" width="7.0"/>
    <col customWidth="1" min="4" max="4" width="3.88"/>
    <col customWidth="1" min="5" max="5" width="9.75"/>
    <col customWidth="1" min="6" max="6" width="10.13"/>
    <col customWidth="1" min="7" max="11" width="11.75"/>
  </cols>
  <sheetData>
    <row r="1" ht="21.75" customHeight="1">
      <c r="B1" s="90"/>
      <c r="E1" s="79"/>
      <c r="F1" s="80"/>
      <c r="G1" s="80"/>
      <c r="H1" s="81"/>
      <c r="I1" s="80"/>
      <c r="J1" s="80"/>
      <c r="K1" s="80"/>
    </row>
    <row r="2" ht="21.75" customHeight="1">
      <c r="B2" s="90"/>
      <c r="E2" s="79"/>
      <c r="F2" s="80"/>
      <c r="G2" s="80"/>
      <c r="H2" s="81"/>
      <c r="I2" s="80"/>
      <c r="J2" s="80"/>
      <c r="K2" s="80"/>
    </row>
    <row r="3" ht="21.75" customHeight="1">
      <c r="B3" s="90"/>
      <c r="E3" s="79"/>
      <c r="F3" s="80"/>
      <c r="G3" s="80"/>
      <c r="H3" s="81"/>
      <c r="I3" s="80"/>
      <c r="J3" s="80"/>
      <c r="K3" s="80"/>
    </row>
    <row r="4" ht="12.75" customHeight="1">
      <c r="A4" s="385" t="s">
        <v>3681</v>
      </c>
      <c r="B4" s="417" t="s">
        <v>4578</v>
      </c>
      <c r="C4" s="385"/>
      <c r="D4" s="385" t="s">
        <v>3683</v>
      </c>
      <c r="E4" s="386" t="s">
        <v>3684</v>
      </c>
      <c r="F4" s="387" t="s">
        <v>3685</v>
      </c>
      <c r="G4" s="388"/>
      <c r="H4" s="90"/>
    </row>
    <row r="5" ht="12.75" customHeight="1">
      <c r="A5" s="389"/>
      <c r="B5" s="390"/>
      <c r="C5" s="390"/>
      <c r="D5" s="390"/>
      <c r="E5" s="388"/>
      <c r="F5" s="391" t="s">
        <v>3686</v>
      </c>
      <c r="G5" s="391" t="s">
        <v>3687</v>
      </c>
      <c r="H5" s="392"/>
      <c r="I5" s="391"/>
      <c r="J5" s="391"/>
      <c r="K5" s="391"/>
    </row>
    <row r="6" ht="12.75" customHeight="1">
      <c r="A6" s="393"/>
      <c r="B6" s="393"/>
      <c r="C6" s="393"/>
      <c r="D6" s="393"/>
      <c r="E6" s="393"/>
      <c r="F6" s="394"/>
      <c r="G6" s="394"/>
      <c r="H6" s="395"/>
      <c r="I6" s="394"/>
      <c r="J6" s="394"/>
      <c r="K6" s="394"/>
    </row>
    <row r="7" ht="12.75" customHeight="1">
      <c r="A7" s="393"/>
      <c r="B7" s="393"/>
      <c r="C7" s="393"/>
      <c r="D7" s="393"/>
      <c r="E7" s="393"/>
      <c r="F7" s="394"/>
      <c r="G7" s="394"/>
      <c r="H7" s="395"/>
      <c r="I7" s="394"/>
      <c r="J7" s="394"/>
      <c r="K7" s="394"/>
    </row>
    <row r="8" ht="12.75" customHeight="1">
      <c r="A8" s="396"/>
      <c r="B8" s="396"/>
      <c r="C8" s="396"/>
      <c r="D8" s="396" t="s">
        <v>3688</v>
      </c>
      <c r="E8" s="396" t="s">
        <v>3689</v>
      </c>
      <c r="F8" s="73" t="s">
        <v>3690</v>
      </c>
      <c r="G8" s="73" t="s">
        <v>3691</v>
      </c>
      <c r="H8" s="72" t="s">
        <v>24</v>
      </c>
      <c r="I8" s="73" t="s">
        <v>25</v>
      </c>
      <c r="J8" s="73" t="s">
        <v>26</v>
      </c>
      <c r="K8" s="73"/>
    </row>
    <row r="9" ht="12.75" customHeight="1">
      <c r="A9" s="75"/>
      <c r="B9" s="90"/>
      <c r="C9" s="75"/>
      <c r="D9" s="75"/>
      <c r="E9" s="75"/>
      <c r="F9" s="76"/>
      <c r="G9" s="76"/>
      <c r="H9" s="77"/>
      <c r="I9" s="76"/>
      <c r="J9" s="76"/>
      <c r="K9" s="76"/>
    </row>
    <row r="10" ht="12.75" customHeight="1">
      <c r="B10" s="96" t="s">
        <v>4579</v>
      </c>
      <c r="C10" s="90"/>
      <c r="E10" s="79"/>
      <c r="F10" s="80"/>
      <c r="G10" s="80"/>
      <c r="H10" s="81"/>
      <c r="I10" s="80"/>
      <c r="J10" s="80"/>
      <c r="K10" s="80"/>
    </row>
    <row r="11" ht="12.75" customHeight="1">
      <c r="B11" s="90"/>
      <c r="E11" s="79"/>
      <c r="F11" s="80"/>
      <c r="G11" s="80"/>
      <c r="H11" s="81"/>
      <c r="I11" s="80"/>
      <c r="J11" s="80"/>
      <c r="K11" s="80"/>
    </row>
    <row r="12" ht="12.75" customHeight="1">
      <c r="A12" s="89" t="s">
        <v>27</v>
      </c>
      <c r="B12" s="96" t="s">
        <v>4580</v>
      </c>
      <c r="C12" s="90"/>
      <c r="E12" s="79"/>
      <c r="F12" s="80"/>
      <c r="G12" s="80"/>
      <c r="H12" s="81"/>
      <c r="I12" s="80"/>
      <c r="J12" s="80"/>
      <c r="K12" s="80"/>
    </row>
    <row r="13" ht="12.75" customHeight="1">
      <c r="B13" s="90"/>
      <c r="E13" s="79"/>
      <c r="F13" s="80"/>
      <c r="G13" s="80"/>
      <c r="H13" s="81"/>
      <c r="I13" s="80"/>
      <c r="J13" s="80"/>
      <c r="K13" s="80"/>
    </row>
    <row r="14" ht="12.75" customHeight="1">
      <c r="A14" s="89" t="s">
        <v>29</v>
      </c>
      <c r="B14" s="96" t="s">
        <v>4581</v>
      </c>
      <c r="C14" s="90"/>
      <c r="E14" s="79"/>
      <c r="F14" s="80"/>
      <c r="G14" s="80"/>
      <c r="H14" s="81"/>
      <c r="I14" s="80"/>
      <c r="J14" s="80"/>
      <c r="K14" s="80"/>
    </row>
    <row r="15" ht="12.75" customHeight="1">
      <c r="B15" s="90"/>
      <c r="E15" s="79"/>
      <c r="F15" s="80"/>
      <c r="G15" s="80"/>
      <c r="H15" s="81"/>
      <c r="I15" s="80"/>
      <c r="J15" s="80"/>
      <c r="K15" s="80"/>
    </row>
    <row r="16" ht="12.75" customHeight="1">
      <c r="A16" s="89" t="s">
        <v>31</v>
      </c>
      <c r="B16" s="96" t="s">
        <v>4582</v>
      </c>
      <c r="C16" s="90"/>
      <c r="D16" s="89" t="s">
        <v>33</v>
      </c>
      <c r="E16" s="91">
        <v>1.0</v>
      </c>
      <c r="F16" s="92">
        <v>173610.4</v>
      </c>
      <c r="G16" s="92">
        <v>173610.4</v>
      </c>
      <c r="H16" s="93"/>
      <c r="I16" s="92"/>
      <c r="J16" s="92"/>
      <c r="K16" s="92"/>
    </row>
    <row r="17" ht="12.75" customHeight="1">
      <c r="B17" s="90"/>
      <c r="E17" s="79"/>
      <c r="F17" s="80"/>
      <c r="G17" s="80"/>
      <c r="H17" s="81"/>
      <c r="I17" s="80"/>
      <c r="J17" s="80"/>
      <c r="K17" s="80"/>
    </row>
    <row r="18" ht="12.75" customHeight="1">
      <c r="A18" s="89" t="s">
        <v>29</v>
      </c>
      <c r="B18" s="96" t="s">
        <v>4583</v>
      </c>
      <c r="C18" s="90"/>
      <c r="E18" s="79"/>
      <c r="F18" s="80"/>
      <c r="G18" s="92">
        <v>173610.4</v>
      </c>
      <c r="H18" s="93"/>
      <c r="I18" s="92"/>
      <c r="J18" s="92"/>
      <c r="K18" s="92"/>
    </row>
    <row r="19" ht="12.75" customHeight="1">
      <c r="B19" s="90"/>
      <c r="E19" s="79"/>
      <c r="F19" s="80"/>
      <c r="G19" s="80"/>
      <c r="H19" s="81"/>
      <c r="I19" s="80"/>
      <c r="J19" s="80"/>
      <c r="K19" s="80"/>
    </row>
    <row r="20" ht="12.75" customHeight="1">
      <c r="A20" s="89" t="s">
        <v>27</v>
      </c>
      <c r="B20" s="96" t="s">
        <v>4580</v>
      </c>
      <c r="C20" s="90"/>
      <c r="E20" s="79"/>
      <c r="F20" s="80"/>
      <c r="G20" s="92">
        <v>173610.4</v>
      </c>
      <c r="H20" s="93">
        <f>G20</f>
        <v>173610.4</v>
      </c>
      <c r="I20" s="92"/>
      <c r="J20" s="92"/>
      <c r="K20" s="92"/>
    </row>
    <row r="21" ht="12.75" customHeight="1">
      <c r="B21" s="90"/>
      <c r="E21" s="79"/>
      <c r="F21" s="80"/>
      <c r="G21" s="80"/>
      <c r="H21" s="81"/>
      <c r="I21" s="80"/>
      <c r="J21" s="80"/>
      <c r="K21" s="80"/>
    </row>
    <row r="22" ht="12.75" customHeight="1">
      <c r="B22" s="90"/>
      <c r="E22" s="79"/>
      <c r="F22" s="80"/>
      <c r="G22" s="80"/>
      <c r="H22" s="81"/>
      <c r="I22" s="80"/>
      <c r="J22" s="80"/>
      <c r="K22" s="80"/>
    </row>
    <row r="23" ht="12.75" customHeight="1">
      <c r="A23" s="89" t="s">
        <v>3696</v>
      </c>
      <c r="B23" s="96" t="s">
        <v>4584</v>
      </c>
      <c r="C23" s="90"/>
      <c r="E23" s="79"/>
      <c r="F23" s="80"/>
      <c r="G23" s="80"/>
      <c r="H23" s="81"/>
      <c r="I23" s="80"/>
      <c r="J23" s="80"/>
      <c r="K23" s="80"/>
    </row>
    <row r="24" ht="12.75" customHeight="1">
      <c r="B24" s="90"/>
      <c r="E24" s="79"/>
      <c r="F24" s="80"/>
      <c r="G24" s="80"/>
      <c r="H24" s="81"/>
      <c r="I24" s="80"/>
      <c r="J24" s="80"/>
      <c r="K24" s="80"/>
    </row>
    <row r="25" ht="12.75" customHeight="1">
      <c r="A25" s="89" t="s">
        <v>34</v>
      </c>
      <c r="B25" s="96" t="s">
        <v>4585</v>
      </c>
      <c r="C25" s="90"/>
      <c r="E25" s="79"/>
      <c r="F25" s="80"/>
      <c r="G25" s="80"/>
      <c r="H25" s="81"/>
      <c r="I25" s="80"/>
      <c r="J25" s="80"/>
      <c r="K25" s="80"/>
    </row>
    <row r="26" ht="12.75" customHeight="1">
      <c r="B26" s="90"/>
      <c r="E26" s="79"/>
      <c r="F26" s="80"/>
      <c r="G26" s="80"/>
      <c r="H26" s="81"/>
      <c r="I26" s="80"/>
      <c r="J26" s="80"/>
      <c r="K26" s="80"/>
    </row>
    <row r="27" ht="12.75" customHeight="1">
      <c r="A27" s="89" t="s">
        <v>36</v>
      </c>
      <c r="B27" s="96" t="s">
        <v>4586</v>
      </c>
      <c r="C27" s="90"/>
      <c r="E27" s="79"/>
      <c r="F27" s="80"/>
      <c r="G27" s="80"/>
      <c r="H27" s="81"/>
      <c r="I27" s="80"/>
      <c r="J27" s="80"/>
      <c r="K27" s="80"/>
    </row>
    <row r="28" ht="12.75" customHeight="1">
      <c r="B28" s="90"/>
      <c r="E28" s="79"/>
      <c r="F28" s="80"/>
      <c r="G28" s="80"/>
      <c r="H28" s="81"/>
      <c r="I28" s="80"/>
      <c r="J28" s="80"/>
      <c r="K28" s="80"/>
    </row>
    <row r="29" ht="12.75" customHeight="1">
      <c r="A29" s="136" t="s">
        <v>38</v>
      </c>
      <c r="B29" s="137" t="s">
        <v>4587</v>
      </c>
      <c r="C29" s="137"/>
      <c r="D29" s="136" t="s">
        <v>40</v>
      </c>
      <c r="E29" s="140">
        <v>155.42</v>
      </c>
      <c r="F29" s="100">
        <v>50.66</v>
      </c>
      <c r="G29" s="100">
        <v>7873.58</v>
      </c>
      <c r="H29" s="99"/>
      <c r="I29" s="100"/>
      <c r="J29" s="100"/>
      <c r="K29" s="100"/>
    </row>
    <row r="30" ht="12.75" customHeight="1">
      <c r="A30" s="138"/>
      <c r="B30" s="137"/>
      <c r="C30" s="138"/>
      <c r="D30" s="138"/>
      <c r="E30" s="139"/>
      <c r="F30" s="106"/>
      <c r="G30" s="106"/>
      <c r="H30" s="105"/>
      <c r="I30" s="106"/>
      <c r="J30" s="106"/>
      <c r="K30" s="106"/>
    </row>
    <row r="31" ht="12.75" customHeight="1">
      <c r="A31" s="136" t="s">
        <v>41</v>
      </c>
      <c r="B31" s="137" t="s">
        <v>4588</v>
      </c>
      <c r="C31" s="137"/>
      <c r="D31" s="136" t="s">
        <v>40</v>
      </c>
      <c r="E31" s="140">
        <v>32.57</v>
      </c>
      <c r="F31" s="100">
        <v>32.0</v>
      </c>
      <c r="G31" s="100">
        <v>1042.24</v>
      </c>
      <c r="H31" s="99"/>
      <c r="I31" s="100"/>
      <c r="J31" s="100"/>
      <c r="K31" s="100"/>
    </row>
    <row r="32" ht="12.75" customHeight="1">
      <c r="A32" s="138"/>
      <c r="B32" s="137"/>
      <c r="C32" s="138"/>
      <c r="D32" s="138"/>
      <c r="E32" s="139"/>
      <c r="F32" s="106"/>
      <c r="G32" s="106"/>
      <c r="H32" s="105"/>
      <c r="I32" s="106"/>
      <c r="J32" s="106"/>
      <c r="K32" s="106"/>
    </row>
    <row r="33" ht="12.75" customHeight="1">
      <c r="A33" s="136" t="s">
        <v>43</v>
      </c>
      <c r="B33" s="137" t="s">
        <v>4589</v>
      </c>
      <c r="C33" s="137"/>
      <c r="D33" s="136" t="s">
        <v>40</v>
      </c>
      <c r="E33" s="140">
        <v>144.31</v>
      </c>
      <c r="F33" s="100">
        <v>28.06</v>
      </c>
      <c r="G33" s="100">
        <v>4049.34</v>
      </c>
      <c r="H33" s="99"/>
      <c r="I33" s="100"/>
      <c r="J33" s="100"/>
      <c r="K33" s="100"/>
    </row>
    <row r="34" ht="12.75" customHeight="1">
      <c r="B34" s="90"/>
      <c r="E34" s="79"/>
      <c r="F34" s="80"/>
      <c r="G34" s="80"/>
      <c r="H34" s="81"/>
      <c r="I34" s="80"/>
      <c r="J34" s="80"/>
      <c r="K34" s="80"/>
    </row>
    <row r="35" ht="12.75" customHeight="1">
      <c r="A35" s="89" t="s">
        <v>45</v>
      </c>
      <c r="B35" s="96" t="s">
        <v>4590</v>
      </c>
      <c r="C35" s="90"/>
      <c r="E35" s="79"/>
      <c r="F35" s="80"/>
      <c r="G35" s="80"/>
      <c r="H35" s="81"/>
      <c r="I35" s="80"/>
      <c r="J35" s="80"/>
      <c r="K35" s="80"/>
    </row>
    <row r="36" ht="12.75" customHeight="1">
      <c r="B36" s="90"/>
      <c r="E36" s="79"/>
      <c r="F36" s="80"/>
      <c r="G36" s="80"/>
      <c r="H36" s="81"/>
      <c r="I36" s="80"/>
      <c r="J36" s="80"/>
      <c r="K36" s="80"/>
    </row>
    <row r="37" ht="12.75" customHeight="1">
      <c r="A37" s="89" t="s">
        <v>47</v>
      </c>
      <c r="B37" s="96" t="s">
        <v>4591</v>
      </c>
      <c r="C37" s="90"/>
      <c r="D37" s="89" t="s">
        <v>40</v>
      </c>
      <c r="E37" s="91">
        <v>152.25</v>
      </c>
      <c r="F37" s="92">
        <v>32.0</v>
      </c>
      <c r="G37" s="92">
        <v>4872.0</v>
      </c>
      <c r="H37" s="93"/>
      <c r="I37" s="92"/>
      <c r="J37" s="92"/>
      <c r="K37" s="92"/>
    </row>
    <row r="38" ht="12.75" customHeight="1">
      <c r="B38" s="90"/>
      <c r="E38" s="79"/>
      <c r="F38" s="80"/>
      <c r="G38" s="80"/>
      <c r="H38" s="81"/>
      <c r="I38" s="80"/>
      <c r="J38" s="80"/>
      <c r="K38" s="80"/>
    </row>
    <row r="39" ht="12.75" customHeight="1">
      <c r="A39" s="89" t="s">
        <v>49</v>
      </c>
      <c r="B39" s="96" t="s">
        <v>4592</v>
      </c>
      <c r="C39" s="90"/>
      <c r="D39" s="89" t="s">
        <v>40</v>
      </c>
      <c r="E39" s="91">
        <v>14.64</v>
      </c>
      <c r="F39" s="92">
        <v>25.22</v>
      </c>
      <c r="G39" s="92">
        <v>369.22</v>
      </c>
      <c r="H39" s="93"/>
      <c r="I39" s="92"/>
      <c r="J39" s="92"/>
      <c r="K39" s="92"/>
    </row>
    <row r="40" ht="12.75" customHeight="1">
      <c r="B40" s="90"/>
      <c r="E40" s="79"/>
      <c r="F40" s="80"/>
      <c r="G40" s="80"/>
      <c r="H40" s="81"/>
      <c r="I40" s="80"/>
      <c r="J40" s="80"/>
      <c r="K40" s="80"/>
    </row>
    <row r="41" ht="12.75" customHeight="1">
      <c r="A41" s="89" t="s">
        <v>51</v>
      </c>
      <c r="B41" s="96" t="s">
        <v>4593</v>
      </c>
      <c r="C41" s="90"/>
      <c r="D41" s="89" t="s">
        <v>40</v>
      </c>
      <c r="E41" s="91">
        <v>48.01</v>
      </c>
      <c r="F41" s="92">
        <v>56.13</v>
      </c>
      <c r="G41" s="92">
        <v>2694.8</v>
      </c>
      <c r="H41" s="93"/>
      <c r="I41" s="92"/>
      <c r="J41" s="92"/>
      <c r="K41" s="92"/>
    </row>
    <row r="42" ht="12.75" customHeight="1">
      <c r="B42" s="90"/>
      <c r="E42" s="79"/>
      <c r="F42" s="80"/>
      <c r="G42" s="80"/>
      <c r="H42" s="81"/>
      <c r="I42" s="80"/>
      <c r="J42" s="80"/>
      <c r="K42" s="80"/>
    </row>
    <row r="43" ht="12.75" customHeight="1">
      <c r="A43" s="89" t="s">
        <v>53</v>
      </c>
      <c r="B43" s="96" t="s">
        <v>4594</v>
      </c>
      <c r="C43" s="90"/>
      <c r="E43" s="79"/>
      <c r="F43" s="80"/>
      <c r="G43" s="80"/>
      <c r="H43" s="81"/>
      <c r="I43" s="80"/>
      <c r="J43" s="80"/>
      <c r="K43" s="80"/>
    </row>
    <row r="44" ht="12.75" customHeight="1">
      <c r="B44" s="90"/>
      <c r="E44" s="79"/>
      <c r="F44" s="80"/>
      <c r="G44" s="80"/>
      <c r="H44" s="81"/>
      <c r="I44" s="80"/>
      <c r="J44" s="80"/>
      <c r="K44" s="80"/>
    </row>
    <row r="45" ht="12.75" customHeight="1">
      <c r="A45" s="89" t="s">
        <v>55</v>
      </c>
      <c r="B45" s="96" t="s">
        <v>4595</v>
      </c>
      <c r="C45" s="90"/>
      <c r="D45" s="89" t="s">
        <v>40</v>
      </c>
      <c r="E45" s="91">
        <v>19.35</v>
      </c>
      <c r="F45" s="92">
        <v>54.18</v>
      </c>
      <c r="G45" s="92">
        <v>1048.38</v>
      </c>
      <c r="H45" s="93"/>
      <c r="I45" s="92"/>
      <c r="J45" s="92"/>
      <c r="K45" s="92"/>
    </row>
    <row r="46" ht="12.75" customHeight="1">
      <c r="B46" s="90"/>
      <c r="E46" s="79"/>
      <c r="F46" s="80"/>
      <c r="G46" s="80"/>
      <c r="H46" s="81"/>
      <c r="I46" s="80"/>
      <c r="J46" s="80"/>
      <c r="K46" s="80"/>
    </row>
    <row r="47" ht="12.75" customHeight="1">
      <c r="A47" s="89" t="s">
        <v>57</v>
      </c>
      <c r="B47" s="96" t="s">
        <v>4596</v>
      </c>
      <c r="C47" s="90"/>
      <c r="D47" s="89" t="s">
        <v>40</v>
      </c>
      <c r="E47" s="91">
        <v>37.64</v>
      </c>
      <c r="F47" s="92">
        <v>52.76</v>
      </c>
      <c r="G47" s="92">
        <v>1985.89</v>
      </c>
      <c r="H47" s="93"/>
      <c r="I47" s="92"/>
      <c r="J47" s="92"/>
      <c r="K47" s="92"/>
    </row>
    <row r="48" ht="12.75" customHeight="1">
      <c r="B48" s="90"/>
      <c r="E48" s="79"/>
      <c r="F48" s="80"/>
      <c r="G48" s="80"/>
      <c r="H48" s="81"/>
      <c r="I48" s="80"/>
      <c r="J48" s="80"/>
      <c r="K48" s="80"/>
    </row>
    <row r="49" ht="12.75" customHeight="1">
      <c r="A49" s="89" t="s">
        <v>59</v>
      </c>
      <c r="B49" s="96" t="s">
        <v>4597</v>
      </c>
      <c r="C49" s="90"/>
      <c r="D49" s="89" t="s">
        <v>40</v>
      </c>
      <c r="E49" s="91">
        <v>20.27</v>
      </c>
      <c r="F49" s="92">
        <v>62.72</v>
      </c>
      <c r="G49" s="92">
        <v>1271.33</v>
      </c>
      <c r="H49" s="93"/>
      <c r="I49" s="92"/>
      <c r="J49" s="92"/>
      <c r="K49" s="92"/>
    </row>
    <row r="50" ht="12.75" customHeight="1">
      <c r="B50" s="90"/>
      <c r="E50" s="79"/>
      <c r="F50" s="80"/>
      <c r="G50" s="80"/>
      <c r="H50" s="81"/>
      <c r="I50" s="80"/>
      <c r="J50" s="80"/>
      <c r="K50" s="80"/>
    </row>
    <row r="51" ht="12.75" customHeight="1">
      <c r="A51" s="89" t="s">
        <v>61</v>
      </c>
      <c r="B51" s="96" t="s">
        <v>4598</v>
      </c>
      <c r="C51" s="90"/>
      <c r="D51" s="89" t="s">
        <v>40</v>
      </c>
      <c r="E51" s="91">
        <v>10.99</v>
      </c>
      <c r="F51" s="92">
        <v>60.65</v>
      </c>
      <c r="G51" s="92">
        <v>666.54</v>
      </c>
      <c r="H51" s="93"/>
      <c r="I51" s="92"/>
      <c r="J51" s="92"/>
      <c r="K51" s="92"/>
    </row>
    <row r="52" ht="12.75" customHeight="1">
      <c r="B52" s="90"/>
      <c r="E52" s="79"/>
      <c r="F52" s="80"/>
      <c r="G52" s="80"/>
      <c r="H52" s="81"/>
      <c r="I52" s="80"/>
      <c r="J52" s="80"/>
      <c r="K52" s="80"/>
    </row>
    <row r="53" ht="12.75" customHeight="1">
      <c r="A53" s="89" t="s">
        <v>63</v>
      </c>
      <c r="B53" s="96" t="s">
        <v>4599</v>
      </c>
      <c r="C53" s="90"/>
      <c r="D53" s="89" t="s">
        <v>40</v>
      </c>
      <c r="E53" s="91">
        <v>17.94</v>
      </c>
      <c r="F53" s="92">
        <v>52.76</v>
      </c>
      <c r="G53" s="92">
        <v>946.51</v>
      </c>
      <c r="H53" s="93"/>
      <c r="I53" s="92"/>
      <c r="J53" s="92"/>
      <c r="K53" s="92"/>
    </row>
    <row r="54" ht="12.75" customHeight="1">
      <c r="B54" s="90"/>
      <c r="E54" s="79"/>
      <c r="F54" s="80"/>
      <c r="G54" s="80"/>
      <c r="H54" s="81"/>
      <c r="I54" s="80"/>
      <c r="J54" s="80"/>
      <c r="K54" s="80"/>
    </row>
    <row r="55" ht="12.75" customHeight="1">
      <c r="A55" s="89" t="s">
        <v>65</v>
      </c>
      <c r="B55" s="96" t="s">
        <v>4600</v>
      </c>
      <c r="C55" s="90"/>
      <c r="D55" s="89" t="s">
        <v>40</v>
      </c>
      <c r="E55" s="91">
        <v>12.91</v>
      </c>
      <c r="F55" s="92">
        <v>71.12</v>
      </c>
      <c r="G55" s="92">
        <v>918.16</v>
      </c>
      <c r="H55" s="93"/>
      <c r="I55" s="92"/>
      <c r="J55" s="92"/>
      <c r="K55" s="92"/>
    </row>
    <row r="56" ht="12.75" customHeight="1">
      <c r="B56" s="90"/>
      <c r="E56" s="79"/>
      <c r="F56" s="80"/>
      <c r="G56" s="80"/>
      <c r="H56" s="81"/>
      <c r="I56" s="80"/>
      <c r="J56" s="80"/>
      <c r="K56" s="80"/>
    </row>
    <row r="57" ht="12.75" customHeight="1">
      <c r="A57" s="89" t="s">
        <v>34</v>
      </c>
      <c r="B57" s="96" t="s">
        <v>4585</v>
      </c>
      <c r="C57" s="90"/>
      <c r="E57" s="79"/>
      <c r="F57" s="80"/>
      <c r="G57" s="92">
        <v>27737.99</v>
      </c>
      <c r="H57" s="93">
        <f>G57</f>
        <v>27737.99</v>
      </c>
      <c r="I57" s="92"/>
      <c r="J57" s="92"/>
      <c r="K57" s="92"/>
    </row>
    <row r="58" ht="12.75" customHeight="1">
      <c r="B58" s="90"/>
      <c r="E58" s="79"/>
      <c r="F58" s="80"/>
      <c r="G58" s="80"/>
      <c r="H58" s="81"/>
      <c r="I58" s="80"/>
      <c r="J58" s="80"/>
      <c r="K58" s="80"/>
    </row>
    <row r="59" ht="12.75" customHeight="1">
      <c r="B59" s="90"/>
      <c r="E59" s="79"/>
      <c r="F59" s="80"/>
      <c r="G59" s="80"/>
      <c r="H59" s="81"/>
      <c r="I59" s="80"/>
      <c r="J59" s="80"/>
      <c r="K59" s="80"/>
    </row>
    <row r="60" ht="12.75" customHeight="1">
      <c r="A60" s="89" t="s">
        <v>67</v>
      </c>
      <c r="B60" s="96" t="s">
        <v>4601</v>
      </c>
      <c r="C60" s="90"/>
      <c r="E60" s="79"/>
      <c r="F60" s="80"/>
      <c r="G60" s="80"/>
      <c r="H60" s="81"/>
      <c r="I60" s="80"/>
      <c r="J60" s="80"/>
      <c r="K60" s="80"/>
    </row>
    <row r="61" ht="12.75" customHeight="1">
      <c r="B61" s="90"/>
      <c r="E61" s="79"/>
      <c r="F61" s="80"/>
      <c r="G61" s="80"/>
      <c r="H61" s="81"/>
      <c r="I61" s="80"/>
      <c r="J61" s="80"/>
      <c r="K61" s="80"/>
    </row>
    <row r="62" ht="12.75" customHeight="1">
      <c r="A62" s="89" t="s">
        <v>69</v>
      </c>
      <c r="B62" s="96" t="s">
        <v>4601</v>
      </c>
      <c r="C62" s="90"/>
      <c r="E62" s="79"/>
      <c r="F62" s="80"/>
      <c r="G62" s="80"/>
      <c r="H62" s="81"/>
      <c r="I62" s="80"/>
      <c r="J62" s="80"/>
      <c r="K62" s="80"/>
    </row>
    <row r="63" ht="12.75" customHeight="1">
      <c r="B63" s="90"/>
      <c r="E63" s="79"/>
      <c r="F63" s="80"/>
      <c r="G63" s="80"/>
      <c r="H63" s="81"/>
      <c r="I63" s="80"/>
      <c r="J63" s="80"/>
      <c r="K63" s="80"/>
    </row>
    <row r="64" ht="12.75" customHeight="1">
      <c r="A64" s="89" t="s">
        <v>71</v>
      </c>
      <c r="B64" s="96" t="s">
        <v>4602</v>
      </c>
      <c r="C64" s="90"/>
      <c r="E64" s="79"/>
      <c r="F64" s="80"/>
      <c r="G64" s="80"/>
      <c r="H64" s="81"/>
      <c r="I64" s="80"/>
      <c r="J64" s="80"/>
      <c r="K64" s="80"/>
    </row>
    <row r="65" ht="12.75" customHeight="1">
      <c r="B65" s="90"/>
      <c r="E65" s="79"/>
      <c r="F65" s="80"/>
      <c r="G65" s="80"/>
      <c r="H65" s="81"/>
      <c r="I65" s="80"/>
      <c r="J65" s="80"/>
      <c r="K65" s="80"/>
    </row>
    <row r="66" ht="12.75" customHeight="1">
      <c r="A66" s="89" t="s">
        <v>73</v>
      </c>
      <c r="B66" s="96" t="s">
        <v>4603</v>
      </c>
      <c r="C66" s="90"/>
      <c r="D66" s="89" t="s">
        <v>75</v>
      </c>
      <c r="E66" s="91">
        <v>1.0</v>
      </c>
      <c r="F66" s="92">
        <v>45.48</v>
      </c>
      <c r="G66" s="92">
        <v>45.48</v>
      </c>
      <c r="H66" s="93"/>
      <c r="I66" s="92"/>
      <c r="J66" s="92"/>
      <c r="K66" s="92"/>
    </row>
    <row r="67" ht="12.75" customHeight="1">
      <c r="B67" s="90"/>
      <c r="E67" s="79"/>
      <c r="F67" s="80"/>
      <c r="G67" s="80"/>
      <c r="H67" s="81"/>
      <c r="I67" s="80"/>
      <c r="J67" s="80"/>
      <c r="K67" s="80"/>
    </row>
    <row r="68" ht="12.75" customHeight="1">
      <c r="A68" s="89" t="s">
        <v>76</v>
      </c>
      <c r="B68" s="96" t="s">
        <v>4604</v>
      </c>
      <c r="C68" s="90"/>
      <c r="D68" s="89" t="s">
        <v>75</v>
      </c>
      <c r="E68" s="91">
        <v>1.0</v>
      </c>
      <c r="F68" s="92">
        <v>193.49</v>
      </c>
      <c r="G68" s="92">
        <v>193.49</v>
      </c>
      <c r="H68" s="93"/>
      <c r="I68" s="92"/>
      <c r="J68" s="92"/>
      <c r="K68" s="92"/>
    </row>
    <row r="69" ht="12.75" customHeight="1">
      <c r="B69" s="90"/>
      <c r="E69" s="79"/>
      <c r="F69" s="80"/>
      <c r="G69" s="80"/>
      <c r="H69" s="81"/>
      <c r="I69" s="80"/>
      <c r="J69" s="80"/>
      <c r="K69" s="80"/>
    </row>
    <row r="70" ht="12.75" customHeight="1">
      <c r="A70" s="89" t="s">
        <v>78</v>
      </c>
      <c r="B70" s="96" t="s">
        <v>4605</v>
      </c>
      <c r="C70" s="90"/>
      <c r="D70" s="89" t="s">
        <v>75</v>
      </c>
      <c r="E70" s="91">
        <v>1.0</v>
      </c>
      <c r="F70" s="92">
        <v>190.6</v>
      </c>
      <c r="G70" s="92">
        <v>190.6</v>
      </c>
      <c r="H70" s="93"/>
      <c r="I70" s="92"/>
      <c r="J70" s="92"/>
      <c r="K70" s="92"/>
    </row>
    <row r="71" ht="12.75" customHeight="1">
      <c r="B71" s="90"/>
      <c r="E71" s="79"/>
      <c r="F71" s="80"/>
      <c r="G71" s="80"/>
      <c r="H71" s="81"/>
      <c r="I71" s="80"/>
      <c r="J71" s="80"/>
      <c r="K71" s="80"/>
    </row>
    <row r="72" ht="12.75" customHeight="1">
      <c r="A72" s="89" t="s">
        <v>80</v>
      </c>
      <c r="B72" s="96" t="s">
        <v>4606</v>
      </c>
      <c r="C72" s="90"/>
      <c r="D72" s="89" t="s">
        <v>75</v>
      </c>
      <c r="E72" s="91">
        <v>1.0</v>
      </c>
      <c r="F72" s="92">
        <v>125.69</v>
      </c>
      <c r="G72" s="92">
        <v>125.69</v>
      </c>
      <c r="H72" s="93"/>
      <c r="I72" s="92"/>
      <c r="J72" s="92"/>
      <c r="K72" s="92"/>
    </row>
    <row r="73" ht="12.75" customHeight="1">
      <c r="B73" s="90"/>
      <c r="E73" s="79"/>
      <c r="F73" s="80"/>
      <c r="G73" s="80"/>
      <c r="H73" s="81"/>
      <c r="I73" s="80"/>
      <c r="J73" s="80"/>
      <c r="K73" s="80"/>
    </row>
    <row r="74" ht="12.75" customHeight="1">
      <c r="A74" s="89" t="s">
        <v>82</v>
      </c>
      <c r="B74" s="96" t="s">
        <v>4607</v>
      </c>
      <c r="C74" s="90"/>
      <c r="E74" s="79"/>
      <c r="F74" s="80"/>
      <c r="G74" s="80"/>
      <c r="H74" s="81"/>
      <c r="I74" s="80"/>
      <c r="J74" s="80"/>
      <c r="K74" s="80"/>
    </row>
    <row r="75" ht="12.75" customHeight="1">
      <c r="B75" s="90"/>
      <c r="E75" s="79"/>
      <c r="F75" s="80"/>
      <c r="G75" s="80"/>
      <c r="H75" s="81"/>
      <c r="I75" s="80"/>
      <c r="J75" s="80"/>
      <c r="K75" s="80"/>
    </row>
    <row r="76" ht="12.75" customHeight="1">
      <c r="A76" s="89" t="s">
        <v>84</v>
      </c>
      <c r="B76" s="96" t="s">
        <v>4608</v>
      </c>
      <c r="C76" s="90"/>
      <c r="D76" s="89" t="s">
        <v>75</v>
      </c>
      <c r="E76" s="91">
        <v>1.0</v>
      </c>
      <c r="F76" s="92">
        <v>14.6</v>
      </c>
      <c r="G76" s="92">
        <v>14.6</v>
      </c>
      <c r="H76" s="93"/>
      <c r="I76" s="92"/>
      <c r="J76" s="92"/>
      <c r="K76" s="92"/>
    </row>
    <row r="77" ht="12.75" customHeight="1">
      <c r="B77" s="90"/>
      <c r="E77" s="79"/>
      <c r="F77" s="80"/>
      <c r="G77" s="80"/>
      <c r="H77" s="81"/>
      <c r="I77" s="80"/>
      <c r="J77" s="80"/>
      <c r="K77" s="80"/>
    </row>
    <row r="78" ht="12.75" customHeight="1">
      <c r="A78" s="89" t="s">
        <v>86</v>
      </c>
      <c r="B78" s="96" t="s">
        <v>4609</v>
      </c>
      <c r="C78" s="90"/>
      <c r="D78" s="89" t="s">
        <v>75</v>
      </c>
      <c r="E78" s="91">
        <v>1.0</v>
      </c>
      <c r="F78" s="92">
        <v>144.54</v>
      </c>
      <c r="G78" s="92">
        <v>144.54</v>
      </c>
      <c r="H78" s="93"/>
      <c r="I78" s="92"/>
      <c r="J78" s="92"/>
      <c r="K78" s="92"/>
    </row>
    <row r="79" ht="12.75" customHeight="1">
      <c r="B79" s="90"/>
      <c r="E79" s="79"/>
      <c r="F79" s="80"/>
      <c r="G79" s="80"/>
      <c r="H79" s="81"/>
      <c r="I79" s="80"/>
      <c r="J79" s="80"/>
      <c r="K79" s="80"/>
    </row>
    <row r="80" ht="12.75" customHeight="1">
      <c r="A80" s="89" t="s">
        <v>88</v>
      </c>
      <c r="B80" s="96" t="s">
        <v>4610</v>
      </c>
      <c r="C80" s="90"/>
      <c r="D80" s="89" t="s">
        <v>75</v>
      </c>
      <c r="E80" s="91">
        <v>1.0</v>
      </c>
      <c r="F80" s="92">
        <v>193.45</v>
      </c>
      <c r="G80" s="92">
        <v>193.45</v>
      </c>
      <c r="H80" s="93"/>
      <c r="I80" s="92"/>
      <c r="J80" s="92"/>
      <c r="K80" s="92"/>
    </row>
    <row r="81" ht="12.75" customHeight="1">
      <c r="B81" s="90"/>
      <c r="E81" s="79"/>
      <c r="F81" s="80"/>
      <c r="G81" s="80"/>
      <c r="H81" s="81"/>
      <c r="I81" s="80"/>
      <c r="J81" s="80"/>
      <c r="K81" s="80"/>
    </row>
    <row r="82" ht="12.75" customHeight="1">
      <c r="A82" s="89" t="s">
        <v>90</v>
      </c>
      <c r="B82" s="96" t="s">
        <v>4611</v>
      </c>
      <c r="C82" s="90"/>
      <c r="D82" s="89" t="s">
        <v>75</v>
      </c>
      <c r="E82" s="91">
        <v>1.0</v>
      </c>
      <c r="F82" s="92">
        <v>507.36</v>
      </c>
      <c r="G82" s="92">
        <v>507.36</v>
      </c>
      <c r="H82" s="93"/>
      <c r="I82" s="92"/>
      <c r="J82" s="92"/>
      <c r="K82" s="92"/>
    </row>
    <row r="83" ht="12.75" customHeight="1">
      <c r="B83" s="90"/>
      <c r="E83" s="79"/>
      <c r="F83" s="80"/>
      <c r="G83" s="80"/>
      <c r="H83" s="81"/>
      <c r="I83" s="80"/>
      <c r="J83" s="80"/>
      <c r="K83" s="80"/>
    </row>
    <row r="84" ht="12.75" customHeight="1">
      <c r="A84" s="89" t="s">
        <v>92</v>
      </c>
      <c r="B84" s="96" t="s">
        <v>4612</v>
      </c>
      <c r="C84" s="90"/>
      <c r="D84" s="89" t="s">
        <v>75</v>
      </c>
      <c r="E84" s="91">
        <v>1.0</v>
      </c>
      <c r="F84" s="92">
        <v>37.96</v>
      </c>
      <c r="G84" s="92">
        <v>37.96</v>
      </c>
      <c r="H84" s="93"/>
      <c r="I84" s="92"/>
      <c r="J84" s="92"/>
      <c r="K84" s="92"/>
    </row>
    <row r="85" ht="12.75" customHeight="1">
      <c r="B85" s="90"/>
      <c r="E85" s="79"/>
      <c r="F85" s="80"/>
      <c r="G85" s="80"/>
      <c r="H85" s="81"/>
      <c r="I85" s="80"/>
      <c r="J85" s="80"/>
      <c r="K85" s="80"/>
    </row>
    <row r="86" ht="12.75" customHeight="1">
      <c r="A86" s="89" t="s">
        <v>67</v>
      </c>
      <c r="B86" s="96" t="s">
        <v>4601</v>
      </c>
      <c r="C86" s="90"/>
      <c r="E86" s="79"/>
      <c r="F86" s="80"/>
      <c r="G86" s="92">
        <v>1453.17</v>
      </c>
      <c r="H86" s="93"/>
      <c r="I86" s="92"/>
      <c r="J86" s="92"/>
      <c r="K86" s="92"/>
    </row>
    <row r="87" ht="12.75" customHeight="1">
      <c r="B87" s="90"/>
      <c r="E87" s="79"/>
      <c r="F87" s="80"/>
      <c r="G87" s="80"/>
      <c r="H87" s="81"/>
      <c r="I87" s="80"/>
      <c r="J87" s="80"/>
      <c r="K87" s="80"/>
    </row>
    <row r="88" ht="12.75" customHeight="1">
      <c r="B88" s="90"/>
      <c r="E88" s="79"/>
      <c r="F88" s="80"/>
      <c r="G88" s="80"/>
      <c r="H88" s="81"/>
      <c r="I88" s="80"/>
      <c r="J88" s="80"/>
      <c r="K88" s="80"/>
    </row>
    <row r="89" ht="12.75" customHeight="1">
      <c r="A89" s="89" t="s">
        <v>94</v>
      </c>
      <c r="B89" s="96" t="s">
        <v>4613</v>
      </c>
      <c r="C89" s="90"/>
      <c r="E89" s="79"/>
      <c r="F89" s="80"/>
      <c r="G89" s="80"/>
      <c r="H89" s="81"/>
      <c r="I89" s="80"/>
      <c r="J89" s="80"/>
      <c r="K89" s="80"/>
    </row>
    <row r="90" ht="12.75" customHeight="1">
      <c r="B90" s="90"/>
      <c r="E90" s="79"/>
      <c r="F90" s="80"/>
      <c r="G90" s="80"/>
      <c r="H90" s="81"/>
      <c r="I90" s="80"/>
      <c r="J90" s="80"/>
      <c r="K90" s="80"/>
    </row>
    <row r="91" ht="12.75" customHeight="1">
      <c r="A91" s="89" t="s">
        <v>96</v>
      </c>
      <c r="B91" s="96" t="s">
        <v>4614</v>
      </c>
      <c r="C91" s="90"/>
      <c r="E91" s="79"/>
      <c r="F91" s="80"/>
      <c r="G91" s="80"/>
      <c r="H91" s="81"/>
      <c r="I91" s="80"/>
      <c r="J91" s="80"/>
      <c r="K91" s="80"/>
    </row>
    <row r="92" ht="12.75" customHeight="1">
      <c r="B92" s="90"/>
      <c r="E92" s="79"/>
      <c r="F92" s="80"/>
      <c r="G92" s="80"/>
      <c r="H92" s="81"/>
      <c r="I92" s="80"/>
      <c r="J92" s="80"/>
      <c r="K92" s="80"/>
    </row>
    <row r="93" ht="12.75" customHeight="1">
      <c r="A93" s="89" t="s">
        <v>98</v>
      </c>
      <c r="B93" s="96" t="s">
        <v>4615</v>
      </c>
      <c r="C93" s="90"/>
      <c r="E93" s="79"/>
      <c r="F93" s="80"/>
      <c r="G93" s="80"/>
      <c r="H93" s="81"/>
      <c r="I93" s="80"/>
      <c r="J93" s="80"/>
      <c r="K93" s="80"/>
    </row>
    <row r="94" ht="12.75" customHeight="1">
      <c r="B94" s="90"/>
      <c r="E94" s="79"/>
      <c r="F94" s="80"/>
      <c r="G94" s="80"/>
      <c r="H94" s="81"/>
      <c r="I94" s="80"/>
      <c r="J94" s="80"/>
      <c r="K94" s="80"/>
    </row>
    <row r="95" ht="12.75" customHeight="1">
      <c r="A95" s="89" t="s">
        <v>100</v>
      </c>
      <c r="B95" s="96" t="s">
        <v>4616</v>
      </c>
      <c r="C95" s="90"/>
      <c r="D95" s="89" t="s">
        <v>40</v>
      </c>
      <c r="E95" s="91">
        <v>37.14</v>
      </c>
      <c r="F95" s="92">
        <v>11.9</v>
      </c>
      <c r="G95" s="92">
        <v>441.97</v>
      </c>
      <c r="H95" s="93"/>
      <c r="I95" s="92"/>
      <c r="J95" s="92"/>
      <c r="K95" s="92"/>
    </row>
    <row r="96" ht="12.75" customHeight="1">
      <c r="B96" s="90"/>
      <c r="E96" s="79"/>
      <c r="F96" s="80"/>
      <c r="G96" s="80"/>
      <c r="H96" s="81"/>
      <c r="I96" s="80"/>
      <c r="J96" s="80"/>
      <c r="K96" s="80"/>
    </row>
    <row r="97" ht="12.75" customHeight="1">
      <c r="A97" s="89" t="s">
        <v>102</v>
      </c>
      <c r="B97" s="96" t="s">
        <v>4617</v>
      </c>
      <c r="C97" s="90"/>
      <c r="D97" s="89" t="s">
        <v>40</v>
      </c>
      <c r="E97" s="91">
        <v>37.14</v>
      </c>
      <c r="F97" s="92">
        <v>23.36</v>
      </c>
      <c r="G97" s="92">
        <v>867.59</v>
      </c>
      <c r="H97" s="93"/>
      <c r="I97" s="92"/>
      <c r="J97" s="92"/>
      <c r="K97" s="92"/>
    </row>
    <row r="98" ht="12.75" customHeight="1">
      <c r="B98" s="90"/>
      <c r="E98" s="79"/>
      <c r="F98" s="80"/>
      <c r="G98" s="80"/>
      <c r="H98" s="81"/>
      <c r="I98" s="80"/>
      <c r="J98" s="80"/>
      <c r="K98" s="80"/>
    </row>
    <row r="99" ht="12.75" customHeight="1">
      <c r="A99" s="89" t="s">
        <v>104</v>
      </c>
      <c r="B99" s="96" t="s">
        <v>4618</v>
      </c>
      <c r="C99" s="90"/>
      <c r="D99" s="89" t="s">
        <v>40</v>
      </c>
      <c r="E99" s="91">
        <v>37.14</v>
      </c>
      <c r="F99" s="92">
        <v>31.78</v>
      </c>
      <c r="G99" s="92">
        <v>1180.31</v>
      </c>
      <c r="H99" s="93"/>
      <c r="I99" s="92"/>
      <c r="J99" s="92"/>
      <c r="K99" s="92"/>
    </row>
    <row r="100" ht="12.75" customHeight="1">
      <c r="B100" s="90"/>
      <c r="E100" s="79"/>
      <c r="F100" s="80"/>
      <c r="G100" s="80"/>
      <c r="H100" s="81"/>
      <c r="I100" s="80"/>
      <c r="J100" s="80"/>
      <c r="K100" s="80"/>
    </row>
    <row r="101" ht="12.75" customHeight="1">
      <c r="A101" s="89" t="s">
        <v>106</v>
      </c>
      <c r="B101" s="96" t="s">
        <v>4619</v>
      </c>
      <c r="C101" s="90"/>
      <c r="E101" s="79"/>
      <c r="F101" s="80"/>
      <c r="G101" s="80"/>
      <c r="H101" s="81"/>
      <c r="I101" s="80"/>
      <c r="J101" s="80"/>
      <c r="K101" s="80"/>
    </row>
    <row r="102" ht="12.75" customHeight="1">
      <c r="B102" s="90"/>
      <c r="E102" s="79"/>
      <c r="F102" s="80"/>
      <c r="G102" s="80"/>
      <c r="H102" s="81"/>
      <c r="I102" s="80"/>
      <c r="J102" s="80"/>
      <c r="K102" s="80"/>
    </row>
    <row r="103" ht="12.75" customHeight="1">
      <c r="A103" s="89" t="s">
        <v>108</v>
      </c>
      <c r="B103" s="96" t="s">
        <v>4620</v>
      </c>
      <c r="C103" s="90"/>
      <c r="E103" s="79"/>
      <c r="F103" s="80"/>
      <c r="G103" s="80"/>
      <c r="H103" s="81"/>
      <c r="I103" s="80"/>
      <c r="J103" s="80"/>
      <c r="K103" s="80"/>
    </row>
    <row r="104" ht="12.75" customHeight="1">
      <c r="B104" s="90"/>
      <c r="E104" s="79"/>
      <c r="F104" s="80"/>
      <c r="G104" s="80"/>
      <c r="H104" s="81"/>
      <c r="I104" s="80"/>
      <c r="J104" s="80"/>
      <c r="K104" s="80"/>
    </row>
    <row r="105" ht="12.75" customHeight="1">
      <c r="A105" s="89" t="s">
        <v>110</v>
      </c>
      <c r="B105" s="96" t="s">
        <v>4616</v>
      </c>
      <c r="C105" s="90"/>
      <c r="D105" s="89" t="s">
        <v>40</v>
      </c>
      <c r="E105" s="91">
        <v>53.0</v>
      </c>
      <c r="F105" s="92">
        <v>11.9</v>
      </c>
      <c r="G105" s="92">
        <v>630.7</v>
      </c>
      <c r="H105" s="93"/>
      <c r="I105" s="92"/>
      <c r="J105" s="92"/>
      <c r="K105" s="92"/>
    </row>
    <row r="106" ht="12.75" customHeight="1">
      <c r="B106" s="90"/>
      <c r="E106" s="79"/>
      <c r="F106" s="80"/>
      <c r="G106" s="80"/>
      <c r="H106" s="81"/>
      <c r="I106" s="80"/>
      <c r="J106" s="80"/>
      <c r="K106" s="80"/>
    </row>
    <row r="107" ht="12.75" customHeight="1">
      <c r="A107" s="89" t="s">
        <v>111</v>
      </c>
      <c r="B107" s="96" t="s">
        <v>4621</v>
      </c>
      <c r="C107" s="90"/>
      <c r="D107" s="89" t="s">
        <v>40</v>
      </c>
      <c r="E107" s="91">
        <v>53.0</v>
      </c>
      <c r="F107" s="92">
        <v>23.36</v>
      </c>
      <c r="G107" s="92">
        <v>1238.08</v>
      </c>
      <c r="H107" s="93"/>
      <c r="I107" s="92"/>
      <c r="J107" s="92"/>
      <c r="K107" s="92"/>
    </row>
    <row r="108" ht="12.75" customHeight="1">
      <c r="B108" s="90"/>
      <c r="E108" s="79"/>
      <c r="F108" s="80"/>
      <c r="G108" s="80"/>
      <c r="H108" s="81"/>
      <c r="I108" s="80"/>
      <c r="J108" s="80"/>
      <c r="K108" s="80"/>
    </row>
    <row r="109" ht="12.75" customHeight="1">
      <c r="A109" s="89" t="s">
        <v>113</v>
      </c>
      <c r="B109" s="96" t="s">
        <v>4622</v>
      </c>
      <c r="C109" s="90"/>
      <c r="D109" s="89" t="s">
        <v>40</v>
      </c>
      <c r="E109" s="91">
        <v>53.0</v>
      </c>
      <c r="F109" s="92">
        <v>31.78</v>
      </c>
      <c r="G109" s="92">
        <v>1684.34</v>
      </c>
      <c r="H109" s="93"/>
      <c r="I109" s="92"/>
      <c r="J109" s="92"/>
      <c r="K109" s="92"/>
    </row>
    <row r="110" ht="12.75" customHeight="1">
      <c r="B110" s="90"/>
      <c r="E110" s="79"/>
      <c r="F110" s="80"/>
      <c r="G110" s="80"/>
      <c r="H110" s="81"/>
      <c r="I110" s="80"/>
      <c r="J110" s="80"/>
      <c r="K110" s="80"/>
    </row>
    <row r="111" ht="12.75" customHeight="1">
      <c r="A111" s="89" t="s">
        <v>115</v>
      </c>
      <c r="B111" s="96" t="s">
        <v>4623</v>
      </c>
      <c r="C111" s="90"/>
      <c r="E111" s="79"/>
      <c r="F111" s="80"/>
      <c r="G111" s="80"/>
      <c r="H111" s="81"/>
      <c r="I111" s="80"/>
      <c r="J111" s="80"/>
      <c r="K111" s="80"/>
    </row>
    <row r="112" ht="12.75" customHeight="1">
      <c r="B112" s="90"/>
      <c r="E112" s="79"/>
      <c r="F112" s="80"/>
      <c r="G112" s="80"/>
      <c r="H112" s="81"/>
      <c r="I112" s="80"/>
      <c r="J112" s="80"/>
      <c r="K112" s="80"/>
    </row>
    <row r="113" ht="12.75" customHeight="1">
      <c r="A113" s="89" t="s">
        <v>117</v>
      </c>
      <c r="B113" s="96" t="s">
        <v>4624</v>
      </c>
      <c r="C113" s="90"/>
      <c r="E113" s="79"/>
      <c r="F113" s="80"/>
      <c r="G113" s="80"/>
      <c r="H113" s="81"/>
      <c r="I113" s="80"/>
      <c r="J113" s="80"/>
      <c r="K113" s="80"/>
    </row>
    <row r="114" ht="12.75" customHeight="1">
      <c r="B114" s="90"/>
      <c r="E114" s="79"/>
      <c r="F114" s="80"/>
      <c r="G114" s="80"/>
      <c r="H114" s="81"/>
      <c r="I114" s="80"/>
      <c r="J114" s="80"/>
      <c r="K114" s="80"/>
    </row>
    <row r="115" ht="12.75" customHeight="1">
      <c r="A115" s="89" t="s">
        <v>119</v>
      </c>
      <c r="B115" s="96" t="s">
        <v>4621</v>
      </c>
      <c r="C115" s="90"/>
      <c r="D115" s="89" t="s">
        <v>40</v>
      </c>
      <c r="E115" s="91">
        <v>32.4</v>
      </c>
      <c r="F115" s="92">
        <v>23.36</v>
      </c>
      <c r="G115" s="92">
        <v>756.86</v>
      </c>
      <c r="H115" s="93"/>
      <c r="I115" s="92"/>
      <c r="J115" s="92"/>
      <c r="K115" s="92"/>
    </row>
    <row r="116" ht="12.75" customHeight="1">
      <c r="B116" s="90"/>
      <c r="E116" s="79"/>
      <c r="F116" s="80"/>
      <c r="G116" s="80"/>
      <c r="H116" s="81"/>
      <c r="I116" s="80"/>
      <c r="J116" s="80"/>
      <c r="K116" s="80"/>
    </row>
    <row r="117" ht="12.75" customHeight="1">
      <c r="A117" s="89" t="s">
        <v>120</v>
      </c>
      <c r="B117" s="96" t="s">
        <v>4622</v>
      </c>
      <c r="C117" s="90"/>
      <c r="D117" s="89" t="s">
        <v>40</v>
      </c>
      <c r="E117" s="91">
        <v>32.4</v>
      </c>
      <c r="F117" s="92">
        <v>31.78</v>
      </c>
      <c r="G117" s="92">
        <v>1029.67</v>
      </c>
      <c r="H117" s="93"/>
      <c r="I117" s="92"/>
      <c r="J117" s="92"/>
      <c r="K117" s="92"/>
    </row>
    <row r="118" ht="12.75" customHeight="1">
      <c r="B118" s="90"/>
      <c r="E118" s="79"/>
      <c r="F118" s="80"/>
      <c r="G118" s="80"/>
      <c r="H118" s="81"/>
      <c r="I118" s="80"/>
      <c r="J118" s="80"/>
      <c r="K118" s="80"/>
    </row>
    <row r="119" ht="12.75" customHeight="1">
      <c r="A119" s="89" t="s">
        <v>121</v>
      </c>
      <c r="B119" s="96" t="s">
        <v>4625</v>
      </c>
      <c r="C119" s="90"/>
      <c r="E119" s="79"/>
      <c r="F119" s="80"/>
      <c r="G119" s="80"/>
      <c r="H119" s="81"/>
      <c r="I119" s="80"/>
      <c r="J119" s="80"/>
      <c r="K119" s="80"/>
    </row>
    <row r="120" ht="12.75" customHeight="1">
      <c r="B120" s="90"/>
      <c r="E120" s="79"/>
      <c r="F120" s="80"/>
      <c r="G120" s="80"/>
      <c r="H120" s="81"/>
      <c r="I120" s="80"/>
      <c r="J120" s="80"/>
      <c r="K120" s="80"/>
    </row>
    <row r="121" ht="12.75" customHeight="1">
      <c r="A121" s="89" t="s">
        <v>123</v>
      </c>
      <c r="B121" s="96" t="s">
        <v>4626</v>
      </c>
      <c r="C121" s="90"/>
      <c r="D121" s="89" t="s">
        <v>40</v>
      </c>
      <c r="E121" s="91">
        <v>303.47</v>
      </c>
      <c r="F121" s="92">
        <v>22.54</v>
      </c>
      <c r="G121" s="92">
        <v>6840.21</v>
      </c>
      <c r="H121" s="93"/>
      <c r="I121" s="92"/>
      <c r="J121" s="92"/>
      <c r="K121" s="92"/>
    </row>
    <row r="122" ht="12.75" customHeight="1">
      <c r="B122" s="90"/>
      <c r="E122" s="79"/>
      <c r="F122" s="80"/>
      <c r="G122" s="80"/>
      <c r="H122" s="81"/>
      <c r="I122" s="80"/>
      <c r="J122" s="80"/>
      <c r="K122" s="80"/>
    </row>
    <row r="123" ht="12.75" customHeight="1">
      <c r="A123" s="89" t="s">
        <v>125</v>
      </c>
      <c r="B123" s="96" t="s">
        <v>4627</v>
      </c>
      <c r="C123" s="90"/>
      <c r="E123" s="79"/>
      <c r="F123" s="80"/>
      <c r="G123" s="80"/>
      <c r="H123" s="81"/>
      <c r="I123" s="80"/>
      <c r="J123" s="80"/>
      <c r="K123" s="80"/>
    </row>
    <row r="124" ht="12.75" customHeight="1">
      <c r="B124" s="90"/>
      <c r="E124" s="79"/>
      <c r="F124" s="80"/>
      <c r="G124" s="80"/>
      <c r="H124" s="81"/>
      <c r="I124" s="80"/>
      <c r="J124" s="80"/>
      <c r="K124" s="80"/>
    </row>
    <row r="125" ht="12.75" customHeight="1">
      <c r="A125" s="89" t="s">
        <v>127</v>
      </c>
      <c r="B125" s="96" t="s">
        <v>4628</v>
      </c>
      <c r="C125" s="90"/>
      <c r="D125" s="89" t="s">
        <v>40</v>
      </c>
      <c r="E125" s="91">
        <v>320.7</v>
      </c>
      <c r="F125" s="92">
        <v>11.9</v>
      </c>
      <c r="G125" s="92">
        <v>3816.33</v>
      </c>
      <c r="H125" s="93"/>
      <c r="I125" s="92"/>
      <c r="J125" s="92"/>
      <c r="K125" s="92"/>
    </row>
    <row r="126" ht="12.75" customHeight="1">
      <c r="B126" s="90"/>
      <c r="E126" s="79"/>
      <c r="F126" s="80"/>
      <c r="G126" s="80"/>
      <c r="H126" s="81"/>
      <c r="I126" s="80"/>
      <c r="J126" s="80"/>
      <c r="K126" s="80"/>
    </row>
    <row r="127" ht="12.75" customHeight="1">
      <c r="A127" s="89" t="s">
        <v>129</v>
      </c>
      <c r="B127" s="96" t="s">
        <v>4629</v>
      </c>
      <c r="C127" s="90"/>
      <c r="E127" s="79"/>
      <c r="F127" s="80"/>
      <c r="G127" s="80"/>
      <c r="H127" s="81"/>
      <c r="I127" s="80"/>
      <c r="J127" s="80"/>
      <c r="K127" s="80"/>
    </row>
    <row r="128" ht="12.75" customHeight="1">
      <c r="B128" s="90"/>
      <c r="E128" s="79"/>
      <c r="F128" s="80"/>
      <c r="G128" s="80"/>
      <c r="H128" s="81"/>
      <c r="I128" s="80"/>
      <c r="J128" s="80"/>
      <c r="K128" s="80"/>
    </row>
    <row r="129" ht="12.75" customHeight="1">
      <c r="A129" s="89" t="s">
        <v>131</v>
      </c>
      <c r="B129" s="96" t="s">
        <v>4630</v>
      </c>
      <c r="C129" s="90"/>
      <c r="D129" s="89" t="s">
        <v>75</v>
      </c>
      <c r="E129" s="91">
        <v>22.19</v>
      </c>
      <c r="F129" s="92">
        <v>29.09</v>
      </c>
      <c r="G129" s="92">
        <v>645.51</v>
      </c>
      <c r="H129" s="93"/>
      <c r="I129" s="92"/>
      <c r="J129" s="92"/>
      <c r="K129" s="92"/>
    </row>
    <row r="130" ht="12.75" customHeight="1">
      <c r="B130" s="90"/>
      <c r="E130" s="79"/>
      <c r="F130" s="80"/>
      <c r="G130" s="80"/>
      <c r="H130" s="81"/>
      <c r="I130" s="80"/>
      <c r="J130" s="80"/>
      <c r="K130" s="80"/>
    </row>
    <row r="131" ht="12.75" customHeight="1">
      <c r="A131" s="89" t="s">
        <v>133</v>
      </c>
      <c r="B131" s="96" t="s">
        <v>4631</v>
      </c>
      <c r="C131" s="90"/>
      <c r="E131" s="79"/>
      <c r="F131" s="80"/>
      <c r="G131" s="80"/>
      <c r="H131" s="81"/>
      <c r="I131" s="80"/>
      <c r="J131" s="80"/>
      <c r="K131" s="80"/>
    </row>
    <row r="132" ht="12.75" customHeight="1">
      <c r="B132" s="90"/>
      <c r="E132" s="79"/>
      <c r="F132" s="80"/>
      <c r="G132" s="80"/>
      <c r="H132" s="81"/>
      <c r="I132" s="80"/>
      <c r="J132" s="80"/>
      <c r="K132" s="80"/>
    </row>
    <row r="133" ht="12.75" customHeight="1">
      <c r="A133" s="89" t="s">
        <v>135</v>
      </c>
      <c r="B133" s="96" t="s">
        <v>4632</v>
      </c>
      <c r="C133" s="90"/>
      <c r="D133" s="89" t="s">
        <v>40</v>
      </c>
      <c r="E133" s="91">
        <v>200.6</v>
      </c>
      <c r="F133" s="92">
        <v>23.04</v>
      </c>
      <c r="G133" s="92">
        <v>4621.82</v>
      </c>
      <c r="H133" s="93"/>
      <c r="I133" s="92"/>
      <c r="J133" s="92"/>
      <c r="K133" s="92"/>
    </row>
    <row r="134" ht="12.75" customHeight="1">
      <c r="B134" s="90"/>
      <c r="E134" s="79"/>
      <c r="F134" s="80"/>
      <c r="G134" s="80"/>
      <c r="H134" s="81"/>
      <c r="I134" s="80"/>
      <c r="J134" s="80"/>
      <c r="K134" s="80"/>
    </row>
    <row r="135" ht="12.75" customHeight="1">
      <c r="A135" s="89" t="s">
        <v>94</v>
      </c>
      <c r="B135" s="96" t="s">
        <v>4613</v>
      </c>
      <c r="C135" s="90"/>
      <c r="E135" s="79"/>
      <c r="F135" s="80"/>
      <c r="G135" s="92">
        <v>23753.39</v>
      </c>
      <c r="H135" s="93">
        <f>G135</f>
        <v>23753.39</v>
      </c>
      <c r="I135" s="92"/>
      <c r="J135" s="92"/>
      <c r="K135" s="92"/>
    </row>
    <row r="136" ht="12.75" customHeight="1">
      <c r="B136" s="90"/>
      <c r="E136" s="79"/>
      <c r="F136" s="80"/>
      <c r="G136" s="80"/>
      <c r="H136" s="81"/>
      <c r="I136" s="80"/>
      <c r="J136" s="80"/>
      <c r="K136" s="80"/>
    </row>
    <row r="137" ht="12.75" customHeight="1">
      <c r="B137" s="90"/>
      <c r="E137" s="79"/>
      <c r="F137" s="80"/>
      <c r="G137" s="80"/>
      <c r="H137" s="81"/>
      <c r="I137" s="80"/>
      <c r="J137" s="80"/>
      <c r="K137" s="80"/>
    </row>
    <row r="138" ht="12.75" customHeight="1">
      <c r="A138" s="89" t="s">
        <v>3746</v>
      </c>
      <c r="B138" s="96" t="s">
        <v>4633</v>
      </c>
      <c r="C138" s="90"/>
      <c r="E138" s="79"/>
      <c r="F138" s="80"/>
      <c r="G138" s="80"/>
      <c r="H138" s="81"/>
      <c r="I138" s="80"/>
      <c r="J138" s="80"/>
      <c r="K138" s="80"/>
    </row>
    <row r="139" ht="12.75" customHeight="1">
      <c r="B139" s="90"/>
      <c r="E139" s="79"/>
      <c r="F139" s="80"/>
      <c r="G139" s="80"/>
      <c r="H139" s="81"/>
      <c r="I139" s="80"/>
      <c r="J139" s="80"/>
      <c r="K139" s="80"/>
    </row>
    <row r="140" ht="12.75" customHeight="1">
      <c r="A140" s="89" t="s">
        <v>138</v>
      </c>
      <c r="B140" s="96" t="s">
        <v>4634</v>
      </c>
      <c r="C140" s="90"/>
      <c r="D140" s="89" t="s">
        <v>40</v>
      </c>
      <c r="E140" s="91">
        <v>181.91</v>
      </c>
      <c r="F140" s="92">
        <v>290.82</v>
      </c>
      <c r="G140" s="92">
        <v>52903.07</v>
      </c>
      <c r="H140" s="93"/>
      <c r="I140" s="92"/>
      <c r="J140" s="92"/>
      <c r="K140" s="92"/>
    </row>
    <row r="141" ht="12.75" customHeight="1">
      <c r="B141" s="90"/>
      <c r="E141" s="79"/>
      <c r="F141" s="80"/>
      <c r="G141" s="80"/>
      <c r="H141" s="81"/>
      <c r="I141" s="80"/>
      <c r="J141" s="80"/>
      <c r="K141" s="80"/>
    </row>
    <row r="142" ht="12.75" customHeight="1">
      <c r="A142" s="89" t="s">
        <v>140</v>
      </c>
      <c r="B142" s="96" t="s">
        <v>4635</v>
      </c>
      <c r="C142" s="90"/>
      <c r="D142" s="89" t="s">
        <v>40</v>
      </c>
      <c r="E142" s="91">
        <v>37.14</v>
      </c>
      <c r="F142" s="92">
        <v>29.31</v>
      </c>
      <c r="G142" s="92">
        <v>1088.57</v>
      </c>
      <c r="H142" s="93"/>
      <c r="I142" s="92"/>
      <c r="J142" s="92"/>
      <c r="K142" s="92"/>
    </row>
    <row r="143" ht="12.75" customHeight="1">
      <c r="B143" s="90"/>
      <c r="E143" s="79"/>
      <c r="F143" s="80"/>
      <c r="G143" s="80"/>
      <c r="H143" s="81"/>
      <c r="I143" s="80"/>
      <c r="J143" s="80"/>
      <c r="K143" s="80"/>
    </row>
    <row r="144" ht="12.75" customHeight="1">
      <c r="A144" s="89" t="s">
        <v>142</v>
      </c>
      <c r="B144" s="96" t="s">
        <v>4636</v>
      </c>
      <c r="C144" s="90"/>
      <c r="D144" s="89" t="s">
        <v>40</v>
      </c>
      <c r="E144" s="91">
        <v>15.09</v>
      </c>
      <c r="F144" s="92">
        <v>323.28</v>
      </c>
      <c r="G144" s="92">
        <v>4878.3</v>
      </c>
      <c r="H144" s="93"/>
      <c r="I144" s="92"/>
      <c r="J144" s="92"/>
      <c r="K144" s="92"/>
    </row>
    <row r="145" ht="12.75" customHeight="1">
      <c r="B145" s="90"/>
      <c r="E145" s="79"/>
      <c r="F145" s="80"/>
      <c r="G145" s="80"/>
      <c r="H145" s="81"/>
      <c r="I145" s="80"/>
      <c r="J145" s="80"/>
      <c r="K145" s="80"/>
    </row>
    <row r="146" ht="12.75" customHeight="1">
      <c r="A146" s="89" t="s">
        <v>144</v>
      </c>
      <c r="B146" s="96" t="s">
        <v>4637</v>
      </c>
      <c r="C146" s="90"/>
      <c r="D146" s="89" t="s">
        <v>75</v>
      </c>
      <c r="E146" s="91">
        <v>2.0</v>
      </c>
      <c r="F146" s="92">
        <v>581.9</v>
      </c>
      <c r="G146" s="92">
        <v>1163.8</v>
      </c>
      <c r="H146" s="93"/>
      <c r="I146" s="92"/>
      <c r="J146" s="92"/>
      <c r="K146" s="92"/>
    </row>
    <row r="147" ht="12.75" customHeight="1">
      <c r="B147" s="90"/>
      <c r="E147" s="79"/>
      <c r="F147" s="80"/>
      <c r="G147" s="80"/>
      <c r="H147" s="81"/>
      <c r="I147" s="80"/>
      <c r="J147" s="80"/>
      <c r="K147" s="80"/>
    </row>
    <row r="148" ht="12.75" customHeight="1">
      <c r="A148" s="89" t="s">
        <v>3746</v>
      </c>
      <c r="B148" s="96" t="s">
        <v>4633</v>
      </c>
      <c r="C148" s="90"/>
      <c r="E148" s="79"/>
      <c r="F148" s="80"/>
      <c r="G148" s="92">
        <v>60033.74</v>
      </c>
      <c r="H148" s="93">
        <f>G148</f>
        <v>60033.74</v>
      </c>
      <c r="I148" s="92"/>
      <c r="J148" s="92"/>
      <c r="K148" s="92"/>
    </row>
    <row r="149" ht="12.75" customHeight="1">
      <c r="B149" s="90"/>
      <c r="E149" s="79"/>
      <c r="F149" s="80"/>
      <c r="G149" s="80"/>
      <c r="H149" s="81"/>
      <c r="I149" s="80"/>
      <c r="J149" s="80"/>
      <c r="K149" s="80"/>
    </row>
    <row r="150" ht="12.75" customHeight="1">
      <c r="B150" s="90"/>
      <c r="E150" s="79"/>
      <c r="F150" s="80"/>
      <c r="G150" s="80"/>
      <c r="H150" s="81"/>
      <c r="I150" s="80"/>
      <c r="J150" s="80"/>
      <c r="K150" s="80"/>
    </row>
    <row r="151" ht="12.75" customHeight="1">
      <c r="A151" s="89" t="s">
        <v>3751</v>
      </c>
      <c r="B151" s="96" t="s">
        <v>4638</v>
      </c>
      <c r="C151" s="90"/>
      <c r="E151" s="79"/>
      <c r="F151" s="80"/>
      <c r="G151" s="80"/>
      <c r="H151" s="81"/>
      <c r="I151" s="80"/>
      <c r="J151" s="80"/>
      <c r="K151" s="80"/>
    </row>
    <row r="152" ht="12.75" customHeight="1">
      <c r="B152" s="90"/>
      <c r="E152" s="79"/>
      <c r="F152" s="80"/>
      <c r="G152" s="80"/>
      <c r="H152" s="81"/>
      <c r="I152" s="80"/>
      <c r="J152" s="80"/>
      <c r="K152" s="80"/>
    </row>
    <row r="153" ht="12.75" customHeight="1">
      <c r="A153" s="89" t="s">
        <v>147</v>
      </c>
      <c r="B153" s="96" t="s">
        <v>4639</v>
      </c>
      <c r="C153" s="90"/>
      <c r="E153" s="79"/>
      <c r="F153" s="80"/>
      <c r="G153" s="80"/>
      <c r="H153" s="81"/>
      <c r="I153" s="80"/>
      <c r="J153" s="80"/>
      <c r="K153" s="80"/>
    </row>
    <row r="154" ht="12.75" customHeight="1">
      <c r="B154" s="90"/>
      <c r="E154" s="79"/>
      <c r="F154" s="80"/>
      <c r="G154" s="80"/>
      <c r="H154" s="81"/>
      <c r="I154" s="80"/>
      <c r="J154" s="80"/>
      <c r="K154" s="80"/>
    </row>
    <row r="155" ht="12.75" customHeight="1">
      <c r="A155" s="89" t="s">
        <v>149</v>
      </c>
      <c r="B155" s="96" t="s">
        <v>4640</v>
      </c>
      <c r="C155" s="90"/>
      <c r="D155" s="89" t="s">
        <v>40</v>
      </c>
      <c r="E155" s="91">
        <v>42.56</v>
      </c>
      <c r="F155" s="92">
        <v>12.93</v>
      </c>
      <c r="G155" s="92">
        <v>550.3</v>
      </c>
      <c r="H155" s="93"/>
      <c r="I155" s="92"/>
      <c r="J155" s="92"/>
      <c r="K155" s="92"/>
    </row>
    <row r="156" ht="12.75" customHeight="1">
      <c r="B156" s="90"/>
      <c r="E156" s="79"/>
      <c r="F156" s="80"/>
      <c r="G156" s="80"/>
      <c r="H156" s="81"/>
      <c r="I156" s="80"/>
      <c r="J156" s="80"/>
      <c r="K156" s="80"/>
    </row>
    <row r="157" ht="12.75" customHeight="1">
      <c r="A157" s="89" t="s">
        <v>151</v>
      </c>
      <c r="B157" s="96" t="s">
        <v>4641</v>
      </c>
      <c r="C157" s="90"/>
      <c r="E157" s="79"/>
      <c r="F157" s="80"/>
      <c r="G157" s="80"/>
      <c r="H157" s="81"/>
      <c r="I157" s="80"/>
      <c r="J157" s="80"/>
      <c r="K157" s="80"/>
    </row>
    <row r="158" ht="12.75" customHeight="1">
      <c r="B158" s="90"/>
      <c r="E158" s="79"/>
      <c r="F158" s="80"/>
      <c r="G158" s="80"/>
      <c r="H158" s="81"/>
      <c r="I158" s="80"/>
      <c r="J158" s="80"/>
      <c r="K158" s="80"/>
    </row>
    <row r="159" ht="12.75" customHeight="1">
      <c r="A159" s="89" t="s">
        <v>153</v>
      </c>
      <c r="B159" s="96" t="s">
        <v>4642</v>
      </c>
      <c r="C159" s="90"/>
      <c r="D159" s="89" t="s">
        <v>40</v>
      </c>
      <c r="E159" s="91">
        <v>331.34</v>
      </c>
      <c r="F159" s="92">
        <v>12.93</v>
      </c>
      <c r="G159" s="92">
        <v>4284.23</v>
      </c>
      <c r="H159" s="93"/>
      <c r="I159" s="92"/>
      <c r="J159" s="92"/>
      <c r="K159" s="92"/>
    </row>
    <row r="160" ht="12.75" customHeight="1">
      <c r="B160" s="90"/>
      <c r="E160" s="79"/>
      <c r="F160" s="80"/>
      <c r="G160" s="80"/>
      <c r="H160" s="81"/>
      <c r="I160" s="80"/>
      <c r="J160" s="80"/>
      <c r="K160" s="80"/>
    </row>
    <row r="161" ht="12.75" customHeight="1">
      <c r="A161" s="89" t="s">
        <v>155</v>
      </c>
      <c r="B161" s="96" t="s">
        <v>4643</v>
      </c>
      <c r="C161" s="90"/>
      <c r="D161" s="89" t="s">
        <v>40</v>
      </c>
      <c r="E161" s="91">
        <v>170.41</v>
      </c>
      <c r="F161" s="92">
        <v>32.2</v>
      </c>
      <c r="G161" s="92">
        <v>5487.2</v>
      </c>
      <c r="H161" s="93"/>
      <c r="I161" s="92"/>
      <c r="J161" s="92"/>
      <c r="K161" s="92"/>
    </row>
    <row r="162" ht="12.75" customHeight="1">
      <c r="B162" s="90"/>
      <c r="E162" s="79"/>
      <c r="F162" s="80"/>
      <c r="G162" s="80"/>
      <c r="H162" s="81"/>
      <c r="I162" s="80"/>
      <c r="J162" s="80"/>
      <c r="K162" s="80"/>
    </row>
    <row r="163" ht="12.75" customHeight="1">
      <c r="A163" s="89" t="s">
        <v>157</v>
      </c>
      <c r="B163" s="96" t="s">
        <v>4644</v>
      </c>
      <c r="C163" s="90"/>
      <c r="D163" s="89" t="s">
        <v>40</v>
      </c>
      <c r="E163" s="91">
        <v>59.45</v>
      </c>
      <c r="F163" s="92">
        <v>38.66</v>
      </c>
      <c r="G163" s="92">
        <v>2298.34</v>
      </c>
      <c r="H163" s="93"/>
      <c r="I163" s="92"/>
      <c r="J163" s="92"/>
      <c r="K163" s="92"/>
    </row>
    <row r="164" ht="12.75" customHeight="1">
      <c r="B164" s="90"/>
      <c r="E164" s="79"/>
      <c r="F164" s="80"/>
      <c r="G164" s="80"/>
      <c r="H164" s="81"/>
      <c r="I164" s="80"/>
      <c r="J164" s="80"/>
      <c r="K164" s="80"/>
    </row>
    <row r="165" ht="12.75" customHeight="1">
      <c r="A165" s="89" t="s">
        <v>159</v>
      </c>
      <c r="B165" s="96" t="s">
        <v>4645</v>
      </c>
      <c r="C165" s="90"/>
      <c r="D165" s="89" t="s">
        <v>161</v>
      </c>
      <c r="E165" s="91">
        <v>11.9</v>
      </c>
      <c r="F165" s="92">
        <v>38.66</v>
      </c>
      <c r="G165" s="92">
        <v>460.05</v>
      </c>
      <c r="H165" s="93"/>
      <c r="I165" s="92"/>
      <c r="J165" s="92"/>
      <c r="K165" s="92"/>
    </row>
    <row r="166" ht="12.75" customHeight="1">
      <c r="B166" s="90"/>
      <c r="E166" s="79"/>
      <c r="F166" s="80"/>
      <c r="G166" s="80"/>
      <c r="H166" s="81"/>
      <c r="I166" s="80"/>
      <c r="J166" s="80"/>
      <c r="K166" s="80"/>
    </row>
    <row r="167" ht="12.75" customHeight="1">
      <c r="A167" s="89" t="s">
        <v>162</v>
      </c>
      <c r="B167" s="96" t="s">
        <v>4646</v>
      </c>
      <c r="C167" s="90"/>
      <c r="D167" s="89" t="s">
        <v>40</v>
      </c>
      <c r="E167" s="91">
        <v>229.86</v>
      </c>
      <c r="F167" s="92">
        <v>10.34</v>
      </c>
      <c r="G167" s="92">
        <v>2376.75</v>
      </c>
      <c r="H167" s="93"/>
      <c r="I167" s="92"/>
      <c r="J167" s="92"/>
      <c r="K167" s="92"/>
    </row>
    <row r="168" ht="12.75" customHeight="1">
      <c r="B168" s="90"/>
      <c r="E168" s="79"/>
      <c r="F168" s="80"/>
      <c r="G168" s="80"/>
      <c r="H168" s="81"/>
      <c r="I168" s="80"/>
      <c r="J168" s="80"/>
      <c r="K168" s="80"/>
    </row>
    <row r="169" ht="12.75" customHeight="1">
      <c r="A169" s="89" t="s">
        <v>3751</v>
      </c>
      <c r="B169" s="96" t="s">
        <v>4638</v>
      </c>
      <c r="C169" s="90"/>
      <c r="E169" s="79"/>
      <c r="F169" s="80"/>
      <c r="G169" s="92">
        <v>15456.87</v>
      </c>
      <c r="H169" s="93">
        <f>G169</f>
        <v>15456.87</v>
      </c>
      <c r="I169" s="92"/>
      <c r="J169" s="92"/>
      <c r="K169" s="92"/>
    </row>
    <row r="170" ht="12.75" customHeight="1">
      <c r="B170" s="90"/>
      <c r="E170" s="79"/>
      <c r="F170" s="80"/>
      <c r="G170" s="80"/>
      <c r="H170" s="81"/>
      <c r="I170" s="80"/>
      <c r="J170" s="80"/>
      <c r="K170" s="80"/>
    </row>
    <row r="171" ht="12.75" customHeight="1">
      <c r="B171" s="90"/>
      <c r="E171" s="79"/>
      <c r="F171" s="80"/>
      <c r="G171" s="80"/>
      <c r="H171" s="81"/>
      <c r="I171" s="80"/>
      <c r="J171" s="80"/>
      <c r="K171" s="80"/>
    </row>
    <row r="172" ht="12.75" customHeight="1">
      <c r="A172" s="89" t="s">
        <v>164</v>
      </c>
      <c r="B172" s="96" t="s">
        <v>4647</v>
      </c>
      <c r="C172" s="90"/>
      <c r="E172" s="79"/>
      <c r="F172" s="80"/>
      <c r="G172" s="80"/>
      <c r="H172" s="81"/>
      <c r="I172" s="80"/>
      <c r="J172" s="80"/>
      <c r="K172" s="80"/>
    </row>
    <row r="173" ht="12.75" customHeight="1">
      <c r="B173" s="90"/>
      <c r="E173" s="79"/>
      <c r="F173" s="80"/>
      <c r="G173" s="80"/>
      <c r="H173" s="81"/>
      <c r="I173" s="80"/>
      <c r="J173" s="80"/>
      <c r="K173" s="80"/>
    </row>
    <row r="174" ht="12.75" customHeight="1">
      <c r="A174" s="89" t="s">
        <v>166</v>
      </c>
      <c r="B174" s="96" t="s">
        <v>4648</v>
      </c>
      <c r="C174" s="90"/>
      <c r="E174" s="79"/>
      <c r="F174" s="80"/>
      <c r="G174" s="80"/>
      <c r="H174" s="81"/>
      <c r="I174" s="80"/>
      <c r="J174" s="80"/>
      <c r="K174" s="80"/>
    </row>
    <row r="175" ht="12.75" customHeight="1">
      <c r="B175" s="90"/>
      <c r="E175" s="79"/>
      <c r="F175" s="80"/>
      <c r="G175" s="80"/>
      <c r="H175" s="81"/>
      <c r="I175" s="80"/>
      <c r="J175" s="80"/>
      <c r="K175" s="80"/>
    </row>
    <row r="176" ht="12.75" customHeight="1">
      <c r="A176" s="89" t="s">
        <v>168</v>
      </c>
      <c r="B176" s="96" t="s">
        <v>4649</v>
      </c>
      <c r="C176" s="90"/>
      <c r="D176" s="89" t="s">
        <v>40</v>
      </c>
      <c r="E176" s="91">
        <v>110.6</v>
      </c>
      <c r="F176" s="92">
        <v>12.93</v>
      </c>
      <c r="G176" s="92">
        <v>1430.06</v>
      </c>
      <c r="H176" s="93"/>
      <c r="I176" s="92"/>
      <c r="J176" s="92"/>
      <c r="K176" s="92"/>
    </row>
    <row r="177" ht="12.75" customHeight="1">
      <c r="B177" s="90"/>
      <c r="E177" s="79"/>
      <c r="F177" s="80"/>
      <c r="G177" s="80"/>
      <c r="H177" s="81"/>
      <c r="I177" s="80"/>
      <c r="J177" s="80"/>
      <c r="K177" s="80"/>
    </row>
    <row r="178" ht="12.75" customHeight="1">
      <c r="A178" s="89" t="s">
        <v>170</v>
      </c>
      <c r="B178" s="96" t="s">
        <v>4650</v>
      </c>
      <c r="C178" s="90"/>
      <c r="D178" s="89" t="s">
        <v>40</v>
      </c>
      <c r="E178" s="91">
        <v>319.19</v>
      </c>
      <c r="F178" s="92">
        <v>35.96</v>
      </c>
      <c r="G178" s="92">
        <v>11478.07</v>
      </c>
      <c r="H178" s="93"/>
      <c r="I178" s="92"/>
      <c r="J178" s="92"/>
      <c r="K178" s="92"/>
    </row>
    <row r="179" ht="12.75" customHeight="1">
      <c r="B179" s="90"/>
      <c r="E179" s="79"/>
      <c r="F179" s="80"/>
      <c r="G179" s="80"/>
      <c r="H179" s="81"/>
      <c r="I179" s="80"/>
      <c r="J179" s="80"/>
      <c r="K179" s="80"/>
    </row>
    <row r="180" ht="12.75" customHeight="1">
      <c r="A180" s="89" t="s">
        <v>172</v>
      </c>
      <c r="B180" s="96" t="s">
        <v>4651</v>
      </c>
      <c r="C180" s="90"/>
      <c r="D180" s="89" t="s">
        <v>40</v>
      </c>
      <c r="E180" s="91">
        <v>131.48</v>
      </c>
      <c r="F180" s="92">
        <v>75.0</v>
      </c>
      <c r="G180" s="92">
        <v>9861.0</v>
      </c>
      <c r="H180" s="93"/>
      <c r="I180" s="92"/>
      <c r="J180" s="92"/>
      <c r="K180" s="92"/>
    </row>
    <row r="181" ht="12.75" customHeight="1">
      <c r="B181" s="90"/>
      <c r="E181" s="79"/>
      <c r="F181" s="80"/>
      <c r="G181" s="80"/>
      <c r="H181" s="81"/>
      <c r="I181" s="80"/>
      <c r="J181" s="80"/>
      <c r="K181" s="80"/>
    </row>
    <row r="182" ht="12.75" customHeight="1">
      <c r="A182" s="89" t="s">
        <v>174</v>
      </c>
      <c r="B182" s="96" t="s">
        <v>4652</v>
      </c>
      <c r="C182" s="90"/>
      <c r="D182" s="89" t="s">
        <v>40</v>
      </c>
      <c r="E182" s="91">
        <v>106.79</v>
      </c>
      <c r="F182" s="92">
        <v>234.7</v>
      </c>
      <c r="G182" s="92">
        <v>25063.61</v>
      </c>
      <c r="H182" s="93"/>
      <c r="I182" s="92"/>
      <c r="J182" s="92"/>
      <c r="K182" s="92"/>
    </row>
    <row r="183" ht="12.75" customHeight="1">
      <c r="B183" s="90"/>
      <c r="E183" s="79"/>
      <c r="F183" s="80"/>
      <c r="G183" s="80"/>
      <c r="H183" s="81"/>
      <c r="I183" s="80"/>
      <c r="J183" s="80"/>
      <c r="K183" s="80"/>
    </row>
    <row r="184" ht="12.75" customHeight="1">
      <c r="A184" s="89" t="s">
        <v>176</v>
      </c>
      <c r="B184" s="96" t="s">
        <v>4653</v>
      </c>
      <c r="C184" s="90"/>
      <c r="D184" s="89" t="s">
        <v>40</v>
      </c>
      <c r="E184" s="91">
        <v>353.75</v>
      </c>
      <c r="F184" s="92">
        <v>31.79</v>
      </c>
      <c r="G184" s="92">
        <v>11245.71</v>
      </c>
      <c r="H184" s="93"/>
      <c r="I184" s="92"/>
      <c r="J184" s="92"/>
      <c r="K184" s="92"/>
    </row>
    <row r="185" ht="12.75" customHeight="1">
      <c r="B185" s="90"/>
      <c r="E185" s="79"/>
      <c r="F185" s="80"/>
      <c r="G185" s="80"/>
      <c r="H185" s="81"/>
      <c r="I185" s="80"/>
      <c r="J185" s="80"/>
      <c r="K185" s="80"/>
    </row>
    <row r="186" ht="12.75" customHeight="1">
      <c r="A186" s="89" t="s">
        <v>178</v>
      </c>
      <c r="B186" s="96" t="s">
        <v>4654</v>
      </c>
      <c r="C186" s="90"/>
      <c r="D186" s="89" t="s">
        <v>40</v>
      </c>
      <c r="E186" s="91">
        <v>34.56</v>
      </c>
      <c r="F186" s="92">
        <v>12.93</v>
      </c>
      <c r="G186" s="92">
        <v>446.86</v>
      </c>
      <c r="H186" s="93"/>
      <c r="I186" s="92"/>
      <c r="J186" s="92"/>
      <c r="K186" s="92"/>
    </row>
    <row r="187" ht="12.75" customHeight="1">
      <c r="B187" s="90"/>
      <c r="E187" s="79"/>
      <c r="F187" s="80"/>
      <c r="G187" s="80"/>
      <c r="H187" s="81"/>
      <c r="I187" s="80"/>
      <c r="J187" s="80"/>
      <c r="K187" s="80"/>
    </row>
    <row r="188" ht="12.75" customHeight="1">
      <c r="A188" s="89" t="s">
        <v>180</v>
      </c>
      <c r="B188" s="96" t="s">
        <v>4655</v>
      </c>
      <c r="C188" s="90"/>
      <c r="E188" s="79"/>
      <c r="F188" s="80"/>
      <c r="G188" s="80"/>
      <c r="H188" s="81"/>
      <c r="I188" s="80"/>
      <c r="J188" s="80"/>
      <c r="K188" s="80"/>
    </row>
    <row r="189" ht="12.75" customHeight="1">
      <c r="B189" s="90"/>
      <c r="E189" s="79"/>
      <c r="F189" s="80"/>
      <c r="G189" s="80"/>
      <c r="H189" s="81"/>
      <c r="I189" s="80"/>
      <c r="J189" s="80"/>
      <c r="K189" s="80"/>
    </row>
    <row r="190" ht="12.75" customHeight="1">
      <c r="A190" s="89" t="s">
        <v>182</v>
      </c>
      <c r="B190" s="96" t="s">
        <v>4656</v>
      </c>
      <c r="C190" s="90"/>
      <c r="D190" s="89" t="s">
        <v>40</v>
      </c>
      <c r="E190" s="91">
        <v>52.0</v>
      </c>
      <c r="F190" s="92">
        <v>12.93</v>
      </c>
      <c r="G190" s="92">
        <v>672.36</v>
      </c>
      <c r="H190" s="93"/>
      <c r="I190" s="92"/>
      <c r="J190" s="92"/>
      <c r="K190" s="92"/>
    </row>
    <row r="191" ht="12.75" customHeight="1">
      <c r="B191" s="90"/>
      <c r="E191" s="79"/>
      <c r="F191" s="80"/>
      <c r="G191" s="80"/>
      <c r="H191" s="81"/>
      <c r="I191" s="80"/>
      <c r="J191" s="80"/>
      <c r="K191" s="80"/>
    </row>
    <row r="192" ht="12.75" customHeight="1">
      <c r="A192" s="89" t="s">
        <v>184</v>
      </c>
      <c r="B192" s="96" t="s">
        <v>4657</v>
      </c>
      <c r="C192" s="90"/>
      <c r="D192" s="89" t="s">
        <v>40</v>
      </c>
      <c r="E192" s="91">
        <v>466.94</v>
      </c>
      <c r="F192" s="92">
        <v>19.4</v>
      </c>
      <c r="G192" s="92">
        <v>9058.64</v>
      </c>
      <c r="H192" s="93"/>
      <c r="I192" s="92"/>
      <c r="J192" s="92"/>
      <c r="K192" s="92"/>
    </row>
    <row r="193" ht="12.75" customHeight="1">
      <c r="B193" s="90"/>
      <c r="E193" s="79"/>
      <c r="F193" s="80"/>
      <c r="G193" s="80"/>
      <c r="H193" s="81"/>
      <c r="I193" s="80"/>
      <c r="J193" s="80"/>
      <c r="K193" s="80"/>
    </row>
    <row r="194" ht="12.75" customHeight="1">
      <c r="A194" s="89" t="s">
        <v>186</v>
      </c>
      <c r="B194" s="96" t="s">
        <v>4658</v>
      </c>
      <c r="C194" s="90"/>
      <c r="D194" s="89" t="s">
        <v>40</v>
      </c>
      <c r="E194" s="91">
        <v>81.43</v>
      </c>
      <c r="F194" s="92">
        <v>103.64</v>
      </c>
      <c r="G194" s="92">
        <v>8439.41</v>
      </c>
      <c r="H194" s="93"/>
      <c r="I194" s="92"/>
      <c r="J194" s="92"/>
      <c r="K194" s="92"/>
    </row>
    <row r="195" ht="12.75" customHeight="1">
      <c r="B195" s="96"/>
      <c r="E195" s="79"/>
      <c r="F195" s="80"/>
      <c r="G195" s="80"/>
      <c r="H195" s="81"/>
      <c r="I195" s="80"/>
      <c r="J195" s="80"/>
      <c r="K195" s="80"/>
    </row>
    <row r="196" ht="12.75" customHeight="1">
      <c r="A196" s="89" t="s">
        <v>188</v>
      </c>
      <c r="B196" s="96" t="s">
        <v>4659</v>
      </c>
      <c r="C196" s="90"/>
      <c r="D196" s="89" t="s">
        <v>40</v>
      </c>
      <c r="E196" s="91">
        <v>46.05</v>
      </c>
      <c r="F196" s="92">
        <v>118.58</v>
      </c>
      <c r="G196" s="92">
        <v>5460.61</v>
      </c>
      <c r="H196" s="93"/>
      <c r="I196" s="92"/>
      <c r="J196" s="92"/>
      <c r="K196" s="92"/>
    </row>
    <row r="197" ht="12.75" customHeight="1">
      <c r="B197" s="90"/>
      <c r="E197" s="79"/>
      <c r="F197" s="80"/>
      <c r="G197" s="80"/>
      <c r="H197" s="81"/>
      <c r="I197" s="80"/>
      <c r="J197" s="80"/>
      <c r="K197" s="80"/>
    </row>
    <row r="198" ht="12.75" customHeight="1">
      <c r="A198" s="89" t="s">
        <v>190</v>
      </c>
      <c r="B198" s="96" t="s">
        <v>4660</v>
      </c>
      <c r="C198" s="90"/>
      <c r="D198" s="89" t="s">
        <v>40</v>
      </c>
      <c r="E198" s="91">
        <v>50.7</v>
      </c>
      <c r="F198" s="92">
        <v>32.46</v>
      </c>
      <c r="G198" s="92">
        <v>1645.72</v>
      </c>
      <c r="H198" s="93"/>
      <c r="I198" s="92"/>
      <c r="J198" s="92"/>
      <c r="K198" s="92"/>
    </row>
    <row r="199" ht="12.75" customHeight="1">
      <c r="B199" s="90"/>
      <c r="E199" s="79"/>
      <c r="F199" s="80"/>
      <c r="G199" s="80"/>
      <c r="H199" s="81"/>
      <c r="I199" s="80"/>
      <c r="J199" s="80"/>
      <c r="K199" s="80"/>
    </row>
    <row r="200" ht="12.75" customHeight="1">
      <c r="A200" s="89" t="s">
        <v>192</v>
      </c>
      <c r="B200" s="96" t="s">
        <v>4661</v>
      </c>
      <c r="C200" s="90"/>
      <c r="D200" s="89" t="s">
        <v>40</v>
      </c>
      <c r="E200" s="91">
        <v>551.51</v>
      </c>
      <c r="F200" s="92">
        <v>10.34</v>
      </c>
      <c r="G200" s="92">
        <v>5702.61</v>
      </c>
      <c r="H200" s="93"/>
      <c r="I200" s="92"/>
      <c r="J200" s="92"/>
      <c r="K200" s="92"/>
    </row>
    <row r="201" ht="12.75" customHeight="1">
      <c r="B201" s="90"/>
      <c r="E201" s="79"/>
      <c r="F201" s="80"/>
      <c r="G201" s="80"/>
      <c r="H201" s="81"/>
      <c r="I201" s="80"/>
      <c r="J201" s="80"/>
      <c r="K201" s="80"/>
    </row>
    <row r="202" ht="12.75" customHeight="1">
      <c r="A202" s="89" t="s">
        <v>194</v>
      </c>
      <c r="B202" s="96" t="s">
        <v>4662</v>
      </c>
      <c r="C202" s="90"/>
      <c r="D202" s="89" t="s">
        <v>40</v>
      </c>
      <c r="E202" s="91">
        <v>21.34</v>
      </c>
      <c r="F202" s="92">
        <v>10.34</v>
      </c>
      <c r="G202" s="92">
        <v>220.66</v>
      </c>
      <c r="H202" s="93"/>
      <c r="I202" s="92"/>
      <c r="J202" s="92"/>
      <c r="K202" s="92"/>
    </row>
    <row r="203" ht="12.75" customHeight="1">
      <c r="B203" s="90"/>
      <c r="E203" s="79"/>
      <c r="F203" s="80"/>
      <c r="G203" s="80"/>
      <c r="H203" s="81"/>
      <c r="I203" s="80"/>
      <c r="J203" s="80"/>
      <c r="K203" s="80"/>
    </row>
    <row r="204" ht="12.75" customHeight="1">
      <c r="A204" s="89" t="s">
        <v>164</v>
      </c>
      <c r="B204" s="96" t="s">
        <v>4647</v>
      </c>
      <c r="C204" s="90"/>
      <c r="E204" s="79"/>
      <c r="F204" s="80"/>
      <c r="G204" s="92">
        <v>90725.32</v>
      </c>
      <c r="H204" s="93">
        <f>G204</f>
        <v>90725.32</v>
      </c>
      <c r="I204" s="92"/>
      <c r="J204" s="92"/>
      <c r="K204" s="92"/>
    </row>
    <row r="205" ht="12.75" customHeight="1">
      <c r="B205" s="90"/>
      <c r="E205" s="79"/>
      <c r="F205" s="80"/>
      <c r="G205" s="80"/>
      <c r="H205" s="81"/>
      <c r="I205" s="80"/>
      <c r="J205" s="80"/>
      <c r="K205" s="80"/>
    </row>
    <row r="206" ht="12.75" customHeight="1">
      <c r="B206" s="90"/>
      <c r="E206" s="79"/>
      <c r="F206" s="80"/>
      <c r="G206" s="80"/>
      <c r="H206" s="81"/>
      <c r="I206" s="80"/>
      <c r="J206" s="80"/>
      <c r="K206" s="80"/>
    </row>
    <row r="207" ht="12.75" customHeight="1">
      <c r="A207" s="89" t="s">
        <v>196</v>
      </c>
      <c r="B207" s="96" t="s">
        <v>4663</v>
      </c>
      <c r="C207" s="90"/>
      <c r="E207" s="79"/>
      <c r="F207" s="80"/>
      <c r="G207" s="80"/>
      <c r="H207" s="81"/>
      <c r="I207" s="80"/>
      <c r="J207" s="80"/>
      <c r="K207" s="80"/>
    </row>
    <row r="208" ht="12.75" customHeight="1">
      <c r="B208" s="90"/>
      <c r="E208" s="79"/>
      <c r="F208" s="80"/>
      <c r="G208" s="80"/>
      <c r="H208" s="81"/>
      <c r="I208" s="80"/>
      <c r="J208" s="80"/>
      <c r="K208" s="80"/>
    </row>
    <row r="209" ht="12.75" customHeight="1">
      <c r="A209" s="89" t="s">
        <v>198</v>
      </c>
      <c r="B209" s="96" t="s">
        <v>4664</v>
      </c>
      <c r="C209" s="90"/>
      <c r="E209" s="79"/>
      <c r="F209" s="80"/>
      <c r="G209" s="80"/>
      <c r="H209" s="81"/>
      <c r="I209" s="80"/>
      <c r="J209" s="80"/>
      <c r="K209" s="80"/>
    </row>
    <row r="210" ht="12.75" customHeight="1">
      <c r="B210" s="90"/>
      <c r="E210" s="79"/>
      <c r="F210" s="80"/>
      <c r="G210" s="80"/>
      <c r="H210" s="81"/>
      <c r="I210" s="80"/>
      <c r="J210" s="80"/>
      <c r="K210" s="80"/>
    </row>
    <row r="211" ht="12.75" customHeight="1">
      <c r="A211" s="89" t="s">
        <v>200</v>
      </c>
      <c r="B211" s="96" t="s">
        <v>4665</v>
      </c>
      <c r="C211" s="90"/>
      <c r="D211" s="89" t="s">
        <v>40</v>
      </c>
      <c r="E211" s="91">
        <v>228.22</v>
      </c>
      <c r="F211" s="92">
        <v>47.62</v>
      </c>
      <c r="G211" s="92">
        <v>10867.84</v>
      </c>
      <c r="H211" s="93"/>
      <c r="I211" s="92"/>
      <c r="J211" s="92"/>
      <c r="K211" s="92"/>
    </row>
    <row r="212" ht="12.75" customHeight="1">
      <c r="B212" s="90"/>
      <c r="E212" s="79"/>
      <c r="F212" s="80"/>
      <c r="G212" s="80"/>
      <c r="H212" s="81"/>
      <c r="I212" s="80"/>
      <c r="J212" s="80"/>
      <c r="K212" s="80"/>
    </row>
    <row r="213" ht="12.75" customHeight="1">
      <c r="A213" s="89" t="s">
        <v>202</v>
      </c>
      <c r="B213" s="96" t="s">
        <v>4666</v>
      </c>
      <c r="C213" s="90"/>
      <c r="D213" s="89" t="s">
        <v>40</v>
      </c>
      <c r="E213" s="91">
        <v>153.22</v>
      </c>
      <c r="F213" s="92">
        <v>26.74</v>
      </c>
      <c r="G213" s="92">
        <v>4097.1</v>
      </c>
      <c r="H213" s="93"/>
      <c r="I213" s="92"/>
      <c r="J213" s="92"/>
      <c r="K213" s="92"/>
    </row>
    <row r="214" ht="12.75" customHeight="1">
      <c r="B214" s="90"/>
      <c r="E214" s="79"/>
      <c r="F214" s="80"/>
      <c r="G214" s="80"/>
      <c r="H214" s="81"/>
      <c r="I214" s="80"/>
      <c r="J214" s="80"/>
      <c r="K214" s="80"/>
    </row>
    <row r="215" ht="12.75" customHeight="1">
      <c r="A215" s="89" t="s">
        <v>204</v>
      </c>
      <c r="B215" s="96" t="s">
        <v>4667</v>
      </c>
      <c r="C215" s="90"/>
      <c r="D215" s="89" t="s">
        <v>40</v>
      </c>
      <c r="E215" s="91">
        <v>50.95</v>
      </c>
      <c r="F215" s="92">
        <v>60.72</v>
      </c>
      <c r="G215" s="92">
        <v>3093.68</v>
      </c>
      <c r="H215" s="93"/>
      <c r="I215" s="92"/>
      <c r="J215" s="92"/>
      <c r="K215" s="92"/>
    </row>
    <row r="216" ht="12.75" customHeight="1">
      <c r="B216" s="90"/>
      <c r="E216" s="79"/>
      <c r="F216" s="80"/>
      <c r="G216" s="80"/>
      <c r="H216" s="81"/>
      <c r="I216" s="80"/>
      <c r="J216" s="80"/>
      <c r="K216" s="80"/>
    </row>
    <row r="217" ht="12.75" customHeight="1">
      <c r="A217" s="89" t="s">
        <v>206</v>
      </c>
      <c r="B217" s="96" t="s">
        <v>4668</v>
      </c>
      <c r="C217" s="90"/>
      <c r="E217" s="79"/>
      <c r="F217" s="80"/>
      <c r="G217" s="80"/>
      <c r="H217" s="81"/>
      <c r="I217" s="80"/>
      <c r="J217" s="80"/>
      <c r="K217" s="80"/>
    </row>
    <row r="218" ht="12.75" customHeight="1">
      <c r="B218" s="90"/>
      <c r="E218" s="79"/>
      <c r="F218" s="80"/>
      <c r="G218" s="80"/>
      <c r="H218" s="81"/>
      <c r="I218" s="80"/>
      <c r="J218" s="80"/>
      <c r="K218" s="80"/>
    </row>
    <row r="219" ht="12.75" customHeight="1">
      <c r="A219" s="89" t="s">
        <v>208</v>
      </c>
      <c r="B219" s="96" t="s">
        <v>4669</v>
      </c>
      <c r="C219" s="90"/>
      <c r="D219" s="89" t="s">
        <v>40</v>
      </c>
      <c r="E219" s="91">
        <v>1.27</v>
      </c>
      <c r="F219" s="92">
        <v>159.62</v>
      </c>
      <c r="G219" s="92">
        <v>202.72</v>
      </c>
      <c r="H219" s="93"/>
      <c r="I219" s="92"/>
      <c r="J219" s="92"/>
      <c r="K219" s="92"/>
    </row>
    <row r="220" ht="12.75" customHeight="1">
      <c r="B220" s="90"/>
      <c r="E220" s="79"/>
      <c r="F220" s="80"/>
      <c r="G220" s="80"/>
      <c r="H220" s="81"/>
      <c r="I220" s="80"/>
      <c r="J220" s="80"/>
      <c r="K220" s="80"/>
    </row>
    <row r="221" ht="12.75" customHeight="1">
      <c r="A221" s="89" t="s">
        <v>210</v>
      </c>
      <c r="B221" s="96" t="s">
        <v>4670</v>
      </c>
      <c r="C221" s="90"/>
      <c r="D221" s="89" t="s">
        <v>40</v>
      </c>
      <c r="E221" s="91">
        <v>5.38</v>
      </c>
      <c r="F221" s="92">
        <v>162.54</v>
      </c>
      <c r="G221" s="92">
        <v>874.47</v>
      </c>
      <c r="H221" s="93"/>
      <c r="I221" s="92"/>
      <c r="J221" s="92"/>
      <c r="K221" s="92"/>
    </row>
    <row r="222" ht="12.75" customHeight="1">
      <c r="B222" s="90"/>
      <c r="E222" s="79"/>
      <c r="F222" s="80"/>
      <c r="G222" s="80"/>
      <c r="H222" s="81"/>
      <c r="I222" s="80"/>
      <c r="J222" s="80"/>
      <c r="K222" s="80"/>
    </row>
    <row r="223" ht="12.75" customHeight="1">
      <c r="A223" s="89" t="s">
        <v>212</v>
      </c>
      <c r="B223" s="96" t="s">
        <v>4671</v>
      </c>
      <c r="C223" s="90"/>
      <c r="D223" s="89" t="s">
        <v>40</v>
      </c>
      <c r="E223" s="91">
        <v>5.54</v>
      </c>
      <c r="F223" s="92">
        <v>296.22</v>
      </c>
      <c r="G223" s="92">
        <v>1641.06</v>
      </c>
      <c r="H223" s="93"/>
      <c r="I223" s="92"/>
      <c r="J223" s="92"/>
      <c r="K223" s="92"/>
    </row>
    <row r="224" ht="12.75" customHeight="1">
      <c r="B224" s="90"/>
      <c r="E224" s="79"/>
      <c r="F224" s="80"/>
      <c r="G224" s="80"/>
      <c r="H224" s="81"/>
      <c r="I224" s="80"/>
      <c r="J224" s="80"/>
      <c r="K224" s="80"/>
    </row>
    <row r="225" ht="12.75" customHeight="1">
      <c r="A225" s="89" t="s">
        <v>214</v>
      </c>
      <c r="B225" s="96" t="s">
        <v>4672</v>
      </c>
      <c r="C225" s="90"/>
      <c r="D225" s="89" t="s">
        <v>40</v>
      </c>
      <c r="E225" s="91">
        <v>116.49</v>
      </c>
      <c r="F225" s="92">
        <v>80.74</v>
      </c>
      <c r="G225" s="92">
        <v>9405.4</v>
      </c>
      <c r="H225" s="93"/>
      <c r="I225" s="92"/>
      <c r="J225" s="92"/>
      <c r="K225" s="92"/>
    </row>
    <row r="226" ht="12.75" customHeight="1">
      <c r="B226" s="90"/>
      <c r="E226" s="79"/>
      <c r="F226" s="80"/>
      <c r="G226" s="80"/>
      <c r="H226" s="81"/>
      <c r="I226" s="80"/>
      <c r="J226" s="80"/>
      <c r="K226" s="80"/>
    </row>
    <row r="227" ht="12.75" customHeight="1">
      <c r="A227" s="89" t="s">
        <v>216</v>
      </c>
      <c r="B227" s="96" t="s">
        <v>4673</v>
      </c>
      <c r="C227" s="90"/>
      <c r="D227" s="89" t="s">
        <v>40</v>
      </c>
      <c r="E227" s="91">
        <v>50.0</v>
      </c>
      <c r="F227" s="92">
        <v>151.87</v>
      </c>
      <c r="G227" s="92">
        <v>7593.5</v>
      </c>
      <c r="H227" s="93"/>
      <c r="I227" s="92"/>
      <c r="J227" s="92"/>
      <c r="K227" s="92"/>
    </row>
    <row r="228" ht="12.75" customHeight="1">
      <c r="B228" s="90"/>
      <c r="E228" s="79"/>
      <c r="F228" s="80"/>
      <c r="G228" s="80"/>
      <c r="H228" s="81"/>
      <c r="I228" s="80"/>
      <c r="J228" s="80"/>
      <c r="K228" s="80"/>
    </row>
    <row r="229" ht="12.75" customHeight="1">
      <c r="A229" s="89" t="s">
        <v>218</v>
      </c>
      <c r="B229" s="96" t="s">
        <v>4674</v>
      </c>
      <c r="C229" s="90"/>
      <c r="D229" s="89" t="s">
        <v>40</v>
      </c>
      <c r="E229" s="91">
        <v>5.75</v>
      </c>
      <c r="F229" s="92">
        <v>30.57</v>
      </c>
      <c r="G229" s="92">
        <v>175.78</v>
      </c>
      <c r="H229" s="93"/>
      <c r="I229" s="92"/>
      <c r="J229" s="92"/>
      <c r="K229" s="92"/>
    </row>
    <row r="230" ht="12.75" customHeight="1">
      <c r="B230" s="90"/>
      <c r="E230" s="79"/>
      <c r="F230" s="80"/>
      <c r="G230" s="80"/>
      <c r="H230" s="81"/>
      <c r="I230" s="80"/>
      <c r="J230" s="80"/>
      <c r="K230" s="80"/>
    </row>
    <row r="231" ht="12.75" customHeight="1">
      <c r="A231" s="89" t="s">
        <v>220</v>
      </c>
      <c r="B231" s="96" t="s">
        <v>4675</v>
      </c>
      <c r="C231" s="90"/>
      <c r="D231" s="89" t="s">
        <v>40</v>
      </c>
      <c r="E231" s="91">
        <v>17.54</v>
      </c>
      <c r="F231" s="92">
        <v>16.3</v>
      </c>
      <c r="G231" s="92">
        <v>285.9</v>
      </c>
      <c r="H231" s="93"/>
      <c r="I231" s="92"/>
      <c r="J231" s="92"/>
      <c r="K231" s="92"/>
    </row>
    <row r="232" ht="12.75" customHeight="1">
      <c r="B232" s="90"/>
      <c r="E232" s="79"/>
      <c r="F232" s="80"/>
      <c r="G232" s="80"/>
      <c r="H232" s="81"/>
      <c r="I232" s="80"/>
      <c r="J232" s="80"/>
      <c r="K232" s="80"/>
    </row>
    <row r="233" ht="12.75" customHeight="1">
      <c r="A233" s="109" t="s">
        <v>222</v>
      </c>
      <c r="B233" s="110" t="s">
        <v>4676</v>
      </c>
      <c r="C233" s="110"/>
      <c r="D233" s="109" t="s">
        <v>40</v>
      </c>
      <c r="E233" s="111">
        <v>200.6</v>
      </c>
      <c r="F233" s="112">
        <v>176.77</v>
      </c>
      <c r="G233" s="112">
        <v>35460.06</v>
      </c>
      <c r="H233" s="113" t="s">
        <v>224</v>
      </c>
      <c r="I233" s="112"/>
      <c r="J233" s="112"/>
      <c r="K233" s="112"/>
    </row>
    <row r="234" ht="12.75" customHeight="1">
      <c r="B234" s="90"/>
      <c r="E234" s="79"/>
      <c r="F234" s="80"/>
      <c r="G234" s="80"/>
      <c r="H234" s="81"/>
      <c r="I234" s="80"/>
      <c r="J234" s="80"/>
      <c r="K234" s="80"/>
    </row>
    <row r="235" ht="12.75" customHeight="1">
      <c r="A235" s="89" t="s">
        <v>225</v>
      </c>
      <c r="B235" s="96" t="s">
        <v>4677</v>
      </c>
      <c r="C235" s="90"/>
      <c r="D235" s="89" t="s">
        <v>227</v>
      </c>
      <c r="E235" s="91">
        <v>1.0</v>
      </c>
      <c r="F235" s="92">
        <v>1477.41</v>
      </c>
      <c r="G235" s="92">
        <v>1477.41</v>
      </c>
      <c r="H235" s="93"/>
      <c r="I235" s="92"/>
      <c r="J235" s="92"/>
      <c r="K235" s="92"/>
    </row>
    <row r="236" ht="12.75" customHeight="1">
      <c r="B236" s="90"/>
      <c r="E236" s="79"/>
      <c r="F236" s="80"/>
      <c r="G236" s="80"/>
      <c r="H236" s="81"/>
      <c r="I236" s="80"/>
      <c r="J236" s="80"/>
      <c r="K236" s="80"/>
    </row>
    <row r="237" ht="12.75" customHeight="1">
      <c r="A237" s="89" t="s">
        <v>228</v>
      </c>
      <c r="B237" s="96" t="s">
        <v>4678</v>
      </c>
      <c r="C237" s="90"/>
      <c r="D237" s="89" t="s">
        <v>227</v>
      </c>
      <c r="E237" s="91">
        <v>1.0</v>
      </c>
      <c r="F237" s="92">
        <v>3438.08</v>
      </c>
      <c r="G237" s="92">
        <v>3438.08</v>
      </c>
      <c r="H237" s="93"/>
      <c r="I237" s="92"/>
      <c r="J237" s="92"/>
      <c r="K237" s="92"/>
    </row>
    <row r="238" ht="12.75" customHeight="1">
      <c r="B238" s="90"/>
      <c r="E238" s="79"/>
      <c r="F238" s="80"/>
      <c r="G238" s="80"/>
      <c r="H238" s="81"/>
      <c r="I238" s="80"/>
      <c r="J238" s="80"/>
      <c r="K238" s="80"/>
    </row>
    <row r="239" ht="12.75" customHeight="1">
      <c r="A239" s="89" t="s">
        <v>230</v>
      </c>
      <c r="B239" s="96" t="s">
        <v>4679</v>
      </c>
      <c r="C239" s="90"/>
      <c r="E239" s="79"/>
      <c r="F239" s="80"/>
      <c r="G239" s="80"/>
      <c r="H239" s="81"/>
      <c r="I239" s="80"/>
      <c r="J239" s="80"/>
      <c r="K239" s="80"/>
    </row>
    <row r="240" ht="12.75" customHeight="1">
      <c r="B240" s="90"/>
      <c r="E240" s="79"/>
      <c r="F240" s="80"/>
      <c r="G240" s="80"/>
      <c r="H240" s="81"/>
      <c r="I240" s="80"/>
      <c r="J240" s="80"/>
      <c r="K240" s="80"/>
    </row>
    <row r="241" ht="12.75" customHeight="1">
      <c r="A241" s="89" t="s">
        <v>232</v>
      </c>
      <c r="B241" s="96" t="s">
        <v>4680</v>
      </c>
      <c r="C241" s="90"/>
      <c r="D241" s="89" t="s">
        <v>40</v>
      </c>
      <c r="E241" s="91">
        <v>277.52</v>
      </c>
      <c r="F241" s="92">
        <v>12.93</v>
      </c>
      <c r="G241" s="92">
        <v>3588.33</v>
      </c>
      <c r="H241" s="93"/>
      <c r="I241" s="92"/>
      <c r="J241" s="92"/>
      <c r="K241" s="92"/>
    </row>
    <row r="242" ht="12.75" customHeight="1">
      <c r="B242" s="96"/>
      <c r="E242" s="79"/>
      <c r="F242" s="80"/>
      <c r="G242" s="80"/>
      <c r="H242" s="81"/>
      <c r="I242" s="80"/>
      <c r="J242" s="80"/>
      <c r="K242" s="80"/>
    </row>
    <row r="243" ht="12.75" customHeight="1">
      <c r="A243" s="89" t="s">
        <v>234</v>
      </c>
      <c r="B243" s="96" t="s">
        <v>4681</v>
      </c>
      <c r="C243" s="90"/>
      <c r="D243" s="89" t="s">
        <v>40</v>
      </c>
      <c r="E243" s="91">
        <v>239.8</v>
      </c>
      <c r="F243" s="92">
        <v>155.17</v>
      </c>
      <c r="G243" s="92">
        <v>37209.77</v>
      </c>
      <c r="H243" s="93"/>
      <c r="I243" s="92"/>
      <c r="J243" s="92"/>
      <c r="K243" s="92"/>
    </row>
    <row r="244" ht="12.75" customHeight="1">
      <c r="B244" s="90"/>
      <c r="E244" s="79"/>
      <c r="F244" s="80"/>
      <c r="G244" s="80"/>
      <c r="H244" s="81"/>
      <c r="I244" s="80"/>
      <c r="J244" s="80"/>
      <c r="K244" s="80"/>
    </row>
    <row r="245" ht="12.75" customHeight="1">
      <c r="A245" s="89" t="s">
        <v>236</v>
      </c>
      <c r="B245" s="96" t="s">
        <v>4682</v>
      </c>
      <c r="C245" s="90"/>
      <c r="D245" s="89" t="s">
        <v>40</v>
      </c>
      <c r="E245" s="91">
        <v>16.81</v>
      </c>
      <c r="F245" s="92">
        <v>55.57</v>
      </c>
      <c r="G245" s="92">
        <v>934.13</v>
      </c>
      <c r="H245" s="93"/>
      <c r="I245" s="92"/>
      <c r="J245" s="92"/>
      <c r="K245" s="92"/>
    </row>
    <row r="246" ht="12.75" customHeight="1">
      <c r="B246" s="90"/>
      <c r="E246" s="79"/>
      <c r="F246" s="80"/>
      <c r="G246" s="80"/>
      <c r="H246" s="81"/>
      <c r="I246" s="80"/>
      <c r="J246" s="80"/>
      <c r="K246" s="80"/>
    </row>
    <row r="247" ht="12.75" customHeight="1">
      <c r="A247" s="89" t="s">
        <v>238</v>
      </c>
      <c r="B247" s="96" t="s">
        <v>4683</v>
      </c>
      <c r="C247" s="90"/>
      <c r="D247" s="89" t="s">
        <v>40</v>
      </c>
      <c r="E247" s="91">
        <v>29.1</v>
      </c>
      <c r="F247" s="92">
        <v>55.57</v>
      </c>
      <c r="G247" s="92">
        <v>1617.09</v>
      </c>
      <c r="H247" s="93"/>
      <c r="I247" s="92"/>
      <c r="J247" s="92"/>
      <c r="K247" s="92"/>
    </row>
    <row r="248" ht="12.75" customHeight="1">
      <c r="B248" s="90"/>
      <c r="E248" s="79"/>
      <c r="F248" s="80"/>
      <c r="G248" s="80"/>
      <c r="H248" s="81"/>
      <c r="I248" s="80"/>
      <c r="J248" s="80"/>
      <c r="K248" s="80"/>
    </row>
    <row r="249" ht="12.75" customHeight="1">
      <c r="A249" s="89" t="s">
        <v>240</v>
      </c>
      <c r="B249" s="96" t="s">
        <v>4684</v>
      </c>
      <c r="C249" s="90"/>
      <c r="E249" s="79"/>
      <c r="F249" s="80"/>
      <c r="G249" s="80"/>
      <c r="H249" s="81"/>
      <c r="I249" s="80"/>
      <c r="J249" s="80"/>
      <c r="K249" s="80"/>
    </row>
    <row r="250" ht="12.75" customHeight="1">
      <c r="B250" s="90"/>
      <c r="E250" s="79"/>
      <c r="F250" s="80"/>
      <c r="G250" s="80"/>
      <c r="H250" s="81"/>
      <c r="I250" s="80"/>
      <c r="J250" s="80"/>
      <c r="K250" s="80"/>
    </row>
    <row r="251" ht="12.75" customHeight="1">
      <c r="A251" s="89" t="s">
        <v>242</v>
      </c>
      <c r="B251" s="96" t="s">
        <v>4685</v>
      </c>
      <c r="C251" s="90"/>
      <c r="D251" s="89" t="s">
        <v>161</v>
      </c>
      <c r="E251" s="91">
        <v>130.01</v>
      </c>
      <c r="F251" s="92">
        <v>29.09</v>
      </c>
      <c r="G251" s="92">
        <v>3781.99</v>
      </c>
      <c r="H251" s="93"/>
      <c r="I251" s="92"/>
      <c r="J251" s="92"/>
      <c r="K251" s="92"/>
    </row>
    <row r="252" ht="12.75" customHeight="1">
      <c r="B252" s="90"/>
      <c r="E252" s="79"/>
      <c r="F252" s="80"/>
      <c r="G252" s="80"/>
      <c r="H252" s="81"/>
      <c r="I252" s="80"/>
      <c r="J252" s="80"/>
      <c r="K252" s="80"/>
    </row>
    <row r="253" ht="12.75" customHeight="1">
      <c r="A253" s="89" t="s">
        <v>196</v>
      </c>
      <c r="B253" s="96" t="s">
        <v>4663</v>
      </c>
      <c r="C253" s="90"/>
      <c r="E253" s="79"/>
      <c r="F253" s="80"/>
      <c r="G253" s="92">
        <v>125744.31</v>
      </c>
      <c r="H253" s="93">
        <f>G253</f>
        <v>125744.31</v>
      </c>
      <c r="I253" s="92"/>
      <c r="J253" s="92"/>
      <c r="K253" s="92"/>
    </row>
    <row r="254" ht="12.75" customHeight="1">
      <c r="B254" s="90"/>
      <c r="E254" s="79"/>
      <c r="F254" s="80"/>
      <c r="G254" s="80"/>
      <c r="H254" s="81"/>
      <c r="I254" s="80"/>
      <c r="J254" s="80"/>
      <c r="K254" s="80"/>
    </row>
    <row r="255" ht="12.75" customHeight="1">
      <c r="B255" s="90"/>
      <c r="E255" s="79"/>
      <c r="F255" s="80"/>
      <c r="G255" s="80"/>
      <c r="H255" s="81"/>
      <c r="I255" s="80"/>
      <c r="J255" s="80"/>
      <c r="K255" s="80"/>
    </row>
    <row r="256" ht="12.75" customHeight="1">
      <c r="A256" s="89" t="s">
        <v>244</v>
      </c>
      <c r="B256" s="96" t="s">
        <v>4686</v>
      </c>
      <c r="C256" s="90"/>
      <c r="E256" s="79"/>
      <c r="F256" s="80"/>
      <c r="G256" s="80"/>
      <c r="H256" s="81"/>
      <c r="I256" s="80"/>
      <c r="J256" s="80"/>
      <c r="K256" s="80"/>
    </row>
    <row r="257" ht="12.75" customHeight="1">
      <c r="B257" s="90"/>
      <c r="E257" s="79"/>
      <c r="F257" s="80"/>
      <c r="G257" s="80"/>
      <c r="H257" s="81"/>
      <c r="I257" s="80"/>
      <c r="J257" s="80"/>
      <c r="K257" s="80"/>
    </row>
    <row r="258" ht="12.75" customHeight="1">
      <c r="A258" s="89" t="s">
        <v>246</v>
      </c>
      <c r="B258" s="96" t="s">
        <v>4687</v>
      </c>
      <c r="C258" s="90"/>
      <c r="E258" s="79"/>
      <c r="F258" s="80"/>
      <c r="G258" s="80"/>
      <c r="H258" s="81"/>
      <c r="I258" s="80"/>
      <c r="J258" s="80"/>
      <c r="K258" s="80"/>
    </row>
    <row r="259" ht="12.75" customHeight="1">
      <c r="A259" s="119"/>
      <c r="B259" s="418"/>
      <c r="C259" s="119"/>
      <c r="D259" s="119"/>
      <c r="E259" s="120"/>
      <c r="F259" s="108"/>
      <c r="G259" s="108"/>
      <c r="H259" s="121"/>
      <c r="I259" s="108"/>
      <c r="J259" s="108"/>
      <c r="K259" s="108"/>
    </row>
    <row r="260" ht="12.75" customHeight="1">
      <c r="A260" s="89" t="s">
        <v>248</v>
      </c>
      <c r="B260" s="96" t="s">
        <v>4688</v>
      </c>
      <c r="C260" s="90"/>
      <c r="E260" s="79"/>
      <c r="F260" s="80"/>
      <c r="G260" s="80"/>
      <c r="H260" s="81" t="s">
        <v>250</v>
      </c>
      <c r="I260" s="80"/>
      <c r="J260" s="80"/>
      <c r="K260" s="80"/>
    </row>
    <row r="261" ht="12.75" customHeight="1">
      <c r="B261" s="90"/>
      <c r="E261" s="79"/>
      <c r="F261" s="80"/>
      <c r="G261" s="80"/>
      <c r="H261" s="81"/>
      <c r="I261" s="80"/>
      <c r="J261" s="80"/>
      <c r="K261" s="80"/>
    </row>
    <row r="262" ht="12.75" customHeight="1">
      <c r="A262" s="89" t="s">
        <v>251</v>
      </c>
      <c r="B262" s="96" t="s">
        <v>4689</v>
      </c>
      <c r="C262" s="90"/>
      <c r="D262" s="89" t="s">
        <v>75</v>
      </c>
      <c r="E262" s="91">
        <v>1.0</v>
      </c>
      <c r="F262" s="92">
        <v>1293.1</v>
      </c>
      <c r="G262" s="92">
        <v>1293.1</v>
      </c>
      <c r="H262" s="93"/>
      <c r="I262" s="92"/>
      <c r="J262" s="92"/>
      <c r="K262" s="92"/>
    </row>
    <row r="263" ht="12.75" customHeight="1">
      <c r="B263" s="90"/>
      <c r="E263" s="79"/>
      <c r="F263" s="80"/>
      <c r="G263" s="80"/>
      <c r="H263" s="81"/>
      <c r="I263" s="80"/>
      <c r="J263" s="80"/>
      <c r="K263" s="80"/>
    </row>
    <row r="264" ht="12.75" customHeight="1">
      <c r="A264" s="89" t="s">
        <v>253</v>
      </c>
      <c r="B264" s="96" t="s">
        <v>4690</v>
      </c>
      <c r="C264" s="90"/>
      <c r="D264" s="89" t="s">
        <v>75</v>
      </c>
      <c r="E264" s="91">
        <v>1.0</v>
      </c>
      <c r="F264" s="92">
        <v>1293.1</v>
      </c>
      <c r="G264" s="92">
        <v>1293.1</v>
      </c>
      <c r="H264" s="93"/>
      <c r="I264" s="92"/>
      <c r="J264" s="92"/>
      <c r="K264" s="92"/>
    </row>
    <row r="265" ht="12.75" customHeight="1">
      <c r="B265" s="90"/>
      <c r="E265" s="79"/>
      <c r="F265" s="80"/>
      <c r="G265" s="80"/>
      <c r="H265" s="81"/>
      <c r="I265" s="80"/>
      <c r="J265" s="80"/>
      <c r="K265" s="80"/>
    </row>
    <row r="266" ht="12.75" customHeight="1">
      <c r="A266" s="89" t="s">
        <v>255</v>
      </c>
      <c r="B266" s="96" t="s">
        <v>4691</v>
      </c>
      <c r="C266" s="90"/>
      <c r="D266" s="89" t="s">
        <v>75</v>
      </c>
      <c r="E266" s="91">
        <v>1.0</v>
      </c>
      <c r="F266" s="92">
        <v>1293.1</v>
      </c>
      <c r="G266" s="92">
        <v>1293.1</v>
      </c>
      <c r="H266" s="93"/>
      <c r="I266" s="92"/>
      <c r="J266" s="92"/>
      <c r="K266" s="92"/>
    </row>
    <row r="267" ht="12.75" customHeight="1">
      <c r="B267" s="90"/>
      <c r="E267" s="79"/>
      <c r="F267" s="80"/>
      <c r="G267" s="80"/>
      <c r="H267" s="81"/>
      <c r="I267" s="80"/>
      <c r="J267" s="80"/>
      <c r="K267" s="80"/>
    </row>
    <row r="268" ht="12.75" customHeight="1">
      <c r="A268" s="89" t="s">
        <v>257</v>
      </c>
      <c r="B268" s="96" t="s">
        <v>4692</v>
      </c>
      <c r="C268" s="90"/>
      <c r="D268" s="89" t="s">
        <v>75</v>
      </c>
      <c r="E268" s="91">
        <v>1.0</v>
      </c>
      <c r="F268" s="92">
        <v>1293.1</v>
      </c>
      <c r="G268" s="92">
        <v>1293.1</v>
      </c>
      <c r="H268" s="93"/>
      <c r="I268" s="92"/>
      <c r="J268" s="92"/>
      <c r="K268" s="92"/>
    </row>
    <row r="269" ht="12.75" customHeight="1">
      <c r="B269" s="90"/>
      <c r="E269" s="79"/>
      <c r="F269" s="80"/>
      <c r="G269" s="80"/>
      <c r="H269" s="81"/>
      <c r="I269" s="80"/>
      <c r="J269" s="80"/>
      <c r="K269" s="80"/>
    </row>
    <row r="270" ht="12.75" customHeight="1">
      <c r="A270" s="89" t="s">
        <v>259</v>
      </c>
      <c r="B270" s="96" t="s">
        <v>4693</v>
      </c>
      <c r="C270" s="90"/>
      <c r="E270" s="79"/>
      <c r="F270" s="80"/>
      <c r="G270" s="80"/>
      <c r="H270" s="81"/>
      <c r="I270" s="80"/>
      <c r="J270" s="80"/>
      <c r="K270" s="80"/>
    </row>
    <row r="271" ht="12.75" customHeight="1">
      <c r="B271" s="90"/>
      <c r="E271" s="79"/>
      <c r="F271" s="80"/>
      <c r="G271" s="80"/>
      <c r="H271" s="81"/>
      <c r="I271" s="80"/>
      <c r="J271" s="80"/>
      <c r="K271" s="80"/>
    </row>
    <row r="272" ht="12.75" customHeight="1">
      <c r="A272" s="89" t="s">
        <v>261</v>
      </c>
      <c r="B272" s="96" t="s">
        <v>4694</v>
      </c>
      <c r="C272" s="90"/>
      <c r="D272" s="89" t="s">
        <v>75</v>
      </c>
      <c r="E272" s="91">
        <v>1.0</v>
      </c>
      <c r="F272" s="92">
        <v>1487.07</v>
      </c>
      <c r="G272" s="92">
        <v>1487.07</v>
      </c>
      <c r="H272" s="93"/>
      <c r="I272" s="92"/>
      <c r="J272" s="92"/>
      <c r="K272" s="92"/>
    </row>
    <row r="273" ht="12.75" customHeight="1">
      <c r="B273" s="90"/>
      <c r="E273" s="79"/>
      <c r="F273" s="80"/>
      <c r="G273" s="80"/>
      <c r="H273" s="81"/>
      <c r="I273" s="80"/>
      <c r="J273" s="80"/>
      <c r="K273" s="80"/>
    </row>
    <row r="274" ht="12.75" customHeight="1">
      <c r="A274" s="89" t="s">
        <v>263</v>
      </c>
      <c r="B274" s="96" t="s">
        <v>4695</v>
      </c>
      <c r="C274" s="90"/>
      <c r="D274" s="89" t="s">
        <v>75</v>
      </c>
      <c r="E274" s="91">
        <v>1.0</v>
      </c>
      <c r="F274" s="92">
        <v>1487.07</v>
      </c>
      <c r="G274" s="92">
        <v>1487.07</v>
      </c>
      <c r="H274" s="93"/>
      <c r="I274" s="92"/>
      <c r="J274" s="92"/>
      <c r="K274" s="92"/>
    </row>
    <row r="275" ht="12.75" customHeight="1">
      <c r="B275" s="90"/>
      <c r="E275" s="79"/>
      <c r="F275" s="80"/>
      <c r="G275" s="80"/>
      <c r="H275" s="81"/>
      <c r="I275" s="80"/>
      <c r="J275" s="80"/>
      <c r="K275" s="80"/>
    </row>
    <row r="276" ht="12.75" customHeight="1">
      <c r="A276" s="89" t="s">
        <v>265</v>
      </c>
      <c r="B276" s="96" t="s">
        <v>4696</v>
      </c>
      <c r="C276" s="90"/>
      <c r="D276" s="89" t="s">
        <v>75</v>
      </c>
      <c r="E276" s="91">
        <v>1.0</v>
      </c>
      <c r="F276" s="92">
        <v>1487.07</v>
      </c>
      <c r="G276" s="92">
        <v>1487.07</v>
      </c>
      <c r="H276" s="93"/>
      <c r="I276" s="92"/>
      <c r="J276" s="92"/>
      <c r="K276" s="92"/>
    </row>
    <row r="277" ht="12.75" customHeight="1">
      <c r="B277" s="90"/>
      <c r="E277" s="79"/>
      <c r="F277" s="80"/>
      <c r="G277" s="80"/>
      <c r="H277" s="81"/>
      <c r="I277" s="80"/>
      <c r="J277" s="80"/>
      <c r="K277" s="80"/>
    </row>
    <row r="278" ht="12.75" customHeight="1">
      <c r="A278" s="89" t="s">
        <v>267</v>
      </c>
      <c r="B278" s="96" t="s">
        <v>4697</v>
      </c>
      <c r="C278" s="90"/>
      <c r="D278" s="89" t="s">
        <v>75</v>
      </c>
      <c r="E278" s="91">
        <v>1.0</v>
      </c>
      <c r="F278" s="92">
        <v>1487.07</v>
      </c>
      <c r="G278" s="92">
        <v>1487.07</v>
      </c>
      <c r="H278" s="93"/>
      <c r="I278" s="92"/>
      <c r="J278" s="92"/>
      <c r="K278" s="92"/>
    </row>
    <row r="279" ht="12.75" customHeight="1">
      <c r="B279" s="90"/>
      <c r="E279" s="79"/>
      <c r="F279" s="80"/>
      <c r="G279" s="80"/>
      <c r="H279" s="81"/>
      <c r="I279" s="80"/>
      <c r="J279" s="80"/>
      <c r="K279" s="80"/>
    </row>
    <row r="280" ht="12.75" customHeight="1">
      <c r="A280" s="89" t="s">
        <v>269</v>
      </c>
      <c r="B280" s="96" t="s">
        <v>4698</v>
      </c>
      <c r="C280" s="90"/>
      <c r="D280" s="89" t="s">
        <v>75</v>
      </c>
      <c r="E280" s="91">
        <v>1.0</v>
      </c>
      <c r="F280" s="92">
        <v>1487.07</v>
      </c>
      <c r="G280" s="92">
        <v>1487.07</v>
      </c>
      <c r="H280" s="93"/>
      <c r="I280" s="92"/>
      <c r="J280" s="92"/>
      <c r="K280" s="92"/>
    </row>
    <row r="281" ht="12.75" customHeight="1">
      <c r="B281" s="90"/>
      <c r="E281" s="79"/>
      <c r="F281" s="80"/>
      <c r="G281" s="80"/>
      <c r="H281" s="81"/>
      <c r="I281" s="80"/>
      <c r="J281" s="80"/>
      <c r="K281" s="80"/>
    </row>
    <row r="282" ht="12.75" customHeight="1">
      <c r="A282" s="89" t="s">
        <v>271</v>
      </c>
      <c r="B282" s="96" t="s">
        <v>4699</v>
      </c>
      <c r="C282" s="90"/>
      <c r="E282" s="79"/>
      <c r="F282" s="80"/>
      <c r="G282" s="80"/>
      <c r="H282" s="81"/>
      <c r="I282" s="80"/>
      <c r="J282" s="80"/>
      <c r="K282" s="80"/>
    </row>
    <row r="283" ht="12.75" customHeight="1">
      <c r="B283" s="90"/>
      <c r="E283" s="79"/>
      <c r="F283" s="80"/>
      <c r="G283" s="80"/>
      <c r="H283" s="81"/>
      <c r="I283" s="80"/>
      <c r="J283" s="80"/>
      <c r="K283" s="80"/>
    </row>
    <row r="284" ht="12.75" customHeight="1">
      <c r="A284" s="89" t="s">
        <v>273</v>
      </c>
      <c r="B284" s="96" t="s">
        <v>4700</v>
      </c>
      <c r="C284" s="90"/>
      <c r="D284" s="89" t="s">
        <v>75</v>
      </c>
      <c r="E284" s="91">
        <v>1.0</v>
      </c>
      <c r="F284" s="92">
        <v>1681.03</v>
      </c>
      <c r="G284" s="92">
        <v>1681.03</v>
      </c>
      <c r="H284" s="93"/>
      <c r="I284" s="92"/>
      <c r="J284" s="92"/>
      <c r="K284" s="92"/>
    </row>
    <row r="285" ht="12.75" customHeight="1">
      <c r="B285" s="90"/>
      <c r="E285" s="79"/>
      <c r="F285" s="80"/>
      <c r="G285" s="80"/>
      <c r="H285" s="81"/>
      <c r="I285" s="80"/>
      <c r="J285" s="80"/>
      <c r="K285" s="80"/>
    </row>
    <row r="286" ht="12.75" customHeight="1">
      <c r="A286" s="89" t="s">
        <v>275</v>
      </c>
      <c r="B286" s="96" t="s">
        <v>4701</v>
      </c>
      <c r="C286" s="90"/>
      <c r="E286" s="79"/>
      <c r="F286" s="80"/>
      <c r="G286" s="80"/>
      <c r="H286" s="81"/>
      <c r="I286" s="80"/>
      <c r="J286" s="80"/>
      <c r="K286" s="80"/>
    </row>
    <row r="287" ht="12.75" customHeight="1">
      <c r="B287" s="90"/>
      <c r="E287" s="79"/>
      <c r="F287" s="80"/>
      <c r="G287" s="80"/>
      <c r="H287" s="81"/>
      <c r="I287" s="80"/>
      <c r="J287" s="80"/>
      <c r="K287" s="80"/>
    </row>
    <row r="288" ht="12.75" customHeight="1">
      <c r="A288" s="89" t="s">
        <v>277</v>
      </c>
      <c r="B288" s="96" t="s">
        <v>4702</v>
      </c>
      <c r="C288" s="90"/>
      <c r="E288" s="79"/>
      <c r="F288" s="80"/>
      <c r="G288" s="80"/>
      <c r="H288" s="81"/>
      <c r="I288" s="80"/>
      <c r="J288" s="80"/>
      <c r="K288" s="80"/>
    </row>
    <row r="289" ht="12.75" customHeight="1">
      <c r="B289" s="90"/>
      <c r="E289" s="79"/>
      <c r="F289" s="80"/>
      <c r="G289" s="80"/>
      <c r="H289" s="81"/>
      <c r="I289" s="80"/>
      <c r="J289" s="80"/>
      <c r="K289" s="80"/>
    </row>
    <row r="290" ht="12.75" customHeight="1">
      <c r="A290" s="89" t="s">
        <v>279</v>
      </c>
      <c r="B290" s="96" t="s">
        <v>4703</v>
      </c>
      <c r="C290" s="90"/>
      <c r="D290" s="89" t="s">
        <v>75</v>
      </c>
      <c r="E290" s="91">
        <v>1.0</v>
      </c>
      <c r="F290" s="92">
        <v>1293.1</v>
      </c>
      <c r="G290" s="92">
        <v>1293.1</v>
      </c>
      <c r="H290" s="93"/>
      <c r="I290" s="92"/>
      <c r="J290" s="92"/>
      <c r="K290" s="92"/>
    </row>
    <row r="291" ht="12.75" customHeight="1">
      <c r="B291" s="90"/>
      <c r="E291" s="79"/>
      <c r="F291" s="80"/>
      <c r="G291" s="80"/>
      <c r="H291" s="81"/>
      <c r="I291" s="80"/>
      <c r="J291" s="80"/>
      <c r="K291" s="80"/>
    </row>
    <row r="292" ht="12.75" customHeight="1">
      <c r="A292" s="89" t="s">
        <v>281</v>
      </c>
      <c r="B292" s="96" t="s">
        <v>4704</v>
      </c>
      <c r="C292" s="90"/>
      <c r="E292" s="79"/>
      <c r="F292" s="80"/>
      <c r="G292" s="80"/>
      <c r="H292" s="81"/>
      <c r="I292" s="80"/>
      <c r="J292" s="80"/>
      <c r="K292" s="80"/>
    </row>
    <row r="293" ht="12.75" customHeight="1">
      <c r="B293" s="90"/>
      <c r="E293" s="79"/>
      <c r="F293" s="80"/>
      <c r="G293" s="80"/>
      <c r="H293" s="81"/>
      <c r="I293" s="80"/>
      <c r="J293" s="80"/>
      <c r="K293" s="80"/>
    </row>
    <row r="294" ht="12.75" customHeight="1">
      <c r="A294" s="89" t="s">
        <v>283</v>
      </c>
      <c r="B294" s="96" t="s">
        <v>4705</v>
      </c>
      <c r="C294" s="90"/>
      <c r="D294" s="89" t="s">
        <v>75</v>
      </c>
      <c r="E294" s="91">
        <v>1.0</v>
      </c>
      <c r="F294" s="92">
        <v>1616.38</v>
      </c>
      <c r="G294" s="92">
        <v>1616.38</v>
      </c>
      <c r="H294" s="93"/>
      <c r="I294" s="92"/>
      <c r="J294" s="92"/>
      <c r="K294" s="92"/>
    </row>
    <row r="295" ht="12.75" customHeight="1">
      <c r="B295" s="90"/>
      <c r="E295" s="79"/>
      <c r="F295" s="80"/>
      <c r="G295" s="80"/>
      <c r="H295" s="81"/>
      <c r="I295" s="80"/>
      <c r="J295" s="80"/>
      <c r="K295" s="80"/>
    </row>
    <row r="296" ht="12.75" customHeight="1">
      <c r="A296" s="89" t="s">
        <v>285</v>
      </c>
      <c r="B296" s="96" t="s">
        <v>4706</v>
      </c>
      <c r="C296" s="90"/>
      <c r="E296" s="79"/>
      <c r="F296" s="80"/>
      <c r="G296" s="80"/>
      <c r="H296" s="81"/>
      <c r="I296" s="80"/>
      <c r="J296" s="80"/>
      <c r="K296" s="80"/>
    </row>
    <row r="297" ht="12.75" customHeight="1">
      <c r="B297" s="90"/>
      <c r="E297" s="79"/>
      <c r="F297" s="80"/>
      <c r="G297" s="80"/>
      <c r="H297" s="81"/>
      <c r="I297" s="80"/>
      <c r="J297" s="80"/>
      <c r="K297" s="80"/>
    </row>
    <row r="298" ht="12.75" customHeight="1">
      <c r="A298" s="89" t="s">
        <v>287</v>
      </c>
      <c r="B298" s="96" t="s">
        <v>4707</v>
      </c>
      <c r="C298" s="90"/>
      <c r="D298" s="89" t="s">
        <v>75</v>
      </c>
      <c r="E298" s="91">
        <v>1.0</v>
      </c>
      <c r="F298" s="92">
        <v>1616.38</v>
      </c>
      <c r="G298" s="92">
        <v>1616.38</v>
      </c>
      <c r="H298" s="93"/>
      <c r="I298" s="92"/>
      <c r="J298" s="92"/>
      <c r="K298" s="92"/>
    </row>
    <row r="299" ht="12.75" customHeight="1">
      <c r="B299" s="90"/>
      <c r="E299" s="79"/>
      <c r="F299" s="80"/>
      <c r="G299" s="80"/>
      <c r="H299" s="81"/>
      <c r="I299" s="80"/>
      <c r="J299" s="80"/>
      <c r="K299" s="80"/>
    </row>
    <row r="300" ht="12.75" customHeight="1">
      <c r="A300" s="89" t="s">
        <v>289</v>
      </c>
      <c r="B300" s="96" t="s">
        <v>4708</v>
      </c>
      <c r="C300" s="90"/>
      <c r="E300" s="79"/>
      <c r="F300" s="80"/>
      <c r="G300" s="80"/>
      <c r="H300" s="81"/>
      <c r="I300" s="80"/>
      <c r="J300" s="80"/>
      <c r="K300" s="80"/>
    </row>
    <row r="301" ht="12.75" customHeight="1">
      <c r="B301" s="90"/>
      <c r="E301" s="79"/>
      <c r="F301" s="80"/>
      <c r="G301" s="80"/>
      <c r="H301" s="81"/>
      <c r="I301" s="80"/>
      <c r="J301" s="80"/>
      <c r="K301" s="80"/>
    </row>
    <row r="302" ht="12.75" customHeight="1">
      <c r="A302" s="89" t="s">
        <v>291</v>
      </c>
      <c r="B302" s="96" t="s">
        <v>4709</v>
      </c>
      <c r="C302" s="90"/>
      <c r="D302" s="89" t="s">
        <v>75</v>
      </c>
      <c r="E302" s="91">
        <v>1.0</v>
      </c>
      <c r="F302" s="92">
        <v>1260.77</v>
      </c>
      <c r="G302" s="92">
        <v>1260.77</v>
      </c>
      <c r="H302" s="93"/>
      <c r="I302" s="92"/>
      <c r="J302" s="92"/>
      <c r="K302" s="92"/>
    </row>
    <row r="303" ht="12.75" customHeight="1">
      <c r="B303" s="90"/>
      <c r="E303" s="79"/>
      <c r="F303" s="80"/>
      <c r="G303" s="80"/>
      <c r="H303" s="81"/>
      <c r="I303" s="80"/>
      <c r="J303" s="80"/>
      <c r="K303" s="80"/>
    </row>
    <row r="304" ht="12.75" customHeight="1">
      <c r="A304" s="89" t="s">
        <v>293</v>
      </c>
      <c r="B304" s="96" t="s">
        <v>4710</v>
      </c>
      <c r="C304" s="90"/>
      <c r="D304" s="89" t="s">
        <v>75</v>
      </c>
      <c r="E304" s="91">
        <v>1.0</v>
      </c>
      <c r="F304" s="92">
        <v>1260.77</v>
      </c>
      <c r="G304" s="92">
        <v>1260.77</v>
      </c>
      <c r="H304" s="93"/>
      <c r="I304" s="92"/>
      <c r="J304" s="92"/>
      <c r="K304" s="92"/>
    </row>
    <row r="305" ht="12.75" customHeight="1">
      <c r="B305" s="90"/>
      <c r="E305" s="79"/>
      <c r="F305" s="80"/>
      <c r="G305" s="80"/>
      <c r="H305" s="81"/>
      <c r="I305" s="80"/>
      <c r="J305" s="80"/>
      <c r="K305" s="80"/>
    </row>
    <row r="306" ht="12.75" customHeight="1">
      <c r="A306" s="89" t="s">
        <v>295</v>
      </c>
      <c r="B306" s="96" t="s">
        <v>4711</v>
      </c>
      <c r="C306" s="90"/>
      <c r="E306" s="79"/>
      <c r="F306" s="80"/>
      <c r="G306" s="80"/>
      <c r="H306" s="81"/>
      <c r="I306" s="80"/>
      <c r="J306" s="80"/>
      <c r="K306" s="80"/>
    </row>
    <row r="307" ht="12.75" customHeight="1">
      <c r="A307" s="119"/>
      <c r="B307" s="418"/>
      <c r="C307" s="119"/>
      <c r="D307" s="119"/>
      <c r="E307" s="120"/>
      <c r="F307" s="108"/>
      <c r="G307" s="108"/>
      <c r="H307" s="121"/>
      <c r="I307" s="108"/>
      <c r="J307" s="108"/>
      <c r="K307" s="108"/>
    </row>
    <row r="308" ht="12.75" customHeight="1">
      <c r="A308" s="89" t="s">
        <v>297</v>
      </c>
      <c r="B308" s="96" t="s">
        <v>4712</v>
      </c>
      <c r="C308" s="90"/>
      <c r="E308" s="79"/>
      <c r="F308" s="80"/>
      <c r="G308" s="80"/>
      <c r="H308" s="81" t="s">
        <v>299</v>
      </c>
      <c r="I308" s="80"/>
      <c r="J308" s="80"/>
      <c r="K308" s="80"/>
    </row>
    <row r="309" ht="12.75" customHeight="1">
      <c r="B309" s="90"/>
      <c r="E309" s="79"/>
      <c r="F309" s="80"/>
      <c r="G309" s="80"/>
      <c r="H309" s="81"/>
      <c r="I309" s="80"/>
      <c r="J309" s="80"/>
      <c r="K309" s="80"/>
    </row>
    <row r="310" ht="12.75" customHeight="1">
      <c r="A310" s="89" t="s">
        <v>300</v>
      </c>
      <c r="B310" s="96" t="s">
        <v>4713</v>
      </c>
      <c r="C310" s="90"/>
      <c r="D310" s="89" t="s">
        <v>75</v>
      </c>
      <c r="E310" s="91">
        <v>1.0</v>
      </c>
      <c r="F310" s="92">
        <v>2456.89</v>
      </c>
      <c r="G310" s="92">
        <v>2456.89</v>
      </c>
      <c r="H310" s="93"/>
      <c r="I310" s="92"/>
      <c r="J310" s="92"/>
      <c r="K310" s="92"/>
    </row>
    <row r="311" ht="12.75" customHeight="1">
      <c r="B311" s="90"/>
      <c r="E311" s="79"/>
      <c r="F311" s="80"/>
      <c r="G311" s="80"/>
      <c r="H311" s="81"/>
      <c r="I311" s="80"/>
      <c r="J311" s="80"/>
      <c r="K311" s="80"/>
    </row>
    <row r="312" ht="12.75" customHeight="1">
      <c r="A312" s="89" t="s">
        <v>302</v>
      </c>
      <c r="B312" s="96" t="s">
        <v>4714</v>
      </c>
      <c r="C312" s="90"/>
      <c r="E312" s="79"/>
      <c r="F312" s="80"/>
      <c r="G312" s="80"/>
      <c r="H312" s="81"/>
      <c r="I312" s="80"/>
      <c r="J312" s="80"/>
      <c r="K312" s="80"/>
    </row>
    <row r="313" ht="12.75" customHeight="1">
      <c r="B313" s="90"/>
      <c r="E313" s="79"/>
      <c r="F313" s="80"/>
      <c r="G313" s="80"/>
      <c r="H313" s="81"/>
      <c r="I313" s="80"/>
      <c r="J313" s="80"/>
      <c r="K313" s="80"/>
    </row>
    <row r="314" ht="12.75" customHeight="1">
      <c r="A314" s="89" t="s">
        <v>304</v>
      </c>
      <c r="B314" s="96" t="s">
        <v>4715</v>
      </c>
      <c r="C314" s="90"/>
      <c r="D314" s="89" t="s">
        <v>75</v>
      </c>
      <c r="E314" s="91">
        <v>1.0</v>
      </c>
      <c r="F314" s="92">
        <v>1778.01</v>
      </c>
      <c r="G314" s="92">
        <v>1778.01</v>
      </c>
      <c r="H314" s="93"/>
      <c r="I314" s="92"/>
      <c r="J314" s="92"/>
      <c r="K314" s="92"/>
    </row>
    <row r="315" ht="12.75" customHeight="1">
      <c r="B315" s="90"/>
      <c r="E315" s="79"/>
      <c r="F315" s="80"/>
      <c r="G315" s="80"/>
      <c r="H315" s="81"/>
      <c r="I315" s="80"/>
      <c r="J315" s="80"/>
      <c r="K315" s="80"/>
    </row>
    <row r="316" ht="12.75" customHeight="1">
      <c r="A316" s="89" t="s">
        <v>306</v>
      </c>
      <c r="B316" s="96" t="s">
        <v>4716</v>
      </c>
      <c r="C316" s="90"/>
      <c r="D316" s="89" t="s">
        <v>75</v>
      </c>
      <c r="E316" s="91">
        <v>1.0</v>
      </c>
      <c r="F316" s="92">
        <v>969.83</v>
      </c>
      <c r="G316" s="92">
        <v>969.83</v>
      </c>
      <c r="H316" s="93"/>
      <c r="I316" s="92"/>
      <c r="J316" s="92"/>
      <c r="K316" s="92"/>
    </row>
    <row r="317" ht="12.75" customHeight="1">
      <c r="B317" s="90"/>
      <c r="E317" s="79"/>
      <c r="F317" s="80"/>
      <c r="G317" s="80"/>
      <c r="H317" s="81"/>
      <c r="I317" s="80"/>
      <c r="J317" s="80"/>
      <c r="K317" s="80"/>
    </row>
    <row r="318" ht="12.75" customHeight="1">
      <c r="A318" s="89" t="s">
        <v>308</v>
      </c>
      <c r="B318" s="96" t="s">
        <v>4717</v>
      </c>
      <c r="C318" s="90"/>
      <c r="E318" s="79"/>
      <c r="F318" s="80"/>
      <c r="G318" s="80"/>
      <c r="H318" s="81"/>
      <c r="I318" s="80"/>
      <c r="J318" s="80"/>
      <c r="K318" s="80"/>
    </row>
    <row r="319" ht="12.75" customHeight="1">
      <c r="B319" s="90"/>
      <c r="E319" s="79"/>
      <c r="F319" s="80"/>
      <c r="G319" s="80"/>
      <c r="H319" s="81"/>
      <c r="I319" s="80"/>
      <c r="J319" s="80"/>
      <c r="K319" s="80"/>
    </row>
    <row r="320" ht="12.75" customHeight="1">
      <c r="A320" s="89" t="s">
        <v>310</v>
      </c>
      <c r="B320" s="96" t="s">
        <v>4718</v>
      </c>
      <c r="C320" s="90"/>
      <c r="D320" s="89" t="s">
        <v>75</v>
      </c>
      <c r="E320" s="91">
        <v>1.0</v>
      </c>
      <c r="F320" s="92">
        <v>969.83</v>
      </c>
      <c r="G320" s="92">
        <v>969.83</v>
      </c>
      <c r="H320" s="93"/>
      <c r="I320" s="92"/>
      <c r="J320" s="92"/>
      <c r="K320" s="92"/>
    </row>
    <row r="321" ht="12.75" customHeight="1">
      <c r="B321" s="90"/>
      <c r="E321" s="79"/>
      <c r="F321" s="80"/>
      <c r="G321" s="80"/>
      <c r="H321" s="81"/>
      <c r="I321" s="80"/>
      <c r="J321" s="80"/>
      <c r="K321" s="80"/>
    </row>
    <row r="322" ht="12.75" customHeight="1">
      <c r="A322" s="89" t="s">
        <v>312</v>
      </c>
      <c r="B322" s="96" t="s">
        <v>4719</v>
      </c>
      <c r="C322" s="90"/>
      <c r="E322" s="79"/>
      <c r="F322" s="80"/>
      <c r="G322" s="80"/>
      <c r="H322" s="81"/>
      <c r="I322" s="80"/>
      <c r="J322" s="80"/>
      <c r="K322" s="80"/>
    </row>
    <row r="323" ht="12.75" customHeight="1">
      <c r="B323" s="90"/>
      <c r="E323" s="79"/>
      <c r="F323" s="80"/>
      <c r="G323" s="80"/>
      <c r="H323" s="81"/>
      <c r="I323" s="80"/>
      <c r="J323" s="80"/>
      <c r="K323" s="80"/>
    </row>
    <row r="324" ht="12.75" customHeight="1">
      <c r="A324" s="89" t="s">
        <v>314</v>
      </c>
      <c r="B324" s="96" t="s">
        <v>4720</v>
      </c>
      <c r="C324" s="90"/>
      <c r="D324" s="89" t="s">
        <v>75</v>
      </c>
      <c r="E324" s="91">
        <v>1.0</v>
      </c>
      <c r="F324" s="92">
        <v>5495.68</v>
      </c>
      <c r="G324" s="92">
        <v>5495.68</v>
      </c>
      <c r="H324" s="93"/>
      <c r="I324" s="92"/>
      <c r="J324" s="92"/>
      <c r="K324" s="92"/>
    </row>
    <row r="325" ht="12.75" customHeight="1">
      <c r="B325" s="90"/>
      <c r="E325" s="79"/>
      <c r="F325" s="80"/>
      <c r="G325" s="80"/>
      <c r="H325" s="81"/>
      <c r="I325" s="80"/>
      <c r="J325" s="80"/>
      <c r="K325" s="80"/>
    </row>
    <row r="326" ht="12.75" customHeight="1">
      <c r="A326" s="89" t="s">
        <v>316</v>
      </c>
      <c r="B326" s="96" t="s">
        <v>4721</v>
      </c>
      <c r="C326" s="90"/>
      <c r="E326" s="79"/>
      <c r="F326" s="80"/>
      <c r="G326" s="80"/>
      <c r="H326" s="81"/>
      <c r="I326" s="80"/>
      <c r="J326" s="80"/>
      <c r="K326" s="80"/>
    </row>
    <row r="327" ht="12.75" customHeight="1">
      <c r="B327" s="90"/>
      <c r="E327" s="79"/>
      <c r="F327" s="80"/>
      <c r="G327" s="80"/>
      <c r="H327" s="81"/>
      <c r="I327" s="80"/>
      <c r="J327" s="80"/>
      <c r="K327" s="80"/>
    </row>
    <row r="328" ht="12.75" customHeight="1">
      <c r="A328" s="89" t="s">
        <v>318</v>
      </c>
      <c r="B328" s="96" t="s">
        <v>4722</v>
      </c>
      <c r="C328" s="90"/>
      <c r="D328" s="89" t="s">
        <v>75</v>
      </c>
      <c r="E328" s="91">
        <v>1.0</v>
      </c>
      <c r="F328" s="92">
        <v>3297.41</v>
      </c>
      <c r="G328" s="92">
        <v>3297.41</v>
      </c>
      <c r="H328" s="93"/>
      <c r="I328" s="92"/>
      <c r="J328" s="92"/>
      <c r="K328" s="92"/>
    </row>
    <row r="329" ht="12.75" customHeight="1">
      <c r="B329" s="90"/>
      <c r="E329" s="79"/>
      <c r="F329" s="80"/>
      <c r="G329" s="80"/>
      <c r="H329" s="81"/>
      <c r="I329" s="80"/>
      <c r="J329" s="80"/>
      <c r="K329" s="80"/>
    </row>
    <row r="330" ht="12.75" customHeight="1">
      <c r="A330" s="89" t="s">
        <v>320</v>
      </c>
      <c r="B330" s="96" t="s">
        <v>4723</v>
      </c>
      <c r="C330" s="90"/>
      <c r="E330" s="79"/>
      <c r="F330" s="80"/>
      <c r="G330" s="80"/>
      <c r="H330" s="81"/>
      <c r="I330" s="80"/>
      <c r="J330" s="80"/>
      <c r="K330" s="80"/>
    </row>
    <row r="331" ht="12.75" customHeight="1">
      <c r="B331" s="90"/>
      <c r="E331" s="79"/>
      <c r="F331" s="80"/>
      <c r="G331" s="80"/>
      <c r="H331" s="81"/>
      <c r="I331" s="80"/>
      <c r="J331" s="80"/>
      <c r="K331" s="80"/>
    </row>
    <row r="332" ht="12.75" customHeight="1">
      <c r="A332" s="89" t="s">
        <v>322</v>
      </c>
      <c r="B332" s="96" t="s">
        <v>4724</v>
      </c>
      <c r="C332" s="90"/>
      <c r="D332" s="89" t="s">
        <v>75</v>
      </c>
      <c r="E332" s="91">
        <v>1.0</v>
      </c>
      <c r="F332" s="92">
        <v>1875.0</v>
      </c>
      <c r="G332" s="92">
        <v>1875.0</v>
      </c>
      <c r="H332" s="93"/>
      <c r="I332" s="92"/>
      <c r="J332" s="92"/>
      <c r="K332" s="92"/>
    </row>
    <row r="333" ht="12.75" customHeight="1">
      <c r="B333" s="90"/>
      <c r="E333" s="79"/>
      <c r="F333" s="80"/>
      <c r="G333" s="80"/>
      <c r="H333" s="81"/>
      <c r="I333" s="80"/>
      <c r="J333" s="80"/>
      <c r="K333" s="80"/>
    </row>
    <row r="334" ht="12.75" customHeight="1">
      <c r="A334" s="89" t="s">
        <v>324</v>
      </c>
      <c r="B334" s="96" t="s">
        <v>4725</v>
      </c>
      <c r="C334" s="90"/>
      <c r="E334" s="79"/>
      <c r="F334" s="80"/>
      <c r="G334" s="80"/>
      <c r="H334" s="81"/>
      <c r="I334" s="80"/>
      <c r="J334" s="80"/>
      <c r="K334" s="80"/>
    </row>
    <row r="335" ht="12.75" customHeight="1">
      <c r="B335" s="90"/>
      <c r="E335" s="79"/>
      <c r="F335" s="80"/>
      <c r="G335" s="80"/>
      <c r="H335" s="81"/>
      <c r="I335" s="80"/>
      <c r="J335" s="80"/>
      <c r="K335" s="80"/>
    </row>
    <row r="336" ht="12.75" customHeight="1">
      <c r="A336" s="89" t="s">
        <v>326</v>
      </c>
      <c r="B336" s="96" t="s">
        <v>4726</v>
      </c>
      <c r="C336" s="90"/>
      <c r="D336" s="89" t="s">
        <v>75</v>
      </c>
      <c r="E336" s="91">
        <v>1.0</v>
      </c>
      <c r="F336" s="92">
        <v>3038.79</v>
      </c>
      <c r="G336" s="92">
        <v>3038.79</v>
      </c>
      <c r="H336" s="93"/>
      <c r="I336" s="92"/>
      <c r="J336" s="92"/>
      <c r="K336" s="92"/>
    </row>
    <row r="337" ht="12.75" customHeight="1">
      <c r="B337" s="90"/>
      <c r="E337" s="79"/>
      <c r="F337" s="80"/>
      <c r="G337" s="80"/>
      <c r="H337" s="81"/>
      <c r="I337" s="80"/>
      <c r="J337" s="80"/>
      <c r="K337" s="80"/>
    </row>
    <row r="338" ht="12.75" customHeight="1">
      <c r="A338" s="89" t="s">
        <v>328</v>
      </c>
      <c r="B338" s="96" t="s">
        <v>4727</v>
      </c>
      <c r="C338" s="90"/>
      <c r="E338" s="79"/>
      <c r="F338" s="80"/>
      <c r="G338" s="80"/>
      <c r="H338" s="81"/>
      <c r="I338" s="80"/>
      <c r="J338" s="80"/>
      <c r="K338" s="80"/>
    </row>
    <row r="339" ht="12.75" customHeight="1">
      <c r="B339" s="90"/>
      <c r="E339" s="79"/>
      <c r="F339" s="80"/>
      <c r="G339" s="80"/>
      <c r="H339" s="81"/>
      <c r="I339" s="80"/>
      <c r="J339" s="80"/>
      <c r="K339" s="80"/>
    </row>
    <row r="340" ht="12.75" customHeight="1">
      <c r="A340" s="89" t="s">
        <v>330</v>
      </c>
      <c r="B340" s="96" t="s">
        <v>4728</v>
      </c>
      <c r="C340" s="90"/>
      <c r="D340" s="89" t="s">
        <v>75</v>
      </c>
      <c r="E340" s="91">
        <v>1.0</v>
      </c>
      <c r="F340" s="92">
        <v>1357.76</v>
      </c>
      <c r="G340" s="92">
        <v>1357.76</v>
      </c>
      <c r="H340" s="93"/>
      <c r="I340" s="92"/>
      <c r="J340" s="92"/>
      <c r="K340" s="92"/>
    </row>
    <row r="341" ht="12.75" customHeight="1">
      <c r="B341" s="90"/>
      <c r="E341" s="79"/>
      <c r="F341" s="80"/>
      <c r="G341" s="80"/>
      <c r="H341" s="81"/>
      <c r="I341" s="80"/>
      <c r="J341" s="80"/>
      <c r="K341" s="80"/>
    </row>
    <row r="342" ht="12.75" customHeight="1">
      <c r="A342" s="89" t="s">
        <v>332</v>
      </c>
      <c r="B342" s="96" t="s">
        <v>4729</v>
      </c>
      <c r="C342" s="90"/>
      <c r="D342" s="89" t="s">
        <v>75</v>
      </c>
      <c r="E342" s="91">
        <v>1.0</v>
      </c>
      <c r="F342" s="92">
        <v>1616.38</v>
      </c>
      <c r="G342" s="92">
        <v>1616.38</v>
      </c>
      <c r="H342" s="93"/>
      <c r="I342" s="92"/>
      <c r="J342" s="92"/>
      <c r="K342" s="92"/>
    </row>
    <row r="343" ht="12.75" customHeight="1">
      <c r="B343" s="90"/>
      <c r="E343" s="79"/>
      <c r="F343" s="80"/>
      <c r="G343" s="80"/>
      <c r="H343" s="81"/>
      <c r="I343" s="80"/>
      <c r="J343" s="80"/>
      <c r="K343" s="80"/>
    </row>
    <row r="344" ht="12.75" customHeight="1">
      <c r="A344" s="89" t="s">
        <v>334</v>
      </c>
      <c r="B344" s="96" t="s">
        <v>4730</v>
      </c>
      <c r="C344" s="90"/>
      <c r="E344" s="79"/>
      <c r="F344" s="80"/>
      <c r="G344" s="80"/>
      <c r="H344" s="81"/>
      <c r="I344" s="80"/>
      <c r="J344" s="80"/>
      <c r="K344" s="80"/>
    </row>
    <row r="345" ht="12.75" customHeight="1">
      <c r="B345" s="90"/>
      <c r="E345" s="79"/>
      <c r="F345" s="80"/>
      <c r="G345" s="80"/>
      <c r="H345" s="81"/>
      <c r="I345" s="80"/>
      <c r="J345" s="80"/>
      <c r="K345" s="80"/>
    </row>
    <row r="346" ht="12.75" customHeight="1">
      <c r="A346" s="89" t="s">
        <v>336</v>
      </c>
      <c r="B346" s="96" t="s">
        <v>4731</v>
      </c>
      <c r="C346" s="90"/>
      <c r="D346" s="89" t="s">
        <v>75</v>
      </c>
      <c r="E346" s="91">
        <v>2.0</v>
      </c>
      <c r="F346" s="92">
        <v>4461.2</v>
      </c>
      <c r="G346" s="92">
        <v>8922.4</v>
      </c>
      <c r="H346" s="93"/>
      <c r="I346" s="92"/>
      <c r="J346" s="92"/>
      <c r="K346" s="92"/>
    </row>
    <row r="347" ht="12.75" customHeight="1">
      <c r="B347" s="90"/>
      <c r="E347" s="79"/>
      <c r="F347" s="80"/>
      <c r="G347" s="80"/>
      <c r="H347" s="81"/>
      <c r="I347" s="80"/>
      <c r="J347" s="80"/>
      <c r="K347" s="80"/>
    </row>
    <row r="348" ht="12.75" customHeight="1">
      <c r="A348" s="89" t="s">
        <v>338</v>
      </c>
      <c r="B348" s="96" t="s">
        <v>4732</v>
      </c>
      <c r="C348" s="90"/>
      <c r="E348" s="79"/>
      <c r="F348" s="80"/>
      <c r="G348" s="80"/>
      <c r="H348" s="81"/>
      <c r="I348" s="80"/>
      <c r="J348" s="80"/>
      <c r="K348" s="80"/>
    </row>
    <row r="349" ht="12.75" customHeight="1">
      <c r="B349" s="96"/>
      <c r="E349" s="79"/>
      <c r="F349" s="80"/>
      <c r="G349" s="80"/>
      <c r="H349" s="81"/>
      <c r="I349" s="80"/>
      <c r="J349" s="80"/>
      <c r="K349" s="80"/>
    </row>
    <row r="350" ht="12.75" customHeight="1">
      <c r="A350" s="89" t="s">
        <v>340</v>
      </c>
      <c r="B350" s="96" t="s">
        <v>4733</v>
      </c>
      <c r="C350" s="90"/>
      <c r="D350" s="89" t="s">
        <v>75</v>
      </c>
      <c r="E350" s="91">
        <v>1.0</v>
      </c>
      <c r="F350" s="92">
        <v>3620.68</v>
      </c>
      <c r="G350" s="92">
        <v>3620.68</v>
      </c>
      <c r="H350" s="93"/>
      <c r="I350" s="92"/>
      <c r="J350" s="92"/>
      <c r="K350" s="92"/>
    </row>
    <row r="351" ht="12.75" customHeight="1">
      <c r="B351" s="90"/>
      <c r="E351" s="79"/>
      <c r="F351" s="80"/>
      <c r="G351" s="80"/>
      <c r="H351" s="81"/>
      <c r="I351" s="80"/>
      <c r="J351" s="80"/>
      <c r="K351" s="80"/>
    </row>
    <row r="352" ht="12.75" customHeight="1">
      <c r="A352" s="89" t="s">
        <v>342</v>
      </c>
      <c r="B352" s="96" t="s">
        <v>4734</v>
      </c>
      <c r="C352" s="90"/>
      <c r="E352" s="79"/>
      <c r="F352" s="80"/>
      <c r="G352" s="80"/>
      <c r="H352" s="81"/>
      <c r="I352" s="80"/>
      <c r="J352" s="80"/>
      <c r="K352" s="80"/>
    </row>
    <row r="353" ht="12.75" customHeight="1">
      <c r="B353" s="96"/>
      <c r="E353" s="79"/>
      <c r="F353" s="80"/>
      <c r="G353" s="80"/>
      <c r="H353" s="81"/>
      <c r="I353" s="80"/>
      <c r="J353" s="80"/>
      <c r="K353" s="80"/>
    </row>
    <row r="354" ht="12.75" customHeight="1">
      <c r="A354" s="89" t="s">
        <v>344</v>
      </c>
      <c r="B354" s="96" t="s">
        <v>4735</v>
      </c>
      <c r="C354" s="90"/>
      <c r="D354" s="89" t="s">
        <v>75</v>
      </c>
      <c r="E354" s="91">
        <v>1.0</v>
      </c>
      <c r="F354" s="92">
        <v>4377.14</v>
      </c>
      <c r="G354" s="92">
        <v>4377.14</v>
      </c>
      <c r="H354" s="93"/>
      <c r="I354" s="92"/>
      <c r="J354" s="92"/>
      <c r="K354" s="92"/>
    </row>
    <row r="355" ht="12.75" customHeight="1">
      <c r="B355" s="90"/>
      <c r="E355" s="79"/>
      <c r="F355" s="80"/>
      <c r="G355" s="80"/>
      <c r="H355" s="81"/>
      <c r="I355" s="80"/>
      <c r="J355" s="80"/>
      <c r="K355" s="80"/>
    </row>
    <row r="356" ht="12.75" customHeight="1">
      <c r="A356" s="89" t="s">
        <v>346</v>
      </c>
      <c r="B356" s="96" t="s">
        <v>4736</v>
      </c>
      <c r="C356" s="90"/>
      <c r="E356" s="79"/>
      <c r="F356" s="80"/>
      <c r="G356" s="80"/>
      <c r="H356" s="81"/>
      <c r="I356" s="80"/>
      <c r="J356" s="80"/>
      <c r="K356" s="80"/>
    </row>
    <row r="357" ht="12.75" customHeight="1">
      <c r="B357" s="96"/>
      <c r="E357" s="79"/>
      <c r="F357" s="80"/>
      <c r="G357" s="80"/>
      <c r="H357" s="81"/>
      <c r="I357" s="80"/>
      <c r="J357" s="80"/>
      <c r="K357" s="80"/>
    </row>
    <row r="358" ht="12.75" customHeight="1">
      <c r="A358" s="89" t="s">
        <v>348</v>
      </c>
      <c r="B358" s="96" t="s">
        <v>4737</v>
      </c>
      <c r="C358" s="90"/>
      <c r="D358" s="89" t="s">
        <v>75</v>
      </c>
      <c r="E358" s="91">
        <v>1.0</v>
      </c>
      <c r="F358" s="92">
        <v>4377.14</v>
      </c>
      <c r="G358" s="92">
        <v>4377.14</v>
      </c>
      <c r="H358" s="93"/>
      <c r="I358" s="92"/>
      <c r="J358" s="92"/>
      <c r="K358" s="92"/>
    </row>
    <row r="359" ht="12.75" customHeight="1">
      <c r="B359" s="90"/>
      <c r="E359" s="79"/>
      <c r="F359" s="80"/>
      <c r="G359" s="80"/>
      <c r="H359" s="81"/>
      <c r="I359" s="80"/>
      <c r="J359" s="80"/>
      <c r="K359" s="80"/>
    </row>
    <row r="360" ht="12.75" customHeight="1">
      <c r="A360" s="89" t="s">
        <v>350</v>
      </c>
      <c r="B360" s="96" t="s">
        <v>4738</v>
      </c>
      <c r="C360" s="90"/>
      <c r="D360" s="89" t="s">
        <v>75</v>
      </c>
      <c r="E360" s="91">
        <v>1.0</v>
      </c>
      <c r="F360" s="92">
        <v>3219.82</v>
      </c>
      <c r="G360" s="92">
        <v>3219.82</v>
      </c>
      <c r="H360" s="93"/>
      <c r="I360" s="92"/>
      <c r="J360" s="92"/>
      <c r="K360" s="92"/>
    </row>
    <row r="361" ht="12.75" customHeight="1">
      <c r="B361" s="90"/>
      <c r="E361" s="79"/>
      <c r="F361" s="80"/>
      <c r="G361" s="80"/>
      <c r="H361" s="81"/>
      <c r="I361" s="80"/>
      <c r="J361" s="80"/>
      <c r="K361" s="80"/>
    </row>
    <row r="362" ht="12.75" customHeight="1">
      <c r="A362" s="89" t="s">
        <v>352</v>
      </c>
      <c r="B362" s="96" t="s">
        <v>4739</v>
      </c>
      <c r="C362" s="90"/>
      <c r="D362" s="89" t="s">
        <v>75</v>
      </c>
      <c r="E362" s="91">
        <v>1.0</v>
      </c>
      <c r="F362" s="92">
        <v>581.9</v>
      </c>
      <c r="G362" s="92">
        <v>581.9</v>
      </c>
      <c r="H362" s="93"/>
      <c r="I362" s="92"/>
      <c r="J362" s="92"/>
      <c r="K362" s="92"/>
    </row>
    <row r="363" ht="12.75" customHeight="1">
      <c r="B363" s="90"/>
      <c r="E363" s="79"/>
      <c r="F363" s="80"/>
      <c r="G363" s="80"/>
      <c r="H363" s="81"/>
      <c r="I363" s="80"/>
      <c r="J363" s="80"/>
      <c r="K363" s="80"/>
    </row>
    <row r="364" ht="12.75" customHeight="1">
      <c r="A364" s="89" t="s">
        <v>354</v>
      </c>
      <c r="B364" s="96" t="s">
        <v>4740</v>
      </c>
      <c r="C364" s="90"/>
      <c r="E364" s="79"/>
      <c r="F364" s="80"/>
      <c r="G364" s="80"/>
      <c r="H364" s="81"/>
      <c r="I364" s="80"/>
      <c r="J364" s="80"/>
      <c r="K364" s="80"/>
    </row>
    <row r="365" ht="12.75" customHeight="1">
      <c r="B365" s="90"/>
      <c r="E365" s="79"/>
      <c r="F365" s="80"/>
      <c r="G365" s="80"/>
      <c r="H365" s="81"/>
      <c r="I365" s="80"/>
      <c r="J365" s="80"/>
      <c r="K365" s="80"/>
    </row>
    <row r="366" ht="12.75" customHeight="1">
      <c r="A366" s="89" t="s">
        <v>356</v>
      </c>
      <c r="B366" s="96" t="s">
        <v>4741</v>
      </c>
      <c r="C366" s="90"/>
      <c r="D366" s="89" t="s">
        <v>75</v>
      </c>
      <c r="E366" s="91">
        <v>1.0</v>
      </c>
      <c r="F366" s="92">
        <v>4655.16</v>
      </c>
      <c r="G366" s="92">
        <v>4655.16</v>
      </c>
      <c r="H366" s="93"/>
      <c r="I366" s="92"/>
      <c r="J366" s="92"/>
      <c r="K366" s="92"/>
    </row>
    <row r="367" ht="12.75" customHeight="1">
      <c r="B367" s="90"/>
      <c r="E367" s="79"/>
      <c r="F367" s="80"/>
      <c r="G367" s="80"/>
      <c r="H367" s="81"/>
      <c r="I367" s="80"/>
      <c r="J367" s="80"/>
      <c r="K367" s="80"/>
    </row>
    <row r="368" ht="12.75" customHeight="1">
      <c r="A368" s="89" t="s">
        <v>358</v>
      </c>
      <c r="B368" s="96" t="s">
        <v>4742</v>
      </c>
      <c r="C368" s="90"/>
      <c r="E368" s="79"/>
      <c r="F368" s="80"/>
      <c r="G368" s="80"/>
      <c r="H368" s="81"/>
      <c r="I368" s="80"/>
      <c r="J368" s="80"/>
      <c r="K368" s="80"/>
    </row>
    <row r="369" ht="12.75" customHeight="1">
      <c r="B369" s="90"/>
      <c r="E369" s="79"/>
      <c r="F369" s="80"/>
      <c r="G369" s="80"/>
      <c r="H369" s="81"/>
      <c r="I369" s="80"/>
      <c r="J369" s="80"/>
      <c r="K369" s="80"/>
    </row>
    <row r="370" ht="12.75" customHeight="1">
      <c r="A370" s="89" t="s">
        <v>360</v>
      </c>
      <c r="B370" s="96" t="s">
        <v>4743</v>
      </c>
      <c r="C370" s="90"/>
      <c r="D370" s="89" t="s">
        <v>75</v>
      </c>
      <c r="E370" s="91">
        <v>1.0</v>
      </c>
      <c r="F370" s="92">
        <v>4461.2</v>
      </c>
      <c r="G370" s="92">
        <v>4461.2</v>
      </c>
      <c r="H370" s="93"/>
      <c r="I370" s="92"/>
      <c r="J370" s="92"/>
      <c r="K370" s="92"/>
    </row>
    <row r="371" ht="12.75" customHeight="1">
      <c r="B371" s="90"/>
      <c r="E371" s="79"/>
      <c r="F371" s="80"/>
      <c r="G371" s="80"/>
      <c r="H371" s="81"/>
      <c r="I371" s="80"/>
      <c r="J371" s="80"/>
      <c r="K371" s="80"/>
    </row>
    <row r="372" ht="12.75" customHeight="1">
      <c r="A372" s="89" t="s">
        <v>362</v>
      </c>
      <c r="B372" s="96" t="s">
        <v>4744</v>
      </c>
      <c r="C372" s="90"/>
      <c r="E372" s="79"/>
      <c r="F372" s="80"/>
      <c r="G372" s="80"/>
      <c r="H372" s="81"/>
      <c r="I372" s="80"/>
      <c r="J372" s="80"/>
      <c r="K372" s="80"/>
    </row>
    <row r="373" ht="12.75" customHeight="1">
      <c r="B373" s="90"/>
      <c r="E373" s="79"/>
      <c r="F373" s="80"/>
      <c r="G373" s="80"/>
      <c r="H373" s="81"/>
      <c r="I373" s="80"/>
      <c r="J373" s="80"/>
      <c r="K373" s="80"/>
    </row>
    <row r="374" ht="12.75" customHeight="1">
      <c r="A374" s="89" t="s">
        <v>364</v>
      </c>
      <c r="B374" s="96" t="s">
        <v>4745</v>
      </c>
      <c r="C374" s="90"/>
      <c r="D374" s="89" t="s">
        <v>75</v>
      </c>
      <c r="E374" s="91">
        <v>1.0</v>
      </c>
      <c r="F374" s="92">
        <v>581.9</v>
      </c>
      <c r="G374" s="92">
        <v>581.9</v>
      </c>
      <c r="H374" s="93"/>
      <c r="I374" s="92"/>
      <c r="J374" s="92"/>
      <c r="K374" s="92"/>
    </row>
    <row r="375" ht="12.75" customHeight="1">
      <c r="B375" s="90"/>
      <c r="E375" s="79"/>
      <c r="F375" s="80"/>
      <c r="G375" s="80"/>
      <c r="H375" s="81"/>
      <c r="I375" s="80"/>
      <c r="J375" s="80"/>
      <c r="K375" s="80"/>
    </row>
    <row r="376" ht="12.75" customHeight="1">
      <c r="A376" s="89" t="s">
        <v>366</v>
      </c>
      <c r="B376" s="96" t="s">
        <v>4746</v>
      </c>
      <c r="C376" s="90"/>
      <c r="E376" s="79"/>
      <c r="F376" s="80"/>
      <c r="G376" s="80"/>
      <c r="H376" s="81"/>
      <c r="I376" s="80"/>
      <c r="J376" s="80"/>
      <c r="K376" s="80"/>
    </row>
    <row r="377" ht="12.75" customHeight="1">
      <c r="B377" s="90"/>
      <c r="E377" s="79"/>
      <c r="F377" s="80"/>
      <c r="G377" s="80"/>
      <c r="H377" s="81"/>
      <c r="I377" s="80"/>
      <c r="J377" s="80"/>
      <c r="K377" s="80"/>
    </row>
    <row r="378" ht="12.75" customHeight="1">
      <c r="A378" s="89" t="s">
        <v>368</v>
      </c>
      <c r="B378" s="96" t="s">
        <v>4747</v>
      </c>
      <c r="C378" s="90"/>
      <c r="D378" s="89" t="s">
        <v>75</v>
      </c>
      <c r="E378" s="91">
        <v>1.0</v>
      </c>
      <c r="F378" s="92">
        <v>3426.72</v>
      </c>
      <c r="G378" s="92">
        <v>3426.72</v>
      </c>
      <c r="H378" s="93"/>
      <c r="I378" s="92"/>
      <c r="J378" s="92"/>
      <c r="K378" s="92"/>
    </row>
    <row r="379" ht="12.75" customHeight="1">
      <c r="B379" s="90"/>
      <c r="E379" s="79"/>
      <c r="F379" s="80"/>
      <c r="G379" s="80"/>
      <c r="H379" s="81"/>
      <c r="I379" s="80"/>
      <c r="J379" s="80"/>
      <c r="K379" s="80"/>
    </row>
    <row r="380" ht="12.75" customHeight="1">
      <c r="A380" s="89" t="s">
        <v>370</v>
      </c>
      <c r="B380" s="96" t="s">
        <v>4748</v>
      </c>
      <c r="C380" s="90"/>
      <c r="D380" s="89" t="s">
        <v>75</v>
      </c>
      <c r="E380" s="91">
        <v>1.0</v>
      </c>
      <c r="F380" s="92">
        <v>3426.72</v>
      </c>
      <c r="G380" s="92">
        <v>3426.72</v>
      </c>
      <c r="H380" s="93"/>
      <c r="I380" s="92"/>
      <c r="J380" s="92"/>
      <c r="K380" s="92"/>
    </row>
    <row r="381" ht="12.75" customHeight="1">
      <c r="B381" s="90"/>
      <c r="E381" s="79"/>
      <c r="F381" s="80"/>
      <c r="G381" s="80"/>
      <c r="H381" s="81"/>
      <c r="I381" s="80"/>
      <c r="J381" s="80"/>
      <c r="K381" s="80"/>
    </row>
    <row r="382" ht="12.75" customHeight="1">
      <c r="A382" s="89" t="s">
        <v>372</v>
      </c>
      <c r="B382" s="96" t="s">
        <v>4749</v>
      </c>
      <c r="C382" s="90"/>
      <c r="D382" s="89" t="s">
        <v>75</v>
      </c>
      <c r="E382" s="91">
        <v>1.0</v>
      </c>
      <c r="F382" s="92">
        <v>581.9</v>
      </c>
      <c r="G382" s="92">
        <v>581.9</v>
      </c>
      <c r="H382" s="93"/>
      <c r="I382" s="92"/>
      <c r="J382" s="92"/>
      <c r="K382" s="92"/>
    </row>
    <row r="383" ht="12.75" customHeight="1">
      <c r="B383" s="90"/>
      <c r="E383" s="79"/>
      <c r="F383" s="80"/>
      <c r="G383" s="80"/>
      <c r="H383" s="81"/>
      <c r="I383" s="80"/>
      <c r="J383" s="80"/>
      <c r="K383" s="80"/>
    </row>
    <row r="384" ht="12.75" customHeight="1">
      <c r="A384" s="89" t="s">
        <v>374</v>
      </c>
      <c r="B384" s="96" t="s">
        <v>4750</v>
      </c>
      <c r="C384" s="90"/>
      <c r="D384" s="89" t="s">
        <v>75</v>
      </c>
      <c r="E384" s="91">
        <v>1.0</v>
      </c>
      <c r="F384" s="92">
        <v>3426.72</v>
      </c>
      <c r="G384" s="92">
        <v>3426.72</v>
      </c>
      <c r="H384" s="93"/>
      <c r="I384" s="92"/>
      <c r="J384" s="92"/>
      <c r="K384" s="92"/>
    </row>
    <row r="385" ht="12.75" customHeight="1">
      <c r="B385" s="90"/>
      <c r="E385" s="79"/>
      <c r="F385" s="80"/>
      <c r="G385" s="80"/>
      <c r="H385" s="81"/>
      <c r="I385" s="80"/>
      <c r="J385" s="80"/>
      <c r="K385" s="80"/>
    </row>
    <row r="386" ht="12.75" customHeight="1">
      <c r="A386" s="89" t="s">
        <v>376</v>
      </c>
      <c r="B386" s="96" t="s">
        <v>4751</v>
      </c>
      <c r="C386" s="90"/>
      <c r="D386" s="89" t="s">
        <v>75</v>
      </c>
      <c r="E386" s="91">
        <v>1.0</v>
      </c>
      <c r="F386" s="92">
        <v>3426.72</v>
      </c>
      <c r="G386" s="92">
        <v>3426.72</v>
      </c>
      <c r="H386" s="93"/>
      <c r="I386" s="92"/>
      <c r="J386" s="92"/>
      <c r="K386" s="92"/>
    </row>
    <row r="387" ht="12.75" customHeight="1">
      <c r="B387" s="90"/>
      <c r="E387" s="79"/>
      <c r="F387" s="80"/>
      <c r="G387" s="80"/>
      <c r="H387" s="81"/>
      <c r="I387" s="80"/>
      <c r="J387" s="80"/>
      <c r="K387" s="80"/>
    </row>
    <row r="388" ht="12.75" customHeight="1">
      <c r="A388" s="89" t="s">
        <v>378</v>
      </c>
      <c r="B388" s="96" t="s">
        <v>4752</v>
      </c>
      <c r="C388" s="90"/>
      <c r="D388" s="89" t="s">
        <v>75</v>
      </c>
      <c r="E388" s="91">
        <v>1.0</v>
      </c>
      <c r="F388" s="92">
        <v>581.9</v>
      </c>
      <c r="G388" s="92">
        <v>581.9</v>
      </c>
      <c r="H388" s="93"/>
      <c r="I388" s="92"/>
      <c r="J388" s="92"/>
      <c r="K388" s="92"/>
    </row>
    <row r="389" ht="12.75" customHeight="1">
      <c r="B389" s="90"/>
      <c r="E389" s="79"/>
      <c r="F389" s="80"/>
      <c r="G389" s="80"/>
      <c r="H389" s="81"/>
      <c r="I389" s="80"/>
      <c r="J389" s="80"/>
      <c r="K389" s="80"/>
    </row>
    <row r="390" ht="12.75" customHeight="1">
      <c r="A390" s="89" t="s">
        <v>244</v>
      </c>
      <c r="B390" s="96" t="s">
        <v>4686</v>
      </c>
      <c r="C390" s="90"/>
      <c r="E390" s="79"/>
      <c r="F390" s="80"/>
      <c r="G390" s="92">
        <v>93859.78</v>
      </c>
      <c r="H390" s="93">
        <f>G390</f>
        <v>93859.78</v>
      </c>
      <c r="I390" s="92"/>
      <c r="J390" s="92"/>
      <c r="K390" s="92"/>
    </row>
    <row r="391" ht="12.75" customHeight="1">
      <c r="B391" s="90"/>
      <c r="E391" s="79"/>
      <c r="F391" s="80"/>
      <c r="G391" s="80"/>
      <c r="H391" s="81"/>
      <c r="I391" s="80"/>
      <c r="J391" s="80"/>
      <c r="K391" s="80"/>
    </row>
    <row r="392" ht="12.75" customHeight="1">
      <c r="B392" s="90"/>
      <c r="E392" s="79"/>
      <c r="F392" s="80"/>
      <c r="G392" s="80"/>
      <c r="H392" s="81"/>
      <c r="I392" s="80"/>
      <c r="J392" s="80"/>
      <c r="K392" s="80"/>
    </row>
    <row r="393" ht="12.75" customHeight="1">
      <c r="A393" s="89" t="s">
        <v>3859</v>
      </c>
      <c r="B393" s="96" t="s">
        <v>4753</v>
      </c>
      <c r="C393" s="90"/>
      <c r="E393" s="79"/>
      <c r="F393" s="80"/>
      <c r="G393" s="80"/>
      <c r="H393" s="81"/>
      <c r="I393" s="80"/>
      <c r="J393" s="80"/>
      <c r="K393" s="80"/>
    </row>
    <row r="394" ht="12.75" customHeight="1">
      <c r="B394" s="90"/>
      <c r="E394" s="79"/>
      <c r="F394" s="80"/>
      <c r="G394" s="80"/>
      <c r="H394" s="81"/>
      <c r="I394" s="80"/>
      <c r="J394" s="80"/>
      <c r="K394" s="80"/>
    </row>
    <row r="395" ht="12.75" customHeight="1">
      <c r="A395" s="89" t="s">
        <v>381</v>
      </c>
      <c r="B395" s="96" t="s">
        <v>4754</v>
      </c>
      <c r="C395" s="90"/>
      <c r="E395" s="79" t="s">
        <v>383</v>
      </c>
      <c r="F395" s="80"/>
      <c r="G395" s="80"/>
      <c r="H395" s="81"/>
      <c r="I395" s="80"/>
      <c r="J395" s="80"/>
      <c r="K395" s="80"/>
    </row>
    <row r="396" ht="12.75" customHeight="1">
      <c r="A396" s="119"/>
      <c r="B396" s="418"/>
      <c r="C396" s="119"/>
      <c r="D396" s="119"/>
      <c r="E396" s="120"/>
      <c r="F396" s="108"/>
      <c r="G396" s="108"/>
      <c r="H396" s="121"/>
      <c r="I396" s="108"/>
      <c r="J396" s="108"/>
      <c r="K396" s="108"/>
    </row>
    <row r="397" ht="12.75" customHeight="1">
      <c r="A397" s="89" t="s">
        <v>384</v>
      </c>
      <c r="B397" s="96" t="s">
        <v>4755</v>
      </c>
      <c r="C397" s="90"/>
      <c r="E397" s="79"/>
      <c r="F397" s="80"/>
      <c r="G397" s="80"/>
      <c r="H397" s="81"/>
      <c r="I397" s="80"/>
      <c r="J397" s="80"/>
      <c r="K397" s="80"/>
    </row>
    <row r="398" ht="12.75" customHeight="1">
      <c r="B398" s="90"/>
      <c r="E398" s="79"/>
      <c r="F398" s="80"/>
      <c r="G398" s="80"/>
      <c r="H398" s="81"/>
      <c r="I398" s="80"/>
      <c r="J398" s="80"/>
      <c r="K398" s="80"/>
    </row>
    <row r="399" ht="12.75" customHeight="1">
      <c r="A399" s="89" t="s">
        <v>386</v>
      </c>
      <c r="B399" s="96" t="s">
        <v>4756</v>
      </c>
      <c r="C399" s="90"/>
      <c r="D399" s="89" t="s">
        <v>75</v>
      </c>
      <c r="E399" s="91">
        <v>1.0</v>
      </c>
      <c r="F399" s="92">
        <v>1665.41</v>
      </c>
      <c r="G399" s="92">
        <v>1665.41</v>
      </c>
      <c r="H399" s="93"/>
      <c r="I399" s="92"/>
      <c r="J399" s="92"/>
      <c r="K399" s="92"/>
    </row>
    <row r="400" ht="12.75" customHeight="1">
      <c r="B400" s="90"/>
      <c r="E400" s="79"/>
      <c r="F400" s="80"/>
      <c r="G400" s="80"/>
      <c r="H400" s="81"/>
      <c r="I400" s="80"/>
      <c r="J400" s="80"/>
      <c r="K400" s="80"/>
    </row>
    <row r="401" ht="12.75" customHeight="1">
      <c r="A401" s="89" t="s">
        <v>388</v>
      </c>
      <c r="B401" s="96" t="s">
        <v>4757</v>
      </c>
      <c r="C401" s="90"/>
      <c r="D401" s="89" t="s">
        <v>75</v>
      </c>
      <c r="E401" s="91">
        <v>1.0</v>
      </c>
      <c r="F401" s="92">
        <v>6936.85</v>
      </c>
      <c r="G401" s="92">
        <v>6936.85</v>
      </c>
      <c r="H401" s="93"/>
      <c r="I401" s="92"/>
      <c r="J401" s="92"/>
      <c r="K401" s="92"/>
    </row>
    <row r="402" ht="12.75" customHeight="1">
      <c r="B402" s="90"/>
      <c r="E402" s="79"/>
      <c r="F402" s="80"/>
      <c r="G402" s="80"/>
      <c r="H402" s="81"/>
      <c r="I402" s="80"/>
      <c r="J402" s="80"/>
      <c r="K402" s="80"/>
    </row>
    <row r="403" ht="12.75" customHeight="1">
      <c r="A403" s="89" t="s">
        <v>390</v>
      </c>
      <c r="B403" s="96" t="s">
        <v>4758</v>
      </c>
      <c r="C403" s="90"/>
      <c r="D403" s="89" t="s">
        <v>75</v>
      </c>
      <c r="E403" s="91">
        <v>1.0</v>
      </c>
      <c r="F403" s="92">
        <v>6859.59</v>
      </c>
      <c r="G403" s="92">
        <v>6859.59</v>
      </c>
      <c r="H403" s="93"/>
      <c r="I403" s="92"/>
      <c r="J403" s="92"/>
      <c r="K403" s="92"/>
    </row>
    <row r="404" ht="12.75" customHeight="1">
      <c r="B404" s="90"/>
      <c r="E404" s="79"/>
      <c r="F404" s="80"/>
      <c r="G404" s="80"/>
      <c r="H404" s="81"/>
      <c r="I404" s="80"/>
      <c r="J404" s="80"/>
      <c r="K404" s="80"/>
    </row>
    <row r="405" ht="12.75" customHeight="1">
      <c r="A405" s="89" t="s">
        <v>392</v>
      </c>
      <c r="B405" s="96" t="s">
        <v>4759</v>
      </c>
      <c r="C405" s="90"/>
      <c r="D405" s="89" t="s">
        <v>75</v>
      </c>
      <c r="E405" s="91">
        <v>1.0</v>
      </c>
      <c r="F405" s="92">
        <v>5117.07</v>
      </c>
      <c r="G405" s="92">
        <v>5117.07</v>
      </c>
      <c r="H405" s="93"/>
      <c r="I405" s="92"/>
      <c r="J405" s="92"/>
      <c r="K405" s="92"/>
    </row>
    <row r="406" ht="12.75" customHeight="1">
      <c r="B406" s="90"/>
      <c r="E406" s="79"/>
      <c r="F406" s="80"/>
      <c r="G406" s="80"/>
      <c r="H406" s="81"/>
      <c r="I406" s="80"/>
      <c r="J406" s="80"/>
      <c r="K406" s="80"/>
    </row>
    <row r="407" ht="12.75" customHeight="1">
      <c r="A407" s="89" t="s">
        <v>394</v>
      </c>
      <c r="B407" s="96" t="s">
        <v>4760</v>
      </c>
      <c r="C407" s="90"/>
      <c r="D407" s="89" t="s">
        <v>75</v>
      </c>
      <c r="E407" s="91">
        <v>1.0</v>
      </c>
      <c r="F407" s="92">
        <v>8348.21</v>
      </c>
      <c r="G407" s="92">
        <v>8348.21</v>
      </c>
      <c r="H407" s="93"/>
      <c r="I407" s="92"/>
      <c r="J407" s="92"/>
      <c r="K407" s="92"/>
    </row>
    <row r="408" ht="12.75" customHeight="1">
      <c r="B408" s="90"/>
      <c r="E408" s="79"/>
      <c r="F408" s="80"/>
      <c r="G408" s="80"/>
      <c r="H408" s="81"/>
      <c r="I408" s="80"/>
      <c r="J408" s="80"/>
      <c r="K408" s="80"/>
    </row>
    <row r="409" ht="12.75" customHeight="1">
      <c r="A409" s="89" t="s">
        <v>396</v>
      </c>
      <c r="B409" s="96" t="s">
        <v>4761</v>
      </c>
      <c r="C409" s="90"/>
      <c r="D409" s="89" t="s">
        <v>75</v>
      </c>
      <c r="E409" s="91">
        <v>1.0</v>
      </c>
      <c r="F409" s="92">
        <v>8645.02</v>
      </c>
      <c r="G409" s="92">
        <v>8645.02</v>
      </c>
      <c r="H409" s="93"/>
      <c r="I409" s="92"/>
      <c r="J409" s="92"/>
      <c r="K409" s="92"/>
    </row>
    <row r="410" ht="12.75" customHeight="1">
      <c r="B410" s="90"/>
      <c r="E410" s="79"/>
      <c r="F410" s="80"/>
      <c r="G410" s="80"/>
      <c r="H410" s="81"/>
      <c r="I410" s="80"/>
      <c r="J410" s="80"/>
      <c r="K410" s="80"/>
    </row>
    <row r="411" ht="12.75" customHeight="1">
      <c r="A411" s="89" t="s">
        <v>398</v>
      </c>
      <c r="B411" s="96" t="s">
        <v>4762</v>
      </c>
      <c r="C411" s="90"/>
      <c r="D411" s="89" t="s">
        <v>75</v>
      </c>
      <c r="E411" s="91">
        <v>1.0</v>
      </c>
      <c r="F411" s="92">
        <v>7254.03</v>
      </c>
      <c r="G411" s="92">
        <v>7254.03</v>
      </c>
      <c r="H411" s="93"/>
      <c r="I411" s="92"/>
      <c r="J411" s="92"/>
      <c r="K411" s="92"/>
    </row>
    <row r="412" ht="12.75" customHeight="1">
      <c r="B412" s="90"/>
      <c r="E412" s="79"/>
      <c r="F412" s="80"/>
      <c r="G412" s="80"/>
      <c r="H412" s="81"/>
      <c r="I412" s="80"/>
      <c r="J412" s="80"/>
      <c r="K412" s="80"/>
    </row>
    <row r="413" ht="12.75" customHeight="1">
      <c r="A413" s="89" t="s">
        <v>400</v>
      </c>
      <c r="B413" s="96" t="s">
        <v>4763</v>
      </c>
      <c r="C413" s="90"/>
      <c r="D413" s="89" t="s">
        <v>75</v>
      </c>
      <c r="E413" s="91">
        <v>1.0</v>
      </c>
      <c r="F413" s="92">
        <v>9842.38</v>
      </c>
      <c r="G413" s="92">
        <v>9842.38</v>
      </c>
      <c r="H413" s="93"/>
      <c r="I413" s="92"/>
      <c r="J413" s="92"/>
      <c r="K413" s="92"/>
    </row>
    <row r="414" ht="12.75" customHeight="1">
      <c r="B414" s="90"/>
      <c r="E414" s="79"/>
      <c r="F414" s="80"/>
      <c r="G414" s="80"/>
      <c r="H414" s="81"/>
      <c r="I414" s="80"/>
      <c r="J414" s="80"/>
      <c r="K414" s="80"/>
    </row>
    <row r="415" ht="12.75" customHeight="1">
      <c r="A415" s="89" t="s">
        <v>402</v>
      </c>
      <c r="B415" s="96" t="s">
        <v>4764</v>
      </c>
      <c r="C415" s="90"/>
      <c r="D415" s="89" t="s">
        <v>75</v>
      </c>
      <c r="E415" s="91">
        <v>1.0</v>
      </c>
      <c r="F415" s="92">
        <v>9959.03</v>
      </c>
      <c r="G415" s="92">
        <v>9959.03</v>
      </c>
      <c r="H415" s="93"/>
      <c r="I415" s="92"/>
      <c r="J415" s="92"/>
      <c r="K415" s="92"/>
    </row>
    <row r="416" ht="12.75" customHeight="1">
      <c r="B416" s="90"/>
      <c r="E416" s="79"/>
      <c r="F416" s="80"/>
      <c r="G416" s="80"/>
      <c r="H416" s="81"/>
      <c r="I416" s="80"/>
      <c r="J416" s="80"/>
      <c r="K416" s="80"/>
    </row>
    <row r="417" ht="12.75" customHeight="1">
      <c r="A417" s="89" t="s">
        <v>404</v>
      </c>
      <c r="B417" s="96" t="s">
        <v>4765</v>
      </c>
      <c r="C417" s="90"/>
      <c r="D417" s="89" t="s">
        <v>75</v>
      </c>
      <c r="E417" s="91">
        <v>1.0</v>
      </c>
      <c r="F417" s="92">
        <v>2212.66</v>
      </c>
      <c r="G417" s="92">
        <v>2212.66</v>
      </c>
      <c r="H417" s="93"/>
      <c r="I417" s="92"/>
      <c r="J417" s="92"/>
      <c r="K417" s="92"/>
    </row>
    <row r="418" ht="12.75" customHeight="1">
      <c r="B418" s="90"/>
      <c r="E418" s="79"/>
      <c r="F418" s="80"/>
      <c r="G418" s="80"/>
      <c r="H418" s="81"/>
      <c r="I418" s="80"/>
      <c r="J418" s="80"/>
      <c r="K418" s="80"/>
    </row>
    <row r="419" ht="12.75" customHeight="1">
      <c r="A419" s="89" t="s">
        <v>406</v>
      </c>
      <c r="B419" s="96" t="s">
        <v>4766</v>
      </c>
      <c r="C419" s="90"/>
      <c r="D419" s="89" t="s">
        <v>75</v>
      </c>
      <c r="E419" s="91">
        <v>1.0</v>
      </c>
      <c r="F419" s="92">
        <v>5003.66</v>
      </c>
      <c r="G419" s="92">
        <v>5003.66</v>
      </c>
      <c r="H419" s="93"/>
      <c r="I419" s="92"/>
      <c r="J419" s="92"/>
      <c r="K419" s="92"/>
    </row>
    <row r="420" ht="12.75" customHeight="1">
      <c r="B420" s="90"/>
      <c r="E420" s="79"/>
      <c r="F420" s="80"/>
      <c r="G420" s="80"/>
      <c r="H420" s="81"/>
      <c r="I420" s="80"/>
      <c r="J420" s="80"/>
      <c r="K420" s="80"/>
    </row>
    <row r="421" ht="12.75" customHeight="1">
      <c r="A421" s="89" t="s">
        <v>408</v>
      </c>
      <c r="B421" s="96" t="s">
        <v>4767</v>
      </c>
      <c r="C421" s="90"/>
      <c r="D421" s="89" t="s">
        <v>75</v>
      </c>
      <c r="E421" s="91">
        <v>1.0</v>
      </c>
      <c r="F421" s="92">
        <v>2343.99</v>
      </c>
      <c r="G421" s="92">
        <v>2343.99</v>
      </c>
      <c r="H421" s="93"/>
      <c r="I421" s="92"/>
      <c r="J421" s="92"/>
      <c r="K421" s="92"/>
    </row>
    <row r="422" ht="12.75" customHeight="1">
      <c r="B422" s="90"/>
      <c r="E422" s="79"/>
      <c r="F422" s="80"/>
      <c r="G422" s="80"/>
      <c r="H422" s="81"/>
      <c r="I422" s="80"/>
      <c r="J422" s="80"/>
      <c r="K422" s="80"/>
    </row>
    <row r="423" ht="12.75" customHeight="1">
      <c r="A423" s="89" t="s">
        <v>410</v>
      </c>
      <c r="B423" s="96" t="s">
        <v>4768</v>
      </c>
      <c r="C423" s="90"/>
      <c r="D423" s="89" t="s">
        <v>75</v>
      </c>
      <c r="E423" s="91">
        <v>1.0</v>
      </c>
      <c r="F423" s="92">
        <v>29659.94</v>
      </c>
      <c r="G423" s="92">
        <v>29659.94</v>
      </c>
      <c r="H423" s="93"/>
      <c r="I423" s="92"/>
      <c r="J423" s="92"/>
      <c r="K423" s="92"/>
    </row>
    <row r="424" ht="12.75" customHeight="1">
      <c r="B424" s="90"/>
      <c r="E424" s="79"/>
      <c r="F424" s="80"/>
      <c r="G424" s="80"/>
      <c r="H424" s="81"/>
      <c r="I424" s="80"/>
      <c r="J424" s="80"/>
      <c r="K424" s="80"/>
    </row>
    <row r="425" ht="12.75" customHeight="1">
      <c r="A425" s="89" t="s">
        <v>412</v>
      </c>
      <c r="B425" s="96" t="s">
        <v>4769</v>
      </c>
      <c r="C425" s="90"/>
      <c r="D425" s="89" t="s">
        <v>75</v>
      </c>
      <c r="E425" s="91">
        <v>1.0</v>
      </c>
      <c r="F425" s="92">
        <v>8245.19</v>
      </c>
      <c r="G425" s="92">
        <v>8245.19</v>
      </c>
      <c r="H425" s="93"/>
      <c r="I425" s="92"/>
      <c r="J425" s="92"/>
      <c r="K425" s="92"/>
    </row>
    <row r="426" ht="12.75" customHeight="1">
      <c r="B426" s="90"/>
      <c r="E426" s="79"/>
      <c r="F426" s="80"/>
      <c r="G426" s="80"/>
      <c r="H426" s="81"/>
      <c r="I426" s="80"/>
      <c r="J426" s="80"/>
      <c r="K426" s="80"/>
    </row>
    <row r="427" ht="12.75" customHeight="1">
      <c r="A427" s="89" t="s">
        <v>414</v>
      </c>
      <c r="B427" s="96" t="s">
        <v>4770</v>
      </c>
      <c r="C427" s="90"/>
      <c r="D427" s="89" t="s">
        <v>75</v>
      </c>
      <c r="E427" s="91">
        <v>1.0</v>
      </c>
      <c r="F427" s="92">
        <v>6157.46</v>
      </c>
      <c r="G427" s="92">
        <v>6157.46</v>
      </c>
      <c r="H427" s="93"/>
      <c r="I427" s="92"/>
      <c r="J427" s="92"/>
      <c r="K427" s="92"/>
    </row>
    <row r="428" ht="12.75" customHeight="1">
      <c r="B428" s="90"/>
      <c r="E428" s="79"/>
      <c r="F428" s="80"/>
      <c r="G428" s="80"/>
      <c r="H428" s="81"/>
      <c r="I428" s="80"/>
      <c r="J428" s="80"/>
      <c r="K428" s="80"/>
    </row>
    <row r="429" ht="12.75" customHeight="1">
      <c r="A429" s="89" t="s">
        <v>416</v>
      </c>
      <c r="B429" s="96" t="s">
        <v>4771</v>
      </c>
      <c r="C429" s="90"/>
      <c r="D429" s="89" t="s">
        <v>75</v>
      </c>
      <c r="E429" s="91">
        <v>1.0</v>
      </c>
      <c r="F429" s="92">
        <v>4489.9</v>
      </c>
      <c r="G429" s="92">
        <v>4489.9</v>
      </c>
      <c r="H429" s="93"/>
      <c r="I429" s="92"/>
      <c r="J429" s="92"/>
      <c r="K429" s="92"/>
    </row>
    <row r="430" ht="12.75" customHeight="1">
      <c r="B430" s="90"/>
      <c r="E430" s="79"/>
      <c r="F430" s="80"/>
      <c r="G430" s="80"/>
      <c r="H430" s="81"/>
      <c r="I430" s="80"/>
      <c r="J430" s="80"/>
      <c r="K430" s="80"/>
    </row>
    <row r="431" ht="12.75" customHeight="1">
      <c r="A431" s="89" t="s">
        <v>418</v>
      </c>
      <c r="B431" s="96" t="s">
        <v>4772</v>
      </c>
      <c r="C431" s="90"/>
      <c r="D431" s="89" t="s">
        <v>75</v>
      </c>
      <c r="E431" s="91">
        <v>1.0</v>
      </c>
      <c r="F431" s="92">
        <v>5300.08</v>
      </c>
      <c r="G431" s="92">
        <v>5300.08</v>
      </c>
      <c r="H431" s="93"/>
      <c r="I431" s="92"/>
      <c r="J431" s="92"/>
      <c r="K431" s="92"/>
    </row>
    <row r="432" ht="12.75" customHeight="1">
      <c r="B432" s="90"/>
      <c r="E432" s="79"/>
      <c r="F432" s="80"/>
      <c r="G432" s="80"/>
      <c r="H432" s="81"/>
      <c r="I432" s="80"/>
      <c r="J432" s="80"/>
      <c r="K432" s="80"/>
    </row>
    <row r="433" ht="12.75" customHeight="1">
      <c r="A433" s="89" t="s">
        <v>420</v>
      </c>
      <c r="B433" s="96" t="s">
        <v>4773</v>
      </c>
      <c r="C433" s="90"/>
      <c r="D433" s="89" t="s">
        <v>75</v>
      </c>
      <c r="E433" s="91">
        <v>1.0</v>
      </c>
      <c r="F433" s="92">
        <v>5491.28</v>
      </c>
      <c r="G433" s="92">
        <v>5491.28</v>
      </c>
      <c r="H433" s="93"/>
      <c r="I433" s="92"/>
      <c r="J433" s="92"/>
      <c r="K433" s="92"/>
    </row>
    <row r="434" ht="12.75" customHeight="1">
      <c r="B434" s="90"/>
      <c r="E434" s="79"/>
      <c r="F434" s="80"/>
      <c r="G434" s="80"/>
      <c r="H434" s="81"/>
      <c r="I434" s="80"/>
      <c r="J434" s="80"/>
      <c r="K434" s="80"/>
    </row>
    <row r="435" ht="12.75" customHeight="1">
      <c r="A435" s="89" t="s">
        <v>422</v>
      </c>
      <c r="B435" s="96" t="s">
        <v>4774</v>
      </c>
      <c r="C435" s="90"/>
      <c r="D435" s="89" t="s">
        <v>75</v>
      </c>
      <c r="E435" s="91">
        <v>1.0</v>
      </c>
      <c r="F435" s="92">
        <v>1697.15</v>
      </c>
      <c r="G435" s="92">
        <v>1697.15</v>
      </c>
      <c r="H435" s="93"/>
      <c r="I435" s="92"/>
      <c r="J435" s="92"/>
      <c r="K435" s="92"/>
    </row>
    <row r="436" ht="12.75" customHeight="1">
      <c r="B436" s="90"/>
      <c r="E436" s="79"/>
      <c r="F436" s="80"/>
      <c r="G436" s="80"/>
      <c r="H436" s="81"/>
      <c r="I436" s="80"/>
      <c r="J436" s="80"/>
      <c r="K436" s="80"/>
    </row>
    <row r="437" ht="12.75" customHeight="1">
      <c r="A437" s="89" t="s">
        <v>424</v>
      </c>
      <c r="B437" s="96" t="s">
        <v>4775</v>
      </c>
      <c r="C437" s="90"/>
      <c r="D437" s="89" t="s">
        <v>75</v>
      </c>
      <c r="E437" s="91">
        <v>1.0</v>
      </c>
      <c r="F437" s="92">
        <v>5003.66</v>
      </c>
      <c r="G437" s="92">
        <v>5003.66</v>
      </c>
      <c r="H437" s="93"/>
      <c r="I437" s="92"/>
      <c r="J437" s="92"/>
      <c r="K437" s="92"/>
    </row>
    <row r="438" ht="12.75" customHeight="1">
      <c r="B438" s="90"/>
      <c r="E438" s="79"/>
      <c r="F438" s="80"/>
      <c r="G438" s="80"/>
      <c r="H438" s="81"/>
      <c r="I438" s="80"/>
      <c r="J438" s="80"/>
      <c r="K438" s="80"/>
    </row>
    <row r="439" ht="12.75" customHeight="1">
      <c r="A439" s="89" t="s">
        <v>426</v>
      </c>
      <c r="B439" s="96" t="s">
        <v>4776</v>
      </c>
      <c r="C439" s="90"/>
      <c r="D439" s="89" t="s">
        <v>75</v>
      </c>
      <c r="E439" s="91">
        <v>1.0</v>
      </c>
      <c r="F439" s="92">
        <v>1269.31</v>
      </c>
      <c r="G439" s="92">
        <v>1269.31</v>
      </c>
      <c r="H439" s="93"/>
      <c r="I439" s="92"/>
      <c r="J439" s="92"/>
      <c r="K439" s="92"/>
    </row>
    <row r="440" ht="12.75" customHeight="1">
      <c r="B440" s="90"/>
      <c r="E440" s="79"/>
      <c r="F440" s="80"/>
      <c r="G440" s="80"/>
      <c r="H440" s="81"/>
      <c r="I440" s="80"/>
      <c r="J440" s="80"/>
      <c r="K440" s="80"/>
    </row>
    <row r="441" ht="12.75" customHeight="1">
      <c r="A441" s="89" t="s">
        <v>428</v>
      </c>
      <c r="B441" s="96" t="s">
        <v>4777</v>
      </c>
      <c r="C441" s="90"/>
      <c r="E441" s="79"/>
      <c r="F441" s="80"/>
      <c r="G441" s="80"/>
      <c r="H441" s="81"/>
      <c r="I441" s="80"/>
      <c r="J441" s="80"/>
      <c r="K441" s="80"/>
    </row>
    <row r="442" ht="12.75" customHeight="1">
      <c r="B442" s="90"/>
      <c r="E442" s="79"/>
      <c r="F442" s="80"/>
      <c r="G442" s="80"/>
      <c r="H442" s="81"/>
      <c r="I442" s="80"/>
      <c r="J442" s="80"/>
      <c r="K442" s="80"/>
    </row>
    <row r="443" ht="12.75" customHeight="1">
      <c r="A443" s="89" t="s">
        <v>430</v>
      </c>
      <c r="B443" s="96" t="s">
        <v>4778</v>
      </c>
      <c r="C443" s="90"/>
      <c r="D443" s="89" t="s">
        <v>75</v>
      </c>
      <c r="E443" s="91">
        <v>1.0</v>
      </c>
      <c r="F443" s="92">
        <v>403.01</v>
      </c>
      <c r="G443" s="92">
        <v>403.01</v>
      </c>
      <c r="H443" s="93"/>
      <c r="I443" s="92"/>
      <c r="J443" s="92"/>
      <c r="K443" s="92"/>
    </row>
    <row r="444" ht="12.75" customHeight="1">
      <c r="B444" s="90"/>
      <c r="E444" s="79"/>
      <c r="F444" s="80"/>
      <c r="G444" s="80"/>
      <c r="H444" s="81"/>
      <c r="I444" s="80"/>
      <c r="J444" s="80"/>
      <c r="K444" s="80"/>
    </row>
    <row r="445" ht="12.75" customHeight="1">
      <c r="A445" s="89" t="s">
        <v>432</v>
      </c>
      <c r="B445" s="96" t="s">
        <v>4779</v>
      </c>
      <c r="C445" s="90"/>
      <c r="E445" s="79"/>
      <c r="F445" s="80"/>
      <c r="G445" s="80"/>
      <c r="H445" s="81"/>
      <c r="I445" s="80"/>
      <c r="J445" s="80"/>
      <c r="K445" s="80"/>
    </row>
    <row r="446" ht="12.75" customHeight="1">
      <c r="B446" s="90"/>
      <c r="E446" s="79"/>
      <c r="F446" s="80"/>
      <c r="G446" s="80"/>
      <c r="H446" s="81"/>
      <c r="I446" s="80"/>
      <c r="J446" s="80"/>
      <c r="K446" s="80"/>
    </row>
    <row r="447" ht="12.75" customHeight="1">
      <c r="A447" s="89" t="s">
        <v>434</v>
      </c>
      <c r="B447" s="96" t="s">
        <v>4780</v>
      </c>
      <c r="C447" s="90"/>
      <c r="E447" s="79"/>
      <c r="F447" s="80"/>
      <c r="G447" s="80"/>
      <c r="H447" s="81"/>
      <c r="I447" s="80"/>
      <c r="J447" s="80"/>
      <c r="K447" s="80"/>
    </row>
    <row r="448" ht="12.75" customHeight="1">
      <c r="B448" s="90"/>
      <c r="E448" s="79"/>
      <c r="F448" s="80"/>
      <c r="G448" s="80"/>
      <c r="H448" s="81"/>
      <c r="I448" s="80"/>
      <c r="J448" s="80"/>
      <c r="K448" s="80"/>
    </row>
    <row r="449" ht="12.75" customHeight="1">
      <c r="A449" s="89" t="s">
        <v>436</v>
      </c>
      <c r="B449" s="96" t="s">
        <v>4781</v>
      </c>
      <c r="C449" s="90"/>
      <c r="D449" s="89" t="s">
        <v>75</v>
      </c>
      <c r="E449" s="91">
        <v>1.0</v>
      </c>
      <c r="F449" s="92">
        <v>1435.6</v>
      </c>
      <c r="G449" s="92">
        <v>1435.6</v>
      </c>
      <c r="H449" s="93"/>
      <c r="I449" s="92"/>
      <c r="J449" s="92"/>
      <c r="K449" s="92"/>
    </row>
    <row r="450" ht="12.75" customHeight="1">
      <c r="B450" s="90"/>
      <c r="E450" s="79"/>
      <c r="F450" s="80"/>
      <c r="G450" s="80"/>
      <c r="H450" s="81"/>
      <c r="I450" s="80"/>
      <c r="J450" s="80"/>
      <c r="K450" s="80"/>
    </row>
    <row r="451" ht="12.75" customHeight="1">
      <c r="A451" s="89" t="s">
        <v>438</v>
      </c>
      <c r="B451" s="96" t="s">
        <v>4782</v>
      </c>
      <c r="C451" s="90"/>
      <c r="E451" s="79"/>
      <c r="F451" s="80"/>
      <c r="G451" s="80"/>
      <c r="H451" s="81"/>
      <c r="I451" s="80"/>
      <c r="J451" s="80"/>
      <c r="K451" s="80"/>
    </row>
    <row r="452" ht="12.75" customHeight="1">
      <c r="B452" s="90"/>
      <c r="E452" s="79"/>
      <c r="F452" s="80"/>
      <c r="G452" s="80"/>
      <c r="H452" s="81"/>
      <c r="I452" s="80"/>
      <c r="J452" s="80"/>
      <c r="K452" s="80"/>
    </row>
    <row r="453" ht="12.75" customHeight="1">
      <c r="A453" s="89" t="s">
        <v>440</v>
      </c>
      <c r="B453" s="96" t="s">
        <v>4783</v>
      </c>
      <c r="C453" s="90"/>
      <c r="D453" s="89" t="s">
        <v>75</v>
      </c>
      <c r="E453" s="91">
        <v>1.0</v>
      </c>
      <c r="F453" s="92">
        <v>1435.6</v>
      </c>
      <c r="G453" s="92">
        <v>1435.6</v>
      </c>
      <c r="H453" s="93"/>
      <c r="I453" s="92"/>
      <c r="J453" s="92"/>
      <c r="K453" s="92"/>
    </row>
    <row r="454" ht="12.75" customHeight="1">
      <c r="B454" s="90"/>
      <c r="E454" s="79"/>
      <c r="F454" s="80"/>
      <c r="G454" s="80"/>
      <c r="H454" s="81"/>
      <c r="I454" s="80"/>
      <c r="J454" s="80"/>
      <c r="K454" s="80"/>
    </row>
    <row r="455" ht="12.75" customHeight="1">
      <c r="A455" s="89" t="s">
        <v>442</v>
      </c>
      <c r="B455" s="96" t="s">
        <v>4784</v>
      </c>
      <c r="C455" s="90"/>
      <c r="E455" s="79"/>
      <c r="F455" s="80"/>
      <c r="G455" s="80"/>
      <c r="H455" s="81"/>
      <c r="I455" s="80"/>
      <c r="J455" s="80"/>
      <c r="K455" s="80"/>
    </row>
    <row r="456" ht="12.75" customHeight="1">
      <c r="B456" s="90"/>
      <c r="E456" s="79"/>
      <c r="F456" s="80"/>
      <c r="G456" s="80"/>
      <c r="H456" s="81"/>
      <c r="I456" s="80"/>
      <c r="J456" s="80"/>
      <c r="K456" s="80"/>
    </row>
    <row r="457" ht="12.75" customHeight="1">
      <c r="A457" s="89" t="s">
        <v>444</v>
      </c>
      <c r="B457" s="96" t="s">
        <v>4785</v>
      </c>
      <c r="C457" s="90"/>
      <c r="D457" s="89" t="s">
        <v>75</v>
      </c>
      <c r="E457" s="91">
        <v>1.0</v>
      </c>
      <c r="F457" s="92">
        <v>1507.46</v>
      </c>
      <c r="G457" s="92">
        <v>1507.46</v>
      </c>
      <c r="H457" s="93"/>
      <c r="I457" s="92"/>
      <c r="J457" s="92"/>
      <c r="K457" s="92"/>
    </row>
    <row r="458" ht="12.75" customHeight="1">
      <c r="B458" s="90"/>
      <c r="E458" s="79"/>
      <c r="F458" s="80"/>
      <c r="G458" s="80"/>
      <c r="H458" s="81"/>
      <c r="I458" s="80"/>
      <c r="J458" s="80"/>
      <c r="K458" s="80"/>
    </row>
    <row r="459" ht="12.75" customHeight="1">
      <c r="A459" s="89" t="s">
        <v>446</v>
      </c>
      <c r="B459" s="96" t="s">
        <v>4786</v>
      </c>
      <c r="C459" s="90"/>
      <c r="D459" s="89" t="s">
        <v>75</v>
      </c>
      <c r="E459" s="91">
        <v>1.0</v>
      </c>
      <c r="F459" s="92">
        <v>1507.46</v>
      </c>
      <c r="G459" s="92">
        <v>1507.46</v>
      </c>
      <c r="H459" s="93"/>
      <c r="I459" s="92"/>
      <c r="J459" s="92"/>
      <c r="K459" s="92"/>
    </row>
    <row r="460" ht="12.75" customHeight="1">
      <c r="B460" s="90"/>
      <c r="E460" s="79"/>
      <c r="F460" s="80"/>
      <c r="G460" s="80"/>
      <c r="H460" s="81"/>
      <c r="I460" s="80"/>
      <c r="J460" s="80"/>
      <c r="K460" s="80"/>
    </row>
    <row r="461" ht="12.75" customHeight="1">
      <c r="A461" s="89" t="s">
        <v>448</v>
      </c>
      <c r="B461" s="96" t="s">
        <v>4787</v>
      </c>
      <c r="C461" s="90"/>
      <c r="E461" s="79"/>
      <c r="F461" s="80"/>
      <c r="G461" s="80"/>
      <c r="H461" s="81"/>
      <c r="I461" s="80"/>
      <c r="J461" s="80"/>
      <c r="K461" s="80"/>
    </row>
    <row r="462" ht="12.75" customHeight="1">
      <c r="B462" s="90"/>
      <c r="E462" s="79"/>
      <c r="F462" s="80"/>
      <c r="G462" s="80"/>
      <c r="H462" s="81"/>
      <c r="I462" s="80"/>
      <c r="J462" s="80"/>
      <c r="K462" s="80"/>
    </row>
    <row r="463" ht="12.75" customHeight="1">
      <c r="A463" s="89" t="s">
        <v>450</v>
      </c>
      <c r="B463" s="96" t="s">
        <v>4788</v>
      </c>
      <c r="C463" s="90"/>
      <c r="D463" s="89" t="s">
        <v>75</v>
      </c>
      <c r="E463" s="91">
        <v>1.0</v>
      </c>
      <c r="F463" s="92">
        <v>1432.24</v>
      </c>
      <c r="G463" s="92">
        <v>1432.24</v>
      </c>
      <c r="H463" s="93"/>
      <c r="I463" s="92"/>
      <c r="J463" s="92"/>
      <c r="K463" s="92"/>
    </row>
    <row r="464" ht="12.75" customHeight="1">
      <c r="B464" s="90"/>
      <c r="E464" s="79"/>
      <c r="F464" s="80"/>
      <c r="G464" s="80"/>
      <c r="H464" s="81"/>
      <c r="I464" s="80"/>
      <c r="J464" s="80"/>
      <c r="K464" s="80"/>
    </row>
    <row r="465" ht="12.75" customHeight="1">
      <c r="A465" s="89" t="s">
        <v>452</v>
      </c>
      <c r="B465" s="96" t="s">
        <v>4789</v>
      </c>
      <c r="C465" s="90"/>
      <c r="E465" s="79"/>
      <c r="F465" s="80"/>
      <c r="G465" s="80"/>
      <c r="H465" s="81"/>
      <c r="I465" s="80"/>
      <c r="J465" s="80"/>
      <c r="K465" s="80"/>
    </row>
    <row r="466" ht="12.75" customHeight="1">
      <c r="B466" s="90"/>
      <c r="E466" s="79"/>
      <c r="F466" s="80"/>
      <c r="G466" s="80"/>
      <c r="H466" s="81"/>
      <c r="I466" s="80"/>
      <c r="J466" s="80"/>
      <c r="K466" s="80"/>
    </row>
    <row r="467" ht="12.75" customHeight="1">
      <c r="A467" s="89" t="s">
        <v>454</v>
      </c>
      <c r="B467" s="96" t="s">
        <v>4790</v>
      </c>
      <c r="C467" s="90"/>
      <c r="D467" s="89" t="s">
        <v>75</v>
      </c>
      <c r="E467" s="91">
        <v>1.0</v>
      </c>
      <c r="F467" s="92">
        <v>1275.9</v>
      </c>
      <c r="G467" s="92">
        <v>1275.9</v>
      </c>
      <c r="H467" s="93"/>
      <c r="I467" s="92"/>
      <c r="J467" s="92"/>
      <c r="K467" s="92"/>
    </row>
    <row r="468" ht="12.75" customHeight="1">
      <c r="B468" s="90"/>
      <c r="E468" s="79"/>
      <c r="F468" s="80"/>
      <c r="G468" s="80"/>
      <c r="H468" s="81"/>
      <c r="I468" s="80"/>
      <c r="J468" s="80"/>
      <c r="K468" s="80"/>
    </row>
    <row r="469" ht="12.75" customHeight="1">
      <c r="A469" s="89" t="s">
        <v>456</v>
      </c>
      <c r="B469" s="96" t="s">
        <v>4791</v>
      </c>
      <c r="C469" s="90"/>
      <c r="E469" s="79"/>
      <c r="F469" s="80"/>
      <c r="G469" s="80"/>
      <c r="H469" s="81"/>
      <c r="I469" s="80"/>
      <c r="J469" s="80"/>
      <c r="K469" s="80"/>
    </row>
    <row r="470" ht="12.75" customHeight="1">
      <c r="B470" s="90"/>
      <c r="E470" s="79"/>
      <c r="F470" s="80"/>
      <c r="G470" s="80"/>
      <c r="H470" s="81"/>
      <c r="I470" s="80"/>
      <c r="J470" s="80"/>
      <c r="K470" s="80"/>
    </row>
    <row r="471" ht="12.75" customHeight="1">
      <c r="A471" s="89" t="s">
        <v>458</v>
      </c>
      <c r="B471" s="96" t="s">
        <v>4792</v>
      </c>
      <c r="C471" s="90"/>
      <c r="D471" s="89" t="s">
        <v>75</v>
      </c>
      <c r="E471" s="91">
        <v>1.0</v>
      </c>
      <c r="F471" s="92">
        <v>1430.56</v>
      </c>
      <c r="G471" s="92">
        <v>1430.56</v>
      </c>
      <c r="H471" s="93"/>
      <c r="I471" s="92"/>
      <c r="J471" s="92"/>
      <c r="K471" s="92"/>
    </row>
    <row r="472" ht="12.75" customHeight="1">
      <c r="B472" s="90"/>
      <c r="E472" s="79"/>
      <c r="F472" s="80"/>
      <c r="G472" s="80"/>
      <c r="H472" s="81"/>
      <c r="I472" s="80"/>
      <c r="J472" s="80"/>
      <c r="K472" s="80"/>
    </row>
    <row r="473" ht="12.75" customHeight="1">
      <c r="A473" s="89" t="s">
        <v>460</v>
      </c>
      <c r="B473" s="96" t="s">
        <v>4793</v>
      </c>
      <c r="C473" s="90"/>
      <c r="D473" s="89" t="s">
        <v>75</v>
      </c>
      <c r="E473" s="91">
        <v>1.0</v>
      </c>
      <c r="F473" s="92">
        <v>3363.74</v>
      </c>
      <c r="G473" s="92">
        <v>3363.74</v>
      </c>
      <c r="H473" s="93"/>
      <c r="I473" s="92"/>
      <c r="J473" s="92"/>
      <c r="K473" s="92"/>
    </row>
    <row r="474" ht="12.75" customHeight="1">
      <c r="B474" s="90"/>
      <c r="E474" s="79"/>
      <c r="F474" s="80"/>
      <c r="G474" s="80"/>
      <c r="H474" s="81"/>
      <c r="I474" s="80"/>
      <c r="J474" s="80"/>
      <c r="K474" s="80"/>
    </row>
    <row r="475" ht="12.75" customHeight="1">
      <c r="A475" s="89" t="s">
        <v>462</v>
      </c>
      <c r="B475" s="96" t="s">
        <v>4794</v>
      </c>
      <c r="C475" s="90"/>
      <c r="D475" s="89" t="s">
        <v>75</v>
      </c>
      <c r="E475" s="91">
        <v>1.0</v>
      </c>
      <c r="F475" s="92">
        <v>1386.85</v>
      </c>
      <c r="G475" s="92">
        <v>1386.85</v>
      </c>
      <c r="H475" s="93"/>
      <c r="I475" s="92"/>
      <c r="J475" s="92"/>
      <c r="K475" s="92"/>
    </row>
    <row r="476" ht="12.75" customHeight="1">
      <c r="B476" s="90"/>
      <c r="E476" s="79"/>
      <c r="F476" s="80"/>
      <c r="G476" s="80"/>
      <c r="H476" s="81"/>
      <c r="I476" s="80"/>
      <c r="J476" s="80"/>
      <c r="K476" s="80"/>
    </row>
    <row r="477" ht="12.75" customHeight="1">
      <c r="A477" s="89" t="s">
        <v>464</v>
      </c>
      <c r="B477" s="96" t="s">
        <v>4795</v>
      </c>
      <c r="C477" s="90"/>
      <c r="E477" s="79"/>
      <c r="F477" s="80"/>
      <c r="G477" s="80"/>
      <c r="H477" s="81"/>
      <c r="I477" s="80"/>
      <c r="J477" s="80"/>
      <c r="K477" s="80"/>
    </row>
    <row r="478" ht="12.75" customHeight="1">
      <c r="B478" s="90"/>
      <c r="E478" s="79"/>
      <c r="F478" s="80"/>
      <c r="G478" s="80"/>
      <c r="H478" s="81"/>
      <c r="I478" s="80"/>
      <c r="J478" s="80"/>
      <c r="K478" s="80"/>
    </row>
    <row r="479" ht="12.75" customHeight="1">
      <c r="A479" s="89" t="s">
        <v>466</v>
      </c>
      <c r="B479" s="96" t="s">
        <v>4796</v>
      </c>
      <c r="C479" s="90"/>
      <c r="E479" s="79"/>
      <c r="F479" s="80"/>
      <c r="G479" s="80"/>
      <c r="H479" s="81"/>
      <c r="I479" s="80"/>
      <c r="J479" s="80"/>
      <c r="K479" s="80"/>
    </row>
    <row r="480" ht="12.75" customHeight="1">
      <c r="B480" s="90"/>
      <c r="E480" s="79"/>
      <c r="F480" s="80"/>
      <c r="G480" s="80"/>
      <c r="H480" s="81"/>
      <c r="I480" s="80"/>
      <c r="J480" s="80"/>
      <c r="K480" s="80"/>
    </row>
    <row r="481" ht="12.75" customHeight="1">
      <c r="A481" s="89" t="s">
        <v>468</v>
      </c>
      <c r="B481" s="96" t="s">
        <v>4797</v>
      </c>
      <c r="C481" s="90"/>
      <c r="D481" s="89" t="s">
        <v>75</v>
      </c>
      <c r="E481" s="91">
        <v>1.0</v>
      </c>
      <c r="F481" s="92">
        <v>1913.56</v>
      </c>
      <c r="G481" s="92">
        <v>1913.56</v>
      </c>
      <c r="H481" s="93"/>
      <c r="I481" s="92"/>
      <c r="J481" s="92"/>
      <c r="K481" s="92"/>
    </row>
    <row r="482" ht="12.75" customHeight="1">
      <c r="B482" s="90"/>
      <c r="E482" s="79"/>
      <c r="F482" s="80"/>
      <c r="G482" s="80"/>
      <c r="H482" s="81"/>
      <c r="I482" s="80"/>
      <c r="J482" s="80"/>
      <c r="K482" s="80"/>
    </row>
    <row r="483" ht="12.75" customHeight="1">
      <c r="A483" s="89" t="s">
        <v>470</v>
      </c>
      <c r="B483" s="96" t="s">
        <v>4798</v>
      </c>
      <c r="C483" s="90"/>
      <c r="E483" s="79"/>
      <c r="F483" s="80"/>
      <c r="G483" s="80"/>
      <c r="H483" s="81"/>
      <c r="I483" s="80"/>
      <c r="J483" s="80"/>
      <c r="K483" s="80"/>
    </row>
    <row r="484" ht="12.75" customHeight="1">
      <c r="B484" s="90"/>
      <c r="E484" s="79"/>
      <c r="F484" s="80"/>
      <c r="G484" s="80"/>
      <c r="H484" s="81"/>
      <c r="I484" s="80"/>
      <c r="J484" s="80"/>
      <c r="K484" s="80"/>
    </row>
    <row r="485" ht="12.75" customHeight="1">
      <c r="A485" s="89" t="s">
        <v>472</v>
      </c>
      <c r="B485" s="96" t="s">
        <v>4799</v>
      </c>
      <c r="C485" s="90"/>
      <c r="E485" s="79"/>
      <c r="F485" s="80"/>
      <c r="G485" s="80"/>
      <c r="H485" s="81"/>
      <c r="I485" s="80"/>
      <c r="J485" s="80"/>
      <c r="K485" s="80"/>
    </row>
    <row r="486" ht="12.75" customHeight="1">
      <c r="B486" s="90"/>
      <c r="E486" s="79"/>
      <c r="F486" s="80"/>
      <c r="G486" s="80"/>
      <c r="H486" s="81"/>
      <c r="I486" s="80"/>
      <c r="J486" s="80"/>
      <c r="K486" s="80"/>
    </row>
    <row r="487" ht="12.75" customHeight="1">
      <c r="A487" s="89" t="s">
        <v>474</v>
      </c>
      <c r="B487" s="96" t="s">
        <v>4800</v>
      </c>
      <c r="C487" s="90"/>
      <c r="D487" s="89" t="s">
        <v>75</v>
      </c>
      <c r="E487" s="91">
        <v>1.0</v>
      </c>
      <c r="F487" s="92">
        <v>4214.86</v>
      </c>
      <c r="G487" s="92">
        <v>4214.86</v>
      </c>
      <c r="H487" s="93"/>
      <c r="I487" s="92"/>
      <c r="J487" s="92"/>
      <c r="K487" s="92"/>
    </row>
    <row r="488" ht="12.75" customHeight="1">
      <c r="B488" s="90"/>
      <c r="E488" s="79"/>
      <c r="F488" s="80"/>
      <c r="G488" s="80"/>
      <c r="H488" s="81"/>
      <c r="I488" s="80"/>
      <c r="J488" s="80"/>
      <c r="K488" s="80"/>
    </row>
    <row r="489" ht="12.75" customHeight="1">
      <c r="A489" s="89" t="s">
        <v>476</v>
      </c>
      <c r="B489" s="96" t="s">
        <v>4801</v>
      </c>
      <c r="C489" s="90"/>
      <c r="E489" s="79"/>
      <c r="F489" s="80"/>
      <c r="G489" s="80"/>
      <c r="H489" s="81"/>
      <c r="I489" s="80"/>
      <c r="J489" s="80"/>
      <c r="K489" s="80"/>
    </row>
    <row r="490" ht="12.75" customHeight="1">
      <c r="B490" s="90"/>
      <c r="E490" s="79"/>
      <c r="F490" s="80"/>
      <c r="G490" s="80"/>
      <c r="H490" s="81"/>
      <c r="I490" s="80"/>
      <c r="J490" s="80"/>
      <c r="K490" s="80"/>
    </row>
    <row r="491" ht="12.75" customHeight="1">
      <c r="A491" s="89" t="s">
        <v>478</v>
      </c>
      <c r="B491" s="96" t="s">
        <v>4802</v>
      </c>
      <c r="C491" s="90"/>
      <c r="D491" s="89" t="s">
        <v>227</v>
      </c>
      <c r="E491" s="91">
        <v>1.0</v>
      </c>
      <c r="F491" s="92">
        <v>38793.0</v>
      </c>
      <c r="G491" s="92">
        <v>38793.0</v>
      </c>
      <c r="H491" s="93"/>
      <c r="I491" s="92"/>
      <c r="J491" s="92"/>
      <c r="K491" s="92"/>
    </row>
    <row r="492" ht="12.75" customHeight="1">
      <c r="B492" s="96" t="s">
        <v>4803</v>
      </c>
      <c r="E492" s="79"/>
      <c r="F492" s="80"/>
      <c r="G492" s="80"/>
      <c r="H492" s="81"/>
      <c r="I492" s="80"/>
      <c r="J492" s="80"/>
      <c r="K492" s="80"/>
    </row>
    <row r="493" ht="12.75" customHeight="1">
      <c r="A493" s="89" t="s">
        <v>480</v>
      </c>
      <c r="B493" s="90"/>
      <c r="C493" s="90"/>
      <c r="E493" s="79"/>
      <c r="F493" s="80"/>
      <c r="G493" s="80"/>
      <c r="H493" s="81"/>
      <c r="I493" s="80"/>
      <c r="J493" s="80"/>
      <c r="K493" s="80"/>
    </row>
    <row r="494" ht="12.75" customHeight="1">
      <c r="B494" s="96" t="s">
        <v>4804</v>
      </c>
      <c r="E494" s="79"/>
      <c r="F494" s="80"/>
      <c r="G494" s="80"/>
      <c r="H494" s="81"/>
      <c r="I494" s="80"/>
      <c r="J494" s="80"/>
      <c r="K494" s="80"/>
    </row>
    <row r="495" ht="12.75" customHeight="1">
      <c r="A495" s="89" t="s">
        <v>482</v>
      </c>
      <c r="B495" s="96" t="s">
        <v>4805</v>
      </c>
      <c r="C495" s="90"/>
      <c r="E495" s="79"/>
      <c r="F495" s="80"/>
      <c r="G495" s="80"/>
      <c r="H495" s="81"/>
      <c r="I495" s="80"/>
      <c r="J495" s="80"/>
      <c r="K495" s="80"/>
    </row>
    <row r="496" ht="12.75" customHeight="1">
      <c r="B496" s="90"/>
      <c r="E496" s="79"/>
      <c r="F496" s="80"/>
      <c r="G496" s="80"/>
      <c r="H496" s="81"/>
      <c r="I496" s="80"/>
      <c r="J496" s="80"/>
      <c r="K496" s="80"/>
    </row>
    <row r="497" ht="12.75" customHeight="1">
      <c r="A497" s="89" t="s">
        <v>484</v>
      </c>
      <c r="B497" s="96" t="s">
        <v>4806</v>
      </c>
      <c r="C497" s="90"/>
      <c r="D497" s="89" t="s">
        <v>75</v>
      </c>
      <c r="E497" s="91">
        <v>1.0</v>
      </c>
      <c r="F497" s="92">
        <v>3106.17</v>
      </c>
      <c r="G497" s="92">
        <v>3106.17</v>
      </c>
      <c r="H497" s="93"/>
      <c r="I497" s="92"/>
      <c r="J497" s="92"/>
      <c r="K497" s="92"/>
    </row>
    <row r="498" ht="12.75" customHeight="1">
      <c r="B498" s="90"/>
      <c r="E498" s="79"/>
      <c r="F498" s="80"/>
      <c r="G498" s="80"/>
      <c r="H498" s="81"/>
      <c r="I498" s="80"/>
      <c r="J498" s="80"/>
      <c r="K498" s="80"/>
    </row>
    <row r="499" ht="12.75" customHeight="1">
      <c r="A499" s="89" t="s">
        <v>486</v>
      </c>
      <c r="B499" s="96" t="s">
        <v>4807</v>
      </c>
      <c r="C499" s="90"/>
      <c r="D499" s="89" t="s">
        <v>75</v>
      </c>
      <c r="E499" s="91">
        <v>1.0</v>
      </c>
      <c r="F499" s="92">
        <v>3171.27</v>
      </c>
      <c r="G499" s="92">
        <v>3171.27</v>
      </c>
      <c r="H499" s="93"/>
      <c r="I499" s="92"/>
      <c r="J499" s="92"/>
      <c r="K499" s="92"/>
    </row>
    <row r="500" ht="12.75" customHeight="1">
      <c r="B500" s="90"/>
      <c r="E500" s="79"/>
      <c r="F500" s="80"/>
      <c r="G500" s="80"/>
      <c r="H500" s="81"/>
      <c r="I500" s="80"/>
      <c r="J500" s="80"/>
      <c r="K500" s="80"/>
    </row>
    <row r="501" ht="12.75" customHeight="1">
      <c r="A501" s="89" t="s">
        <v>488</v>
      </c>
      <c r="B501" s="96" t="s">
        <v>4808</v>
      </c>
      <c r="C501" s="90"/>
      <c r="D501" s="89" t="s">
        <v>75</v>
      </c>
      <c r="E501" s="91">
        <v>1.0</v>
      </c>
      <c r="F501" s="92">
        <v>2283.49</v>
      </c>
      <c r="G501" s="92">
        <v>2283.49</v>
      </c>
      <c r="H501" s="93"/>
      <c r="I501" s="92"/>
      <c r="J501" s="92"/>
      <c r="K501" s="92"/>
    </row>
    <row r="502" ht="12.75" customHeight="1">
      <c r="B502" s="90"/>
      <c r="E502" s="79"/>
      <c r="F502" s="80"/>
      <c r="G502" s="80"/>
      <c r="H502" s="81"/>
      <c r="I502" s="80"/>
      <c r="J502" s="80"/>
      <c r="K502" s="80"/>
    </row>
    <row r="503" ht="12.75" customHeight="1">
      <c r="A503" s="89" t="s">
        <v>490</v>
      </c>
      <c r="B503" s="96" t="s">
        <v>4809</v>
      </c>
      <c r="C503" s="90"/>
      <c r="D503" s="89" t="s">
        <v>75</v>
      </c>
      <c r="E503" s="91">
        <v>1.0</v>
      </c>
      <c r="F503" s="92">
        <v>3402.81</v>
      </c>
      <c r="G503" s="92">
        <v>3402.81</v>
      </c>
      <c r="H503" s="93"/>
      <c r="I503" s="92"/>
      <c r="J503" s="92"/>
      <c r="K503" s="92"/>
    </row>
    <row r="504" ht="12.75" customHeight="1">
      <c r="B504" s="90"/>
      <c r="E504" s="79"/>
      <c r="F504" s="80"/>
      <c r="G504" s="80"/>
      <c r="H504" s="81"/>
      <c r="I504" s="80"/>
      <c r="J504" s="80"/>
      <c r="K504" s="80"/>
    </row>
    <row r="505" ht="12.75" customHeight="1">
      <c r="A505" s="89" t="s">
        <v>492</v>
      </c>
      <c r="B505" s="96" t="s">
        <v>4810</v>
      </c>
      <c r="C505" s="90"/>
      <c r="D505" s="89" t="s">
        <v>75</v>
      </c>
      <c r="E505" s="91">
        <v>1.0</v>
      </c>
      <c r="F505" s="92">
        <v>1164.15</v>
      </c>
      <c r="G505" s="92">
        <v>1164.15</v>
      </c>
      <c r="H505" s="93"/>
      <c r="I505" s="92"/>
      <c r="J505" s="92"/>
      <c r="K505" s="92"/>
    </row>
    <row r="506" ht="12.75" customHeight="1">
      <c r="B506" s="90"/>
      <c r="E506" s="79"/>
      <c r="F506" s="80"/>
      <c r="G506" s="80"/>
      <c r="H506" s="81"/>
      <c r="I506" s="80"/>
      <c r="J506" s="80"/>
      <c r="K506" s="80"/>
    </row>
    <row r="507" ht="12.75" customHeight="1">
      <c r="A507" s="89" t="s">
        <v>494</v>
      </c>
      <c r="B507" s="96" t="s">
        <v>4811</v>
      </c>
      <c r="C507" s="90"/>
      <c r="D507" s="89" t="s">
        <v>75</v>
      </c>
      <c r="E507" s="91">
        <v>1.0</v>
      </c>
      <c r="F507" s="92">
        <v>1914.29</v>
      </c>
      <c r="G507" s="92">
        <v>1914.29</v>
      </c>
      <c r="H507" s="93"/>
      <c r="I507" s="92"/>
      <c r="J507" s="92"/>
      <c r="K507" s="92"/>
    </row>
    <row r="508" ht="12.75" customHeight="1">
      <c r="B508" s="90"/>
      <c r="E508" s="79"/>
      <c r="F508" s="80"/>
      <c r="G508" s="80"/>
      <c r="H508" s="81"/>
      <c r="I508" s="80"/>
      <c r="J508" s="80"/>
      <c r="K508" s="80"/>
    </row>
    <row r="509" ht="12.75" customHeight="1">
      <c r="A509" s="89" t="s">
        <v>470</v>
      </c>
      <c r="B509" s="96" t="s">
        <v>4812</v>
      </c>
      <c r="C509" s="90"/>
      <c r="E509" s="79"/>
      <c r="F509" s="80"/>
      <c r="G509" s="80"/>
      <c r="H509" s="81"/>
      <c r="I509" s="80"/>
      <c r="J509" s="80"/>
      <c r="K509" s="80"/>
    </row>
    <row r="510" ht="12.75" customHeight="1">
      <c r="B510" s="90"/>
      <c r="E510" s="79"/>
      <c r="F510" s="80"/>
      <c r="G510" s="80"/>
      <c r="H510" s="81"/>
      <c r="I510" s="80"/>
      <c r="J510" s="80"/>
      <c r="K510" s="80"/>
    </row>
    <row r="511" ht="12.75" customHeight="1">
      <c r="A511" s="89" t="s">
        <v>472</v>
      </c>
      <c r="B511" s="96" t="s">
        <v>4813</v>
      </c>
      <c r="C511" s="90"/>
      <c r="E511" s="79"/>
      <c r="F511" s="80"/>
      <c r="G511" s="80"/>
      <c r="H511" s="81"/>
      <c r="I511" s="80"/>
      <c r="J511" s="80"/>
      <c r="K511" s="80"/>
    </row>
    <row r="512" ht="12.75" customHeight="1">
      <c r="B512" s="90"/>
      <c r="E512" s="79"/>
      <c r="F512" s="80"/>
      <c r="G512" s="80"/>
      <c r="H512" s="81"/>
      <c r="I512" s="80"/>
      <c r="J512" s="80"/>
      <c r="K512" s="80"/>
    </row>
    <row r="513" ht="12.75" customHeight="1">
      <c r="A513" s="89" t="s">
        <v>474</v>
      </c>
      <c r="B513" s="96" t="s">
        <v>4814</v>
      </c>
      <c r="C513" s="90"/>
      <c r="D513" s="89" t="s">
        <v>161</v>
      </c>
      <c r="E513" s="91">
        <v>4.53</v>
      </c>
      <c r="F513" s="92">
        <v>161.64</v>
      </c>
      <c r="G513" s="92">
        <v>732.23</v>
      </c>
      <c r="H513" s="93"/>
      <c r="I513" s="92"/>
      <c r="J513" s="92"/>
      <c r="K513" s="92"/>
    </row>
    <row r="514" ht="12.75" customHeight="1">
      <c r="B514" s="90"/>
      <c r="E514" s="79"/>
      <c r="F514" s="80"/>
      <c r="G514" s="80"/>
      <c r="H514" s="81"/>
      <c r="I514" s="80"/>
      <c r="J514" s="80"/>
      <c r="K514" s="80"/>
    </row>
    <row r="515" ht="12.75" customHeight="1">
      <c r="A515" s="89" t="s">
        <v>499</v>
      </c>
      <c r="B515" s="96" t="s">
        <v>4815</v>
      </c>
      <c r="C515" s="90"/>
      <c r="D515" s="89" t="s">
        <v>161</v>
      </c>
      <c r="E515" s="91">
        <v>8.7</v>
      </c>
      <c r="F515" s="92">
        <v>161.64</v>
      </c>
      <c r="G515" s="92">
        <v>1406.27</v>
      </c>
      <c r="H515" s="93"/>
      <c r="I515" s="92"/>
      <c r="J515" s="92"/>
      <c r="K515" s="92"/>
    </row>
    <row r="516" ht="12.75" customHeight="1">
      <c r="B516" s="90"/>
      <c r="E516" s="79"/>
      <c r="F516" s="80"/>
      <c r="G516" s="80"/>
      <c r="H516" s="81"/>
      <c r="I516" s="80"/>
      <c r="J516" s="80"/>
      <c r="K516" s="80"/>
    </row>
    <row r="517" ht="12.75" customHeight="1">
      <c r="A517" s="89" t="s">
        <v>501</v>
      </c>
      <c r="B517" s="96" t="s">
        <v>4816</v>
      </c>
      <c r="C517" s="90"/>
      <c r="D517" s="89" t="s">
        <v>161</v>
      </c>
      <c r="E517" s="91">
        <v>14.0</v>
      </c>
      <c r="F517" s="92">
        <v>161.64</v>
      </c>
      <c r="G517" s="92">
        <v>2262.96</v>
      </c>
      <c r="H517" s="93"/>
      <c r="I517" s="92"/>
      <c r="J517" s="92"/>
      <c r="K517" s="92"/>
    </row>
    <row r="518" ht="12.75" customHeight="1">
      <c r="B518" s="90"/>
      <c r="E518" s="79"/>
      <c r="F518" s="80"/>
      <c r="G518" s="80"/>
      <c r="H518" s="81"/>
      <c r="I518" s="80"/>
      <c r="J518" s="80"/>
      <c r="K518" s="80"/>
    </row>
    <row r="519" ht="12.75" customHeight="1">
      <c r="A519" s="89" t="s">
        <v>503</v>
      </c>
      <c r="B519" s="96" t="s">
        <v>4817</v>
      </c>
      <c r="C519" s="90"/>
      <c r="D519" s="89" t="s">
        <v>161</v>
      </c>
      <c r="E519" s="91">
        <v>8.44</v>
      </c>
      <c r="F519" s="92">
        <v>161.64</v>
      </c>
      <c r="G519" s="92">
        <v>1364.24</v>
      </c>
      <c r="H519" s="93"/>
      <c r="I519" s="92"/>
      <c r="J519" s="92"/>
      <c r="K519" s="92"/>
    </row>
    <row r="520" ht="12.75" customHeight="1">
      <c r="B520" s="90"/>
      <c r="E520" s="79"/>
      <c r="F520" s="80"/>
      <c r="G520" s="80"/>
      <c r="H520" s="81"/>
      <c r="I520" s="80"/>
      <c r="J520" s="80"/>
      <c r="K520" s="80"/>
    </row>
    <row r="521" ht="12.75" customHeight="1">
      <c r="A521" s="89" t="s">
        <v>505</v>
      </c>
      <c r="B521" s="96" t="s">
        <v>4818</v>
      </c>
      <c r="C521" s="90"/>
      <c r="E521" s="79"/>
      <c r="F521" s="80"/>
      <c r="G521" s="80"/>
      <c r="H521" s="81"/>
      <c r="I521" s="80"/>
      <c r="J521" s="80"/>
      <c r="K521" s="80"/>
    </row>
    <row r="522" ht="12.75" customHeight="1">
      <c r="B522" s="90"/>
      <c r="E522" s="79"/>
      <c r="F522" s="80"/>
      <c r="G522" s="80"/>
      <c r="H522" s="81"/>
      <c r="I522" s="80"/>
      <c r="J522" s="80"/>
      <c r="K522" s="80"/>
    </row>
    <row r="523" ht="12.75" customHeight="1">
      <c r="A523" s="89" t="s">
        <v>507</v>
      </c>
      <c r="B523" s="96" t="s">
        <v>4819</v>
      </c>
      <c r="C523" s="90"/>
      <c r="D523" s="89" t="s">
        <v>161</v>
      </c>
      <c r="E523" s="91">
        <v>2.65</v>
      </c>
      <c r="F523" s="92">
        <v>484.91</v>
      </c>
      <c r="G523" s="92">
        <v>1285.01</v>
      </c>
      <c r="H523" s="93"/>
      <c r="I523" s="92"/>
      <c r="J523" s="92"/>
      <c r="K523" s="92"/>
    </row>
    <row r="524" ht="12.75" customHeight="1">
      <c r="B524" s="90"/>
      <c r="E524" s="79"/>
      <c r="F524" s="80"/>
      <c r="G524" s="80"/>
      <c r="H524" s="81"/>
      <c r="I524" s="80"/>
      <c r="J524" s="80"/>
      <c r="K524" s="80"/>
    </row>
    <row r="525" ht="12.75" customHeight="1">
      <c r="A525" s="89" t="s">
        <v>509</v>
      </c>
      <c r="B525" s="96" t="s">
        <v>4820</v>
      </c>
      <c r="C525" s="90"/>
      <c r="D525" s="89" t="s">
        <v>161</v>
      </c>
      <c r="E525" s="91">
        <v>25.15</v>
      </c>
      <c r="F525" s="92">
        <v>484.91</v>
      </c>
      <c r="G525" s="92">
        <v>12195.49</v>
      </c>
      <c r="H525" s="93"/>
      <c r="I525" s="92"/>
      <c r="J525" s="92"/>
      <c r="K525" s="92"/>
    </row>
    <row r="526" ht="12.75" customHeight="1">
      <c r="B526" s="90"/>
      <c r="E526" s="79"/>
      <c r="F526" s="80"/>
      <c r="G526" s="80"/>
      <c r="H526" s="81"/>
      <c r="I526" s="80"/>
      <c r="J526" s="80"/>
      <c r="K526" s="80"/>
    </row>
    <row r="527" ht="12.75" customHeight="1">
      <c r="A527" s="89" t="s">
        <v>476</v>
      </c>
      <c r="B527" s="96" t="s">
        <v>4821</v>
      </c>
      <c r="C527" s="90"/>
      <c r="E527" s="79"/>
      <c r="F527" s="80"/>
      <c r="G527" s="80"/>
      <c r="H527" s="81"/>
      <c r="I527" s="80"/>
      <c r="J527" s="80"/>
      <c r="K527" s="80"/>
    </row>
    <row r="528" ht="12.75" customHeight="1">
      <c r="B528" s="90"/>
      <c r="E528" s="79"/>
      <c r="F528" s="80"/>
      <c r="G528" s="80"/>
      <c r="H528" s="81"/>
      <c r="I528" s="80"/>
      <c r="J528" s="80"/>
      <c r="K528" s="80"/>
    </row>
    <row r="529" ht="12.75" customHeight="1">
      <c r="A529" s="89" t="s">
        <v>478</v>
      </c>
      <c r="B529" s="96" t="s">
        <v>4822</v>
      </c>
      <c r="C529" s="90"/>
      <c r="E529" s="79"/>
      <c r="F529" s="80"/>
      <c r="G529" s="80"/>
      <c r="H529" s="81"/>
      <c r="I529" s="80"/>
      <c r="J529" s="80"/>
      <c r="K529" s="80"/>
    </row>
    <row r="530" ht="12.75" customHeight="1">
      <c r="B530" s="90"/>
      <c r="E530" s="79"/>
      <c r="F530" s="80"/>
      <c r="G530" s="80"/>
      <c r="H530" s="81"/>
      <c r="I530" s="80"/>
      <c r="J530" s="80"/>
      <c r="K530" s="80"/>
    </row>
    <row r="531" ht="12.75" customHeight="1">
      <c r="A531" s="89" t="s">
        <v>513</v>
      </c>
      <c r="B531" s="96" t="s">
        <v>4823</v>
      </c>
      <c r="C531" s="90"/>
      <c r="D531" s="89" t="s">
        <v>40</v>
      </c>
      <c r="E531" s="91">
        <v>70.44</v>
      </c>
      <c r="F531" s="92">
        <v>232.76</v>
      </c>
      <c r="G531" s="92">
        <v>16395.61</v>
      </c>
      <c r="H531" s="93"/>
      <c r="I531" s="92"/>
      <c r="J531" s="92"/>
      <c r="K531" s="92"/>
    </row>
    <row r="532" ht="12.75" customHeight="1">
      <c r="B532" s="90"/>
      <c r="E532" s="79"/>
      <c r="F532" s="80"/>
      <c r="G532" s="80"/>
      <c r="H532" s="81"/>
      <c r="I532" s="80"/>
      <c r="J532" s="80"/>
      <c r="K532" s="80"/>
    </row>
    <row r="533" ht="12.75" customHeight="1">
      <c r="A533" s="89" t="s">
        <v>515</v>
      </c>
      <c r="B533" s="96" t="s">
        <v>4824</v>
      </c>
      <c r="C533" s="90"/>
      <c r="E533" s="79"/>
      <c r="F533" s="80"/>
      <c r="G533" s="80"/>
      <c r="H533" s="81"/>
      <c r="I533" s="80"/>
      <c r="J533" s="80"/>
      <c r="K533" s="80"/>
    </row>
    <row r="534" ht="12.75" customHeight="1">
      <c r="B534" s="90"/>
      <c r="E534" s="79"/>
      <c r="F534" s="80"/>
      <c r="G534" s="80"/>
      <c r="H534" s="81"/>
      <c r="I534" s="80"/>
      <c r="J534" s="80"/>
      <c r="K534" s="80"/>
    </row>
    <row r="535" ht="12.75" customHeight="1">
      <c r="A535" s="89" t="s">
        <v>517</v>
      </c>
      <c r="B535" s="96" t="s">
        <v>4825</v>
      </c>
      <c r="C535" s="90"/>
      <c r="D535" s="89" t="s">
        <v>40</v>
      </c>
      <c r="E535" s="91">
        <v>39.46</v>
      </c>
      <c r="F535" s="92">
        <v>232.76</v>
      </c>
      <c r="G535" s="92">
        <v>9184.71</v>
      </c>
      <c r="H535" s="93"/>
      <c r="I535" s="92"/>
      <c r="J535" s="92"/>
      <c r="K535" s="92"/>
    </row>
    <row r="536" ht="12.75" customHeight="1">
      <c r="B536" s="90"/>
      <c r="E536" s="79"/>
      <c r="F536" s="80"/>
      <c r="G536" s="80"/>
      <c r="H536" s="81"/>
      <c r="I536" s="80"/>
      <c r="J536" s="80"/>
      <c r="K536" s="80"/>
    </row>
    <row r="537" ht="12.75" customHeight="1">
      <c r="A537" s="89" t="s">
        <v>519</v>
      </c>
      <c r="B537" s="96" t="s">
        <v>4826</v>
      </c>
      <c r="C537" s="90"/>
      <c r="E537" s="79"/>
      <c r="F537" s="80"/>
      <c r="G537" s="80"/>
      <c r="H537" s="81"/>
      <c r="I537" s="80"/>
      <c r="J537" s="80"/>
      <c r="K537" s="80"/>
    </row>
    <row r="538" ht="12.75" customHeight="1">
      <c r="B538" s="90"/>
      <c r="E538" s="79"/>
      <c r="F538" s="80"/>
      <c r="G538" s="80"/>
      <c r="H538" s="81"/>
      <c r="I538" s="80"/>
      <c r="J538" s="80"/>
      <c r="K538" s="80"/>
    </row>
    <row r="539" ht="12.75" customHeight="1">
      <c r="A539" s="89" t="s">
        <v>521</v>
      </c>
      <c r="B539" s="96" t="s">
        <v>4827</v>
      </c>
      <c r="C539" s="90"/>
      <c r="D539" s="89" t="s">
        <v>40</v>
      </c>
      <c r="E539" s="91">
        <v>40.81</v>
      </c>
      <c r="F539" s="92">
        <v>232.76</v>
      </c>
      <c r="G539" s="92">
        <v>9498.94</v>
      </c>
      <c r="H539" s="93"/>
      <c r="I539" s="92"/>
      <c r="J539" s="92"/>
      <c r="K539" s="92"/>
    </row>
    <row r="540" ht="12.75" customHeight="1">
      <c r="B540" s="90"/>
      <c r="E540" s="79"/>
      <c r="F540" s="80"/>
      <c r="G540" s="80"/>
      <c r="H540" s="81"/>
      <c r="I540" s="80"/>
      <c r="J540" s="80"/>
      <c r="K540" s="80"/>
    </row>
    <row r="541" ht="12.75" customHeight="1">
      <c r="A541" s="89" t="s">
        <v>523</v>
      </c>
      <c r="B541" s="96" t="s">
        <v>4828</v>
      </c>
      <c r="C541" s="90"/>
      <c r="E541" s="79"/>
      <c r="F541" s="80"/>
      <c r="G541" s="80"/>
      <c r="H541" s="81"/>
      <c r="I541" s="80"/>
      <c r="J541" s="80"/>
      <c r="K541" s="80"/>
    </row>
    <row r="542" ht="12.75" customHeight="1">
      <c r="B542" s="90"/>
      <c r="E542" s="79"/>
      <c r="F542" s="80"/>
      <c r="G542" s="80"/>
      <c r="H542" s="81"/>
      <c r="I542" s="80"/>
      <c r="J542" s="80"/>
      <c r="K542" s="80"/>
    </row>
    <row r="543" ht="12.75" customHeight="1">
      <c r="A543" s="89" t="s">
        <v>525</v>
      </c>
      <c r="B543" s="96" t="s">
        <v>4829</v>
      </c>
      <c r="C543" s="90"/>
      <c r="D543" s="89" t="s">
        <v>40</v>
      </c>
      <c r="E543" s="91">
        <v>7.9</v>
      </c>
      <c r="F543" s="92">
        <v>232.76</v>
      </c>
      <c r="G543" s="92">
        <v>1838.8</v>
      </c>
      <c r="H543" s="93"/>
      <c r="I543" s="92"/>
      <c r="J543" s="92"/>
      <c r="K543" s="92"/>
    </row>
    <row r="544" ht="12.75" customHeight="1">
      <c r="B544" s="90"/>
      <c r="E544" s="79"/>
      <c r="F544" s="80"/>
      <c r="G544" s="80"/>
      <c r="H544" s="81"/>
      <c r="I544" s="80"/>
      <c r="J544" s="80"/>
      <c r="K544" s="80"/>
    </row>
    <row r="545" ht="12.75" customHeight="1">
      <c r="A545" s="89" t="s">
        <v>480</v>
      </c>
      <c r="B545" s="96" t="s">
        <v>4830</v>
      </c>
      <c r="C545" s="90"/>
      <c r="E545" s="79"/>
      <c r="F545" s="80"/>
      <c r="G545" s="80"/>
      <c r="H545" s="81"/>
      <c r="I545" s="80"/>
      <c r="J545" s="80"/>
      <c r="K545" s="80"/>
    </row>
    <row r="546" ht="12.75" customHeight="1">
      <c r="B546" s="90"/>
      <c r="E546" s="79"/>
      <c r="F546" s="80"/>
      <c r="G546" s="80"/>
      <c r="H546" s="81"/>
      <c r="I546" s="80"/>
      <c r="J546" s="80"/>
      <c r="K546" s="80"/>
    </row>
    <row r="547" ht="12.75" customHeight="1">
      <c r="A547" s="89" t="s">
        <v>482</v>
      </c>
      <c r="B547" s="96" t="s">
        <v>4831</v>
      </c>
      <c r="C547" s="90"/>
      <c r="E547" s="79"/>
      <c r="F547" s="80"/>
      <c r="G547" s="80"/>
      <c r="H547" s="81"/>
      <c r="I547" s="80"/>
      <c r="J547" s="80"/>
      <c r="K547" s="80"/>
    </row>
    <row r="548" ht="12.75" customHeight="1">
      <c r="B548" s="90"/>
      <c r="E548" s="79"/>
      <c r="F548" s="80"/>
      <c r="G548" s="80"/>
      <c r="H548" s="81"/>
      <c r="I548" s="80"/>
      <c r="J548" s="80"/>
      <c r="K548" s="80"/>
    </row>
    <row r="549" ht="12.75" customHeight="1">
      <c r="A549" s="89" t="s">
        <v>484</v>
      </c>
      <c r="B549" s="96" t="s">
        <v>4832</v>
      </c>
      <c r="C549" s="90"/>
      <c r="D549" s="89" t="s">
        <v>161</v>
      </c>
      <c r="E549" s="91">
        <v>3.6</v>
      </c>
      <c r="F549" s="92">
        <v>139.41</v>
      </c>
      <c r="G549" s="92">
        <v>501.88</v>
      </c>
      <c r="H549" s="93"/>
      <c r="I549" s="92"/>
      <c r="J549" s="92"/>
      <c r="K549" s="92"/>
    </row>
    <row r="550" ht="12.75" customHeight="1">
      <c r="B550" s="90"/>
      <c r="E550" s="79"/>
      <c r="F550" s="80"/>
      <c r="G550" s="80"/>
      <c r="H550" s="81"/>
      <c r="I550" s="80"/>
      <c r="J550" s="80"/>
      <c r="K550" s="80"/>
    </row>
    <row r="551" ht="12.75" customHeight="1">
      <c r="A551" s="89" t="s">
        <v>486</v>
      </c>
      <c r="B551" s="96" t="s">
        <v>4833</v>
      </c>
      <c r="C551" s="90"/>
      <c r="D551" s="89" t="s">
        <v>161</v>
      </c>
      <c r="E551" s="91">
        <v>22.07</v>
      </c>
      <c r="F551" s="92">
        <v>187.9</v>
      </c>
      <c r="G551" s="92">
        <v>4146.95</v>
      </c>
      <c r="H551" s="93"/>
      <c r="I551" s="92"/>
      <c r="J551" s="92"/>
      <c r="K551" s="92"/>
    </row>
    <row r="552" ht="12.75" customHeight="1">
      <c r="B552" s="90"/>
      <c r="E552" s="79"/>
      <c r="F552" s="80"/>
      <c r="G552" s="80"/>
      <c r="H552" s="81"/>
      <c r="I552" s="80"/>
      <c r="J552" s="80"/>
      <c r="K552" s="80"/>
    </row>
    <row r="553" ht="12.75" customHeight="1">
      <c r="A553" s="89" t="s">
        <v>488</v>
      </c>
      <c r="B553" s="96" t="s">
        <v>4834</v>
      </c>
      <c r="C553" s="90"/>
      <c r="D553" s="89" t="s">
        <v>161</v>
      </c>
      <c r="E553" s="91">
        <v>0.85</v>
      </c>
      <c r="F553" s="92">
        <v>84.46</v>
      </c>
      <c r="G553" s="92">
        <v>71.79</v>
      </c>
      <c r="H553" s="93"/>
      <c r="I553" s="92"/>
      <c r="J553" s="92"/>
      <c r="K553" s="92"/>
    </row>
    <row r="554" ht="12.75" customHeight="1">
      <c r="B554" s="90"/>
      <c r="E554" s="79"/>
      <c r="F554" s="80"/>
      <c r="G554" s="80"/>
      <c r="H554" s="81"/>
      <c r="I554" s="80"/>
      <c r="J554" s="80"/>
      <c r="K554" s="80"/>
    </row>
    <row r="555" ht="12.75" customHeight="1">
      <c r="A555" s="89" t="s">
        <v>532</v>
      </c>
      <c r="B555" s="96" t="s">
        <v>4835</v>
      </c>
      <c r="C555" s="90"/>
      <c r="E555" s="79"/>
      <c r="F555" s="80"/>
      <c r="G555" s="80"/>
      <c r="H555" s="81"/>
      <c r="I555" s="80"/>
      <c r="J555" s="80"/>
      <c r="K555" s="80"/>
    </row>
    <row r="556" ht="12.75" customHeight="1">
      <c r="B556" s="90"/>
      <c r="E556" s="79"/>
      <c r="F556" s="80"/>
      <c r="G556" s="80"/>
      <c r="H556" s="81"/>
      <c r="I556" s="80"/>
      <c r="J556" s="80"/>
      <c r="K556" s="80"/>
    </row>
    <row r="557" ht="12.75" customHeight="1">
      <c r="A557" s="89" t="s">
        <v>534</v>
      </c>
      <c r="B557" s="96" t="s">
        <v>4836</v>
      </c>
      <c r="C557" s="90"/>
      <c r="D557" s="89" t="s">
        <v>75</v>
      </c>
      <c r="E557" s="91">
        <v>1.0</v>
      </c>
      <c r="F557" s="92">
        <v>1810.34</v>
      </c>
      <c r="G557" s="92">
        <v>1810.34</v>
      </c>
      <c r="H557" s="93"/>
      <c r="I557" s="92"/>
      <c r="J557" s="92"/>
      <c r="K557" s="92"/>
    </row>
    <row r="558" ht="12.75" customHeight="1">
      <c r="B558" s="96"/>
      <c r="E558" s="79"/>
      <c r="F558" s="80"/>
      <c r="G558" s="80"/>
      <c r="H558" s="81"/>
      <c r="I558" s="80"/>
      <c r="J558" s="80"/>
      <c r="K558" s="80"/>
    </row>
    <row r="559" ht="12.75" customHeight="1">
      <c r="A559" s="89" t="s">
        <v>3859</v>
      </c>
      <c r="B559" s="96" t="s">
        <v>4837</v>
      </c>
      <c r="C559" s="90"/>
      <c r="E559" s="79"/>
      <c r="F559" s="80"/>
      <c r="G559" s="92">
        <v>279339.11</v>
      </c>
      <c r="H559" s="93">
        <f>G559</f>
        <v>279339.11</v>
      </c>
      <c r="I559" s="92"/>
      <c r="J559" s="92"/>
      <c r="K559" s="92"/>
    </row>
    <row r="560" ht="12.75" customHeight="1">
      <c r="B560" s="90"/>
      <c r="E560" s="79"/>
      <c r="F560" s="80"/>
      <c r="G560" s="80"/>
      <c r="H560" s="81"/>
      <c r="I560" s="80"/>
      <c r="J560" s="80"/>
      <c r="K560" s="80"/>
    </row>
    <row r="561" ht="12.75" customHeight="1">
      <c r="B561" s="90"/>
      <c r="E561" s="79"/>
      <c r="F561" s="80"/>
      <c r="G561" s="80"/>
      <c r="H561" s="81"/>
      <c r="I561" s="80"/>
      <c r="J561" s="80"/>
      <c r="K561" s="80"/>
    </row>
    <row r="562" ht="12.75" customHeight="1">
      <c r="A562" s="89" t="s">
        <v>3935</v>
      </c>
      <c r="B562" s="96" t="s">
        <v>4838</v>
      </c>
      <c r="C562" s="90"/>
      <c r="E562" s="79"/>
      <c r="F562" s="80"/>
      <c r="G562" s="80"/>
      <c r="H562" s="81"/>
      <c r="I562" s="80"/>
      <c r="J562" s="80"/>
      <c r="K562" s="80"/>
    </row>
    <row r="563" ht="12.75" customHeight="1">
      <c r="B563" s="90"/>
      <c r="E563" s="79"/>
      <c r="F563" s="80"/>
      <c r="G563" s="80"/>
      <c r="H563" s="81"/>
      <c r="I563" s="80"/>
      <c r="J563" s="80"/>
      <c r="K563" s="80"/>
    </row>
    <row r="564" ht="12.75" customHeight="1">
      <c r="A564" s="89" t="s">
        <v>537</v>
      </c>
      <c r="B564" s="96" t="s">
        <v>4839</v>
      </c>
      <c r="C564" s="90"/>
      <c r="E564" s="79"/>
      <c r="F564" s="80"/>
      <c r="G564" s="80"/>
      <c r="H564" s="81"/>
      <c r="I564" s="80"/>
      <c r="J564" s="80"/>
      <c r="K564" s="80"/>
    </row>
    <row r="565" ht="12.75" customHeight="1">
      <c r="B565" s="90"/>
      <c r="E565" s="79"/>
      <c r="F565" s="80"/>
      <c r="G565" s="80"/>
      <c r="H565" s="81"/>
      <c r="I565" s="80"/>
      <c r="J565" s="80"/>
      <c r="K565" s="80"/>
    </row>
    <row r="566" ht="12.75" customHeight="1">
      <c r="A566" s="89" t="s">
        <v>539</v>
      </c>
      <c r="B566" s="96" t="s">
        <v>4840</v>
      </c>
      <c r="C566" s="90"/>
      <c r="E566" s="79"/>
      <c r="F566" s="80"/>
      <c r="G566" s="80"/>
      <c r="H566" s="81"/>
      <c r="I566" s="80"/>
      <c r="J566" s="80"/>
      <c r="K566" s="80"/>
    </row>
    <row r="567" ht="12.75" customHeight="1">
      <c r="B567" s="90"/>
      <c r="E567" s="79"/>
      <c r="F567" s="80"/>
      <c r="G567" s="80"/>
      <c r="H567" s="81"/>
      <c r="I567" s="80"/>
      <c r="J567" s="80"/>
      <c r="K567" s="80"/>
    </row>
    <row r="568" ht="12.75" customHeight="1">
      <c r="A568" s="89" t="s">
        <v>541</v>
      </c>
      <c r="B568" s="96" t="s">
        <v>4841</v>
      </c>
      <c r="C568" s="90"/>
      <c r="D568" s="89" t="s">
        <v>227</v>
      </c>
      <c r="E568" s="91">
        <v>1.0</v>
      </c>
      <c r="F568" s="92">
        <v>3735.61</v>
      </c>
      <c r="G568" s="92">
        <v>3735.61</v>
      </c>
      <c r="H568" s="93"/>
      <c r="I568" s="92"/>
      <c r="J568" s="92"/>
      <c r="K568" s="92"/>
    </row>
    <row r="569" ht="12.75" customHeight="1">
      <c r="B569" s="90"/>
      <c r="E569" s="79"/>
      <c r="F569" s="80"/>
      <c r="G569" s="80"/>
      <c r="H569" s="81"/>
      <c r="I569" s="80"/>
      <c r="J569" s="80"/>
      <c r="K569" s="80"/>
    </row>
    <row r="570" ht="12.75" customHeight="1">
      <c r="A570" s="89" t="s">
        <v>543</v>
      </c>
      <c r="B570" s="96" t="s">
        <v>4842</v>
      </c>
      <c r="C570" s="90"/>
      <c r="D570" s="89" t="s">
        <v>227</v>
      </c>
      <c r="E570" s="91">
        <v>1.0</v>
      </c>
      <c r="F570" s="92">
        <v>3735.61</v>
      </c>
      <c r="G570" s="92">
        <v>3735.61</v>
      </c>
      <c r="H570" s="93"/>
      <c r="I570" s="92"/>
      <c r="J570" s="92"/>
      <c r="K570" s="92"/>
    </row>
    <row r="571" ht="12.75" customHeight="1">
      <c r="B571" s="90"/>
      <c r="E571" s="79"/>
      <c r="F571" s="80"/>
      <c r="G571" s="80"/>
      <c r="H571" s="81"/>
      <c r="I571" s="80"/>
      <c r="J571" s="80"/>
      <c r="K571" s="80"/>
    </row>
    <row r="572" ht="12.75" customHeight="1">
      <c r="A572" s="89" t="s">
        <v>545</v>
      </c>
      <c r="B572" s="96" t="s">
        <v>4843</v>
      </c>
      <c r="C572" s="90"/>
      <c r="D572" s="89" t="s">
        <v>227</v>
      </c>
      <c r="E572" s="91">
        <v>1.0</v>
      </c>
      <c r="F572" s="92">
        <v>2791.65</v>
      </c>
      <c r="G572" s="92">
        <v>2791.65</v>
      </c>
      <c r="H572" s="93"/>
      <c r="I572" s="92"/>
      <c r="J572" s="92"/>
      <c r="K572" s="92"/>
    </row>
    <row r="573" ht="12.75" customHeight="1">
      <c r="B573" s="90"/>
      <c r="E573" s="79"/>
      <c r="F573" s="80"/>
      <c r="G573" s="80"/>
      <c r="H573" s="81"/>
      <c r="I573" s="80"/>
      <c r="J573" s="80"/>
      <c r="K573" s="80"/>
    </row>
    <row r="574" ht="12.75" customHeight="1">
      <c r="A574" s="89" t="s">
        <v>547</v>
      </c>
      <c r="B574" s="96" t="s">
        <v>4844</v>
      </c>
      <c r="C574" s="90"/>
      <c r="E574" s="79"/>
      <c r="F574" s="80"/>
      <c r="G574" s="80"/>
      <c r="H574" s="81"/>
      <c r="I574" s="80"/>
      <c r="J574" s="80"/>
      <c r="K574" s="80"/>
    </row>
    <row r="575" ht="12.75" customHeight="1">
      <c r="B575" s="90"/>
      <c r="E575" s="79"/>
      <c r="F575" s="80"/>
      <c r="G575" s="80"/>
      <c r="H575" s="81"/>
      <c r="I575" s="80"/>
      <c r="J575" s="80"/>
      <c r="K575" s="80"/>
    </row>
    <row r="576" ht="12.75" customHeight="1">
      <c r="A576" s="109" t="s">
        <v>549</v>
      </c>
      <c r="B576" s="110" t="s">
        <v>4845</v>
      </c>
      <c r="C576" s="110"/>
      <c r="D576" s="124"/>
      <c r="E576" s="125"/>
      <c r="F576" s="126"/>
      <c r="G576" s="126"/>
      <c r="H576" s="127"/>
      <c r="I576" s="126"/>
      <c r="J576" s="126"/>
      <c r="K576" s="126"/>
    </row>
    <row r="577" ht="12.75" customHeight="1">
      <c r="A577" s="124"/>
      <c r="B577" s="110"/>
      <c r="C577" s="124"/>
      <c r="D577" s="124"/>
      <c r="E577" s="125"/>
      <c r="F577" s="126"/>
      <c r="G577" s="126"/>
      <c r="H577" s="127"/>
      <c r="I577" s="126"/>
      <c r="J577" s="126"/>
      <c r="K577" s="126"/>
    </row>
    <row r="578" ht="12.75" customHeight="1">
      <c r="A578" s="109" t="s">
        <v>551</v>
      </c>
      <c r="B578" s="110" t="s">
        <v>4846</v>
      </c>
      <c r="C578" s="110"/>
      <c r="D578" s="109" t="s">
        <v>75</v>
      </c>
      <c r="E578" s="111">
        <v>1.0</v>
      </c>
      <c r="F578" s="112">
        <v>3980.2</v>
      </c>
      <c r="G578" s="112">
        <v>3980.2</v>
      </c>
      <c r="H578" s="113"/>
      <c r="I578" s="112"/>
      <c r="J578" s="112"/>
      <c r="K578" s="112"/>
    </row>
    <row r="579" ht="12.75" customHeight="1">
      <c r="A579" s="124"/>
      <c r="B579" s="110"/>
      <c r="C579" s="124"/>
      <c r="D579" s="124"/>
      <c r="E579" s="125"/>
      <c r="F579" s="126"/>
      <c r="G579" s="126"/>
      <c r="H579" s="127"/>
      <c r="I579" s="126"/>
      <c r="J579" s="126"/>
      <c r="K579" s="126"/>
    </row>
    <row r="580" ht="12.75" customHeight="1">
      <c r="A580" s="109" t="s">
        <v>553</v>
      </c>
      <c r="B580" s="110" t="s">
        <v>4847</v>
      </c>
      <c r="C580" s="110"/>
      <c r="D580" s="109" t="s">
        <v>75</v>
      </c>
      <c r="E580" s="111">
        <v>1.0</v>
      </c>
      <c r="F580" s="112">
        <v>3980.2</v>
      </c>
      <c r="G580" s="112">
        <v>3980.2</v>
      </c>
      <c r="H580" s="113"/>
      <c r="I580" s="112"/>
      <c r="J580" s="112"/>
      <c r="K580" s="112"/>
    </row>
    <row r="581" ht="12.75" customHeight="1">
      <c r="A581" s="124"/>
      <c r="B581" s="110"/>
      <c r="C581" s="124"/>
      <c r="D581" s="124"/>
      <c r="E581" s="125"/>
      <c r="F581" s="126"/>
      <c r="G581" s="126"/>
      <c r="H581" s="127"/>
      <c r="I581" s="126"/>
      <c r="J581" s="126"/>
      <c r="K581" s="126"/>
    </row>
    <row r="582" ht="12.75" customHeight="1">
      <c r="A582" s="109" t="s">
        <v>555</v>
      </c>
      <c r="B582" s="110" t="s">
        <v>4848</v>
      </c>
      <c r="C582" s="110"/>
      <c r="D582" s="109" t="s">
        <v>75</v>
      </c>
      <c r="E582" s="111">
        <v>1.0</v>
      </c>
      <c r="F582" s="112">
        <v>3980.2</v>
      </c>
      <c r="G582" s="112">
        <v>3980.2</v>
      </c>
      <c r="H582" s="113"/>
      <c r="I582" s="112"/>
      <c r="J582" s="128"/>
      <c r="K582" s="112"/>
    </row>
    <row r="583" ht="12.75" customHeight="1">
      <c r="B583" s="96"/>
      <c r="E583" s="79"/>
      <c r="F583" s="80"/>
      <c r="G583" s="80"/>
      <c r="H583" s="81"/>
      <c r="I583" s="80"/>
      <c r="J583" s="80"/>
      <c r="K583" s="80"/>
    </row>
    <row r="584" ht="12.75" customHeight="1">
      <c r="A584" s="89" t="s">
        <v>547</v>
      </c>
      <c r="B584" s="96" t="s">
        <v>4849</v>
      </c>
      <c r="C584" s="90"/>
      <c r="E584" s="79"/>
      <c r="F584" s="80"/>
      <c r="G584" s="80"/>
      <c r="H584" s="81"/>
      <c r="I584" s="80"/>
      <c r="J584" s="80"/>
      <c r="K584" s="80"/>
    </row>
    <row r="585" ht="12.75" customHeight="1">
      <c r="B585" s="90"/>
      <c r="E585" s="79"/>
      <c r="F585" s="80"/>
      <c r="G585" s="80"/>
      <c r="H585" s="81"/>
      <c r="I585" s="80"/>
      <c r="J585" s="80"/>
      <c r="K585" s="80"/>
    </row>
    <row r="586" ht="12.75" customHeight="1">
      <c r="A586" s="89" t="s">
        <v>549</v>
      </c>
      <c r="B586" s="96" t="s">
        <v>4850</v>
      </c>
      <c r="C586" s="90"/>
      <c r="D586" s="89" t="s">
        <v>75</v>
      </c>
      <c r="E586" s="91">
        <v>7.0</v>
      </c>
      <c r="F586" s="92">
        <v>538.27</v>
      </c>
      <c r="G586" s="92">
        <v>3767.89</v>
      </c>
      <c r="H586" s="93">
        <v>261.0</v>
      </c>
      <c r="I586" s="92">
        <f>E586*H586</f>
        <v>1827</v>
      </c>
      <c r="J586" s="129" t="s">
        <v>559</v>
      </c>
      <c r="K586" s="92">
        <f>G586-I586</f>
        <v>1940.89</v>
      </c>
    </row>
    <row r="587" ht="12.75" customHeight="1">
      <c r="B587" s="90"/>
      <c r="E587" s="79"/>
      <c r="F587" s="80"/>
      <c r="G587" s="80"/>
      <c r="H587" s="81"/>
      <c r="I587" s="80"/>
      <c r="J587" s="80"/>
      <c r="K587" s="80"/>
    </row>
    <row r="588" ht="12.75" customHeight="1">
      <c r="A588" s="89" t="s">
        <v>560</v>
      </c>
      <c r="B588" s="96" t="s">
        <v>4851</v>
      </c>
      <c r="C588" s="90"/>
      <c r="D588" s="89" t="s">
        <v>75</v>
      </c>
      <c r="E588" s="91">
        <v>1.0</v>
      </c>
      <c r="F588" s="92">
        <v>1789.25</v>
      </c>
      <c r="G588" s="92">
        <v>1789.25</v>
      </c>
      <c r="H588" s="93">
        <v>889.0</v>
      </c>
      <c r="I588" s="92"/>
      <c r="J588" s="129" t="s">
        <v>559</v>
      </c>
      <c r="K588" s="129">
        <f>G588-H588</f>
        <v>900.25</v>
      </c>
    </row>
    <row r="589" ht="12.75" customHeight="1">
      <c r="B589" s="90"/>
      <c r="E589" s="79"/>
      <c r="F589" s="80"/>
      <c r="G589" s="80"/>
      <c r="H589" s="81"/>
      <c r="I589" s="80"/>
      <c r="J589" s="80"/>
      <c r="K589" s="80"/>
    </row>
    <row r="590" ht="12.75" customHeight="1">
      <c r="A590" s="89" t="s">
        <v>562</v>
      </c>
      <c r="B590" s="96" t="s">
        <v>4852</v>
      </c>
      <c r="C590" s="90"/>
      <c r="D590" s="89" t="s">
        <v>75</v>
      </c>
      <c r="E590" s="91">
        <v>6.0</v>
      </c>
      <c r="F590" s="92">
        <v>640.5</v>
      </c>
      <c r="G590" s="92">
        <v>3843.0</v>
      </c>
      <c r="H590" s="132">
        <v>299.0</v>
      </c>
      <c r="I590" s="92">
        <v>1794.0</v>
      </c>
      <c r="J590" s="133" t="s">
        <v>559</v>
      </c>
      <c r="K590" s="92">
        <f>G590-I590</f>
        <v>2049</v>
      </c>
    </row>
    <row r="591" ht="12.75" customHeight="1">
      <c r="B591" s="90"/>
      <c r="E591" s="79"/>
      <c r="F591" s="80"/>
      <c r="G591" s="80"/>
      <c r="H591" s="81"/>
      <c r="I591" s="80"/>
      <c r="J591" s="80"/>
      <c r="K591" s="80"/>
    </row>
    <row r="592" ht="12.75" customHeight="1">
      <c r="A592" s="89" t="s">
        <v>564</v>
      </c>
      <c r="B592" s="96" t="s">
        <v>4853</v>
      </c>
      <c r="C592" s="90"/>
      <c r="D592" s="89" t="s">
        <v>75</v>
      </c>
      <c r="E592" s="91">
        <v>2.0</v>
      </c>
      <c r="F592" s="92">
        <v>278.83</v>
      </c>
      <c r="G592" s="92">
        <v>557.66</v>
      </c>
      <c r="H592" s="93">
        <v>58.9</v>
      </c>
      <c r="I592" s="92">
        <f>H592*E592</f>
        <v>117.8</v>
      </c>
      <c r="J592" s="129" t="s">
        <v>559</v>
      </c>
      <c r="K592" s="92">
        <f>G592-I592</f>
        <v>439.86</v>
      </c>
    </row>
    <row r="593" ht="12.75" customHeight="1">
      <c r="B593" s="90"/>
      <c r="E593" s="79"/>
      <c r="F593" s="80"/>
      <c r="G593" s="80"/>
      <c r="H593" s="81"/>
      <c r="I593" s="80"/>
      <c r="J593" s="80"/>
      <c r="K593" s="80"/>
    </row>
    <row r="594" ht="12.75" customHeight="1">
      <c r="A594" s="89" t="s">
        <v>566</v>
      </c>
      <c r="B594" s="96" t="s">
        <v>4854</v>
      </c>
      <c r="C594" s="90"/>
      <c r="D594" s="89" t="s">
        <v>75</v>
      </c>
      <c r="E594" s="91">
        <v>4.0</v>
      </c>
      <c r="F594" s="92">
        <v>226.98</v>
      </c>
      <c r="G594" s="92">
        <v>907.92</v>
      </c>
      <c r="H594" s="93">
        <v>99.29</v>
      </c>
      <c r="I594" s="92">
        <f>H594*E594</f>
        <v>397.16</v>
      </c>
      <c r="J594" s="129" t="s">
        <v>568</v>
      </c>
      <c r="K594" s="92">
        <f>G594-I594</f>
        <v>510.76</v>
      </c>
    </row>
    <row r="595" ht="12.75" customHeight="1">
      <c r="B595" s="90"/>
      <c r="E595" s="79"/>
      <c r="F595" s="80"/>
      <c r="G595" s="80"/>
      <c r="H595" s="81"/>
      <c r="I595" s="80"/>
      <c r="J595" s="80"/>
      <c r="K595" s="80"/>
    </row>
    <row r="596" ht="12.75" customHeight="1">
      <c r="A596" s="89" t="s">
        <v>569</v>
      </c>
      <c r="B596" s="96" t="s">
        <v>4855</v>
      </c>
      <c r="C596" s="90"/>
      <c r="E596" s="79"/>
      <c r="F596" s="80"/>
      <c r="G596" s="80"/>
      <c r="H596" s="81"/>
      <c r="I596" s="80"/>
      <c r="J596" s="80"/>
      <c r="K596" s="80"/>
    </row>
    <row r="597" ht="12.75" customHeight="1">
      <c r="B597" s="90"/>
      <c r="E597" s="79"/>
      <c r="F597" s="80"/>
      <c r="G597" s="80"/>
      <c r="H597" s="81"/>
      <c r="I597" s="80"/>
      <c r="J597" s="80"/>
      <c r="K597" s="80"/>
    </row>
    <row r="598" ht="12.75" customHeight="1">
      <c r="A598" s="89" t="s">
        <v>571</v>
      </c>
      <c r="B598" s="96" t="s">
        <v>4856</v>
      </c>
      <c r="C598" s="90"/>
      <c r="D598" s="89" t="s">
        <v>75</v>
      </c>
      <c r="E598" s="91">
        <v>14.0</v>
      </c>
      <c r="F598" s="92">
        <v>56.55</v>
      </c>
      <c r="G598" s="92">
        <v>791.7</v>
      </c>
      <c r="H598" s="93">
        <v>33.99</v>
      </c>
      <c r="I598" s="92">
        <v>475.86</v>
      </c>
      <c r="J598" s="129" t="s">
        <v>573</v>
      </c>
      <c r="K598" s="92">
        <f>G598-I598</f>
        <v>315.84</v>
      </c>
    </row>
    <row r="599" ht="12.75" customHeight="1">
      <c r="B599" s="90"/>
      <c r="E599" s="79"/>
      <c r="F599" s="80"/>
      <c r="G599" s="80"/>
      <c r="H599" s="81"/>
      <c r="I599" s="80"/>
      <c r="J599" s="80"/>
      <c r="K599" s="80"/>
    </row>
    <row r="600" ht="12.75" customHeight="1">
      <c r="A600" s="89" t="s">
        <v>574</v>
      </c>
      <c r="B600" s="96" t="s">
        <v>4857</v>
      </c>
      <c r="C600" s="90"/>
      <c r="D600" s="89" t="s">
        <v>75</v>
      </c>
      <c r="E600" s="91">
        <v>6.0</v>
      </c>
      <c r="F600" s="92">
        <v>41.21</v>
      </c>
      <c r="G600" s="92">
        <v>247.26</v>
      </c>
      <c r="H600" s="93"/>
      <c r="I600" s="92"/>
      <c r="J600" s="92"/>
      <c r="K600" s="92"/>
    </row>
    <row r="601" ht="12.75" customHeight="1">
      <c r="B601" s="90"/>
      <c r="E601" s="79"/>
      <c r="F601" s="80"/>
      <c r="G601" s="80"/>
      <c r="H601" s="81"/>
      <c r="I601" s="80"/>
      <c r="J601" s="80"/>
      <c r="K601" s="80"/>
    </row>
    <row r="602" ht="12.75" customHeight="1">
      <c r="A602" s="89" t="s">
        <v>576</v>
      </c>
      <c r="B602" s="96" t="s">
        <v>4858</v>
      </c>
      <c r="C602" s="90"/>
      <c r="D602" s="89" t="s">
        <v>75</v>
      </c>
      <c r="E602" s="91">
        <v>1.0</v>
      </c>
      <c r="F602" s="92">
        <v>299.86</v>
      </c>
      <c r="G602" s="92">
        <v>299.86</v>
      </c>
      <c r="H602" s="93"/>
      <c r="I602" s="92"/>
      <c r="J602" s="92"/>
      <c r="K602" s="92"/>
    </row>
    <row r="603" ht="12.75" customHeight="1">
      <c r="B603" s="90"/>
      <c r="E603" s="79"/>
      <c r="F603" s="80"/>
      <c r="G603" s="80"/>
      <c r="H603" s="81"/>
      <c r="I603" s="80"/>
      <c r="J603" s="80"/>
      <c r="K603" s="80"/>
    </row>
    <row r="604" ht="12.75" customHeight="1">
      <c r="A604" s="89" t="s">
        <v>578</v>
      </c>
      <c r="B604" s="96" t="s">
        <v>4859</v>
      </c>
      <c r="C604" s="90"/>
      <c r="D604" s="89" t="s">
        <v>75</v>
      </c>
      <c r="E604" s="91">
        <v>2.0</v>
      </c>
      <c r="F604" s="92">
        <v>249.03</v>
      </c>
      <c r="G604" s="92">
        <v>498.06</v>
      </c>
      <c r="H604" s="93"/>
      <c r="I604" s="92"/>
      <c r="J604" s="92"/>
      <c r="K604" s="92"/>
    </row>
    <row r="605" ht="12.75" customHeight="1">
      <c r="B605" s="90"/>
      <c r="E605" s="79"/>
      <c r="F605" s="80"/>
      <c r="G605" s="80"/>
      <c r="H605" s="81"/>
      <c r="I605" s="80"/>
      <c r="J605" s="80"/>
      <c r="K605" s="80"/>
    </row>
    <row r="606" ht="12.75" customHeight="1">
      <c r="A606" s="89" t="s">
        <v>580</v>
      </c>
      <c r="B606" s="96" t="s">
        <v>4860</v>
      </c>
      <c r="C606" s="90"/>
      <c r="D606" s="89" t="s">
        <v>75</v>
      </c>
      <c r="E606" s="91">
        <v>1.0</v>
      </c>
      <c r="F606" s="92">
        <v>1109.73</v>
      </c>
      <c r="G606" s="92">
        <v>1109.73</v>
      </c>
      <c r="H606" s="93" t="s">
        <v>582</v>
      </c>
      <c r="I606" s="92"/>
      <c r="J606" s="129" t="s">
        <v>583</v>
      </c>
      <c r="K606" s="92"/>
    </row>
    <row r="607" ht="12.75" customHeight="1">
      <c r="B607" s="90"/>
      <c r="E607" s="79"/>
      <c r="F607" s="80"/>
      <c r="G607" s="80"/>
      <c r="H607" s="81"/>
      <c r="I607" s="80"/>
      <c r="J607" s="80"/>
      <c r="K607" s="80"/>
    </row>
    <row r="608" ht="12.75" customHeight="1">
      <c r="A608" s="89" t="s">
        <v>584</v>
      </c>
      <c r="B608" s="96" t="s">
        <v>4861</v>
      </c>
      <c r="C608" s="90"/>
      <c r="D608" s="89" t="s">
        <v>75</v>
      </c>
      <c r="E608" s="91">
        <v>6.0</v>
      </c>
      <c r="F608" s="92">
        <v>288.22</v>
      </c>
      <c r="G608" s="92">
        <v>1729.32</v>
      </c>
      <c r="H608" s="81" t="s">
        <v>586</v>
      </c>
      <c r="I608" s="92"/>
      <c r="J608" s="92"/>
      <c r="K608" s="92"/>
    </row>
    <row r="609" ht="12.75" customHeight="1">
      <c r="B609" s="90"/>
      <c r="E609" s="79"/>
      <c r="F609" s="80"/>
      <c r="G609" s="80"/>
      <c r="H609" s="81"/>
      <c r="I609" s="80"/>
      <c r="J609" s="80"/>
      <c r="K609" s="80"/>
    </row>
    <row r="610" ht="12.75" customHeight="1">
      <c r="A610" s="89" t="s">
        <v>587</v>
      </c>
      <c r="B610" s="96" t="s">
        <v>4862</v>
      </c>
      <c r="C610" s="90"/>
      <c r="D610" s="89" t="s">
        <v>75</v>
      </c>
      <c r="E610" s="91">
        <v>7.0</v>
      </c>
      <c r="F610" s="92">
        <v>729.86</v>
      </c>
      <c r="G610" s="92">
        <v>5109.02</v>
      </c>
      <c r="H610" s="93"/>
      <c r="I610" s="92"/>
      <c r="J610" s="92"/>
      <c r="K610" s="92"/>
    </row>
    <row r="611" ht="12.75" customHeight="1">
      <c r="B611" s="90"/>
      <c r="E611" s="79"/>
      <c r="F611" s="80"/>
      <c r="G611" s="80"/>
      <c r="H611" s="81"/>
      <c r="I611" s="80"/>
      <c r="J611" s="80"/>
      <c r="K611" s="80"/>
    </row>
    <row r="612" ht="12.75" customHeight="1">
      <c r="A612" s="89" t="s">
        <v>589</v>
      </c>
      <c r="B612" s="96" t="s">
        <v>4863</v>
      </c>
      <c r="C612" s="90"/>
      <c r="D612" s="89" t="s">
        <v>75</v>
      </c>
      <c r="E612" s="91">
        <v>3.0</v>
      </c>
      <c r="F612" s="92">
        <v>299.6</v>
      </c>
      <c r="G612" s="92">
        <v>898.8</v>
      </c>
      <c r="H612" s="93"/>
      <c r="I612" s="92"/>
      <c r="J612" s="92"/>
      <c r="K612" s="92"/>
    </row>
    <row r="613" ht="12.75" customHeight="1">
      <c r="B613" s="90"/>
      <c r="E613" s="79"/>
      <c r="F613" s="80"/>
      <c r="G613" s="80"/>
      <c r="H613" s="81"/>
      <c r="I613" s="80"/>
      <c r="J613" s="80"/>
      <c r="K613" s="80"/>
    </row>
    <row r="614" ht="12.75" customHeight="1">
      <c r="A614" s="89" t="s">
        <v>591</v>
      </c>
      <c r="B614" s="96" t="s">
        <v>4864</v>
      </c>
      <c r="C614" s="90"/>
      <c r="E614" s="79"/>
      <c r="F614" s="80"/>
      <c r="G614" s="80"/>
      <c r="H614" s="81"/>
      <c r="I614" s="80"/>
      <c r="J614" s="80"/>
      <c r="K614" s="80"/>
    </row>
    <row r="615" ht="12.75" customHeight="1">
      <c r="B615" s="90"/>
      <c r="E615" s="79"/>
      <c r="F615" s="80"/>
      <c r="G615" s="80"/>
      <c r="H615" s="81"/>
      <c r="I615" s="80"/>
      <c r="J615" s="80"/>
      <c r="K615" s="80"/>
    </row>
    <row r="616" ht="12.75" customHeight="1">
      <c r="A616" s="89" t="s">
        <v>593</v>
      </c>
      <c r="B616" s="96" t="s">
        <v>4865</v>
      </c>
      <c r="C616" s="90"/>
      <c r="D616" s="89" t="s">
        <v>75</v>
      </c>
      <c r="E616" s="91">
        <v>6.0</v>
      </c>
      <c r="F616" s="92">
        <v>53.6</v>
      </c>
      <c r="G616" s="92">
        <v>321.6</v>
      </c>
      <c r="H616" s="93"/>
      <c r="I616" s="92"/>
      <c r="J616" s="92"/>
      <c r="K616" s="92"/>
    </row>
    <row r="617" ht="12.75" customHeight="1">
      <c r="B617" s="90"/>
      <c r="E617" s="79"/>
      <c r="F617" s="80"/>
      <c r="G617" s="80"/>
      <c r="H617" s="81"/>
      <c r="I617" s="80"/>
      <c r="J617" s="80"/>
      <c r="K617" s="80"/>
    </row>
    <row r="618" ht="12.75" customHeight="1">
      <c r="A618" s="89" t="s">
        <v>595</v>
      </c>
      <c r="B618" s="96" t="s">
        <v>4866</v>
      </c>
      <c r="C618" s="90"/>
      <c r="D618" s="89" t="s">
        <v>75</v>
      </c>
      <c r="E618" s="91">
        <v>11.0</v>
      </c>
      <c r="F618" s="92">
        <v>92.39</v>
      </c>
      <c r="G618" s="92">
        <v>1016.29</v>
      </c>
      <c r="H618" s="93"/>
      <c r="I618" s="92"/>
      <c r="J618" s="92"/>
      <c r="K618" s="92"/>
    </row>
    <row r="619" ht="12.75" customHeight="1">
      <c r="B619" s="90"/>
      <c r="E619" s="79"/>
      <c r="F619" s="80"/>
      <c r="G619" s="80"/>
      <c r="H619" s="81"/>
      <c r="I619" s="80"/>
      <c r="J619" s="80"/>
      <c r="K619" s="80"/>
    </row>
    <row r="620" ht="12.75" customHeight="1">
      <c r="A620" s="89" t="s">
        <v>597</v>
      </c>
      <c r="B620" s="96" t="s">
        <v>4867</v>
      </c>
      <c r="C620" s="90"/>
      <c r="D620" s="89" t="s">
        <v>75</v>
      </c>
      <c r="E620" s="91">
        <v>3.0</v>
      </c>
      <c r="F620" s="92">
        <v>66.37</v>
      </c>
      <c r="G620" s="92">
        <v>199.11</v>
      </c>
      <c r="H620" s="93"/>
      <c r="I620" s="92"/>
      <c r="J620" s="92"/>
      <c r="K620" s="92"/>
    </row>
    <row r="621" ht="12.75" customHeight="1">
      <c r="B621" s="90"/>
      <c r="E621" s="79"/>
      <c r="F621" s="80"/>
      <c r="G621" s="80"/>
      <c r="H621" s="81"/>
      <c r="I621" s="80"/>
      <c r="J621" s="80"/>
      <c r="K621" s="80"/>
    </row>
    <row r="622" ht="12.75" customHeight="1">
      <c r="A622" s="89" t="s">
        <v>599</v>
      </c>
      <c r="B622" s="96" t="s">
        <v>4868</v>
      </c>
      <c r="C622" s="90"/>
      <c r="D622" s="89" t="s">
        <v>75</v>
      </c>
      <c r="E622" s="91">
        <v>3.0</v>
      </c>
      <c r="F622" s="92">
        <v>64.54</v>
      </c>
      <c r="G622" s="92">
        <v>193.62</v>
      </c>
      <c r="H622" s="93"/>
      <c r="I622" s="92"/>
      <c r="J622" s="92"/>
      <c r="K622" s="92"/>
    </row>
    <row r="623" ht="12.75" customHeight="1">
      <c r="B623" s="90"/>
      <c r="E623" s="79"/>
      <c r="F623" s="80"/>
      <c r="G623" s="80"/>
      <c r="H623" s="81"/>
      <c r="I623" s="80"/>
      <c r="J623" s="80"/>
      <c r="K623" s="80"/>
    </row>
    <row r="624" ht="12.75" customHeight="1">
      <c r="A624" s="89" t="s">
        <v>601</v>
      </c>
      <c r="B624" s="96" t="s">
        <v>4869</v>
      </c>
      <c r="C624" s="90"/>
      <c r="D624" s="89" t="s">
        <v>75</v>
      </c>
      <c r="E624" s="91">
        <v>1.0</v>
      </c>
      <c r="F624" s="92">
        <v>789.54</v>
      </c>
      <c r="G624" s="92">
        <v>789.54</v>
      </c>
      <c r="H624" s="93"/>
      <c r="I624" s="92"/>
      <c r="J624" s="92"/>
      <c r="K624" s="92"/>
    </row>
    <row r="625" ht="12.75" customHeight="1">
      <c r="B625" s="90"/>
      <c r="E625" s="79"/>
      <c r="F625" s="80"/>
      <c r="G625" s="80"/>
      <c r="H625" s="81"/>
      <c r="I625" s="80"/>
      <c r="J625" s="80"/>
      <c r="K625" s="80"/>
    </row>
    <row r="626" ht="12.75" customHeight="1">
      <c r="A626" s="89" t="s">
        <v>603</v>
      </c>
      <c r="B626" s="96" t="s">
        <v>4870</v>
      </c>
      <c r="C626" s="90"/>
      <c r="D626" s="89" t="s">
        <v>40</v>
      </c>
      <c r="E626" s="91">
        <v>21.85</v>
      </c>
      <c r="F626" s="92">
        <v>323.28</v>
      </c>
      <c r="G626" s="92">
        <v>7063.67</v>
      </c>
      <c r="H626" s="93"/>
      <c r="I626" s="92"/>
      <c r="J626" s="92"/>
      <c r="K626" s="92"/>
    </row>
    <row r="627" ht="12.75" customHeight="1">
      <c r="B627" s="90"/>
      <c r="E627" s="79"/>
      <c r="F627" s="80"/>
      <c r="G627" s="80"/>
      <c r="H627" s="81"/>
      <c r="I627" s="80"/>
      <c r="J627" s="80"/>
      <c r="K627" s="80"/>
    </row>
    <row r="628" ht="12.75" customHeight="1">
      <c r="A628" s="89" t="s">
        <v>605</v>
      </c>
      <c r="B628" s="96" t="s">
        <v>4871</v>
      </c>
      <c r="C628" s="90"/>
      <c r="D628" s="89" t="s">
        <v>75</v>
      </c>
      <c r="E628" s="91">
        <v>2.0</v>
      </c>
      <c r="F628" s="92">
        <v>206.9</v>
      </c>
      <c r="G628" s="92">
        <v>413.8</v>
      </c>
      <c r="H628" s="93"/>
      <c r="I628" s="92"/>
      <c r="J628" s="92"/>
      <c r="K628" s="92"/>
    </row>
    <row r="629" ht="12.75" customHeight="1">
      <c r="B629" s="90"/>
      <c r="E629" s="79"/>
      <c r="F629" s="80"/>
      <c r="G629" s="80"/>
      <c r="H629" s="81"/>
      <c r="I629" s="80"/>
      <c r="J629" s="80"/>
      <c r="K629" s="80"/>
    </row>
    <row r="630" ht="12.75" customHeight="1">
      <c r="A630" s="89" t="s">
        <v>607</v>
      </c>
      <c r="B630" s="96" t="s">
        <v>4872</v>
      </c>
      <c r="C630" s="90"/>
      <c r="D630" s="89" t="s">
        <v>40</v>
      </c>
      <c r="E630" s="91">
        <v>22.6</v>
      </c>
      <c r="F630" s="92">
        <v>109.91</v>
      </c>
      <c r="G630" s="92">
        <v>2483.97</v>
      </c>
      <c r="H630" s="93"/>
      <c r="I630" s="92"/>
      <c r="J630" s="92"/>
      <c r="K630" s="92"/>
    </row>
    <row r="631" ht="12.75" customHeight="1">
      <c r="B631" s="90"/>
      <c r="E631" s="79"/>
      <c r="F631" s="80"/>
      <c r="G631" s="80"/>
      <c r="H631" s="81"/>
      <c r="I631" s="80"/>
      <c r="J631" s="80"/>
      <c r="K631" s="80"/>
    </row>
    <row r="632" ht="12.75" customHeight="1">
      <c r="A632" s="89" t="s">
        <v>3935</v>
      </c>
      <c r="B632" s="96" t="s">
        <v>4838</v>
      </c>
      <c r="C632" s="90"/>
      <c r="E632" s="79"/>
      <c r="F632" s="80"/>
      <c r="G632" s="92">
        <v>56234.54</v>
      </c>
      <c r="H632" s="93">
        <f>G632</f>
        <v>56234.54</v>
      </c>
      <c r="I632" s="92"/>
      <c r="J632" s="92"/>
      <c r="K632" s="92"/>
    </row>
    <row r="633" ht="12.75" customHeight="1">
      <c r="B633" s="90"/>
      <c r="E633" s="79"/>
      <c r="F633" s="80"/>
      <c r="G633" s="80"/>
      <c r="H633" s="81"/>
      <c r="I633" s="80"/>
      <c r="J633" s="80"/>
      <c r="K633" s="80"/>
    </row>
    <row r="634" ht="12.75" customHeight="1">
      <c r="B634" s="90"/>
      <c r="E634" s="79"/>
      <c r="F634" s="80"/>
      <c r="G634" s="80"/>
      <c r="H634" s="81"/>
      <c r="I634" s="80"/>
      <c r="J634" s="80"/>
      <c r="K634" s="80"/>
    </row>
    <row r="635" ht="12.75" customHeight="1">
      <c r="A635" s="89" t="s">
        <v>3967</v>
      </c>
      <c r="B635" s="96" t="s">
        <v>4873</v>
      </c>
      <c r="C635" s="90"/>
      <c r="E635" s="79"/>
      <c r="F635" s="80"/>
      <c r="G635" s="80"/>
      <c r="H635" s="81"/>
      <c r="I635" s="80"/>
      <c r="J635" s="80"/>
      <c r="K635" s="80"/>
    </row>
    <row r="636" ht="12.75" customHeight="1">
      <c r="B636" s="90"/>
      <c r="E636" s="79"/>
      <c r="F636" s="80"/>
      <c r="G636" s="80"/>
      <c r="H636" s="81"/>
      <c r="I636" s="80"/>
      <c r="J636" s="80"/>
      <c r="K636" s="80"/>
    </row>
    <row r="637" ht="12.75" customHeight="1">
      <c r="A637" s="89" t="s">
        <v>610</v>
      </c>
      <c r="B637" s="96" t="s">
        <v>4874</v>
      </c>
      <c r="C637" s="90"/>
      <c r="E637" s="79"/>
      <c r="F637" s="80"/>
      <c r="G637" s="80"/>
      <c r="H637" s="81"/>
      <c r="I637" s="80"/>
      <c r="J637" s="80"/>
      <c r="K637" s="80"/>
    </row>
    <row r="638" ht="12.75" customHeight="1">
      <c r="B638" s="90"/>
      <c r="E638" s="79"/>
      <c r="F638" s="80"/>
      <c r="G638" s="80"/>
      <c r="H638" s="81"/>
      <c r="I638" s="80"/>
      <c r="J638" s="80"/>
      <c r="K638" s="80"/>
    </row>
    <row r="639" ht="12.75" customHeight="1">
      <c r="A639" s="109" t="s">
        <v>612</v>
      </c>
      <c r="B639" s="110" t="s">
        <v>4875</v>
      </c>
      <c r="C639" s="110"/>
      <c r="D639" s="124"/>
      <c r="E639" s="125"/>
      <c r="F639" s="126"/>
      <c r="G639" s="126"/>
      <c r="H639" s="127"/>
      <c r="I639" s="126" t="s">
        <v>614</v>
      </c>
      <c r="J639" s="126"/>
      <c r="K639" s="126"/>
    </row>
    <row r="640" ht="12.75" customHeight="1">
      <c r="B640" s="90"/>
      <c r="E640" s="79"/>
      <c r="F640" s="80"/>
      <c r="G640" s="80"/>
      <c r="H640" s="81"/>
      <c r="I640" s="80"/>
      <c r="J640" s="80"/>
      <c r="K640" s="80"/>
    </row>
    <row r="641" ht="12.75" customHeight="1">
      <c r="A641" s="89" t="s">
        <v>615</v>
      </c>
      <c r="B641" s="96" t="s">
        <v>4876</v>
      </c>
      <c r="C641" s="90"/>
      <c r="D641" s="89" t="s">
        <v>227</v>
      </c>
      <c r="E641" s="91">
        <v>1.0</v>
      </c>
      <c r="F641" s="92">
        <v>9100.0</v>
      </c>
      <c r="G641" s="92">
        <v>9100.0</v>
      </c>
      <c r="H641" s="93"/>
      <c r="I641" s="92"/>
      <c r="J641" s="92"/>
      <c r="K641" s="92"/>
    </row>
    <row r="642" ht="12.75" customHeight="1">
      <c r="B642" s="90"/>
      <c r="E642" s="79"/>
      <c r="F642" s="80"/>
      <c r="G642" s="80"/>
      <c r="H642" s="81"/>
      <c r="I642" s="80"/>
      <c r="J642" s="80"/>
      <c r="K642" s="80"/>
    </row>
    <row r="643" ht="12.75" customHeight="1">
      <c r="A643" s="89" t="s">
        <v>617</v>
      </c>
      <c r="B643" s="96" t="s">
        <v>4877</v>
      </c>
      <c r="C643" s="90"/>
      <c r="D643" s="89" t="s">
        <v>227</v>
      </c>
      <c r="E643" s="91">
        <v>1.0</v>
      </c>
      <c r="F643" s="80"/>
      <c r="G643" s="135" t="s">
        <v>619</v>
      </c>
      <c r="H643" s="159"/>
      <c r="I643" s="135"/>
      <c r="J643" s="135"/>
      <c r="K643" s="135"/>
    </row>
    <row r="644" ht="12.75" customHeight="1">
      <c r="B644" s="90"/>
      <c r="E644" s="79"/>
      <c r="F644" s="80"/>
      <c r="G644" s="80"/>
      <c r="H644" s="81"/>
      <c r="I644" s="80"/>
      <c r="J644" s="80"/>
      <c r="K644" s="80"/>
    </row>
    <row r="645" ht="12.75" customHeight="1">
      <c r="A645" s="89" t="s">
        <v>620</v>
      </c>
      <c r="B645" s="96" t="s">
        <v>4878</v>
      </c>
      <c r="C645" s="90"/>
      <c r="E645" s="79"/>
      <c r="F645" s="80"/>
      <c r="G645" s="80"/>
      <c r="H645" s="81"/>
      <c r="I645" s="80"/>
      <c r="J645" s="80"/>
      <c r="K645" s="80"/>
    </row>
    <row r="646" ht="12.75" customHeight="1">
      <c r="B646" s="90"/>
      <c r="E646" s="79"/>
      <c r="F646" s="80"/>
      <c r="G646" s="80"/>
      <c r="H646" s="81"/>
      <c r="I646" s="80"/>
      <c r="J646" s="80"/>
      <c r="K646" s="80"/>
    </row>
    <row r="647" ht="12.75" customHeight="1">
      <c r="A647" s="89" t="s">
        <v>622</v>
      </c>
      <c r="B647" s="96" t="s">
        <v>4879</v>
      </c>
      <c r="C647" s="90"/>
      <c r="D647" s="89" t="s">
        <v>227</v>
      </c>
      <c r="E647" s="91">
        <v>1.0</v>
      </c>
      <c r="F647" s="80"/>
      <c r="G647" s="135" t="s">
        <v>619</v>
      </c>
      <c r="H647" s="159"/>
      <c r="I647" s="135"/>
      <c r="J647" s="135"/>
      <c r="K647" s="135"/>
    </row>
    <row r="648" ht="12.75" customHeight="1">
      <c r="B648" s="90"/>
      <c r="E648" s="79"/>
      <c r="F648" s="80"/>
      <c r="G648" s="80"/>
      <c r="H648" s="81"/>
      <c r="I648" s="80"/>
      <c r="J648" s="80"/>
      <c r="K648" s="80"/>
    </row>
    <row r="649" ht="12.75" customHeight="1">
      <c r="A649" s="89" t="s">
        <v>624</v>
      </c>
      <c r="B649" s="96" t="s">
        <v>4880</v>
      </c>
      <c r="C649" s="90"/>
      <c r="D649" s="89" t="s">
        <v>227</v>
      </c>
      <c r="E649" s="91">
        <v>1.0</v>
      </c>
      <c r="F649" s="80"/>
      <c r="G649" s="135" t="s">
        <v>619</v>
      </c>
      <c r="H649" s="159"/>
      <c r="I649" s="135"/>
      <c r="J649" s="135"/>
      <c r="K649" s="135"/>
    </row>
    <row r="650" ht="12.75" customHeight="1">
      <c r="B650" s="90"/>
      <c r="E650" s="79"/>
      <c r="F650" s="80"/>
      <c r="G650" s="80"/>
      <c r="H650" s="81"/>
      <c r="I650" s="80"/>
      <c r="J650" s="80"/>
      <c r="K650" s="80"/>
    </row>
    <row r="651" ht="12.75" customHeight="1">
      <c r="A651" s="89" t="s">
        <v>626</v>
      </c>
      <c r="B651" s="96" t="s">
        <v>4881</v>
      </c>
      <c r="C651" s="90"/>
      <c r="D651" s="89" t="s">
        <v>75</v>
      </c>
      <c r="E651" s="91">
        <v>1.0</v>
      </c>
      <c r="F651" s="92">
        <v>298.0</v>
      </c>
      <c r="G651" s="92">
        <v>298.0</v>
      </c>
      <c r="H651" s="93"/>
      <c r="I651" s="92"/>
      <c r="J651" s="92"/>
      <c r="K651" s="92"/>
    </row>
    <row r="652" ht="12.75" customHeight="1">
      <c r="B652" s="90"/>
      <c r="E652" s="79"/>
      <c r="F652" s="80"/>
      <c r="G652" s="80"/>
      <c r="H652" s="81"/>
      <c r="I652" s="80"/>
      <c r="J652" s="80"/>
      <c r="K652" s="80"/>
    </row>
    <row r="653" ht="12.75" customHeight="1">
      <c r="A653" s="89" t="s">
        <v>628</v>
      </c>
      <c r="B653" s="96" t="s">
        <v>4882</v>
      </c>
      <c r="C653" s="90"/>
      <c r="D653" s="89" t="s">
        <v>75</v>
      </c>
      <c r="E653" s="91">
        <v>1.0</v>
      </c>
      <c r="F653" s="92">
        <v>300.0</v>
      </c>
      <c r="G653" s="92">
        <v>300.0</v>
      </c>
      <c r="H653" s="93"/>
      <c r="I653" s="92"/>
      <c r="J653" s="92"/>
      <c r="K653" s="92"/>
    </row>
    <row r="654" ht="12.75" customHeight="1">
      <c r="B654" s="90"/>
      <c r="E654" s="79"/>
      <c r="F654" s="80"/>
      <c r="G654" s="80"/>
      <c r="H654" s="81"/>
      <c r="I654" s="80"/>
      <c r="J654" s="80"/>
      <c r="K654" s="80"/>
    </row>
    <row r="655" ht="12.75" customHeight="1">
      <c r="A655" s="89" t="s">
        <v>630</v>
      </c>
      <c r="B655" s="96" t="s">
        <v>4883</v>
      </c>
      <c r="C655" s="90"/>
      <c r="D655" s="89" t="s">
        <v>75</v>
      </c>
      <c r="E655" s="91">
        <v>1.0</v>
      </c>
      <c r="F655" s="92">
        <v>230.0</v>
      </c>
      <c r="G655" s="92">
        <v>230.0</v>
      </c>
      <c r="H655" s="93"/>
      <c r="I655" s="92"/>
      <c r="J655" s="92"/>
      <c r="K655" s="92"/>
    </row>
    <row r="656" ht="12.75" customHeight="1">
      <c r="B656" s="90"/>
      <c r="E656" s="79"/>
      <c r="F656" s="80"/>
      <c r="G656" s="80"/>
      <c r="H656" s="81"/>
      <c r="I656" s="80"/>
      <c r="J656" s="80"/>
      <c r="K656" s="80"/>
    </row>
    <row r="657" ht="12.75" customHeight="1">
      <c r="A657" s="89" t="s">
        <v>632</v>
      </c>
      <c r="B657" s="96" t="s">
        <v>4884</v>
      </c>
      <c r="C657" s="90"/>
      <c r="D657" s="89" t="s">
        <v>75</v>
      </c>
      <c r="E657" s="91">
        <v>1.0</v>
      </c>
      <c r="F657" s="92">
        <v>1800.0</v>
      </c>
      <c r="G657" s="92">
        <v>1800.0</v>
      </c>
      <c r="H657" s="93"/>
      <c r="I657" s="92" t="s">
        <v>634</v>
      </c>
      <c r="J657" s="92"/>
      <c r="K657" s="92"/>
    </row>
    <row r="658" ht="12.75" customHeight="1">
      <c r="B658" s="90"/>
      <c r="E658" s="79"/>
      <c r="F658" s="80"/>
      <c r="G658" s="80"/>
      <c r="H658" s="81"/>
      <c r="I658" s="80"/>
      <c r="J658" s="80"/>
      <c r="K658" s="80"/>
    </row>
    <row r="659" ht="12.75" customHeight="1">
      <c r="A659" s="89" t="s">
        <v>635</v>
      </c>
      <c r="B659" s="96" t="s">
        <v>4885</v>
      </c>
      <c r="C659" s="90"/>
      <c r="D659" s="89" t="s">
        <v>75</v>
      </c>
      <c r="E659" s="91">
        <v>1.0</v>
      </c>
      <c r="F659" s="92">
        <v>998.0</v>
      </c>
      <c r="G659" s="92">
        <v>998.0</v>
      </c>
      <c r="H659" s="93">
        <v>750.0</v>
      </c>
      <c r="I659" s="92" t="s">
        <v>637</v>
      </c>
      <c r="J659" s="92"/>
      <c r="K659" s="92">
        <f>G659-H659</f>
        <v>248</v>
      </c>
    </row>
    <row r="660" ht="12.75" customHeight="1">
      <c r="B660" s="90"/>
      <c r="E660" s="79"/>
      <c r="F660" s="80"/>
      <c r="G660" s="80"/>
      <c r="H660" s="81"/>
      <c r="I660" s="80"/>
      <c r="J660" s="80"/>
      <c r="K660" s="80"/>
    </row>
    <row r="661" ht="12.75" customHeight="1">
      <c r="A661" s="89" t="s">
        <v>638</v>
      </c>
      <c r="B661" s="96" t="s">
        <v>4886</v>
      </c>
      <c r="C661" s="90"/>
      <c r="D661" s="89" t="s">
        <v>75</v>
      </c>
      <c r="E661" s="91">
        <v>1.0</v>
      </c>
      <c r="F661" s="92">
        <v>1144.0</v>
      </c>
      <c r="G661" s="92">
        <v>1144.0</v>
      </c>
      <c r="H661" s="93">
        <v>750.0</v>
      </c>
      <c r="I661" s="92" t="s">
        <v>640</v>
      </c>
      <c r="J661" s="92"/>
      <c r="K661" s="92">
        <f>G661-H661</f>
        <v>394</v>
      </c>
    </row>
    <row r="662" ht="12.75" customHeight="1">
      <c r="B662" s="90"/>
      <c r="E662" s="79"/>
      <c r="F662" s="80"/>
      <c r="G662" s="80"/>
      <c r="H662" s="81"/>
      <c r="I662" s="80"/>
      <c r="J662" s="80"/>
      <c r="K662" s="80"/>
    </row>
    <row r="663" ht="12.75" customHeight="1">
      <c r="A663" s="89" t="s">
        <v>641</v>
      </c>
      <c r="B663" s="96" t="s">
        <v>4887</v>
      </c>
      <c r="C663" s="90"/>
      <c r="D663" s="89" t="s">
        <v>75</v>
      </c>
      <c r="E663" s="91">
        <v>1.0</v>
      </c>
      <c r="F663" s="92">
        <v>330.0</v>
      </c>
      <c r="G663" s="92">
        <v>330.0</v>
      </c>
      <c r="H663" s="93" t="s">
        <v>643</v>
      </c>
      <c r="I663" s="92"/>
      <c r="J663" s="92"/>
      <c r="K663" s="92">
        <v>0.0</v>
      </c>
    </row>
    <row r="664" ht="12.75" customHeight="1">
      <c r="B664" s="90"/>
      <c r="E664" s="79"/>
      <c r="F664" s="80"/>
      <c r="G664" s="80"/>
      <c r="H664" s="81"/>
      <c r="I664" s="80"/>
      <c r="J664" s="80"/>
      <c r="K664" s="80"/>
    </row>
    <row r="665" ht="12.75" customHeight="1">
      <c r="A665" s="89" t="s">
        <v>644</v>
      </c>
      <c r="B665" s="96" t="s">
        <v>4888</v>
      </c>
      <c r="C665" s="90"/>
      <c r="D665" s="89" t="s">
        <v>75</v>
      </c>
      <c r="E665" s="91">
        <v>1.0</v>
      </c>
      <c r="F665" s="92">
        <v>1080.0</v>
      </c>
      <c r="G665" s="92">
        <v>1080.0</v>
      </c>
      <c r="H665" s="93">
        <v>979.0</v>
      </c>
      <c r="I665" s="92" t="s">
        <v>646</v>
      </c>
      <c r="J665" s="92"/>
      <c r="K665" s="92"/>
    </row>
    <row r="666" ht="12.75" customHeight="1">
      <c r="B666" s="90"/>
      <c r="E666" s="79"/>
      <c r="F666" s="80"/>
      <c r="G666" s="80"/>
      <c r="H666" s="81"/>
      <c r="I666" s="80"/>
      <c r="J666" s="80"/>
      <c r="K666" s="80"/>
    </row>
    <row r="667" ht="12.75" customHeight="1">
      <c r="A667" s="89" t="s">
        <v>647</v>
      </c>
      <c r="B667" s="96" t="s">
        <v>4889</v>
      </c>
      <c r="C667" s="90"/>
      <c r="D667" s="89" t="s">
        <v>75</v>
      </c>
      <c r="E667" s="91">
        <v>1.0</v>
      </c>
      <c r="F667" s="92">
        <v>898.0</v>
      </c>
      <c r="G667" s="92">
        <v>898.0</v>
      </c>
      <c r="H667" s="93">
        <v>390.0</v>
      </c>
      <c r="I667" s="92"/>
      <c r="J667" s="129" t="s">
        <v>559</v>
      </c>
      <c r="K667" s="92">
        <f>G667-H667</f>
        <v>508</v>
      </c>
    </row>
    <row r="668" ht="12.75" customHeight="1">
      <c r="B668" s="90"/>
      <c r="E668" s="79"/>
      <c r="F668" s="80"/>
      <c r="G668" s="80"/>
      <c r="H668" s="81"/>
      <c r="I668" s="80"/>
      <c r="J668" s="80"/>
      <c r="K668" s="80"/>
    </row>
    <row r="669" ht="12.75" customHeight="1">
      <c r="A669" s="89" t="s">
        <v>649</v>
      </c>
      <c r="B669" s="96" t="s">
        <v>4890</v>
      </c>
      <c r="C669" s="90"/>
      <c r="D669" s="89" t="s">
        <v>75</v>
      </c>
      <c r="E669" s="91">
        <v>1.0</v>
      </c>
      <c r="F669" s="92">
        <v>940.0</v>
      </c>
      <c r="G669" s="92">
        <v>940.0</v>
      </c>
      <c r="H669" s="93"/>
      <c r="I669" s="92"/>
      <c r="J669" s="92"/>
      <c r="K669" s="92"/>
    </row>
    <row r="670" ht="12.75" customHeight="1">
      <c r="B670" s="90"/>
      <c r="E670" s="79"/>
      <c r="F670" s="80"/>
      <c r="G670" s="80"/>
      <c r="H670" s="81"/>
      <c r="I670" s="80"/>
      <c r="J670" s="80"/>
      <c r="K670" s="80"/>
    </row>
    <row r="671" ht="12.75" customHeight="1">
      <c r="A671" s="89" t="s">
        <v>651</v>
      </c>
      <c r="B671" s="96" t="s">
        <v>4891</v>
      </c>
      <c r="C671" s="90"/>
      <c r="D671" s="89" t="s">
        <v>75</v>
      </c>
      <c r="E671" s="91">
        <v>1.0</v>
      </c>
      <c r="F671" s="92">
        <v>45.0</v>
      </c>
      <c r="G671" s="92">
        <v>45.0</v>
      </c>
      <c r="H671" s="93"/>
      <c r="I671" s="92"/>
      <c r="J671" s="92"/>
      <c r="K671" s="92"/>
    </row>
    <row r="672" ht="12.75" customHeight="1">
      <c r="B672" s="90"/>
      <c r="E672" s="79"/>
      <c r="F672" s="80"/>
      <c r="G672" s="80"/>
      <c r="H672" s="81"/>
      <c r="I672" s="80"/>
      <c r="J672" s="80"/>
      <c r="K672" s="80"/>
    </row>
    <row r="673" ht="12.75" customHeight="1">
      <c r="A673" s="89" t="s">
        <v>653</v>
      </c>
      <c r="B673" s="96" t="s">
        <v>4892</v>
      </c>
      <c r="C673" s="90"/>
      <c r="D673" s="89" t="s">
        <v>75</v>
      </c>
      <c r="E673" s="91">
        <v>1.0</v>
      </c>
      <c r="F673" s="92">
        <v>25.0</v>
      </c>
      <c r="G673" s="92">
        <v>25.0</v>
      </c>
      <c r="H673" s="93"/>
      <c r="I673" s="92"/>
      <c r="J673" s="92"/>
      <c r="K673" s="92"/>
    </row>
    <row r="674" ht="12.75" customHeight="1">
      <c r="B674" s="90"/>
      <c r="E674" s="79"/>
      <c r="F674" s="80"/>
      <c r="G674" s="80"/>
      <c r="H674" s="81"/>
      <c r="I674" s="80"/>
      <c r="J674" s="80"/>
      <c r="K674" s="80"/>
    </row>
    <row r="675" ht="12.75" customHeight="1">
      <c r="A675" s="89" t="s">
        <v>655</v>
      </c>
      <c r="B675" s="96" t="s">
        <v>4893</v>
      </c>
      <c r="C675" s="90"/>
      <c r="D675" s="89" t="s">
        <v>75</v>
      </c>
      <c r="E675" s="91">
        <v>1.0</v>
      </c>
      <c r="F675" s="92">
        <v>820.0</v>
      </c>
      <c r="G675" s="92">
        <v>820.0</v>
      </c>
      <c r="H675" s="93">
        <v>707.0</v>
      </c>
      <c r="I675" s="92"/>
      <c r="J675" s="92"/>
      <c r="K675" s="92"/>
    </row>
    <row r="676" ht="12.75" customHeight="1">
      <c r="B676" s="90"/>
      <c r="E676" s="79"/>
      <c r="F676" s="80"/>
      <c r="G676" s="80"/>
      <c r="H676" s="81"/>
      <c r="I676" s="80"/>
      <c r="J676" s="80"/>
      <c r="K676" s="80"/>
    </row>
    <row r="677" ht="12.75" customHeight="1">
      <c r="A677" s="89" t="s">
        <v>657</v>
      </c>
      <c r="B677" s="96" t="s">
        <v>4894</v>
      </c>
      <c r="C677" s="90"/>
      <c r="E677" s="79"/>
      <c r="F677" s="80"/>
      <c r="G677" s="80"/>
      <c r="H677" s="81"/>
      <c r="I677" s="80"/>
      <c r="J677" s="80"/>
      <c r="K677" s="80"/>
    </row>
    <row r="678" ht="12.75" customHeight="1">
      <c r="B678" s="90"/>
      <c r="E678" s="79"/>
      <c r="F678" s="80"/>
      <c r="G678" s="80"/>
      <c r="H678" s="81"/>
      <c r="I678" s="80"/>
      <c r="J678" s="80"/>
      <c r="K678" s="80"/>
    </row>
    <row r="679" ht="12.75" customHeight="1">
      <c r="A679" s="89" t="s">
        <v>659</v>
      </c>
      <c r="B679" s="96" t="s">
        <v>4895</v>
      </c>
      <c r="C679" s="90"/>
      <c r="D679" s="89" t="s">
        <v>75</v>
      </c>
      <c r="E679" s="91">
        <v>1.0</v>
      </c>
      <c r="F679" s="92">
        <v>755.0</v>
      </c>
      <c r="G679" s="92">
        <v>755.0</v>
      </c>
      <c r="H679" s="93"/>
      <c r="I679" s="92" t="s">
        <v>661</v>
      </c>
      <c r="J679" s="92"/>
      <c r="K679" s="92"/>
    </row>
    <row r="680" ht="12.75" customHeight="1">
      <c r="B680" s="90"/>
      <c r="E680" s="79"/>
      <c r="F680" s="80"/>
      <c r="G680" s="80"/>
      <c r="H680" s="81"/>
      <c r="I680" s="80"/>
      <c r="J680" s="80"/>
      <c r="K680" s="80"/>
    </row>
    <row r="681" ht="12.75" customHeight="1">
      <c r="A681" s="89" t="s">
        <v>662</v>
      </c>
      <c r="B681" s="96" t="s">
        <v>4896</v>
      </c>
      <c r="C681" s="90"/>
      <c r="D681" s="89" t="s">
        <v>75</v>
      </c>
      <c r="E681" s="91">
        <v>1.0</v>
      </c>
      <c r="F681" s="92">
        <v>598.0</v>
      </c>
      <c r="G681" s="92">
        <v>598.0</v>
      </c>
      <c r="H681" s="93"/>
      <c r="I681" s="92" t="s">
        <v>664</v>
      </c>
      <c r="J681" s="92"/>
      <c r="K681" s="92"/>
    </row>
    <row r="682" ht="12.75" customHeight="1">
      <c r="B682" s="90"/>
      <c r="E682" s="79"/>
      <c r="F682" s="80"/>
      <c r="G682" s="80"/>
      <c r="H682" s="81"/>
      <c r="I682" s="80"/>
      <c r="J682" s="80"/>
      <c r="K682" s="80"/>
    </row>
    <row r="683" ht="12.75" customHeight="1">
      <c r="A683" s="89" t="s">
        <v>3967</v>
      </c>
      <c r="B683" s="96" t="s">
        <v>4873</v>
      </c>
      <c r="C683" s="90"/>
      <c r="E683" s="79"/>
      <c r="F683" s="80"/>
      <c r="G683" s="92">
        <v>19361.0</v>
      </c>
      <c r="H683" s="93">
        <f>G683</f>
        <v>19361</v>
      </c>
      <c r="I683" s="92"/>
      <c r="J683" s="92"/>
      <c r="K683" s="92"/>
    </row>
    <row r="684" ht="12.75" customHeight="1">
      <c r="B684" s="90"/>
      <c r="E684" s="79"/>
      <c r="F684" s="80"/>
      <c r="G684" s="80"/>
      <c r="H684" s="81"/>
      <c r="I684" s="80"/>
      <c r="J684" s="80"/>
      <c r="K684" s="80"/>
    </row>
    <row r="685" ht="12.75" customHeight="1">
      <c r="B685" s="90"/>
      <c r="E685" s="79"/>
      <c r="F685" s="80"/>
      <c r="G685" s="80"/>
      <c r="H685" s="81"/>
      <c r="I685" s="80"/>
      <c r="J685" s="80"/>
      <c r="K685" s="80"/>
    </row>
    <row r="686" ht="12.75" customHeight="1">
      <c r="A686" s="89" t="s">
        <v>3990</v>
      </c>
      <c r="B686" s="96" t="s">
        <v>4897</v>
      </c>
      <c r="C686" s="90"/>
      <c r="E686" s="79"/>
      <c r="F686" s="80"/>
      <c r="G686" s="80"/>
      <c r="H686" s="81"/>
      <c r="I686" s="80"/>
      <c r="J686" s="80"/>
      <c r="K686" s="80"/>
    </row>
    <row r="687" ht="12.75" customHeight="1">
      <c r="B687" s="90"/>
      <c r="E687" s="79"/>
      <c r="F687" s="80"/>
      <c r="G687" s="80"/>
      <c r="H687" s="81"/>
      <c r="I687" s="80"/>
      <c r="J687" s="80"/>
      <c r="K687" s="80"/>
    </row>
    <row r="688" ht="12.75" customHeight="1">
      <c r="A688" s="89" t="s">
        <v>666</v>
      </c>
      <c r="B688" s="96" t="s">
        <v>4864</v>
      </c>
      <c r="C688" s="90"/>
      <c r="E688" s="79"/>
      <c r="F688" s="80"/>
      <c r="G688" s="80"/>
      <c r="H688" s="81"/>
      <c r="I688" s="80"/>
      <c r="J688" s="80"/>
      <c r="K688" s="80"/>
    </row>
    <row r="689" ht="12.75" customHeight="1">
      <c r="B689" s="90"/>
      <c r="E689" s="79"/>
      <c r="F689" s="80"/>
      <c r="G689" s="80"/>
      <c r="H689" s="81"/>
      <c r="I689" s="80"/>
      <c r="J689" s="80"/>
      <c r="K689" s="80"/>
    </row>
    <row r="690" ht="12.75" customHeight="1">
      <c r="A690" s="89" t="s">
        <v>667</v>
      </c>
      <c r="B690" s="96" t="s">
        <v>4898</v>
      </c>
      <c r="C690" s="90"/>
      <c r="D690" s="89" t="s">
        <v>75</v>
      </c>
      <c r="E690" s="91">
        <v>1.0</v>
      </c>
      <c r="F690" s="92">
        <v>2030.0</v>
      </c>
      <c r="G690" s="92">
        <v>2030.0</v>
      </c>
      <c r="H690" s="93">
        <v>956.0</v>
      </c>
      <c r="I690" s="92" t="s">
        <v>669</v>
      </c>
      <c r="J690" s="129" t="s">
        <v>583</v>
      </c>
      <c r="K690" s="92"/>
    </row>
    <row r="691" ht="12.75" customHeight="1">
      <c r="B691" s="90"/>
      <c r="E691" s="79"/>
      <c r="F691" s="80"/>
      <c r="G691" s="80"/>
      <c r="H691" s="81"/>
      <c r="I691" s="80"/>
      <c r="J691" s="80"/>
      <c r="K691" s="80"/>
    </row>
    <row r="692" ht="12.75" customHeight="1">
      <c r="A692" s="89" t="s">
        <v>670</v>
      </c>
      <c r="B692" s="96" t="s">
        <v>4899</v>
      </c>
      <c r="C692" s="90"/>
      <c r="D692" s="89" t="s">
        <v>75</v>
      </c>
      <c r="E692" s="91">
        <v>1.0</v>
      </c>
      <c r="F692" s="92">
        <v>7890.0</v>
      </c>
      <c r="G692" s="92">
        <v>7890.0</v>
      </c>
      <c r="H692" s="93" t="s">
        <v>672</v>
      </c>
      <c r="I692" s="92"/>
      <c r="J692" s="92"/>
      <c r="K692" s="92"/>
    </row>
    <row r="693" ht="12.75" customHeight="1">
      <c r="B693" s="90"/>
      <c r="E693" s="79"/>
      <c r="F693" s="80"/>
      <c r="G693" s="80"/>
      <c r="H693" s="81"/>
      <c r="I693" s="80"/>
      <c r="J693" s="80"/>
      <c r="K693" s="80"/>
    </row>
    <row r="694" ht="12.75" customHeight="1">
      <c r="A694" s="89" t="s">
        <v>673</v>
      </c>
      <c r="B694" s="96" t="s">
        <v>4900</v>
      </c>
      <c r="C694" s="90"/>
      <c r="E694" s="79"/>
      <c r="F694" s="80"/>
      <c r="G694" s="80"/>
      <c r="H694" s="81"/>
      <c r="I694" s="80"/>
      <c r="J694" s="80"/>
      <c r="K694" s="80"/>
    </row>
    <row r="695" ht="12.75" customHeight="1">
      <c r="B695" s="90"/>
      <c r="E695" s="79"/>
      <c r="F695" s="80"/>
      <c r="G695" s="80"/>
      <c r="H695" s="81"/>
      <c r="I695" s="80"/>
      <c r="J695" s="80"/>
      <c r="K695" s="80"/>
    </row>
    <row r="696" ht="12.75" customHeight="1">
      <c r="A696" s="89" t="s">
        <v>675</v>
      </c>
      <c r="B696" s="96" t="s">
        <v>4901</v>
      </c>
      <c r="C696" s="90"/>
      <c r="E696" s="79"/>
      <c r="F696" s="80"/>
      <c r="G696" s="80"/>
      <c r="H696" s="81"/>
      <c r="I696" s="80"/>
      <c r="J696" s="80"/>
      <c r="K696" s="80"/>
    </row>
    <row r="697" ht="12.75" customHeight="1">
      <c r="B697" s="96"/>
      <c r="E697" s="79"/>
      <c r="F697" s="80"/>
      <c r="G697" s="80"/>
      <c r="H697" s="81"/>
      <c r="I697" s="80"/>
      <c r="J697" s="80"/>
      <c r="K697" s="80"/>
    </row>
    <row r="698" ht="12.75" customHeight="1">
      <c r="A698" s="89" t="s">
        <v>677</v>
      </c>
      <c r="B698" s="96" t="s">
        <v>4902</v>
      </c>
      <c r="C698" s="90"/>
      <c r="D698" s="89" t="s">
        <v>75</v>
      </c>
      <c r="E698" s="91">
        <v>1.0</v>
      </c>
      <c r="F698" s="92">
        <v>113.51</v>
      </c>
      <c r="G698" s="92">
        <v>113.51</v>
      </c>
      <c r="H698" s="93"/>
      <c r="I698" s="92"/>
      <c r="J698" s="92"/>
      <c r="K698" s="92"/>
    </row>
    <row r="699" ht="12.75" customHeight="1">
      <c r="B699" s="90"/>
      <c r="E699" s="79"/>
      <c r="F699" s="80"/>
      <c r="G699" s="80"/>
      <c r="H699" s="81"/>
      <c r="I699" s="80"/>
      <c r="J699" s="80"/>
      <c r="K699" s="80"/>
    </row>
    <row r="700" ht="12.75" customHeight="1">
      <c r="A700" s="89" t="s">
        <v>679</v>
      </c>
      <c r="B700" s="96" t="s">
        <v>4903</v>
      </c>
      <c r="C700" s="90"/>
      <c r="D700" s="89" t="s">
        <v>75</v>
      </c>
      <c r="E700" s="91">
        <v>1.0</v>
      </c>
      <c r="F700" s="92">
        <v>466.86</v>
      </c>
      <c r="G700" s="92">
        <v>466.86</v>
      </c>
      <c r="H700" s="93"/>
      <c r="I700" s="92"/>
      <c r="J700" s="92"/>
      <c r="K700" s="92"/>
    </row>
    <row r="701" ht="12.75" customHeight="1">
      <c r="B701" s="90"/>
      <c r="E701" s="79"/>
      <c r="F701" s="80"/>
      <c r="G701" s="80"/>
      <c r="H701" s="81"/>
      <c r="I701" s="80"/>
      <c r="J701" s="80"/>
      <c r="K701" s="80"/>
    </row>
    <row r="702" ht="12.75" customHeight="1">
      <c r="A702" s="89" t="s">
        <v>681</v>
      </c>
      <c r="B702" s="96" t="s">
        <v>4904</v>
      </c>
      <c r="C702" s="90"/>
      <c r="D702" s="89" t="s">
        <v>75</v>
      </c>
      <c r="E702" s="91">
        <v>1.0</v>
      </c>
      <c r="F702" s="92">
        <v>459.95</v>
      </c>
      <c r="G702" s="92">
        <v>459.95</v>
      </c>
      <c r="H702" s="93"/>
      <c r="I702" s="92"/>
      <c r="J702" s="92"/>
      <c r="K702" s="92"/>
    </row>
    <row r="703" ht="12.75" customHeight="1">
      <c r="B703" s="90"/>
      <c r="E703" s="79"/>
      <c r="F703" s="80"/>
      <c r="G703" s="80"/>
      <c r="H703" s="81"/>
      <c r="I703" s="80"/>
      <c r="J703" s="80"/>
      <c r="K703" s="80"/>
    </row>
    <row r="704" ht="12.75" customHeight="1">
      <c r="A704" s="89" t="s">
        <v>683</v>
      </c>
      <c r="B704" s="96" t="s">
        <v>4905</v>
      </c>
      <c r="C704" s="90"/>
      <c r="D704" s="89" t="s">
        <v>75</v>
      </c>
      <c r="E704" s="91">
        <v>1.0</v>
      </c>
      <c r="F704" s="92">
        <v>304.99</v>
      </c>
      <c r="G704" s="92">
        <v>304.99</v>
      </c>
      <c r="H704" s="93"/>
      <c r="I704" s="92"/>
      <c r="J704" s="92"/>
      <c r="K704" s="92"/>
    </row>
    <row r="705" ht="12.75" customHeight="1">
      <c r="B705" s="90"/>
      <c r="E705" s="79"/>
      <c r="F705" s="80"/>
      <c r="G705" s="80"/>
      <c r="H705" s="81"/>
      <c r="I705" s="80"/>
      <c r="J705" s="80"/>
      <c r="K705" s="80"/>
    </row>
    <row r="706" ht="12.75" customHeight="1">
      <c r="A706" s="89" t="s">
        <v>685</v>
      </c>
      <c r="B706" s="96" t="s">
        <v>4906</v>
      </c>
      <c r="C706" s="90"/>
      <c r="D706" s="89" t="s">
        <v>75</v>
      </c>
      <c r="E706" s="91">
        <v>1.0</v>
      </c>
      <c r="F706" s="92">
        <v>590.23</v>
      </c>
      <c r="G706" s="92">
        <v>590.23</v>
      </c>
      <c r="H706" s="93"/>
      <c r="I706" s="92"/>
      <c r="J706" s="92"/>
      <c r="K706" s="92"/>
    </row>
    <row r="707" ht="12.75" customHeight="1">
      <c r="B707" s="90"/>
      <c r="E707" s="79"/>
      <c r="F707" s="80"/>
      <c r="G707" s="80"/>
      <c r="H707" s="81"/>
      <c r="I707" s="80"/>
      <c r="J707" s="80"/>
      <c r="K707" s="80"/>
    </row>
    <row r="708" ht="12.75" customHeight="1">
      <c r="A708" s="89" t="s">
        <v>687</v>
      </c>
      <c r="B708" s="96" t="s">
        <v>4907</v>
      </c>
      <c r="C708" s="90"/>
      <c r="D708" s="89" t="s">
        <v>75</v>
      </c>
      <c r="E708" s="91">
        <v>1.0</v>
      </c>
      <c r="F708" s="92">
        <v>615.89</v>
      </c>
      <c r="G708" s="92">
        <v>615.89</v>
      </c>
      <c r="H708" s="93"/>
      <c r="I708" s="92"/>
      <c r="J708" s="92"/>
      <c r="K708" s="92"/>
    </row>
    <row r="709" ht="12.75" customHeight="1">
      <c r="B709" s="90"/>
      <c r="E709" s="79"/>
      <c r="F709" s="80"/>
      <c r="G709" s="80"/>
      <c r="H709" s="81"/>
      <c r="I709" s="80"/>
      <c r="J709" s="80"/>
      <c r="K709" s="80"/>
    </row>
    <row r="710" ht="12.75" customHeight="1">
      <c r="A710" s="89" t="s">
        <v>689</v>
      </c>
      <c r="B710" s="96" t="s">
        <v>4908</v>
      </c>
      <c r="C710" s="90"/>
      <c r="D710" s="89" t="s">
        <v>75</v>
      </c>
      <c r="E710" s="91">
        <v>1.0</v>
      </c>
      <c r="F710" s="92">
        <v>488.57</v>
      </c>
      <c r="G710" s="92">
        <v>488.57</v>
      </c>
      <c r="H710" s="93"/>
      <c r="I710" s="92"/>
      <c r="J710" s="92"/>
      <c r="K710" s="92"/>
    </row>
    <row r="711" ht="12.75" customHeight="1">
      <c r="B711" s="90"/>
      <c r="E711" s="79"/>
      <c r="F711" s="80"/>
      <c r="G711" s="80"/>
      <c r="H711" s="81"/>
      <c r="I711" s="80"/>
      <c r="J711" s="80"/>
      <c r="K711" s="80"/>
    </row>
    <row r="712" ht="12.75" customHeight="1">
      <c r="A712" s="89" t="s">
        <v>691</v>
      </c>
      <c r="B712" s="96" t="s">
        <v>4909</v>
      </c>
      <c r="C712" s="90"/>
      <c r="D712" s="89" t="s">
        <v>75</v>
      </c>
      <c r="E712" s="91">
        <v>1.0</v>
      </c>
      <c r="F712" s="92">
        <v>713.61</v>
      </c>
      <c r="G712" s="92">
        <v>713.61</v>
      </c>
      <c r="H712" s="93"/>
      <c r="I712" s="92"/>
      <c r="J712" s="92"/>
      <c r="K712" s="92"/>
    </row>
    <row r="713" ht="12.75" customHeight="1">
      <c r="B713" s="90"/>
      <c r="E713" s="79"/>
      <c r="F713" s="80"/>
      <c r="G713" s="80"/>
      <c r="H713" s="81"/>
      <c r="I713" s="80"/>
      <c r="J713" s="80"/>
      <c r="K713" s="80"/>
    </row>
    <row r="714" ht="12.75" customHeight="1">
      <c r="A714" s="89" t="s">
        <v>693</v>
      </c>
      <c r="B714" s="96" t="s">
        <v>4910</v>
      </c>
      <c r="C714" s="90"/>
      <c r="D714" s="89" t="s">
        <v>75</v>
      </c>
      <c r="E714" s="91">
        <v>1.0</v>
      </c>
      <c r="F714" s="92">
        <v>719.53</v>
      </c>
      <c r="G714" s="92">
        <v>719.53</v>
      </c>
      <c r="H714" s="93"/>
      <c r="I714" s="92"/>
      <c r="J714" s="92"/>
      <c r="K714" s="92"/>
    </row>
    <row r="715" ht="12.75" customHeight="1">
      <c r="B715" s="90"/>
      <c r="E715" s="79"/>
      <c r="F715" s="80"/>
      <c r="G715" s="80"/>
      <c r="H715" s="81"/>
      <c r="I715" s="80"/>
      <c r="J715" s="80"/>
      <c r="K715" s="80"/>
    </row>
    <row r="716" ht="12.75" customHeight="1">
      <c r="A716" s="89" t="s">
        <v>695</v>
      </c>
      <c r="B716" s="96" t="s">
        <v>4911</v>
      </c>
      <c r="C716" s="90"/>
      <c r="D716" s="89" t="s">
        <v>75</v>
      </c>
      <c r="E716" s="91">
        <v>1.0</v>
      </c>
      <c r="F716" s="92">
        <v>259.58</v>
      </c>
      <c r="G716" s="92">
        <v>259.58</v>
      </c>
      <c r="H716" s="93"/>
      <c r="I716" s="92"/>
      <c r="J716" s="92"/>
      <c r="K716" s="92"/>
    </row>
    <row r="717" ht="12.75" customHeight="1">
      <c r="B717" s="90"/>
      <c r="E717" s="79"/>
      <c r="F717" s="80"/>
      <c r="G717" s="80"/>
      <c r="H717" s="81"/>
      <c r="I717" s="80"/>
      <c r="J717" s="80"/>
      <c r="K717" s="80"/>
    </row>
    <row r="718" ht="12.75" customHeight="1">
      <c r="A718" s="89" t="s">
        <v>697</v>
      </c>
      <c r="B718" s="96" t="s">
        <v>4912</v>
      </c>
      <c r="C718" s="90"/>
      <c r="D718" s="89" t="s">
        <v>75</v>
      </c>
      <c r="E718" s="91">
        <v>1.0</v>
      </c>
      <c r="F718" s="92">
        <v>1720.36</v>
      </c>
      <c r="G718" s="92">
        <v>1720.36</v>
      </c>
      <c r="H718" s="93"/>
      <c r="I718" s="92"/>
      <c r="J718" s="92"/>
      <c r="K718" s="92"/>
    </row>
    <row r="719" ht="12.75" customHeight="1">
      <c r="B719" s="90"/>
      <c r="E719" s="79"/>
      <c r="F719" s="80"/>
      <c r="G719" s="80"/>
      <c r="H719" s="81"/>
      <c r="I719" s="80"/>
      <c r="J719" s="80"/>
      <c r="K719" s="80"/>
    </row>
    <row r="720" ht="12.75" customHeight="1">
      <c r="A720" s="89" t="s">
        <v>699</v>
      </c>
      <c r="B720" s="96" t="s">
        <v>4913</v>
      </c>
      <c r="C720" s="90"/>
      <c r="D720" s="89" t="s">
        <v>75</v>
      </c>
      <c r="E720" s="91">
        <v>1.0</v>
      </c>
      <c r="F720" s="92">
        <v>472.78</v>
      </c>
      <c r="G720" s="92">
        <v>472.78</v>
      </c>
      <c r="H720" s="93"/>
      <c r="I720" s="92"/>
      <c r="J720" s="92"/>
      <c r="K720" s="92"/>
    </row>
    <row r="721" ht="12.75" customHeight="1">
      <c r="B721" s="90"/>
      <c r="E721" s="79"/>
      <c r="F721" s="80"/>
      <c r="G721" s="80"/>
      <c r="H721" s="81"/>
      <c r="I721" s="80"/>
      <c r="J721" s="80"/>
      <c r="K721" s="80"/>
    </row>
    <row r="722" ht="12.75" customHeight="1">
      <c r="A722" s="89" t="s">
        <v>701</v>
      </c>
      <c r="B722" s="96" t="s">
        <v>4914</v>
      </c>
      <c r="C722" s="90"/>
      <c r="D722" s="89" t="s">
        <v>75</v>
      </c>
      <c r="E722" s="91">
        <v>1.0</v>
      </c>
      <c r="F722" s="92">
        <v>200.36</v>
      </c>
      <c r="G722" s="92">
        <v>200.36</v>
      </c>
      <c r="H722" s="93"/>
      <c r="I722" s="92"/>
      <c r="J722" s="92"/>
      <c r="K722" s="92"/>
    </row>
    <row r="723" ht="12.75" customHeight="1">
      <c r="B723" s="90"/>
      <c r="E723" s="79"/>
      <c r="F723" s="80"/>
      <c r="G723" s="80"/>
      <c r="H723" s="81"/>
      <c r="I723" s="80"/>
      <c r="J723" s="80"/>
      <c r="K723" s="80"/>
    </row>
    <row r="724" ht="12.75" customHeight="1">
      <c r="A724" s="89" t="s">
        <v>703</v>
      </c>
      <c r="B724" s="96" t="s">
        <v>4915</v>
      </c>
      <c r="C724" s="90"/>
      <c r="D724" s="89" t="s">
        <v>75</v>
      </c>
      <c r="E724" s="91">
        <v>1.0</v>
      </c>
      <c r="F724" s="92">
        <v>255.64</v>
      </c>
      <c r="G724" s="92">
        <v>255.64</v>
      </c>
      <c r="H724" s="93"/>
      <c r="I724" s="92"/>
      <c r="J724" s="92"/>
      <c r="K724" s="92"/>
    </row>
    <row r="725" ht="12.75" customHeight="1">
      <c r="B725" s="90"/>
      <c r="E725" s="79"/>
      <c r="F725" s="80"/>
      <c r="G725" s="80"/>
      <c r="H725" s="81"/>
      <c r="I725" s="80"/>
      <c r="J725" s="80"/>
      <c r="K725" s="80"/>
    </row>
    <row r="726" ht="12.75" customHeight="1">
      <c r="A726" s="89" t="s">
        <v>705</v>
      </c>
      <c r="B726" s="96" t="s">
        <v>4916</v>
      </c>
      <c r="C726" s="90"/>
      <c r="D726" s="89" t="s">
        <v>75</v>
      </c>
      <c r="E726" s="91">
        <v>1.0</v>
      </c>
      <c r="F726" s="92">
        <v>328.67</v>
      </c>
      <c r="G726" s="92">
        <v>328.67</v>
      </c>
      <c r="H726" s="93"/>
      <c r="I726" s="92"/>
      <c r="J726" s="92"/>
      <c r="K726" s="92"/>
    </row>
    <row r="727" ht="12.75" customHeight="1">
      <c r="B727" s="90"/>
      <c r="E727" s="79"/>
      <c r="F727" s="80"/>
      <c r="G727" s="80"/>
      <c r="H727" s="81"/>
      <c r="I727" s="80"/>
      <c r="J727" s="80"/>
      <c r="K727" s="80"/>
    </row>
    <row r="728" ht="12.75" customHeight="1">
      <c r="A728" s="89" t="s">
        <v>707</v>
      </c>
      <c r="B728" s="96" t="s">
        <v>4917</v>
      </c>
      <c r="C728" s="90"/>
      <c r="D728" s="89" t="s">
        <v>75</v>
      </c>
      <c r="E728" s="91">
        <v>1.0</v>
      </c>
      <c r="F728" s="92">
        <v>417.51</v>
      </c>
      <c r="G728" s="92">
        <v>417.51</v>
      </c>
      <c r="H728" s="93"/>
      <c r="I728" s="92"/>
      <c r="J728" s="92"/>
      <c r="K728" s="92"/>
    </row>
    <row r="729" ht="12.75" customHeight="1">
      <c r="B729" s="90"/>
      <c r="E729" s="79"/>
      <c r="F729" s="80"/>
      <c r="G729" s="80"/>
      <c r="H729" s="81"/>
      <c r="I729" s="80"/>
      <c r="J729" s="80"/>
      <c r="K729" s="80"/>
    </row>
    <row r="730" ht="12.75" customHeight="1">
      <c r="A730" s="89" t="s">
        <v>709</v>
      </c>
      <c r="B730" s="96" t="s">
        <v>4918</v>
      </c>
      <c r="C730" s="90"/>
      <c r="D730" s="89" t="s">
        <v>75</v>
      </c>
      <c r="E730" s="91">
        <v>1.0</v>
      </c>
      <c r="F730" s="92">
        <v>223.06</v>
      </c>
      <c r="G730" s="92">
        <v>223.06</v>
      </c>
      <c r="H730" s="93"/>
      <c r="I730" s="92"/>
      <c r="J730" s="92"/>
      <c r="K730" s="92"/>
    </row>
    <row r="731" ht="12.75" customHeight="1">
      <c r="B731" s="90"/>
      <c r="E731" s="79"/>
      <c r="F731" s="80"/>
      <c r="G731" s="80"/>
      <c r="H731" s="81"/>
      <c r="I731" s="80"/>
      <c r="J731" s="80"/>
      <c r="K731" s="80"/>
    </row>
    <row r="732" ht="12.75" customHeight="1">
      <c r="A732" s="89" t="s">
        <v>711</v>
      </c>
      <c r="B732" s="96" t="s">
        <v>4919</v>
      </c>
      <c r="C732" s="90"/>
      <c r="E732" s="79"/>
      <c r="F732" s="80"/>
      <c r="G732" s="80"/>
      <c r="H732" s="81"/>
      <c r="I732" s="80"/>
      <c r="J732" s="80"/>
      <c r="K732" s="80"/>
    </row>
    <row r="733" ht="12.75" customHeight="1">
      <c r="B733" s="90"/>
      <c r="E733" s="79"/>
      <c r="F733" s="80"/>
      <c r="G733" s="80"/>
      <c r="H733" s="81"/>
      <c r="I733" s="80"/>
      <c r="J733" s="80"/>
      <c r="K733" s="80"/>
    </row>
    <row r="734" ht="12.75" customHeight="1">
      <c r="A734" s="136" t="s">
        <v>713</v>
      </c>
      <c r="B734" s="137" t="s">
        <v>4920</v>
      </c>
      <c r="C734" s="137"/>
      <c r="D734" s="138"/>
      <c r="E734" s="139"/>
      <c r="F734" s="106"/>
      <c r="G734" s="106"/>
      <c r="H734" s="105"/>
      <c r="I734" s="106"/>
      <c r="J734" s="106"/>
      <c r="K734" s="106"/>
    </row>
    <row r="735" ht="12.75" customHeight="1">
      <c r="A735" s="138"/>
      <c r="B735" s="137"/>
      <c r="C735" s="138"/>
      <c r="D735" s="138"/>
      <c r="E735" s="139"/>
      <c r="F735" s="106"/>
      <c r="G735" s="106"/>
      <c r="H735" s="105"/>
      <c r="I735" s="106"/>
      <c r="J735" s="106"/>
      <c r="K735" s="106"/>
    </row>
    <row r="736" ht="12.75" customHeight="1">
      <c r="A736" s="136" t="s">
        <v>715</v>
      </c>
      <c r="B736" s="137" t="s">
        <v>4921</v>
      </c>
      <c r="C736" s="137"/>
      <c r="D736" s="136" t="s">
        <v>75</v>
      </c>
      <c r="E736" s="140">
        <v>1.0</v>
      </c>
      <c r="F736" s="100">
        <v>4836.19</v>
      </c>
      <c r="G736" s="100">
        <v>4836.19</v>
      </c>
      <c r="H736" s="99"/>
      <c r="I736" s="100"/>
      <c r="J736" s="100"/>
      <c r="K736" s="100"/>
    </row>
    <row r="737" ht="12.75" customHeight="1">
      <c r="A737" s="138"/>
      <c r="B737" s="137"/>
      <c r="C737" s="138"/>
      <c r="D737" s="138"/>
      <c r="E737" s="139"/>
      <c r="F737" s="106"/>
      <c r="G737" s="106"/>
      <c r="H737" s="105"/>
      <c r="I737" s="106"/>
      <c r="J737" s="106"/>
      <c r="K737" s="106"/>
    </row>
    <row r="738" ht="12.75" customHeight="1">
      <c r="A738" s="136" t="s">
        <v>717</v>
      </c>
      <c r="B738" s="137" t="s">
        <v>4922</v>
      </c>
      <c r="C738" s="137"/>
      <c r="D738" s="138"/>
      <c r="E738" s="139"/>
      <c r="F738" s="106"/>
      <c r="G738" s="106"/>
      <c r="H738" s="105"/>
      <c r="I738" s="106"/>
      <c r="J738" s="106"/>
      <c r="K738" s="106"/>
    </row>
    <row r="739" ht="12.75" customHeight="1">
      <c r="A739" s="138"/>
      <c r="B739" s="137"/>
      <c r="C739" s="138"/>
      <c r="D739" s="138"/>
      <c r="E739" s="139"/>
      <c r="F739" s="106"/>
      <c r="G739" s="106"/>
      <c r="H739" s="105"/>
      <c r="I739" s="106"/>
      <c r="J739" s="106"/>
      <c r="K739" s="106"/>
    </row>
    <row r="740" ht="12.75" customHeight="1">
      <c r="A740" s="136" t="s">
        <v>719</v>
      </c>
      <c r="B740" s="137" t="s">
        <v>4923</v>
      </c>
      <c r="C740" s="137"/>
      <c r="D740" s="136" t="s">
        <v>161</v>
      </c>
      <c r="E740" s="140">
        <v>1.0</v>
      </c>
      <c r="F740" s="100">
        <v>4525.85</v>
      </c>
      <c r="G740" s="100">
        <v>4525.85</v>
      </c>
      <c r="H740" s="99"/>
      <c r="I740" s="100"/>
      <c r="J740" s="100"/>
      <c r="K740" s="100"/>
    </row>
    <row r="741" ht="12.75" customHeight="1">
      <c r="A741" s="138"/>
      <c r="B741" s="137"/>
      <c r="C741" s="138"/>
      <c r="D741" s="138"/>
      <c r="E741" s="139"/>
      <c r="F741" s="106"/>
      <c r="G741" s="106"/>
      <c r="H741" s="105"/>
      <c r="I741" s="106"/>
      <c r="J741" s="106"/>
      <c r="K741" s="106"/>
    </row>
    <row r="742" ht="12.75" customHeight="1">
      <c r="A742" s="136" t="s">
        <v>721</v>
      </c>
      <c r="B742" s="137" t="s">
        <v>4015</v>
      </c>
      <c r="C742" s="137"/>
      <c r="D742" s="138"/>
      <c r="E742" s="139"/>
      <c r="F742" s="106"/>
      <c r="G742" s="106"/>
      <c r="H742" s="105"/>
      <c r="I742" s="106"/>
      <c r="J742" s="106"/>
      <c r="K742" s="106"/>
    </row>
    <row r="743" ht="12.75" customHeight="1">
      <c r="A743" s="138"/>
      <c r="B743" s="137"/>
      <c r="C743" s="138"/>
      <c r="D743" s="138"/>
      <c r="E743" s="139"/>
      <c r="F743" s="106"/>
      <c r="G743" s="106"/>
      <c r="H743" s="105"/>
      <c r="I743" s="106"/>
      <c r="J743" s="106"/>
      <c r="K743" s="106"/>
    </row>
    <row r="744" ht="12.75" customHeight="1">
      <c r="A744" s="136" t="s">
        <v>723</v>
      </c>
      <c r="B744" s="137" t="s">
        <v>4924</v>
      </c>
      <c r="C744" s="137"/>
      <c r="D744" s="136" t="s">
        <v>75</v>
      </c>
      <c r="E744" s="140">
        <v>1.0</v>
      </c>
      <c r="F744" s="100">
        <v>6435.55</v>
      </c>
      <c r="G744" s="100">
        <v>6435.55</v>
      </c>
      <c r="H744" s="99"/>
      <c r="I744" s="100"/>
      <c r="J744" s="100"/>
      <c r="K744" s="100"/>
    </row>
    <row r="745" ht="12.75" customHeight="1">
      <c r="B745" s="90"/>
      <c r="E745" s="79"/>
      <c r="F745" s="80"/>
      <c r="G745" s="80"/>
      <c r="H745" s="81"/>
      <c r="I745" s="80"/>
      <c r="J745" s="80"/>
      <c r="K745" s="80"/>
    </row>
    <row r="746" ht="12.75" customHeight="1">
      <c r="A746" s="89" t="s">
        <v>3990</v>
      </c>
      <c r="B746" s="96" t="s">
        <v>4897</v>
      </c>
      <c r="C746" s="90"/>
      <c r="E746" s="79"/>
      <c r="F746" s="80"/>
      <c r="G746" s="92">
        <v>34068.69</v>
      </c>
      <c r="H746" s="93">
        <f>G746</f>
        <v>34068.69</v>
      </c>
      <c r="I746" s="92"/>
      <c r="J746" s="92"/>
      <c r="K746" s="92"/>
    </row>
    <row r="747" ht="12.75" customHeight="1">
      <c r="B747" s="90"/>
      <c r="E747" s="79"/>
      <c r="F747" s="80"/>
      <c r="G747" s="80"/>
      <c r="H747" s="81"/>
      <c r="I747" s="80"/>
      <c r="J747" s="80"/>
      <c r="K747" s="80"/>
    </row>
    <row r="748" ht="12.75" customHeight="1">
      <c r="B748" s="90"/>
      <c r="E748" s="79"/>
      <c r="F748" s="80"/>
      <c r="G748" s="80"/>
      <c r="H748" s="81"/>
      <c r="I748" s="80"/>
      <c r="J748" s="80"/>
      <c r="K748" s="80"/>
    </row>
    <row r="749" ht="12.75" customHeight="1">
      <c r="A749" s="89" t="s">
        <v>4017</v>
      </c>
      <c r="B749" s="96" t="s">
        <v>4925</v>
      </c>
      <c r="C749" s="90"/>
      <c r="E749" s="79"/>
      <c r="F749" s="80"/>
      <c r="G749" s="80"/>
      <c r="H749" s="81"/>
      <c r="I749" s="80"/>
      <c r="J749" s="80"/>
      <c r="K749" s="80"/>
    </row>
    <row r="750" ht="12.75" customHeight="1">
      <c r="B750" s="90"/>
      <c r="E750" s="79"/>
      <c r="F750" s="80"/>
      <c r="G750" s="80"/>
      <c r="H750" s="81"/>
      <c r="I750" s="80"/>
      <c r="J750" s="80"/>
      <c r="K750" s="80"/>
    </row>
    <row r="751" ht="12.75" customHeight="1">
      <c r="A751" s="89" t="s">
        <v>726</v>
      </c>
      <c r="B751" s="96" t="s">
        <v>4926</v>
      </c>
      <c r="C751" s="90"/>
      <c r="E751" s="79"/>
      <c r="F751" s="80"/>
      <c r="G751" s="80"/>
      <c r="H751" s="81"/>
      <c r="I751" s="80"/>
      <c r="J751" s="80"/>
      <c r="K751" s="80"/>
    </row>
    <row r="752" ht="12.75" customHeight="1">
      <c r="B752" s="90"/>
      <c r="E752" s="79"/>
      <c r="F752" s="80"/>
      <c r="G752" s="80"/>
      <c r="H752" s="81"/>
      <c r="I752" s="80"/>
      <c r="J752" s="80"/>
      <c r="K752" s="80"/>
    </row>
    <row r="753" ht="12.75" customHeight="1">
      <c r="A753" s="89" t="s">
        <v>728</v>
      </c>
      <c r="B753" s="96" t="s">
        <v>4927</v>
      </c>
      <c r="C753" s="90"/>
      <c r="D753" s="89" t="s">
        <v>40</v>
      </c>
      <c r="E753" s="91">
        <v>77.14</v>
      </c>
      <c r="F753" s="92">
        <v>133.8</v>
      </c>
      <c r="G753" s="92">
        <v>10321.33</v>
      </c>
      <c r="H753" s="93"/>
      <c r="I753" s="92"/>
      <c r="J753" s="92"/>
      <c r="K753" s="92"/>
    </row>
    <row r="754" ht="12.75" customHeight="1">
      <c r="B754" s="90"/>
      <c r="E754" s="79"/>
      <c r="F754" s="80"/>
      <c r="G754" s="80"/>
      <c r="H754" s="81"/>
      <c r="I754" s="80"/>
      <c r="J754" s="80"/>
      <c r="K754" s="80"/>
    </row>
    <row r="755" ht="12.75" customHeight="1">
      <c r="A755" s="89" t="s">
        <v>730</v>
      </c>
      <c r="B755" s="96" t="s">
        <v>4928</v>
      </c>
      <c r="C755" s="90"/>
      <c r="D755" s="89" t="s">
        <v>40</v>
      </c>
      <c r="E755" s="91">
        <v>168.06</v>
      </c>
      <c r="F755" s="92">
        <v>25.72</v>
      </c>
      <c r="G755" s="92">
        <v>4322.5</v>
      </c>
      <c r="H755" s="93"/>
      <c r="I755" s="92"/>
      <c r="J755" s="92"/>
      <c r="K755" s="92"/>
    </row>
    <row r="756" ht="12.75" customHeight="1">
      <c r="B756" s="90"/>
      <c r="E756" s="79"/>
      <c r="F756" s="80"/>
      <c r="G756" s="80"/>
      <c r="H756" s="81"/>
      <c r="I756" s="80"/>
      <c r="J756" s="80"/>
      <c r="K756" s="80"/>
    </row>
    <row r="757" ht="12.75" customHeight="1">
      <c r="A757" s="89" t="s">
        <v>732</v>
      </c>
      <c r="B757" s="96" t="s">
        <v>4929</v>
      </c>
      <c r="C757" s="90"/>
      <c r="D757" s="89" t="s">
        <v>40</v>
      </c>
      <c r="E757" s="91">
        <v>168.06</v>
      </c>
      <c r="F757" s="92">
        <v>9.05</v>
      </c>
      <c r="G757" s="92">
        <v>1520.94</v>
      </c>
      <c r="H757" s="93"/>
      <c r="I757" s="92"/>
      <c r="J757" s="92"/>
      <c r="K757" s="92"/>
    </row>
    <row r="758" ht="12.75" customHeight="1">
      <c r="B758" s="90"/>
      <c r="E758" s="79"/>
      <c r="F758" s="80"/>
      <c r="G758" s="80"/>
      <c r="H758" s="81"/>
      <c r="I758" s="80"/>
      <c r="J758" s="80"/>
      <c r="K758" s="80"/>
    </row>
    <row r="759" ht="12.75" customHeight="1">
      <c r="A759" s="89" t="s">
        <v>734</v>
      </c>
      <c r="B759" s="96" t="s">
        <v>4930</v>
      </c>
      <c r="C759" s="90"/>
      <c r="D759" s="89" t="s">
        <v>161</v>
      </c>
      <c r="E759" s="91">
        <v>153.59</v>
      </c>
      <c r="F759" s="92">
        <v>96.98</v>
      </c>
      <c r="G759" s="92">
        <v>14895.16</v>
      </c>
      <c r="H759" s="93"/>
      <c r="I759" s="92"/>
      <c r="J759" s="92"/>
      <c r="K759" s="92"/>
    </row>
    <row r="760" ht="12.75" customHeight="1">
      <c r="B760" s="90"/>
      <c r="E760" s="79"/>
      <c r="F760" s="80"/>
      <c r="G760" s="80"/>
      <c r="H760" s="81"/>
      <c r="I760" s="80"/>
      <c r="J760" s="80"/>
      <c r="K760" s="80"/>
    </row>
    <row r="761" ht="12.75" customHeight="1">
      <c r="A761" s="89" t="s">
        <v>736</v>
      </c>
      <c r="B761" s="96" t="s">
        <v>4931</v>
      </c>
      <c r="C761" s="90"/>
      <c r="E761" s="79"/>
      <c r="F761" s="80"/>
      <c r="G761" s="80"/>
      <c r="H761" s="81"/>
      <c r="I761" s="80"/>
      <c r="J761" s="80"/>
      <c r="K761" s="80"/>
    </row>
    <row r="762" ht="12.75" customHeight="1">
      <c r="B762" s="90"/>
      <c r="E762" s="79"/>
      <c r="F762" s="80"/>
      <c r="G762" s="80"/>
      <c r="H762" s="81"/>
      <c r="I762" s="80"/>
      <c r="J762" s="80"/>
      <c r="K762" s="80"/>
    </row>
    <row r="763" ht="12.75" customHeight="1">
      <c r="A763" s="89" t="s">
        <v>738</v>
      </c>
      <c r="B763" s="96" t="s">
        <v>4932</v>
      </c>
      <c r="C763" s="90"/>
      <c r="E763" s="79"/>
      <c r="F763" s="80"/>
      <c r="G763" s="80"/>
      <c r="H763" s="81"/>
      <c r="I763" s="80"/>
      <c r="J763" s="80"/>
      <c r="K763" s="80"/>
    </row>
    <row r="764" ht="12.75" customHeight="1">
      <c r="B764" s="90"/>
      <c r="E764" s="79"/>
      <c r="F764" s="80"/>
      <c r="G764" s="80"/>
      <c r="H764" s="81"/>
      <c r="I764" s="80"/>
      <c r="J764" s="80"/>
      <c r="K764" s="80"/>
    </row>
    <row r="765" ht="12.75" customHeight="1">
      <c r="A765" s="89" t="s">
        <v>740</v>
      </c>
      <c r="B765" s="96" t="s">
        <v>4933</v>
      </c>
      <c r="C765" s="90"/>
      <c r="D765" s="89" t="s">
        <v>742</v>
      </c>
      <c r="E765" s="91">
        <v>90.98</v>
      </c>
      <c r="F765" s="92">
        <v>213.29</v>
      </c>
      <c r="G765" s="92">
        <v>19405.12</v>
      </c>
      <c r="H765" s="93"/>
      <c r="I765" s="92"/>
      <c r="J765" s="92"/>
      <c r="K765" s="92"/>
    </row>
    <row r="766" ht="12.75" customHeight="1">
      <c r="B766" s="90"/>
      <c r="E766" s="79"/>
      <c r="F766" s="80"/>
      <c r="G766" s="80"/>
      <c r="H766" s="81"/>
      <c r="I766" s="80"/>
      <c r="J766" s="80"/>
      <c r="K766" s="80"/>
    </row>
    <row r="767" ht="12.75" customHeight="1">
      <c r="A767" s="89" t="s">
        <v>743</v>
      </c>
      <c r="B767" s="96" t="s">
        <v>4934</v>
      </c>
      <c r="C767" s="90"/>
      <c r="D767" s="89" t="s">
        <v>742</v>
      </c>
      <c r="E767" s="91">
        <v>27.29</v>
      </c>
      <c r="F767" s="92">
        <v>149.67</v>
      </c>
      <c r="G767" s="92">
        <v>4084.49</v>
      </c>
      <c r="H767" s="93"/>
      <c r="I767" s="92"/>
      <c r="J767" s="92"/>
      <c r="K767" s="92"/>
    </row>
    <row r="768" ht="12.75" customHeight="1">
      <c r="B768" s="90"/>
      <c r="E768" s="79"/>
      <c r="F768" s="80"/>
      <c r="G768" s="80"/>
      <c r="H768" s="81"/>
      <c r="I768" s="80"/>
      <c r="J768" s="80"/>
      <c r="K768" s="80"/>
    </row>
    <row r="769" ht="12.75" customHeight="1">
      <c r="A769" s="89" t="s">
        <v>745</v>
      </c>
      <c r="B769" s="96" t="s">
        <v>4935</v>
      </c>
      <c r="C769" s="90"/>
      <c r="E769" s="79"/>
      <c r="F769" s="80"/>
      <c r="G769" s="80"/>
      <c r="H769" s="81"/>
      <c r="I769" s="80"/>
      <c r="J769" s="80"/>
      <c r="K769" s="80"/>
    </row>
    <row r="770" ht="12.75" customHeight="1">
      <c r="B770" s="90"/>
      <c r="E770" s="79"/>
      <c r="F770" s="80"/>
      <c r="G770" s="80"/>
      <c r="H770" s="81"/>
      <c r="I770" s="80"/>
      <c r="J770" s="80"/>
      <c r="K770" s="80"/>
    </row>
    <row r="771" ht="12.75" customHeight="1">
      <c r="A771" s="89" t="s">
        <v>747</v>
      </c>
      <c r="B771" s="96" t="s">
        <v>4588</v>
      </c>
      <c r="C771" s="90"/>
      <c r="D771" s="89" t="s">
        <v>40</v>
      </c>
      <c r="E771" s="91">
        <v>31.0</v>
      </c>
      <c r="F771" s="92">
        <v>32.0</v>
      </c>
      <c r="G771" s="92">
        <v>992.0</v>
      </c>
      <c r="H771" s="93"/>
      <c r="I771" s="92"/>
      <c r="J771" s="92"/>
      <c r="K771" s="92"/>
    </row>
    <row r="772" ht="12.75" customHeight="1">
      <c r="B772" s="90"/>
      <c r="E772" s="79"/>
      <c r="F772" s="80"/>
      <c r="G772" s="80"/>
      <c r="H772" s="81"/>
      <c r="I772" s="80"/>
      <c r="J772" s="80"/>
      <c r="K772" s="80"/>
    </row>
    <row r="773" ht="12.75" customHeight="1">
      <c r="A773" s="89" t="s">
        <v>749</v>
      </c>
      <c r="B773" s="96" t="s">
        <v>4928</v>
      </c>
      <c r="C773" s="90"/>
      <c r="D773" s="89" t="s">
        <v>40</v>
      </c>
      <c r="E773" s="91">
        <v>62.0</v>
      </c>
      <c r="F773" s="92">
        <v>25.72</v>
      </c>
      <c r="G773" s="92">
        <v>1594.64</v>
      </c>
      <c r="H773" s="93"/>
      <c r="I773" s="92"/>
      <c r="J773" s="92"/>
      <c r="K773" s="92"/>
    </row>
    <row r="774" ht="12.75" customHeight="1">
      <c r="B774" s="90"/>
      <c r="E774" s="79"/>
      <c r="F774" s="80"/>
      <c r="G774" s="80"/>
      <c r="H774" s="81"/>
      <c r="I774" s="80"/>
      <c r="J774" s="80"/>
      <c r="K774" s="80"/>
    </row>
    <row r="775" ht="12.75" customHeight="1">
      <c r="A775" s="89" t="s">
        <v>750</v>
      </c>
      <c r="B775" s="96" t="s">
        <v>4929</v>
      </c>
      <c r="C775" s="90"/>
      <c r="D775" s="89" t="s">
        <v>40</v>
      </c>
      <c r="E775" s="91">
        <v>62.0</v>
      </c>
      <c r="F775" s="92">
        <v>9.05</v>
      </c>
      <c r="G775" s="92">
        <v>561.1</v>
      </c>
      <c r="H775" s="93"/>
      <c r="I775" s="92"/>
      <c r="J775" s="92"/>
      <c r="K775" s="92"/>
    </row>
    <row r="776" ht="12.75" customHeight="1">
      <c r="B776" s="90"/>
      <c r="E776" s="79"/>
      <c r="F776" s="80"/>
      <c r="G776" s="80"/>
      <c r="H776" s="81"/>
      <c r="I776" s="80"/>
      <c r="J776" s="80"/>
      <c r="K776" s="80"/>
    </row>
    <row r="777" ht="12.75" customHeight="1">
      <c r="A777" s="89" t="s">
        <v>751</v>
      </c>
      <c r="B777" s="96" t="s">
        <v>4936</v>
      </c>
      <c r="C777" s="90"/>
      <c r="D777" s="89" t="s">
        <v>40</v>
      </c>
      <c r="E777" s="91">
        <v>17.11</v>
      </c>
      <c r="F777" s="92">
        <v>32.62</v>
      </c>
      <c r="G777" s="92">
        <v>558.13</v>
      </c>
      <c r="H777" s="93"/>
      <c r="I777" s="92"/>
      <c r="J777" s="92"/>
      <c r="K777" s="92"/>
    </row>
    <row r="778" ht="12.75" customHeight="1">
      <c r="B778" s="90"/>
      <c r="E778" s="79"/>
      <c r="F778" s="80"/>
      <c r="G778" s="80"/>
      <c r="H778" s="81"/>
      <c r="I778" s="80"/>
      <c r="J778" s="80"/>
      <c r="K778" s="80"/>
    </row>
    <row r="779" ht="12.75" customHeight="1">
      <c r="A779" s="89" t="s">
        <v>753</v>
      </c>
      <c r="B779" s="96" t="s">
        <v>4937</v>
      </c>
      <c r="C779" s="90"/>
      <c r="D779" s="89" t="s">
        <v>40</v>
      </c>
      <c r="E779" s="91">
        <v>7.38</v>
      </c>
      <c r="F779" s="92">
        <v>581.9</v>
      </c>
      <c r="G779" s="92">
        <v>4294.42</v>
      </c>
      <c r="H779" s="93"/>
      <c r="I779" s="92"/>
      <c r="J779" s="92"/>
      <c r="K779" s="92"/>
    </row>
    <row r="780" ht="12.75" customHeight="1">
      <c r="B780" s="90"/>
      <c r="E780" s="79"/>
      <c r="F780" s="80"/>
      <c r="G780" s="80"/>
      <c r="H780" s="81"/>
      <c r="I780" s="80"/>
      <c r="J780" s="80"/>
      <c r="K780" s="80"/>
    </row>
    <row r="781" ht="12.75" customHeight="1">
      <c r="A781" s="89" t="s">
        <v>755</v>
      </c>
      <c r="B781" s="96" t="s">
        <v>4938</v>
      </c>
      <c r="C781" s="90"/>
      <c r="E781" s="79"/>
      <c r="F781" s="80"/>
      <c r="G781" s="80"/>
      <c r="H781" s="81"/>
      <c r="I781" s="80"/>
      <c r="J781" s="80"/>
      <c r="K781" s="80"/>
    </row>
    <row r="782" ht="12.75" customHeight="1">
      <c r="B782" s="90"/>
      <c r="E782" s="79"/>
      <c r="F782" s="80"/>
      <c r="G782" s="80"/>
      <c r="H782" s="81"/>
      <c r="I782" s="80"/>
      <c r="J782" s="80"/>
      <c r="K782" s="80"/>
    </row>
    <row r="783" ht="12.75" customHeight="1">
      <c r="A783" s="89" t="s">
        <v>757</v>
      </c>
      <c r="B783" s="96" t="s">
        <v>4939</v>
      </c>
      <c r="C783" s="90"/>
      <c r="D783" s="89" t="s">
        <v>75</v>
      </c>
      <c r="E783" s="91">
        <v>1.0</v>
      </c>
      <c r="F783" s="92">
        <v>2005.6</v>
      </c>
      <c r="G783" s="92">
        <v>2005.6</v>
      </c>
      <c r="H783" s="93"/>
      <c r="I783" s="92"/>
      <c r="J783" s="92"/>
      <c r="K783" s="92"/>
    </row>
    <row r="784" ht="12.75" customHeight="1">
      <c r="B784" s="90"/>
      <c r="E784" s="79"/>
      <c r="F784" s="80"/>
      <c r="G784" s="80"/>
      <c r="H784" s="81"/>
      <c r="I784" s="80"/>
      <c r="J784" s="80"/>
      <c r="K784" s="80"/>
    </row>
    <row r="785" ht="12.75" customHeight="1">
      <c r="A785" s="89" t="s">
        <v>759</v>
      </c>
      <c r="B785" s="96" t="s">
        <v>4940</v>
      </c>
      <c r="C785" s="90"/>
      <c r="E785" s="79"/>
      <c r="F785" s="80"/>
      <c r="G785" s="80"/>
      <c r="H785" s="81"/>
      <c r="I785" s="80"/>
      <c r="J785" s="80"/>
      <c r="K785" s="80"/>
    </row>
    <row r="786" ht="12.75" customHeight="1">
      <c r="B786" s="90"/>
      <c r="E786" s="79"/>
      <c r="F786" s="80"/>
      <c r="G786" s="80"/>
      <c r="H786" s="81"/>
      <c r="I786" s="80"/>
      <c r="J786" s="80"/>
      <c r="K786" s="80"/>
    </row>
    <row r="787" ht="12.75" customHeight="1">
      <c r="A787" s="89" t="s">
        <v>761</v>
      </c>
      <c r="B787" s="96" t="s">
        <v>4941</v>
      </c>
      <c r="C787" s="90"/>
      <c r="D787" s="89" t="s">
        <v>75</v>
      </c>
      <c r="E787" s="91">
        <v>1.0</v>
      </c>
      <c r="F787" s="92">
        <v>4454.86</v>
      </c>
      <c r="G787" s="92">
        <v>4454.86</v>
      </c>
      <c r="H787" s="93"/>
      <c r="I787" s="92"/>
      <c r="J787" s="92"/>
      <c r="K787" s="92"/>
    </row>
    <row r="788" ht="12.75" customHeight="1">
      <c r="B788" s="90"/>
      <c r="E788" s="79"/>
      <c r="F788" s="80"/>
      <c r="G788" s="80"/>
      <c r="H788" s="81"/>
      <c r="I788" s="80"/>
      <c r="J788" s="80"/>
      <c r="K788" s="80"/>
    </row>
    <row r="789" ht="12.75" customHeight="1">
      <c r="A789" s="89" t="s">
        <v>763</v>
      </c>
      <c r="B789" s="96" t="s">
        <v>4942</v>
      </c>
      <c r="C789" s="90"/>
      <c r="E789" s="79"/>
      <c r="F789" s="80"/>
      <c r="G789" s="80"/>
      <c r="H789" s="81"/>
      <c r="I789" s="80"/>
      <c r="J789" s="80"/>
      <c r="K789" s="80"/>
    </row>
    <row r="790" ht="12.75" customHeight="1">
      <c r="B790" s="90"/>
      <c r="E790" s="79"/>
      <c r="F790" s="80"/>
      <c r="G790" s="80"/>
      <c r="H790" s="81"/>
      <c r="I790" s="80"/>
      <c r="J790" s="80"/>
      <c r="K790" s="80"/>
    </row>
    <row r="791" ht="12.75" customHeight="1">
      <c r="A791" s="89" t="s">
        <v>765</v>
      </c>
      <c r="B791" s="96" t="s">
        <v>4943</v>
      </c>
      <c r="C791" s="90"/>
      <c r="D791" s="89" t="s">
        <v>75</v>
      </c>
      <c r="E791" s="91">
        <v>1.0</v>
      </c>
      <c r="F791" s="92">
        <v>3272.19</v>
      </c>
      <c r="G791" s="92">
        <v>3272.19</v>
      </c>
      <c r="H791" s="93"/>
      <c r="I791" s="92"/>
      <c r="J791" s="92"/>
      <c r="K791" s="92"/>
    </row>
    <row r="792" ht="12.75" customHeight="1">
      <c r="B792" s="90"/>
      <c r="E792" s="79"/>
      <c r="F792" s="80"/>
      <c r="G792" s="80"/>
      <c r="H792" s="81"/>
      <c r="I792" s="80"/>
      <c r="J792" s="80"/>
      <c r="K792" s="80"/>
    </row>
    <row r="793" ht="12.75" customHeight="1">
      <c r="A793" s="89" t="s">
        <v>767</v>
      </c>
      <c r="B793" s="96" t="s">
        <v>4944</v>
      </c>
      <c r="C793" s="90"/>
      <c r="D793" s="89" t="s">
        <v>75</v>
      </c>
      <c r="E793" s="91">
        <v>1.0</v>
      </c>
      <c r="F793" s="92">
        <v>3078.22</v>
      </c>
      <c r="G793" s="92">
        <v>3078.22</v>
      </c>
      <c r="H793" s="93"/>
      <c r="I793" s="92"/>
      <c r="J793" s="92"/>
      <c r="K793" s="92"/>
    </row>
    <row r="794" ht="12.75" customHeight="1">
      <c r="B794" s="90"/>
      <c r="E794" s="79"/>
      <c r="F794" s="80"/>
      <c r="G794" s="80"/>
      <c r="H794" s="81"/>
      <c r="I794" s="80"/>
      <c r="J794" s="80"/>
      <c r="K794" s="80"/>
    </row>
    <row r="795" ht="12.75" customHeight="1">
      <c r="A795" s="89" t="s">
        <v>769</v>
      </c>
      <c r="B795" s="96" t="s">
        <v>4945</v>
      </c>
      <c r="C795" s="90"/>
      <c r="D795" s="89" t="s">
        <v>161</v>
      </c>
      <c r="E795" s="91">
        <v>2.1</v>
      </c>
      <c r="F795" s="92">
        <v>226.29</v>
      </c>
      <c r="G795" s="92">
        <v>475.21</v>
      </c>
      <c r="H795" s="93"/>
      <c r="I795" s="92"/>
      <c r="J795" s="92"/>
      <c r="K795" s="92"/>
    </row>
    <row r="796" ht="12.75" customHeight="1">
      <c r="B796" s="90"/>
      <c r="E796" s="79"/>
      <c r="F796" s="80"/>
      <c r="G796" s="80"/>
      <c r="H796" s="81"/>
      <c r="I796" s="80"/>
      <c r="J796" s="80"/>
      <c r="K796" s="80"/>
    </row>
    <row r="797" ht="12.75" customHeight="1">
      <c r="A797" s="89" t="s">
        <v>4017</v>
      </c>
      <c r="B797" s="96" t="s">
        <v>4925</v>
      </c>
      <c r="C797" s="90"/>
      <c r="E797" s="79"/>
      <c r="F797" s="80"/>
      <c r="G797" s="92">
        <v>75835.91</v>
      </c>
      <c r="H797" s="93">
        <f>G797</f>
        <v>75835.91</v>
      </c>
      <c r="I797" s="92"/>
      <c r="J797" s="92"/>
      <c r="K797" s="92"/>
    </row>
    <row r="798" ht="12.75" customHeight="1">
      <c r="B798" s="90"/>
      <c r="E798" s="79"/>
      <c r="F798" s="80"/>
      <c r="G798" s="80"/>
      <c r="H798" s="81"/>
      <c r="I798" s="80"/>
      <c r="J798" s="80">
        <f>SUM(H2:H797)</f>
        <v>1081934.23</v>
      </c>
      <c r="K798" s="80"/>
    </row>
    <row r="799" ht="12.75" customHeight="1">
      <c r="A799" s="89" t="s">
        <v>3696</v>
      </c>
      <c r="B799" s="96" t="s">
        <v>4584</v>
      </c>
      <c r="C799" s="90"/>
      <c r="E799" s="79"/>
      <c r="F799" s="80"/>
      <c r="G799" s="92">
        <v>903603.82</v>
      </c>
      <c r="H799" s="93"/>
      <c r="I799" s="92"/>
      <c r="J799" s="92"/>
      <c r="K799" s="92">
        <f>G799</f>
        <v>903603.82</v>
      </c>
    </row>
    <row r="800" ht="12.75" customHeight="1">
      <c r="B800" s="90"/>
      <c r="E800" s="79"/>
      <c r="F800" s="80"/>
      <c r="G800" s="80"/>
      <c r="H800" s="81"/>
      <c r="I800" s="80"/>
      <c r="J800" s="80"/>
      <c r="K800" s="80"/>
    </row>
    <row r="801" ht="12.75" customHeight="1">
      <c r="B801" s="90"/>
      <c r="E801" s="79"/>
      <c r="F801" s="80"/>
      <c r="G801" s="80"/>
      <c r="H801" s="81"/>
      <c r="I801" s="80"/>
      <c r="J801" s="80"/>
      <c r="K801" s="80"/>
    </row>
    <row r="802" ht="12.75" customHeight="1">
      <c r="B802" s="96" t="s">
        <v>4946</v>
      </c>
      <c r="C802" s="90"/>
      <c r="E802" s="79"/>
      <c r="F802" s="80"/>
      <c r="G802" s="80"/>
      <c r="H802" s="81"/>
      <c r="I802" s="80"/>
      <c r="J802" s="80"/>
      <c r="K802" s="80"/>
    </row>
    <row r="803" ht="12.75" customHeight="1">
      <c r="B803" s="90"/>
      <c r="E803" s="79"/>
      <c r="F803" s="80"/>
      <c r="G803" s="80"/>
      <c r="H803" s="81"/>
      <c r="I803" s="80"/>
      <c r="J803" s="80"/>
      <c r="K803" s="80"/>
    </row>
    <row r="804" ht="12.75" customHeight="1">
      <c r="A804" s="89" t="s">
        <v>27</v>
      </c>
      <c r="B804" s="96" t="s">
        <v>4947</v>
      </c>
      <c r="C804" s="90"/>
      <c r="E804" s="79"/>
      <c r="F804" s="80"/>
      <c r="G804" s="80"/>
      <c r="H804" s="81"/>
      <c r="I804" s="80"/>
      <c r="J804" s="80"/>
      <c r="K804" s="80"/>
    </row>
    <row r="805" ht="12.75" customHeight="1">
      <c r="B805" s="90"/>
      <c r="E805" s="79"/>
      <c r="F805" s="80"/>
      <c r="G805" s="80"/>
      <c r="H805" s="81"/>
      <c r="I805" s="80"/>
      <c r="J805" s="80"/>
      <c r="K805" s="80"/>
    </row>
    <row r="806" ht="12.75" customHeight="1">
      <c r="A806" s="136" t="s">
        <v>772</v>
      </c>
      <c r="B806" s="137" t="s">
        <v>4948</v>
      </c>
      <c r="C806" s="137"/>
      <c r="D806" s="136" t="s">
        <v>75</v>
      </c>
      <c r="E806" s="140">
        <v>1.0</v>
      </c>
      <c r="F806" s="100">
        <v>3879.3</v>
      </c>
      <c r="G806" s="100">
        <v>3879.3</v>
      </c>
      <c r="H806" s="99"/>
      <c r="I806" s="100"/>
      <c r="J806" s="100"/>
      <c r="K806" s="100"/>
    </row>
    <row r="807" ht="12.75" customHeight="1">
      <c r="A807" s="138"/>
      <c r="B807" s="137"/>
      <c r="C807" s="138"/>
      <c r="D807" s="138"/>
      <c r="E807" s="139"/>
      <c r="F807" s="106"/>
      <c r="G807" s="106"/>
      <c r="H807" s="105"/>
      <c r="I807" s="106"/>
      <c r="J807" s="106"/>
      <c r="K807" s="106"/>
    </row>
    <row r="808" ht="12.75" customHeight="1">
      <c r="A808" s="136" t="s">
        <v>774</v>
      </c>
      <c r="B808" s="137" t="s">
        <v>4949</v>
      </c>
      <c r="C808" s="137"/>
      <c r="D808" s="136" t="s">
        <v>776</v>
      </c>
      <c r="E808" s="140">
        <v>2234.27</v>
      </c>
      <c r="F808" s="100">
        <v>10.99</v>
      </c>
      <c r="G808" s="100">
        <v>24554.63</v>
      </c>
      <c r="H808" s="99"/>
      <c r="I808" s="100"/>
      <c r="J808" s="100"/>
      <c r="K808" s="100"/>
    </row>
    <row r="809" ht="12.75" customHeight="1">
      <c r="A809" s="138"/>
      <c r="B809" s="137"/>
      <c r="C809" s="138"/>
      <c r="D809" s="138"/>
      <c r="E809" s="139"/>
      <c r="F809" s="106"/>
      <c r="G809" s="106"/>
      <c r="H809" s="105"/>
      <c r="I809" s="106"/>
      <c r="J809" s="106"/>
      <c r="K809" s="106"/>
    </row>
    <row r="810" ht="12.75" customHeight="1">
      <c r="A810" s="136" t="s">
        <v>777</v>
      </c>
      <c r="B810" s="137" t="s">
        <v>4950</v>
      </c>
      <c r="C810" s="137"/>
      <c r="D810" s="136" t="s">
        <v>776</v>
      </c>
      <c r="E810" s="140">
        <v>482.44</v>
      </c>
      <c r="F810" s="100">
        <v>10.99</v>
      </c>
      <c r="G810" s="100">
        <v>5302.02</v>
      </c>
      <c r="H810" s="99"/>
      <c r="I810" s="100"/>
      <c r="J810" s="100"/>
      <c r="K810" s="100"/>
    </row>
    <row r="811" ht="12.75" customHeight="1">
      <c r="B811" s="90"/>
      <c r="E811" s="79"/>
      <c r="F811" s="80"/>
      <c r="G811" s="80"/>
      <c r="H811" s="81"/>
      <c r="I811" s="80"/>
      <c r="J811" s="80"/>
      <c r="K811" s="80"/>
    </row>
    <row r="812" ht="12.75" customHeight="1">
      <c r="A812" s="89" t="s">
        <v>779</v>
      </c>
      <c r="B812" s="96" t="s">
        <v>4951</v>
      </c>
      <c r="C812" s="90"/>
      <c r="E812" s="79"/>
      <c r="F812" s="80"/>
      <c r="G812" s="80"/>
      <c r="H812" s="81"/>
      <c r="I812" s="80"/>
      <c r="J812" s="80"/>
      <c r="K812" s="80"/>
    </row>
    <row r="813" ht="12.75" customHeight="1">
      <c r="B813" s="90"/>
      <c r="E813" s="79"/>
      <c r="F813" s="80"/>
      <c r="G813" s="80"/>
      <c r="H813" s="81"/>
      <c r="I813" s="80"/>
      <c r="J813" s="80"/>
      <c r="K813" s="80"/>
    </row>
    <row r="814" ht="12.75" customHeight="1">
      <c r="A814" s="136" t="s">
        <v>781</v>
      </c>
      <c r="B814" s="137" t="s">
        <v>4952</v>
      </c>
      <c r="C814" s="137"/>
      <c r="D814" s="136" t="s">
        <v>776</v>
      </c>
      <c r="E814" s="140">
        <v>2102.2</v>
      </c>
      <c r="F814" s="100">
        <v>8.41</v>
      </c>
      <c r="G814" s="100">
        <v>17679.5</v>
      </c>
      <c r="H814" s="99"/>
      <c r="I814" s="100"/>
      <c r="J814" s="100"/>
      <c r="K814" s="100"/>
    </row>
    <row r="815" ht="12.75" customHeight="1">
      <c r="B815" s="90"/>
      <c r="E815" s="79"/>
      <c r="F815" s="80"/>
      <c r="G815" s="80"/>
      <c r="H815" s="81"/>
      <c r="I815" s="80"/>
      <c r="J815" s="80"/>
      <c r="K815" s="80"/>
    </row>
    <row r="816" ht="12.75" customHeight="1">
      <c r="A816" s="89" t="s">
        <v>27</v>
      </c>
      <c r="B816" s="96" t="s">
        <v>4947</v>
      </c>
      <c r="C816" s="90"/>
      <c r="E816" s="79"/>
      <c r="F816" s="80"/>
      <c r="G816" s="92">
        <v>51415.45</v>
      </c>
      <c r="H816" s="93">
        <f>G816</f>
        <v>51415.45</v>
      </c>
      <c r="I816" s="92"/>
      <c r="J816" s="92"/>
      <c r="K816" s="92"/>
    </row>
    <row r="817" ht="12.75" customHeight="1">
      <c r="B817" s="90"/>
      <c r="E817" s="79"/>
      <c r="F817" s="80"/>
      <c r="G817" s="80"/>
      <c r="H817" s="81"/>
      <c r="I817" s="80"/>
      <c r="J817" s="80"/>
      <c r="K817" s="80"/>
    </row>
    <row r="818" ht="12.75" customHeight="1">
      <c r="B818" s="90"/>
      <c r="E818" s="79"/>
      <c r="F818" s="80"/>
      <c r="G818" s="80"/>
      <c r="H818" s="81"/>
      <c r="I818" s="80"/>
      <c r="J818" s="80"/>
      <c r="K818" s="80"/>
    </row>
    <row r="819" ht="12.75" customHeight="1">
      <c r="A819" s="404" t="s">
        <v>3696</v>
      </c>
      <c r="B819" s="405" t="s">
        <v>4953</v>
      </c>
      <c r="C819" s="405"/>
      <c r="D819" s="406"/>
      <c r="E819" s="407"/>
      <c r="F819" s="408"/>
      <c r="G819" s="408"/>
      <c r="H819" s="409"/>
      <c r="I819" s="408"/>
      <c r="J819" s="408"/>
      <c r="K819" s="408"/>
    </row>
    <row r="820" ht="12.75" customHeight="1">
      <c r="A820" s="406"/>
      <c r="B820" s="405"/>
      <c r="C820" s="406"/>
      <c r="D820" s="406"/>
      <c r="E820" s="407"/>
      <c r="F820" s="408"/>
      <c r="G820" s="408"/>
      <c r="H820" s="409"/>
      <c r="I820" s="408"/>
      <c r="J820" s="408"/>
      <c r="K820" s="408"/>
    </row>
    <row r="821" ht="12.75" customHeight="1">
      <c r="A821" s="404" t="s">
        <v>784</v>
      </c>
      <c r="B821" s="405" t="s">
        <v>4954</v>
      </c>
      <c r="C821" s="405"/>
      <c r="D821" s="406"/>
      <c r="E821" s="407"/>
      <c r="F821" s="408"/>
      <c r="G821" s="408"/>
      <c r="H821" s="409"/>
      <c r="I821" s="408"/>
      <c r="J821" s="408"/>
      <c r="K821" s="408"/>
    </row>
    <row r="822" ht="12.75" customHeight="1">
      <c r="A822" s="406"/>
      <c r="B822" s="405"/>
      <c r="C822" s="406"/>
      <c r="D822" s="406"/>
      <c r="E822" s="407"/>
      <c r="F822" s="408"/>
      <c r="G822" s="408"/>
      <c r="H822" s="409"/>
      <c r="I822" s="408"/>
      <c r="J822" s="408"/>
      <c r="K822" s="408"/>
    </row>
    <row r="823" ht="12.75" customHeight="1">
      <c r="A823" s="404" t="s">
        <v>36</v>
      </c>
      <c r="B823" s="405" t="s">
        <v>4955</v>
      </c>
      <c r="C823" s="405"/>
      <c r="D823" s="406"/>
      <c r="E823" s="407"/>
      <c r="F823" s="408"/>
      <c r="G823" s="408"/>
      <c r="H823" s="409"/>
      <c r="I823" s="408"/>
      <c r="J823" s="408"/>
      <c r="K823" s="408"/>
    </row>
    <row r="824" ht="12.75" customHeight="1">
      <c r="A824" s="406"/>
      <c r="B824" s="405"/>
      <c r="C824" s="406"/>
      <c r="D824" s="406"/>
      <c r="E824" s="407"/>
      <c r="F824" s="408"/>
      <c r="G824" s="408"/>
      <c r="H824" s="409"/>
      <c r="I824" s="408"/>
      <c r="J824" s="408"/>
      <c r="K824" s="408"/>
    </row>
    <row r="825" ht="12.75" customHeight="1">
      <c r="A825" s="404" t="s">
        <v>38</v>
      </c>
      <c r="B825" s="405" t="s">
        <v>4956</v>
      </c>
      <c r="C825" s="405"/>
      <c r="D825" s="404" t="s">
        <v>40</v>
      </c>
      <c r="E825" s="410">
        <v>329.7</v>
      </c>
      <c r="F825" s="411">
        <v>9.15</v>
      </c>
      <c r="G825" s="411">
        <v>3016.76</v>
      </c>
      <c r="H825" s="412"/>
      <c r="I825" s="411"/>
      <c r="J825" s="411"/>
      <c r="K825" s="411"/>
    </row>
    <row r="826" ht="12.75" customHeight="1">
      <c r="A826" s="406"/>
      <c r="B826" s="405"/>
      <c r="C826" s="406"/>
      <c r="D826" s="406"/>
      <c r="E826" s="407"/>
      <c r="F826" s="408"/>
      <c r="G826" s="408"/>
      <c r="H826" s="409"/>
      <c r="I826" s="408"/>
      <c r="J826" s="408"/>
      <c r="K826" s="408"/>
    </row>
    <row r="827" ht="12.75" customHeight="1">
      <c r="A827" s="404" t="s">
        <v>45</v>
      </c>
      <c r="B827" s="405" t="s">
        <v>4957</v>
      </c>
      <c r="C827" s="405"/>
      <c r="D827" s="406"/>
      <c r="E827" s="407"/>
      <c r="F827" s="408"/>
      <c r="G827" s="408"/>
      <c r="H827" s="409"/>
      <c r="I827" s="408"/>
      <c r="J827" s="408"/>
      <c r="K827" s="408"/>
    </row>
    <row r="828" ht="12.75" customHeight="1">
      <c r="A828" s="406"/>
      <c r="B828" s="405"/>
      <c r="C828" s="406"/>
      <c r="D828" s="406"/>
      <c r="E828" s="407"/>
      <c r="F828" s="408"/>
      <c r="G828" s="408"/>
      <c r="H828" s="409"/>
      <c r="I828" s="408"/>
      <c r="J828" s="408"/>
      <c r="K828" s="408"/>
    </row>
    <row r="829" ht="12.75" customHeight="1">
      <c r="A829" s="404" t="s">
        <v>47</v>
      </c>
      <c r="B829" s="405" t="s">
        <v>4958</v>
      </c>
      <c r="C829" s="405"/>
      <c r="D829" s="404" t="s">
        <v>776</v>
      </c>
      <c r="E829" s="410">
        <v>29.25</v>
      </c>
      <c r="F829" s="411">
        <v>153.61</v>
      </c>
      <c r="G829" s="411">
        <v>4493.09</v>
      </c>
      <c r="H829" s="412"/>
      <c r="I829" s="411"/>
      <c r="J829" s="411"/>
      <c r="K829" s="411"/>
    </row>
    <row r="830" ht="12.75" customHeight="1">
      <c r="A830" s="406"/>
      <c r="B830" s="405"/>
      <c r="C830" s="406"/>
      <c r="D830" s="406"/>
      <c r="E830" s="407"/>
      <c r="F830" s="408"/>
      <c r="G830" s="408"/>
      <c r="H830" s="409"/>
      <c r="I830" s="408"/>
      <c r="J830" s="408"/>
      <c r="K830" s="408"/>
    </row>
    <row r="831" ht="12.75" customHeight="1">
      <c r="A831" s="404" t="s">
        <v>49</v>
      </c>
      <c r="B831" s="405" t="s">
        <v>4959</v>
      </c>
      <c r="C831" s="405"/>
      <c r="D831" s="404" t="s">
        <v>776</v>
      </c>
      <c r="E831" s="410">
        <v>8.94</v>
      </c>
      <c r="F831" s="411">
        <v>153.61</v>
      </c>
      <c r="G831" s="411">
        <v>1373.27</v>
      </c>
      <c r="H831" s="412"/>
      <c r="I831" s="411"/>
      <c r="J831" s="411"/>
      <c r="K831" s="411"/>
    </row>
    <row r="832" ht="12.75" customHeight="1">
      <c r="A832" s="406"/>
      <c r="B832" s="405"/>
      <c r="C832" s="406"/>
      <c r="D832" s="406"/>
      <c r="E832" s="407"/>
      <c r="F832" s="408"/>
      <c r="G832" s="408"/>
      <c r="H832" s="409"/>
      <c r="I832" s="408"/>
      <c r="J832" s="408"/>
      <c r="K832" s="408"/>
    </row>
    <row r="833" ht="12.75" customHeight="1">
      <c r="A833" s="404" t="s">
        <v>51</v>
      </c>
      <c r="B833" s="405" t="s">
        <v>4960</v>
      </c>
      <c r="C833" s="405"/>
      <c r="D833" s="404" t="s">
        <v>776</v>
      </c>
      <c r="E833" s="410">
        <v>106.22</v>
      </c>
      <c r="F833" s="411">
        <v>153.61</v>
      </c>
      <c r="G833" s="411">
        <v>16316.45</v>
      </c>
      <c r="H833" s="412"/>
      <c r="I833" s="411"/>
      <c r="J833" s="411"/>
      <c r="K833" s="411"/>
    </row>
    <row r="834" ht="12.75" customHeight="1">
      <c r="A834" s="406"/>
      <c r="B834" s="405"/>
      <c r="C834" s="406"/>
      <c r="D834" s="406"/>
      <c r="E834" s="407"/>
      <c r="F834" s="408"/>
      <c r="G834" s="408"/>
      <c r="H834" s="409"/>
      <c r="I834" s="408"/>
      <c r="J834" s="408"/>
      <c r="K834" s="408"/>
    </row>
    <row r="835" ht="12.75" customHeight="1">
      <c r="A835" s="404" t="s">
        <v>792</v>
      </c>
      <c r="B835" s="405" t="s">
        <v>4961</v>
      </c>
      <c r="C835" s="405"/>
      <c r="D835" s="404" t="s">
        <v>776</v>
      </c>
      <c r="E835" s="410">
        <v>3.02</v>
      </c>
      <c r="F835" s="411">
        <v>153.61</v>
      </c>
      <c r="G835" s="411">
        <v>463.9</v>
      </c>
      <c r="H835" s="412"/>
      <c r="I835" s="411"/>
      <c r="J835" s="411"/>
      <c r="K835" s="411"/>
    </row>
    <row r="836" ht="12.75" customHeight="1">
      <c r="A836" s="406"/>
      <c r="B836" s="405"/>
      <c r="C836" s="406"/>
      <c r="D836" s="406"/>
      <c r="E836" s="407"/>
      <c r="F836" s="408"/>
      <c r="G836" s="408"/>
      <c r="H836" s="409"/>
      <c r="I836" s="408"/>
      <c r="J836" s="408"/>
      <c r="K836" s="408"/>
    </row>
    <row r="837" ht="12.75" customHeight="1">
      <c r="A837" s="404" t="s">
        <v>53</v>
      </c>
      <c r="B837" s="405" t="s">
        <v>4962</v>
      </c>
      <c r="C837" s="405"/>
      <c r="D837" s="406"/>
      <c r="E837" s="407"/>
      <c r="F837" s="408"/>
      <c r="G837" s="408"/>
      <c r="H837" s="409"/>
      <c r="I837" s="408"/>
      <c r="J837" s="408"/>
      <c r="K837" s="408"/>
    </row>
    <row r="838" ht="12.75" customHeight="1">
      <c r="A838" s="406"/>
      <c r="B838" s="405"/>
      <c r="C838" s="406"/>
      <c r="D838" s="406"/>
      <c r="E838" s="407"/>
      <c r="F838" s="408"/>
      <c r="G838" s="408"/>
      <c r="H838" s="409"/>
      <c r="I838" s="408"/>
      <c r="J838" s="408"/>
      <c r="K838" s="408"/>
    </row>
    <row r="839" ht="12.75" customHeight="1">
      <c r="A839" s="404" t="s">
        <v>55</v>
      </c>
      <c r="B839" s="405" t="s">
        <v>4963</v>
      </c>
      <c r="C839" s="405"/>
      <c r="D839" s="404" t="s">
        <v>776</v>
      </c>
      <c r="E839" s="410">
        <v>2.51</v>
      </c>
      <c r="F839" s="411">
        <v>153.61</v>
      </c>
      <c r="G839" s="411">
        <v>385.56</v>
      </c>
      <c r="H839" s="412"/>
      <c r="I839" s="411"/>
      <c r="J839" s="411"/>
      <c r="K839" s="411"/>
    </row>
    <row r="840" ht="12.75" customHeight="1">
      <c r="A840" s="406"/>
      <c r="B840" s="405"/>
      <c r="C840" s="406"/>
      <c r="D840" s="406"/>
      <c r="E840" s="407"/>
      <c r="F840" s="408"/>
      <c r="G840" s="408"/>
      <c r="H840" s="409"/>
      <c r="I840" s="408"/>
      <c r="J840" s="408"/>
      <c r="K840" s="408"/>
    </row>
    <row r="841" ht="12.75" customHeight="1">
      <c r="A841" s="404" t="s">
        <v>57</v>
      </c>
      <c r="B841" s="405" t="s">
        <v>4964</v>
      </c>
      <c r="C841" s="405"/>
      <c r="D841" s="404" t="s">
        <v>776</v>
      </c>
      <c r="E841" s="410">
        <v>88.26</v>
      </c>
      <c r="F841" s="411">
        <v>153.61</v>
      </c>
      <c r="G841" s="411">
        <v>13557.62</v>
      </c>
      <c r="H841" s="412"/>
      <c r="I841" s="411"/>
      <c r="J841" s="411"/>
      <c r="K841" s="411"/>
    </row>
    <row r="842" ht="12.75" customHeight="1">
      <c r="A842" s="406"/>
      <c r="B842" s="405"/>
      <c r="C842" s="406"/>
      <c r="D842" s="406"/>
      <c r="E842" s="407"/>
      <c r="F842" s="408"/>
      <c r="G842" s="408"/>
      <c r="H842" s="409"/>
      <c r="I842" s="408"/>
      <c r="J842" s="408"/>
      <c r="K842" s="408"/>
    </row>
    <row r="843" ht="12.75" customHeight="1">
      <c r="A843" s="404" t="s">
        <v>57</v>
      </c>
      <c r="B843" s="405" t="s">
        <v>4965</v>
      </c>
      <c r="C843" s="405"/>
      <c r="D843" s="404" t="s">
        <v>776</v>
      </c>
      <c r="E843" s="410">
        <v>1.32</v>
      </c>
      <c r="F843" s="411">
        <v>153.61</v>
      </c>
      <c r="G843" s="411">
        <v>202.77</v>
      </c>
      <c r="H843" s="412"/>
      <c r="I843" s="411"/>
      <c r="J843" s="411"/>
      <c r="K843" s="411"/>
    </row>
    <row r="844" ht="12.75" customHeight="1">
      <c r="A844" s="406"/>
      <c r="B844" s="405"/>
      <c r="C844" s="406"/>
      <c r="D844" s="406"/>
      <c r="E844" s="407"/>
      <c r="F844" s="408"/>
      <c r="G844" s="408"/>
      <c r="H844" s="409"/>
      <c r="I844" s="408"/>
      <c r="J844" s="408"/>
      <c r="K844" s="408"/>
    </row>
    <row r="845" ht="12.75" customHeight="1">
      <c r="A845" s="404" t="s">
        <v>798</v>
      </c>
      <c r="B845" s="405" t="s">
        <v>4966</v>
      </c>
      <c r="C845" s="405"/>
      <c r="D845" s="406"/>
      <c r="E845" s="407"/>
      <c r="F845" s="408"/>
      <c r="G845" s="408"/>
      <c r="H845" s="409"/>
      <c r="I845" s="408"/>
      <c r="J845" s="408"/>
      <c r="K845" s="408"/>
    </row>
    <row r="846" ht="12.75" customHeight="1">
      <c r="A846" s="406"/>
      <c r="B846" s="405"/>
      <c r="C846" s="406"/>
      <c r="D846" s="406"/>
      <c r="E846" s="407"/>
      <c r="F846" s="408"/>
      <c r="G846" s="408"/>
      <c r="H846" s="409"/>
      <c r="I846" s="408"/>
      <c r="J846" s="408"/>
      <c r="K846" s="408"/>
    </row>
    <row r="847" ht="12.75" customHeight="1">
      <c r="A847" s="404" t="s">
        <v>800</v>
      </c>
      <c r="B847" s="405" t="s">
        <v>4967</v>
      </c>
      <c r="C847" s="405"/>
      <c r="D847" s="404" t="s">
        <v>776</v>
      </c>
      <c r="E847" s="410">
        <v>7.28</v>
      </c>
      <c r="F847" s="411">
        <v>177.72</v>
      </c>
      <c r="G847" s="411">
        <v>1293.8</v>
      </c>
      <c r="H847" s="412"/>
      <c r="I847" s="411"/>
      <c r="J847" s="411"/>
      <c r="K847" s="411"/>
    </row>
    <row r="848" ht="12.75" customHeight="1">
      <c r="A848" s="406"/>
      <c r="B848" s="405"/>
      <c r="C848" s="406"/>
      <c r="D848" s="406"/>
      <c r="E848" s="407"/>
      <c r="F848" s="408"/>
      <c r="G848" s="408"/>
      <c r="H848" s="409"/>
      <c r="I848" s="408"/>
      <c r="J848" s="408"/>
      <c r="K848" s="408"/>
    </row>
    <row r="849" ht="12.75" customHeight="1">
      <c r="A849" s="404" t="s">
        <v>802</v>
      </c>
      <c r="B849" s="405" t="s">
        <v>4968</v>
      </c>
      <c r="C849" s="405"/>
      <c r="D849" s="404" t="s">
        <v>776</v>
      </c>
      <c r="E849" s="410">
        <v>27.46</v>
      </c>
      <c r="F849" s="411">
        <v>177.72</v>
      </c>
      <c r="G849" s="411">
        <v>4880.19</v>
      </c>
      <c r="H849" s="412"/>
      <c r="I849" s="411"/>
      <c r="J849" s="411"/>
      <c r="K849" s="411"/>
    </row>
    <row r="850" ht="12.75" customHeight="1">
      <c r="A850" s="406"/>
      <c r="B850" s="405"/>
      <c r="C850" s="406"/>
      <c r="D850" s="406"/>
      <c r="E850" s="407"/>
      <c r="F850" s="408"/>
      <c r="G850" s="408"/>
      <c r="H850" s="409"/>
      <c r="I850" s="408"/>
      <c r="J850" s="408"/>
      <c r="K850" s="408"/>
    </row>
    <row r="851" ht="12.75" customHeight="1">
      <c r="A851" s="404" t="s">
        <v>798</v>
      </c>
      <c r="B851" s="405" t="s">
        <v>4969</v>
      </c>
      <c r="C851" s="405"/>
      <c r="D851" s="406"/>
      <c r="E851" s="407"/>
      <c r="F851" s="408"/>
      <c r="G851" s="408"/>
      <c r="H851" s="409"/>
      <c r="I851" s="408"/>
      <c r="J851" s="408"/>
      <c r="K851" s="408"/>
    </row>
    <row r="852" ht="12.75" customHeight="1">
      <c r="A852" s="406"/>
      <c r="B852" s="405"/>
      <c r="C852" s="406"/>
      <c r="D852" s="406"/>
      <c r="E852" s="407"/>
      <c r="F852" s="408"/>
      <c r="G852" s="408"/>
      <c r="H852" s="409"/>
      <c r="I852" s="408"/>
      <c r="J852" s="408"/>
      <c r="K852" s="408"/>
    </row>
    <row r="853" ht="12.75" customHeight="1">
      <c r="A853" s="404" t="s">
        <v>805</v>
      </c>
      <c r="B853" s="405" t="s">
        <v>4970</v>
      </c>
      <c r="C853" s="405"/>
      <c r="D853" s="404" t="s">
        <v>776</v>
      </c>
      <c r="E853" s="410">
        <v>52.37</v>
      </c>
      <c r="F853" s="411">
        <v>182.74</v>
      </c>
      <c r="G853" s="411">
        <v>9570.09</v>
      </c>
      <c r="H853" s="412"/>
      <c r="I853" s="411"/>
      <c r="J853" s="411"/>
      <c r="K853" s="411"/>
    </row>
    <row r="854" ht="12.75" customHeight="1">
      <c r="A854" s="406"/>
      <c r="B854" s="405"/>
      <c r="C854" s="406"/>
      <c r="D854" s="406"/>
      <c r="E854" s="407"/>
      <c r="F854" s="408"/>
      <c r="G854" s="408"/>
      <c r="H854" s="409"/>
      <c r="I854" s="408"/>
      <c r="J854" s="408"/>
      <c r="K854" s="408"/>
    </row>
    <row r="855" ht="12.75" customHeight="1">
      <c r="A855" s="404" t="s">
        <v>807</v>
      </c>
      <c r="B855" s="405" t="s">
        <v>4971</v>
      </c>
      <c r="C855" s="405"/>
      <c r="D855" s="404" t="s">
        <v>776</v>
      </c>
      <c r="E855" s="410">
        <v>60.12</v>
      </c>
      <c r="F855" s="411">
        <v>182.74</v>
      </c>
      <c r="G855" s="411">
        <v>10986.33</v>
      </c>
      <c r="H855" s="412"/>
      <c r="I855" s="411"/>
      <c r="J855" s="411"/>
      <c r="K855" s="411"/>
    </row>
    <row r="856" ht="12.75" customHeight="1">
      <c r="A856" s="406"/>
      <c r="B856" s="405"/>
      <c r="C856" s="406"/>
      <c r="D856" s="406"/>
      <c r="E856" s="407"/>
      <c r="F856" s="408"/>
      <c r="G856" s="408"/>
      <c r="H856" s="409"/>
      <c r="I856" s="408"/>
      <c r="J856" s="408"/>
      <c r="K856" s="408"/>
    </row>
    <row r="857" ht="12.75" customHeight="1">
      <c r="A857" s="404" t="s">
        <v>809</v>
      </c>
      <c r="B857" s="405" t="s">
        <v>4972</v>
      </c>
      <c r="C857" s="405"/>
      <c r="D857" s="404" t="s">
        <v>776</v>
      </c>
      <c r="E857" s="410">
        <v>50.41</v>
      </c>
      <c r="F857" s="411">
        <v>182.74</v>
      </c>
      <c r="G857" s="411">
        <v>9211.92</v>
      </c>
      <c r="H857" s="412"/>
      <c r="I857" s="411"/>
      <c r="J857" s="411"/>
      <c r="K857" s="411"/>
    </row>
    <row r="858" ht="12.75" customHeight="1">
      <c r="A858" s="406"/>
      <c r="B858" s="405"/>
      <c r="C858" s="406"/>
      <c r="D858" s="406"/>
      <c r="E858" s="407"/>
      <c r="F858" s="408"/>
      <c r="G858" s="408"/>
      <c r="H858" s="409"/>
      <c r="I858" s="408"/>
      <c r="J858" s="408"/>
      <c r="K858" s="408"/>
    </row>
    <row r="859" ht="12.75" customHeight="1">
      <c r="A859" s="404" t="s">
        <v>811</v>
      </c>
      <c r="B859" s="405" t="s">
        <v>4973</v>
      </c>
      <c r="C859" s="405"/>
      <c r="D859" s="404" t="s">
        <v>776</v>
      </c>
      <c r="E859" s="410">
        <v>1.91</v>
      </c>
      <c r="F859" s="411">
        <v>182.74</v>
      </c>
      <c r="G859" s="411">
        <v>349.03</v>
      </c>
      <c r="H859" s="412"/>
      <c r="I859" s="411"/>
      <c r="J859" s="411"/>
      <c r="K859" s="411"/>
    </row>
    <row r="860" ht="12.75" customHeight="1">
      <c r="A860" s="406"/>
      <c r="B860" s="405"/>
      <c r="C860" s="406"/>
      <c r="D860" s="406"/>
      <c r="E860" s="407"/>
      <c r="F860" s="408"/>
      <c r="G860" s="408"/>
      <c r="H860" s="409"/>
      <c r="I860" s="408"/>
      <c r="J860" s="408"/>
      <c r="K860" s="408"/>
    </row>
    <row r="861" ht="12.75" customHeight="1">
      <c r="A861" s="404" t="s">
        <v>813</v>
      </c>
      <c r="B861" s="405" t="s">
        <v>4974</v>
      </c>
      <c r="C861" s="405"/>
      <c r="D861" s="406"/>
      <c r="E861" s="407"/>
      <c r="F861" s="408"/>
      <c r="G861" s="408"/>
      <c r="H861" s="409"/>
      <c r="I861" s="408"/>
      <c r="J861" s="408"/>
      <c r="K861" s="408"/>
    </row>
    <row r="862" ht="12.75" customHeight="1">
      <c r="A862" s="406"/>
      <c r="B862" s="405"/>
      <c r="C862" s="406"/>
      <c r="D862" s="406"/>
      <c r="E862" s="407"/>
      <c r="F862" s="408"/>
      <c r="G862" s="408"/>
      <c r="H862" s="409"/>
      <c r="I862" s="408"/>
      <c r="J862" s="408"/>
      <c r="K862" s="408"/>
    </row>
    <row r="863" ht="12.75" customHeight="1">
      <c r="A863" s="404" t="s">
        <v>815</v>
      </c>
      <c r="B863" s="405" t="s">
        <v>4968</v>
      </c>
      <c r="C863" s="405"/>
      <c r="D863" s="404" t="s">
        <v>776</v>
      </c>
      <c r="E863" s="410">
        <v>30.26</v>
      </c>
      <c r="F863" s="411">
        <v>177.72</v>
      </c>
      <c r="G863" s="411">
        <v>5377.81</v>
      </c>
      <c r="H863" s="412"/>
      <c r="I863" s="411"/>
      <c r="J863" s="411"/>
      <c r="K863" s="411"/>
    </row>
    <row r="864" ht="12.75" customHeight="1">
      <c r="A864" s="406"/>
      <c r="B864" s="405"/>
      <c r="C864" s="406"/>
      <c r="D864" s="406"/>
      <c r="E864" s="407"/>
      <c r="F864" s="408"/>
      <c r="G864" s="408"/>
      <c r="H864" s="409"/>
      <c r="I864" s="408"/>
      <c r="J864" s="408"/>
      <c r="K864" s="408"/>
    </row>
    <row r="865" ht="12.75" customHeight="1">
      <c r="A865" s="404" t="s">
        <v>816</v>
      </c>
      <c r="B865" s="405" t="s">
        <v>4975</v>
      </c>
      <c r="C865" s="405"/>
      <c r="D865" s="404" t="s">
        <v>776</v>
      </c>
      <c r="E865" s="410">
        <v>21.41</v>
      </c>
      <c r="F865" s="411">
        <v>177.72</v>
      </c>
      <c r="G865" s="411">
        <v>3804.99</v>
      </c>
      <c r="H865" s="412"/>
      <c r="I865" s="411"/>
      <c r="J865" s="411"/>
      <c r="K865" s="411"/>
    </row>
    <row r="866" ht="12.75" customHeight="1">
      <c r="A866" s="406"/>
      <c r="B866" s="405"/>
      <c r="C866" s="406"/>
      <c r="D866" s="406"/>
      <c r="E866" s="407"/>
      <c r="F866" s="408"/>
      <c r="G866" s="408"/>
      <c r="H866" s="409"/>
      <c r="I866" s="408"/>
      <c r="J866" s="408"/>
      <c r="K866" s="408"/>
    </row>
    <row r="867" ht="12.75" customHeight="1">
      <c r="A867" s="404" t="s">
        <v>818</v>
      </c>
      <c r="B867" s="405" t="s">
        <v>4976</v>
      </c>
      <c r="C867" s="405"/>
      <c r="D867" s="404" t="s">
        <v>776</v>
      </c>
      <c r="E867" s="410">
        <v>3.06</v>
      </c>
      <c r="F867" s="411">
        <v>177.72</v>
      </c>
      <c r="G867" s="411">
        <v>543.82</v>
      </c>
      <c r="H867" s="412"/>
      <c r="I867" s="411"/>
      <c r="J867" s="411"/>
      <c r="K867" s="411"/>
    </row>
    <row r="868" ht="12.75" customHeight="1">
      <c r="A868" s="406"/>
      <c r="B868" s="405"/>
      <c r="C868" s="406"/>
      <c r="D868" s="406"/>
      <c r="E868" s="407"/>
      <c r="F868" s="408"/>
      <c r="G868" s="408"/>
      <c r="H868" s="409"/>
      <c r="I868" s="408"/>
      <c r="J868" s="408"/>
      <c r="K868" s="408"/>
    </row>
    <row r="869" ht="12.75" customHeight="1">
      <c r="A869" s="404" t="s">
        <v>820</v>
      </c>
      <c r="B869" s="405" t="s">
        <v>4977</v>
      </c>
      <c r="C869" s="405"/>
      <c r="D869" s="404" t="s">
        <v>776</v>
      </c>
      <c r="E869" s="410">
        <v>1.18</v>
      </c>
      <c r="F869" s="411">
        <v>177.72</v>
      </c>
      <c r="G869" s="411">
        <v>209.71</v>
      </c>
      <c r="H869" s="412"/>
      <c r="I869" s="411"/>
      <c r="J869" s="411"/>
      <c r="K869" s="411"/>
    </row>
    <row r="870" ht="12.75" customHeight="1">
      <c r="A870" s="406"/>
      <c r="B870" s="405"/>
      <c r="C870" s="406"/>
      <c r="D870" s="406"/>
      <c r="E870" s="407"/>
      <c r="F870" s="408"/>
      <c r="G870" s="408"/>
      <c r="H870" s="409"/>
      <c r="I870" s="408"/>
      <c r="J870" s="408"/>
      <c r="K870" s="408"/>
    </row>
    <row r="871" ht="12.75" customHeight="1">
      <c r="A871" s="404" t="s">
        <v>784</v>
      </c>
      <c r="B871" s="405" t="s">
        <v>4954</v>
      </c>
      <c r="C871" s="405"/>
      <c r="D871" s="406"/>
      <c r="E871" s="407"/>
      <c r="F871" s="408"/>
      <c r="G871" s="411">
        <v>86037.11</v>
      </c>
      <c r="H871" s="412">
        <f>G871</f>
        <v>86037.11</v>
      </c>
      <c r="I871" s="411"/>
      <c r="J871" s="411"/>
      <c r="K871" s="411"/>
    </row>
    <row r="872" ht="12.75" customHeight="1">
      <c r="A872" s="406"/>
      <c r="B872" s="405"/>
      <c r="C872" s="406"/>
      <c r="D872" s="406"/>
      <c r="E872" s="407"/>
      <c r="F872" s="408"/>
      <c r="G872" s="408"/>
      <c r="H872" s="409"/>
      <c r="I872" s="408"/>
      <c r="J872" s="408"/>
      <c r="K872" s="408"/>
    </row>
    <row r="873" ht="12.75" customHeight="1">
      <c r="A873" s="406"/>
      <c r="B873" s="405"/>
      <c r="C873" s="406"/>
      <c r="D873" s="406"/>
      <c r="E873" s="407"/>
      <c r="F873" s="408"/>
      <c r="G873" s="408"/>
      <c r="H873" s="409"/>
      <c r="I873" s="408"/>
      <c r="J873" s="408"/>
      <c r="K873" s="408"/>
    </row>
    <row r="874" ht="12.75" customHeight="1">
      <c r="A874" s="404" t="s">
        <v>822</v>
      </c>
      <c r="B874" s="405" t="s">
        <v>4978</v>
      </c>
      <c r="C874" s="405"/>
      <c r="D874" s="406"/>
      <c r="E874" s="407"/>
      <c r="F874" s="408"/>
      <c r="G874" s="408"/>
      <c r="H874" s="409"/>
      <c r="I874" s="408"/>
      <c r="J874" s="408"/>
      <c r="K874" s="408"/>
    </row>
    <row r="875" ht="12.75" customHeight="1">
      <c r="A875" s="406"/>
      <c r="B875" s="405"/>
      <c r="C875" s="406"/>
      <c r="D875" s="406"/>
      <c r="E875" s="407"/>
      <c r="F875" s="408"/>
      <c r="G875" s="408"/>
      <c r="H875" s="409"/>
      <c r="I875" s="408"/>
      <c r="J875" s="408"/>
      <c r="K875" s="408"/>
    </row>
    <row r="876" ht="12.75" customHeight="1">
      <c r="A876" s="404" t="s">
        <v>69</v>
      </c>
      <c r="B876" s="405" t="s">
        <v>4979</v>
      </c>
      <c r="C876" s="405"/>
      <c r="D876" s="406"/>
      <c r="E876" s="407"/>
      <c r="F876" s="408"/>
      <c r="G876" s="408"/>
      <c r="H876" s="409"/>
      <c r="I876" s="408"/>
      <c r="J876" s="408"/>
      <c r="K876" s="408"/>
    </row>
    <row r="877" ht="12.75" customHeight="1">
      <c r="A877" s="406"/>
      <c r="B877" s="405"/>
      <c r="C877" s="406"/>
      <c r="D877" s="406"/>
      <c r="E877" s="407"/>
      <c r="F877" s="408"/>
      <c r="G877" s="408"/>
      <c r="H877" s="409"/>
      <c r="I877" s="408"/>
      <c r="J877" s="408"/>
      <c r="K877" s="408"/>
    </row>
    <row r="878" ht="12.75" customHeight="1">
      <c r="A878" s="404" t="s">
        <v>71</v>
      </c>
      <c r="B878" s="405" t="s">
        <v>4980</v>
      </c>
      <c r="C878" s="405"/>
      <c r="D878" s="406"/>
      <c r="E878" s="407"/>
      <c r="F878" s="408"/>
      <c r="G878" s="408"/>
      <c r="H878" s="409"/>
      <c r="I878" s="408"/>
      <c r="J878" s="408"/>
      <c r="K878" s="408"/>
    </row>
    <row r="879" ht="12.75" customHeight="1">
      <c r="A879" s="406"/>
      <c r="B879" s="405"/>
      <c r="C879" s="406"/>
      <c r="D879" s="406"/>
      <c r="E879" s="407"/>
      <c r="F879" s="408"/>
      <c r="G879" s="408"/>
      <c r="H879" s="409"/>
      <c r="I879" s="408"/>
      <c r="J879" s="408"/>
      <c r="K879" s="408"/>
    </row>
    <row r="880" ht="12.75" customHeight="1">
      <c r="A880" s="406"/>
      <c r="B880" s="405" t="s">
        <v>826</v>
      </c>
      <c r="C880" s="405"/>
      <c r="D880" s="404" t="s">
        <v>827</v>
      </c>
      <c r="E880" s="410">
        <v>421.74</v>
      </c>
      <c r="F880" s="411">
        <v>1.7</v>
      </c>
      <c r="G880" s="411">
        <v>716.96</v>
      </c>
      <c r="H880" s="412"/>
      <c r="I880" s="411"/>
      <c r="J880" s="411"/>
      <c r="K880" s="411"/>
    </row>
    <row r="881" ht="12.75" customHeight="1">
      <c r="A881" s="406"/>
      <c r="B881" s="405"/>
      <c r="C881" s="406"/>
      <c r="D881" s="406"/>
      <c r="E881" s="407"/>
      <c r="F881" s="408"/>
      <c r="G881" s="408"/>
      <c r="H881" s="409"/>
      <c r="I881" s="408"/>
      <c r="J881" s="408"/>
      <c r="K881" s="408"/>
    </row>
    <row r="882" ht="12.75" customHeight="1">
      <c r="A882" s="404" t="s">
        <v>82</v>
      </c>
      <c r="B882" s="405" t="s">
        <v>4981</v>
      </c>
      <c r="C882" s="405"/>
      <c r="D882" s="406"/>
      <c r="E882" s="407"/>
      <c r="F882" s="408"/>
      <c r="G882" s="408"/>
      <c r="H882" s="409"/>
      <c r="I882" s="408"/>
      <c r="J882" s="408"/>
      <c r="K882" s="408"/>
    </row>
    <row r="883" ht="12.75" customHeight="1">
      <c r="A883" s="406"/>
      <c r="B883" s="405"/>
      <c r="C883" s="406"/>
      <c r="D883" s="406"/>
      <c r="E883" s="407"/>
      <c r="F883" s="408"/>
      <c r="G883" s="408"/>
      <c r="H883" s="409"/>
      <c r="I883" s="408"/>
      <c r="J883" s="408"/>
      <c r="K883" s="408"/>
    </row>
    <row r="884" ht="12.75" customHeight="1">
      <c r="A884" s="406"/>
      <c r="B884" s="405" t="s">
        <v>829</v>
      </c>
      <c r="C884" s="405"/>
      <c r="D884" s="404" t="s">
        <v>827</v>
      </c>
      <c r="E884" s="410">
        <v>1572.83</v>
      </c>
      <c r="F884" s="411">
        <v>1.59</v>
      </c>
      <c r="G884" s="411">
        <v>2500.8</v>
      </c>
      <c r="H884" s="412"/>
      <c r="I884" s="411"/>
      <c r="J884" s="411"/>
      <c r="K884" s="411"/>
    </row>
    <row r="885" ht="12.75" customHeight="1">
      <c r="A885" s="406"/>
      <c r="B885" s="405"/>
      <c r="C885" s="406"/>
      <c r="D885" s="406"/>
      <c r="E885" s="407"/>
      <c r="F885" s="408"/>
      <c r="G885" s="408"/>
      <c r="H885" s="409"/>
      <c r="I885" s="408"/>
      <c r="J885" s="408"/>
      <c r="K885" s="408"/>
    </row>
    <row r="886" ht="12.75" customHeight="1">
      <c r="A886" s="406"/>
      <c r="B886" s="405" t="s">
        <v>826</v>
      </c>
      <c r="C886" s="405"/>
      <c r="D886" s="404" t="s">
        <v>827</v>
      </c>
      <c r="E886" s="410">
        <v>3799.07</v>
      </c>
      <c r="F886" s="411">
        <v>1.7</v>
      </c>
      <c r="G886" s="411">
        <v>6458.42</v>
      </c>
      <c r="H886" s="412"/>
      <c r="I886" s="411"/>
      <c r="J886" s="411"/>
      <c r="K886" s="411"/>
    </row>
    <row r="887" ht="12.75" customHeight="1">
      <c r="A887" s="406"/>
      <c r="B887" s="405"/>
      <c r="C887" s="406"/>
      <c r="D887" s="406"/>
      <c r="E887" s="407"/>
      <c r="F887" s="408"/>
      <c r="G887" s="408"/>
      <c r="H887" s="409"/>
      <c r="I887" s="408"/>
      <c r="J887" s="408"/>
      <c r="K887" s="408"/>
    </row>
    <row r="888" ht="12.75" customHeight="1">
      <c r="A888" s="404" t="s">
        <v>830</v>
      </c>
      <c r="B888" s="405" t="s">
        <v>4982</v>
      </c>
      <c r="C888" s="405"/>
      <c r="D888" s="406"/>
      <c r="E888" s="407"/>
      <c r="F888" s="408"/>
      <c r="G888" s="408"/>
      <c r="H888" s="409"/>
      <c r="I888" s="408"/>
      <c r="J888" s="408"/>
      <c r="K888" s="408"/>
    </row>
    <row r="889" ht="12.75" customHeight="1">
      <c r="A889" s="406"/>
      <c r="B889" s="405"/>
      <c r="C889" s="406"/>
      <c r="D889" s="406"/>
      <c r="E889" s="407"/>
      <c r="F889" s="408"/>
      <c r="G889" s="408"/>
      <c r="H889" s="409"/>
      <c r="I889" s="408"/>
      <c r="J889" s="408"/>
      <c r="K889" s="408"/>
    </row>
    <row r="890" ht="12.75" customHeight="1">
      <c r="A890" s="406"/>
      <c r="B890" s="405" t="s">
        <v>826</v>
      </c>
      <c r="C890" s="405"/>
      <c r="D890" s="404" t="s">
        <v>827</v>
      </c>
      <c r="E890" s="410">
        <v>289.81</v>
      </c>
      <c r="F890" s="411">
        <v>1.7</v>
      </c>
      <c r="G890" s="411">
        <v>492.68</v>
      </c>
      <c r="H890" s="412"/>
      <c r="I890" s="411"/>
      <c r="J890" s="411"/>
      <c r="K890" s="411"/>
    </row>
    <row r="891" ht="12.75" customHeight="1">
      <c r="A891" s="406"/>
      <c r="B891" s="405"/>
      <c r="C891" s="406"/>
      <c r="D891" s="406"/>
      <c r="E891" s="407"/>
      <c r="F891" s="408"/>
      <c r="G891" s="408"/>
      <c r="H891" s="409"/>
      <c r="I891" s="408"/>
      <c r="J891" s="408"/>
      <c r="K891" s="408"/>
    </row>
    <row r="892" ht="12.75" customHeight="1">
      <c r="A892" s="406"/>
      <c r="B892" s="405" t="s">
        <v>832</v>
      </c>
      <c r="C892" s="405"/>
      <c r="D892" s="404" t="s">
        <v>827</v>
      </c>
      <c r="E892" s="410">
        <v>412.85</v>
      </c>
      <c r="F892" s="411">
        <v>1.7</v>
      </c>
      <c r="G892" s="411">
        <v>701.85</v>
      </c>
      <c r="H892" s="412"/>
      <c r="I892" s="411"/>
      <c r="J892" s="411"/>
      <c r="K892" s="411"/>
    </row>
    <row r="893" ht="12.75" customHeight="1">
      <c r="A893" s="406"/>
      <c r="B893" s="405"/>
      <c r="C893" s="406"/>
      <c r="D893" s="406"/>
      <c r="E893" s="407"/>
      <c r="F893" s="408"/>
      <c r="G893" s="408"/>
      <c r="H893" s="409"/>
      <c r="I893" s="408"/>
      <c r="J893" s="408"/>
      <c r="K893" s="408"/>
    </row>
    <row r="894" ht="12.75" customHeight="1">
      <c r="A894" s="404" t="s">
        <v>833</v>
      </c>
      <c r="B894" s="405" t="s">
        <v>4983</v>
      </c>
      <c r="C894" s="405"/>
      <c r="D894" s="406"/>
      <c r="E894" s="407"/>
      <c r="F894" s="408"/>
      <c r="G894" s="408"/>
      <c r="H894" s="409"/>
      <c r="I894" s="408"/>
      <c r="J894" s="408"/>
      <c r="K894" s="408"/>
    </row>
    <row r="895" ht="12.75" customHeight="1">
      <c r="A895" s="406"/>
      <c r="B895" s="405"/>
      <c r="C895" s="406"/>
      <c r="D895" s="406"/>
      <c r="E895" s="407"/>
      <c r="F895" s="408"/>
      <c r="G895" s="408"/>
      <c r="H895" s="409"/>
      <c r="I895" s="408"/>
      <c r="J895" s="408"/>
      <c r="K895" s="408"/>
    </row>
    <row r="896" ht="12.75" customHeight="1">
      <c r="A896" s="406"/>
      <c r="B896" s="405" t="s">
        <v>829</v>
      </c>
      <c r="C896" s="405"/>
      <c r="D896" s="404" t="s">
        <v>827</v>
      </c>
      <c r="E896" s="410">
        <v>651.95</v>
      </c>
      <c r="F896" s="411">
        <v>1.59</v>
      </c>
      <c r="G896" s="411">
        <v>1036.6</v>
      </c>
      <c r="H896" s="412"/>
      <c r="I896" s="411"/>
      <c r="J896" s="411"/>
      <c r="K896" s="411"/>
    </row>
    <row r="897" ht="12.75" customHeight="1">
      <c r="A897" s="406"/>
      <c r="B897" s="405"/>
      <c r="C897" s="406"/>
      <c r="D897" s="406"/>
      <c r="E897" s="407"/>
      <c r="F897" s="408"/>
      <c r="G897" s="408"/>
      <c r="H897" s="409"/>
      <c r="I897" s="408"/>
      <c r="J897" s="408"/>
      <c r="K897" s="408"/>
    </row>
    <row r="898" ht="12.75" customHeight="1">
      <c r="A898" s="406"/>
      <c r="B898" s="405" t="s">
        <v>826</v>
      </c>
      <c r="C898" s="405"/>
      <c r="D898" s="404" t="s">
        <v>827</v>
      </c>
      <c r="E898" s="410">
        <v>132.8</v>
      </c>
      <c r="F898" s="411">
        <v>1.7</v>
      </c>
      <c r="G898" s="411">
        <v>225.76</v>
      </c>
      <c r="H898" s="412"/>
      <c r="I898" s="411"/>
      <c r="J898" s="411"/>
      <c r="K898" s="411"/>
    </row>
    <row r="899" ht="12.75" customHeight="1">
      <c r="A899" s="406"/>
      <c r="B899" s="405"/>
      <c r="C899" s="406"/>
      <c r="D899" s="406"/>
      <c r="E899" s="407"/>
      <c r="F899" s="408"/>
      <c r="G899" s="408"/>
      <c r="H899" s="409"/>
      <c r="I899" s="408"/>
      <c r="J899" s="408"/>
      <c r="K899" s="408"/>
    </row>
    <row r="900" ht="12.75" customHeight="1">
      <c r="A900" s="406"/>
      <c r="B900" s="405" t="s">
        <v>832</v>
      </c>
      <c r="C900" s="405"/>
      <c r="D900" s="404" t="s">
        <v>827</v>
      </c>
      <c r="E900" s="410">
        <v>477.82</v>
      </c>
      <c r="F900" s="411">
        <v>1.7</v>
      </c>
      <c r="G900" s="411">
        <v>812.29</v>
      </c>
      <c r="H900" s="412"/>
      <c r="I900" s="411"/>
      <c r="J900" s="411"/>
      <c r="K900" s="411"/>
    </row>
    <row r="901" ht="12.75" customHeight="1">
      <c r="A901" s="406"/>
      <c r="B901" s="405"/>
      <c r="C901" s="406"/>
      <c r="D901" s="406"/>
      <c r="E901" s="407"/>
      <c r="F901" s="408"/>
      <c r="G901" s="408"/>
      <c r="H901" s="409"/>
      <c r="I901" s="408"/>
      <c r="J901" s="408"/>
      <c r="K901" s="408"/>
    </row>
    <row r="902" ht="12.75" customHeight="1">
      <c r="A902" s="406"/>
      <c r="B902" s="405" t="s">
        <v>835</v>
      </c>
      <c r="C902" s="405"/>
      <c r="D902" s="404" t="s">
        <v>827</v>
      </c>
      <c r="E902" s="410">
        <v>1878.6</v>
      </c>
      <c r="F902" s="411">
        <v>1.78</v>
      </c>
      <c r="G902" s="411">
        <v>3343.91</v>
      </c>
      <c r="H902" s="412"/>
      <c r="I902" s="411"/>
      <c r="J902" s="411"/>
      <c r="K902" s="411"/>
    </row>
    <row r="903" ht="12.75" customHeight="1">
      <c r="A903" s="406"/>
      <c r="B903" s="405"/>
      <c r="C903" s="406"/>
      <c r="D903" s="406"/>
      <c r="E903" s="407"/>
      <c r="F903" s="408"/>
      <c r="G903" s="408"/>
      <c r="H903" s="409"/>
      <c r="I903" s="408"/>
      <c r="J903" s="408"/>
      <c r="K903" s="408"/>
    </row>
    <row r="904" ht="12.75" customHeight="1">
      <c r="A904" s="404" t="s">
        <v>836</v>
      </c>
      <c r="B904" s="405" t="s">
        <v>4984</v>
      </c>
      <c r="C904" s="405"/>
      <c r="D904" s="406"/>
      <c r="E904" s="407"/>
      <c r="F904" s="408"/>
      <c r="G904" s="408"/>
      <c r="H904" s="409"/>
      <c r="I904" s="408"/>
      <c r="J904" s="408"/>
      <c r="K904" s="408"/>
    </row>
    <row r="905" ht="12.75" customHeight="1">
      <c r="A905" s="406"/>
      <c r="B905" s="405"/>
      <c r="C905" s="406"/>
      <c r="D905" s="406"/>
      <c r="E905" s="407"/>
      <c r="F905" s="408"/>
      <c r="G905" s="408"/>
      <c r="H905" s="409"/>
      <c r="I905" s="408"/>
      <c r="J905" s="408"/>
      <c r="K905" s="408"/>
    </row>
    <row r="906" ht="12.75" customHeight="1">
      <c r="A906" s="406"/>
      <c r="B906" s="405" t="s">
        <v>829</v>
      </c>
      <c r="C906" s="405"/>
      <c r="D906" s="404" t="s">
        <v>827</v>
      </c>
      <c r="E906" s="410">
        <v>861.38</v>
      </c>
      <c r="F906" s="411">
        <v>1.59</v>
      </c>
      <c r="G906" s="411">
        <v>1369.59</v>
      </c>
      <c r="H906" s="412"/>
      <c r="I906" s="411"/>
      <c r="J906" s="411"/>
      <c r="K906" s="411"/>
    </row>
    <row r="907" ht="12.75" customHeight="1">
      <c r="A907" s="406"/>
      <c r="B907" s="405"/>
      <c r="C907" s="406"/>
      <c r="D907" s="406"/>
      <c r="E907" s="407"/>
      <c r="F907" s="408"/>
      <c r="G907" s="408"/>
      <c r="H907" s="409"/>
      <c r="I907" s="408"/>
      <c r="J907" s="408"/>
      <c r="K907" s="408"/>
    </row>
    <row r="908" ht="12.75" customHeight="1">
      <c r="A908" s="406"/>
      <c r="B908" s="405" t="s">
        <v>826</v>
      </c>
      <c r="C908" s="405"/>
      <c r="D908" s="404" t="s">
        <v>827</v>
      </c>
      <c r="E908" s="410">
        <v>4610.89</v>
      </c>
      <c r="F908" s="411">
        <v>1.7</v>
      </c>
      <c r="G908" s="411">
        <v>7838.51</v>
      </c>
      <c r="H908" s="412"/>
      <c r="I908" s="411"/>
      <c r="J908" s="411"/>
      <c r="K908" s="411"/>
    </row>
    <row r="909" ht="12.75" customHeight="1">
      <c r="A909" s="406"/>
      <c r="B909" s="405"/>
      <c r="C909" s="406"/>
      <c r="D909" s="406"/>
      <c r="E909" s="407"/>
      <c r="F909" s="408"/>
      <c r="G909" s="408"/>
      <c r="H909" s="409"/>
      <c r="I909" s="408"/>
      <c r="J909" s="408"/>
      <c r="K909" s="408"/>
    </row>
    <row r="910" ht="12.75" customHeight="1">
      <c r="A910" s="406"/>
      <c r="B910" s="405" t="s">
        <v>832</v>
      </c>
      <c r="C910" s="405"/>
      <c r="D910" s="404" t="s">
        <v>827</v>
      </c>
      <c r="E910" s="410">
        <v>12447.9</v>
      </c>
      <c r="F910" s="411">
        <v>1.7</v>
      </c>
      <c r="G910" s="411">
        <v>21161.43</v>
      </c>
      <c r="H910" s="412"/>
      <c r="I910" s="411"/>
      <c r="J910" s="411"/>
      <c r="K910" s="411"/>
    </row>
    <row r="911" ht="12.75" customHeight="1">
      <c r="A911" s="406"/>
      <c r="B911" s="405"/>
      <c r="C911" s="406"/>
      <c r="D911" s="406"/>
      <c r="E911" s="407"/>
      <c r="F911" s="408"/>
      <c r="G911" s="408"/>
      <c r="H911" s="409"/>
      <c r="I911" s="408"/>
      <c r="J911" s="408"/>
      <c r="K911" s="408"/>
    </row>
    <row r="912" ht="12.75" customHeight="1">
      <c r="A912" s="404" t="s">
        <v>838</v>
      </c>
      <c r="B912" s="405" t="s">
        <v>4985</v>
      </c>
      <c r="C912" s="405"/>
      <c r="D912" s="406"/>
      <c r="E912" s="407"/>
      <c r="F912" s="408"/>
      <c r="G912" s="408"/>
      <c r="H912" s="409"/>
      <c r="I912" s="408"/>
      <c r="J912" s="408"/>
      <c r="K912" s="408"/>
    </row>
    <row r="913" ht="12.75" customHeight="1">
      <c r="A913" s="406"/>
      <c r="B913" s="405"/>
      <c r="C913" s="406"/>
      <c r="D913" s="406"/>
      <c r="E913" s="407"/>
      <c r="F913" s="408"/>
      <c r="G913" s="408"/>
      <c r="H913" s="409"/>
      <c r="I913" s="408"/>
      <c r="J913" s="408"/>
      <c r="K913" s="408"/>
    </row>
    <row r="914" ht="12.75" customHeight="1">
      <c r="A914" s="406"/>
      <c r="B914" s="405" t="s">
        <v>829</v>
      </c>
      <c r="C914" s="405"/>
      <c r="D914" s="404" t="s">
        <v>827</v>
      </c>
      <c r="E914" s="410">
        <v>873.77</v>
      </c>
      <c r="F914" s="411">
        <v>1.59</v>
      </c>
      <c r="G914" s="411">
        <v>1389.29</v>
      </c>
      <c r="H914" s="412"/>
      <c r="I914" s="411"/>
      <c r="J914" s="411"/>
      <c r="K914" s="411"/>
    </row>
    <row r="915" ht="12.75" customHeight="1">
      <c r="A915" s="406"/>
      <c r="B915" s="405"/>
      <c r="C915" s="406"/>
      <c r="D915" s="406"/>
      <c r="E915" s="407"/>
      <c r="F915" s="408"/>
      <c r="G915" s="408"/>
      <c r="H915" s="409"/>
      <c r="I915" s="408"/>
      <c r="J915" s="408"/>
      <c r="K915" s="408"/>
    </row>
    <row r="916" ht="12.75" customHeight="1">
      <c r="A916" s="406"/>
      <c r="B916" s="405" t="s">
        <v>832</v>
      </c>
      <c r="C916" s="405"/>
      <c r="D916" s="404" t="s">
        <v>827</v>
      </c>
      <c r="E916" s="410">
        <v>1173.14</v>
      </c>
      <c r="F916" s="411">
        <v>1.7</v>
      </c>
      <c r="G916" s="411">
        <v>1994.34</v>
      </c>
      <c r="H916" s="412"/>
      <c r="I916" s="411"/>
      <c r="J916" s="411"/>
      <c r="K916" s="411"/>
    </row>
    <row r="917" ht="12.75" customHeight="1">
      <c r="A917" s="406"/>
      <c r="B917" s="405"/>
      <c r="C917" s="406"/>
      <c r="D917" s="406"/>
      <c r="E917" s="407"/>
      <c r="F917" s="408"/>
      <c r="G917" s="408"/>
      <c r="H917" s="409"/>
      <c r="I917" s="408"/>
      <c r="J917" s="408"/>
      <c r="K917" s="408"/>
    </row>
    <row r="918" ht="12.75" customHeight="1">
      <c r="A918" s="406"/>
      <c r="B918" s="405" t="s">
        <v>835</v>
      </c>
      <c r="C918" s="405"/>
      <c r="D918" s="404" t="s">
        <v>827</v>
      </c>
      <c r="E918" s="410">
        <v>851.86</v>
      </c>
      <c r="F918" s="411">
        <v>1.78</v>
      </c>
      <c r="G918" s="411">
        <v>1516.31</v>
      </c>
      <c r="H918" s="412"/>
      <c r="I918" s="411"/>
      <c r="J918" s="411"/>
      <c r="K918" s="411"/>
    </row>
    <row r="919" ht="12.75" customHeight="1">
      <c r="A919" s="406"/>
      <c r="B919" s="405"/>
      <c r="C919" s="406"/>
      <c r="D919" s="406"/>
      <c r="E919" s="407"/>
      <c r="F919" s="408"/>
      <c r="G919" s="408"/>
      <c r="H919" s="409"/>
      <c r="I919" s="408"/>
      <c r="J919" s="408"/>
      <c r="K919" s="408"/>
    </row>
    <row r="920" ht="12.75" customHeight="1">
      <c r="A920" s="404" t="s">
        <v>840</v>
      </c>
      <c r="B920" s="405" t="s">
        <v>4986</v>
      </c>
      <c r="C920" s="405"/>
      <c r="D920" s="406"/>
      <c r="E920" s="407"/>
      <c r="F920" s="408"/>
      <c r="G920" s="408"/>
      <c r="H920" s="409"/>
      <c r="I920" s="408"/>
      <c r="J920" s="408"/>
      <c r="K920" s="408"/>
    </row>
    <row r="921" ht="12.75" customHeight="1">
      <c r="A921" s="406"/>
      <c r="B921" s="405"/>
      <c r="C921" s="406"/>
      <c r="D921" s="406"/>
      <c r="E921" s="407"/>
      <c r="F921" s="408"/>
      <c r="G921" s="408"/>
      <c r="H921" s="409"/>
      <c r="I921" s="408"/>
      <c r="J921" s="408"/>
      <c r="K921" s="408"/>
    </row>
    <row r="922" ht="12.75" customHeight="1">
      <c r="A922" s="406"/>
      <c r="B922" s="405" t="s">
        <v>829</v>
      </c>
      <c r="C922" s="405"/>
      <c r="D922" s="404" t="s">
        <v>827</v>
      </c>
      <c r="E922" s="410">
        <v>2505.02</v>
      </c>
      <c r="F922" s="411">
        <v>1.59</v>
      </c>
      <c r="G922" s="411">
        <v>3982.98</v>
      </c>
      <c r="H922" s="412"/>
      <c r="I922" s="411"/>
      <c r="J922" s="411"/>
      <c r="K922" s="411"/>
    </row>
    <row r="923" ht="12.75" customHeight="1">
      <c r="A923" s="406"/>
      <c r="B923" s="405"/>
      <c r="C923" s="406"/>
      <c r="D923" s="406"/>
      <c r="E923" s="407"/>
      <c r="F923" s="408"/>
      <c r="G923" s="408"/>
      <c r="H923" s="409"/>
      <c r="I923" s="408"/>
      <c r="J923" s="408"/>
      <c r="K923" s="408"/>
    </row>
    <row r="924" ht="12.75" customHeight="1">
      <c r="A924" s="406"/>
      <c r="B924" s="405" t="s">
        <v>826</v>
      </c>
      <c r="C924" s="405"/>
      <c r="D924" s="404" t="s">
        <v>827</v>
      </c>
      <c r="E924" s="410">
        <v>113.14</v>
      </c>
      <c r="F924" s="411">
        <v>1.7</v>
      </c>
      <c r="G924" s="411">
        <v>192.34</v>
      </c>
      <c r="H924" s="412"/>
      <c r="I924" s="411"/>
      <c r="J924" s="411"/>
      <c r="K924" s="411"/>
    </row>
    <row r="925" ht="12.75" customHeight="1">
      <c r="A925" s="406"/>
      <c r="B925" s="405"/>
      <c r="C925" s="406"/>
      <c r="D925" s="406"/>
      <c r="E925" s="407"/>
      <c r="F925" s="408"/>
      <c r="G925" s="408"/>
      <c r="H925" s="409"/>
      <c r="I925" s="408"/>
      <c r="J925" s="408"/>
      <c r="K925" s="408"/>
    </row>
    <row r="926" ht="12.75" customHeight="1">
      <c r="A926" s="406"/>
      <c r="B926" s="405" t="s">
        <v>832</v>
      </c>
      <c r="C926" s="405"/>
      <c r="D926" s="404" t="s">
        <v>827</v>
      </c>
      <c r="E926" s="410">
        <v>145.88</v>
      </c>
      <c r="F926" s="411">
        <v>1.7</v>
      </c>
      <c r="G926" s="411">
        <v>248.0</v>
      </c>
      <c r="H926" s="412"/>
      <c r="I926" s="411"/>
      <c r="J926" s="411"/>
      <c r="K926" s="411"/>
    </row>
    <row r="927" ht="12.75" customHeight="1">
      <c r="A927" s="406"/>
      <c r="B927" s="405"/>
      <c r="C927" s="406"/>
      <c r="D927" s="406"/>
      <c r="E927" s="407"/>
      <c r="F927" s="408"/>
      <c r="G927" s="408"/>
      <c r="H927" s="409"/>
      <c r="I927" s="408"/>
      <c r="J927" s="408"/>
      <c r="K927" s="408"/>
    </row>
    <row r="928" ht="12.75" customHeight="1">
      <c r="A928" s="406"/>
      <c r="B928" s="405" t="s">
        <v>835</v>
      </c>
      <c r="C928" s="405"/>
      <c r="D928" s="404" t="s">
        <v>827</v>
      </c>
      <c r="E928" s="410">
        <v>6059.68</v>
      </c>
      <c r="F928" s="411">
        <v>1.78</v>
      </c>
      <c r="G928" s="411">
        <v>10786.23</v>
      </c>
      <c r="H928" s="412"/>
      <c r="I928" s="411"/>
      <c r="J928" s="411"/>
      <c r="K928" s="411"/>
    </row>
    <row r="929" ht="12.75" customHeight="1">
      <c r="A929" s="406"/>
      <c r="B929" s="405"/>
      <c r="C929" s="406"/>
      <c r="D929" s="406"/>
      <c r="E929" s="407"/>
      <c r="F929" s="408"/>
      <c r="G929" s="408"/>
      <c r="H929" s="409"/>
      <c r="I929" s="408"/>
      <c r="J929" s="408"/>
      <c r="K929" s="408"/>
    </row>
    <row r="930" ht="12.75" customHeight="1">
      <c r="A930" s="404" t="s">
        <v>842</v>
      </c>
      <c r="B930" s="405" t="s">
        <v>4987</v>
      </c>
      <c r="C930" s="405"/>
      <c r="D930" s="406"/>
      <c r="E930" s="407"/>
      <c r="F930" s="408"/>
      <c r="G930" s="408"/>
      <c r="H930" s="409"/>
      <c r="I930" s="408"/>
      <c r="J930" s="408"/>
      <c r="K930" s="408"/>
    </row>
    <row r="931" ht="12.75" customHeight="1">
      <c r="A931" s="406"/>
      <c r="B931" s="405"/>
      <c r="C931" s="406"/>
      <c r="D931" s="406"/>
      <c r="E931" s="407"/>
      <c r="F931" s="408"/>
      <c r="G931" s="408"/>
      <c r="H931" s="409"/>
      <c r="I931" s="408"/>
      <c r="J931" s="408"/>
      <c r="K931" s="408"/>
    </row>
    <row r="932" ht="12.75" customHeight="1">
      <c r="A932" s="406"/>
      <c r="B932" s="405" t="s">
        <v>826</v>
      </c>
      <c r="C932" s="405"/>
      <c r="D932" s="404" t="s">
        <v>827</v>
      </c>
      <c r="E932" s="410">
        <v>3007.17</v>
      </c>
      <c r="F932" s="411">
        <v>1.7</v>
      </c>
      <c r="G932" s="411">
        <v>5112.19</v>
      </c>
      <c r="H932" s="412"/>
      <c r="I932" s="411"/>
      <c r="J932" s="411"/>
      <c r="K932" s="411"/>
    </row>
    <row r="933" ht="12.75" customHeight="1">
      <c r="A933" s="406"/>
      <c r="B933" s="405"/>
      <c r="C933" s="406"/>
      <c r="D933" s="406"/>
      <c r="E933" s="407"/>
      <c r="F933" s="408"/>
      <c r="G933" s="408"/>
      <c r="H933" s="409"/>
      <c r="I933" s="408"/>
      <c r="J933" s="408"/>
      <c r="K933" s="408"/>
    </row>
    <row r="934" ht="12.75" customHeight="1">
      <c r="A934" s="406"/>
      <c r="B934" s="405" t="s">
        <v>832</v>
      </c>
      <c r="C934" s="405"/>
      <c r="D934" s="404" t="s">
        <v>827</v>
      </c>
      <c r="E934" s="410">
        <v>14406.06</v>
      </c>
      <c r="F934" s="411">
        <v>1.7</v>
      </c>
      <c r="G934" s="411">
        <v>24490.3</v>
      </c>
      <c r="H934" s="412"/>
      <c r="I934" s="411"/>
      <c r="J934" s="411"/>
      <c r="K934" s="411"/>
    </row>
    <row r="935" ht="12.75" customHeight="1">
      <c r="A935" s="406"/>
      <c r="B935" s="405"/>
      <c r="C935" s="406"/>
      <c r="D935" s="406"/>
      <c r="E935" s="407"/>
      <c r="F935" s="408"/>
      <c r="G935" s="408"/>
      <c r="H935" s="409"/>
      <c r="I935" s="408"/>
      <c r="J935" s="408"/>
      <c r="K935" s="408"/>
    </row>
    <row r="936" ht="12.75" customHeight="1">
      <c r="A936" s="404" t="s">
        <v>844</v>
      </c>
      <c r="B936" s="405" t="s">
        <v>4988</v>
      </c>
      <c r="C936" s="405"/>
      <c r="D936" s="406"/>
      <c r="E936" s="407"/>
      <c r="F936" s="408"/>
      <c r="G936" s="408"/>
      <c r="H936" s="409"/>
      <c r="I936" s="408"/>
      <c r="J936" s="408"/>
      <c r="K936" s="408"/>
    </row>
    <row r="937" ht="12.75" customHeight="1">
      <c r="A937" s="406"/>
      <c r="B937" s="405"/>
      <c r="C937" s="406"/>
      <c r="D937" s="406"/>
      <c r="E937" s="407"/>
      <c r="F937" s="408"/>
      <c r="G937" s="408"/>
      <c r="H937" s="409"/>
      <c r="I937" s="408"/>
      <c r="J937" s="408"/>
      <c r="K937" s="408"/>
    </row>
    <row r="938" ht="12.75" customHeight="1">
      <c r="A938" s="406"/>
      <c r="B938" s="405" t="s">
        <v>826</v>
      </c>
      <c r="C938" s="405"/>
      <c r="D938" s="404" t="s">
        <v>827</v>
      </c>
      <c r="E938" s="410">
        <v>601.06</v>
      </c>
      <c r="F938" s="411">
        <v>1.7</v>
      </c>
      <c r="G938" s="411">
        <v>1021.8</v>
      </c>
      <c r="H938" s="412"/>
      <c r="I938" s="411"/>
      <c r="J938" s="411"/>
      <c r="K938" s="411"/>
    </row>
    <row r="939" ht="12.75" customHeight="1">
      <c r="A939" s="406"/>
      <c r="B939" s="405"/>
      <c r="C939" s="406"/>
      <c r="D939" s="406"/>
      <c r="E939" s="407"/>
      <c r="F939" s="408"/>
      <c r="G939" s="408"/>
      <c r="H939" s="409"/>
      <c r="I939" s="408"/>
      <c r="J939" s="408"/>
      <c r="K939" s="408"/>
    </row>
    <row r="940" ht="12.75" customHeight="1">
      <c r="A940" s="404" t="s">
        <v>846</v>
      </c>
      <c r="B940" s="405" t="s">
        <v>4989</v>
      </c>
      <c r="C940" s="405"/>
      <c r="D940" s="406"/>
      <c r="E940" s="407"/>
      <c r="F940" s="408"/>
      <c r="G940" s="408"/>
      <c r="H940" s="409"/>
      <c r="I940" s="408"/>
      <c r="J940" s="408"/>
      <c r="K940" s="408"/>
    </row>
    <row r="941" ht="12.75" customHeight="1">
      <c r="A941" s="406"/>
      <c r="B941" s="405"/>
      <c r="C941" s="406"/>
      <c r="D941" s="406"/>
      <c r="E941" s="407"/>
      <c r="F941" s="408"/>
      <c r="G941" s="408"/>
      <c r="H941" s="409"/>
      <c r="I941" s="408"/>
      <c r="J941" s="408"/>
      <c r="K941" s="408"/>
    </row>
    <row r="942" ht="12.75" customHeight="1">
      <c r="A942" s="406"/>
      <c r="B942" s="405" t="s">
        <v>829</v>
      </c>
      <c r="C942" s="405"/>
      <c r="D942" s="404" t="s">
        <v>827</v>
      </c>
      <c r="E942" s="410">
        <v>977.88</v>
      </c>
      <c r="F942" s="411">
        <v>1.59</v>
      </c>
      <c r="G942" s="411">
        <v>1554.83</v>
      </c>
      <c r="H942" s="412"/>
      <c r="I942" s="411"/>
      <c r="J942" s="411"/>
      <c r="K942" s="411"/>
    </row>
    <row r="943" ht="12.75" customHeight="1">
      <c r="A943" s="406"/>
      <c r="B943" s="405"/>
      <c r="C943" s="406"/>
      <c r="D943" s="406"/>
      <c r="E943" s="407"/>
      <c r="F943" s="408"/>
      <c r="G943" s="408"/>
      <c r="H943" s="409"/>
      <c r="I943" s="408"/>
      <c r="J943" s="408"/>
      <c r="K943" s="408"/>
    </row>
    <row r="944" ht="12.75" customHeight="1">
      <c r="A944" s="406"/>
      <c r="B944" s="405" t="s">
        <v>826</v>
      </c>
      <c r="C944" s="405"/>
      <c r="D944" s="404" t="s">
        <v>827</v>
      </c>
      <c r="E944" s="410">
        <v>2445.29</v>
      </c>
      <c r="F944" s="411">
        <v>1.7</v>
      </c>
      <c r="G944" s="411">
        <v>4156.99</v>
      </c>
      <c r="H944" s="412"/>
      <c r="I944" s="411"/>
      <c r="J944" s="411"/>
      <c r="K944" s="411"/>
    </row>
    <row r="945" ht="12.75" customHeight="1">
      <c r="A945" s="406"/>
      <c r="B945" s="405"/>
      <c r="C945" s="406"/>
      <c r="D945" s="406"/>
      <c r="E945" s="407"/>
      <c r="F945" s="408"/>
      <c r="G945" s="408"/>
      <c r="H945" s="409"/>
      <c r="I945" s="408"/>
      <c r="J945" s="408"/>
      <c r="K945" s="408"/>
    </row>
    <row r="946" ht="12.75" customHeight="1">
      <c r="A946" s="406"/>
      <c r="B946" s="405" t="s">
        <v>832</v>
      </c>
      <c r="C946" s="405"/>
      <c r="D946" s="404" t="s">
        <v>827</v>
      </c>
      <c r="E946" s="410">
        <v>4767.93</v>
      </c>
      <c r="F946" s="411">
        <v>1.7</v>
      </c>
      <c r="G946" s="411">
        <v>8105.48</v>
      </c>
      <c r="H946" s="412"/>
      <c r="I946" s="411"/>
      <c r="J946" s="411"/>
      <c r="K946" s="411"/>
    </row>
    <row r="947" ht="12.75" customHeight="1">
      <c r="A947" s="406"/>
      <c r="B947" s="405"/>
      <c r="C947" s="406"/>
      <c r="D947" s="406"/>
      <c r="E947" s="407"/>
      <c r="F947" s="408"/>
      <c r="G947" s="408"/>
      <c r="H947" s="409"/>
      <c r="I947" s="408"/>
      <c r="J947" s="408"/>
      <c r="K947" s="408"/>
    </row>
    <row r="948" ht="12.75" customHeight="1">
      <c r="A948" s="404" t="s">
        <v>848</v>
      </c>
      <c r="B948" s="405" t="s">
        <v>4990</v>
      </c>
      <c r="C948" s="405"/>
      <c r="D948" s="406"/>
      <c r="E948" s="407"/>
      <c r="F948" s="408"/>
      <c r="G948" s="408"/>
      <c r="H948" s="409"/>
      <c r="I948" s="408"/>
      <c r="J948" s="408"/>
      <c r="K948" s="408"/>
    </row>
    <row r="949" ht="12.75" customHeight="1">
      <c r="A949" s="406"/>
      <c r="B949" s="405"/>
      <c r="C949" s="406"/>
      <c r="D949" s="406"/>
      <c r="E949" s="407"/>
      <c r="F949" s="408"/>
      <c r="G949" s="408"/>
      <c r="H949" s="409"/>
      <c r="I949" s="408"/>
      <c r="J949" s="408"/>
      <c r="K949" s="408"/>
    </row>
    <row r="950" ht="12.75" customHeight="1">
      <c r="A950" s="406"/>
      <c r="B950" s="405" t="s">
        <v>829</v>
      </c>
      <c r="C950" s="405"/>
      <c r="D950" s="404" t="s">
        <v>827</v>
      </c>
      <c r="E950" s="410">
        <v>539.19</v>
      </c>
      <c r="F950" s="411">
        <v>1.59</v>
      </c>
      <c r="G950" s="411">
        <v>857.31</v>
      </c>
      <c r="H950" s="412"/>
      <c r="I950" s="411"/>
      <c r="J950" s="411"/>
      <c r="K950" s="411"/>
    </row>
    <row r="951" ht="12.75" customHeight="1">
      <c r="A951" s="406"/>
      <c r="B951" s="405"/>
      <c r="C951" s="406"/>
      <c r="D951" s="406"/>
      <c r="E951" s="407"/>
      <c r="F951" s="408"/>
      <c r="G951" s="408"/>
      <c r="H951" s="409"/>
      <c r="I951" s="408"/>
      <c r="J951" s="408"/>
      <c r="K951" s="408"/>
    </row>
    <row r="952" ht="12.75" customHeight="1">
      <c r="A952" s="406"/>
      <c r="B952" s="405" t="s">
        <v>832</v>
      </c>
      <c r="C952" s="405"/>
      <c r="D952" s="404" t="s">
        <v>827</v>
      </c>
      <c r="E952" s="410">
        <v>44.55</v>
      </c>
      <c r="F952" s="411">
        <v>1.7</v>
      </c>
      <c r="G952" s="411">
        <v>75.74</v>
      </c>
      <c r="H952" s="412"/>
      <c r="I952" s="411"/>
      <c r="J952" s="411"/>
      <c r="K952" s="411"/>
    </row>
    <row r="953" ht="12.75" customHeight="1">
      <c r="A953" s="406"/>
      <c r="B953" s="405"/>
      <c r="C953" s="406"/>
      <c r="D953" s="406"/>
      <c r="E953" s="407"/>
      <c r="F953" s="408"/>
      <c r="G953" s="408"/>
      <c r="H953" s="409"/>
      <c r="I953" s="408"/>
      <c r="J953" s="408"/>
      <c r="K953" s="408"/>
    </row>
    <row r="954" ht="12.75" customHeight="1">
      <c r="A954" s="404" t="s">
        <v>822</v>
      </c>
      <c r="B954" s="405" t="s">
        <v>4991</v>
      </c>
      <c r="C954" s="405"/>
      <c r="D954" s="406"/>
      <c r="E954" s="407"/>
      <c r="F954" s="408"/>
      <c r="G954" s="411">
        <v>112142.93</v>
      </c>
      <c r="H954" s="412">
        <f>G954</f>
        <v>112142.93</v>
      </c>
      <c r="I954" s="411"/>
      <c r="J954" s="411"/>
      <c r="K954" s="411"/>
    </row>
    <row r="955" ht="12.75" customHeight="1">
      <c r="A955" s="406"/>
      <c r="B955" s="405"/>
      <c r="C955" s="406"/>
      <c r="D955" s="406"/>
      <c r="E955" s="407"/>
      <c r="F955" s="408"/>
      <c r="G955" s="408"/>
      <c r="H955" s="409"/>
      <c r="I955" s="408"/>
      <c r="J955" s="408"/>
      <c r="K955" s="408"/>
    </row>
    <row r="956" ht="12.75" customHeight="1">
      <c r="A956" s="406"/>
      <c r="B956" s="405"/>
      <c r="C956" s="406"/>
      <c r="D956" s="406"/>
      <c r="E956" s="407"/>
      <c r="F956" s="408"/>
      <c r="G956" s="408"/>
      <c r="H956" s="409"/>
      <c r="I956" s="408"/>
      <c r="J956" s="408"/>
      <c r="K956" s="408"/>
    </row>
    <row r="957" ht="12.75" customHeight="1">
      <c r="A957" s="404" t="s">
        <v>850</v>
      </c>
      <c r="B957" s="405" t="s">
        <v>4992</v>
      </c>
      <c r="C957" s="405"/>
      <c r="D957" s="406"/>
      <c r="E957" s="407"/>
      <c r="F957" s="408"/>
      <c r="G957" s="408"/>
      <c r="H957" s="409"/>
      <c r="I957" s="408"/>
      <c r="J957" s="408"/>
      <c r="K957" s="408"/>
    </row>
    <row r="958" ht="12.75" customHeight="1">
      <c r="A958" s="406"/>
      <c r="B958" s="405"/>
      <c r="C958" s="406"/>
      <c r="D958" s="406"/>
      <c r="E958" s="407"/>
      <c r="F958" s="408"/>
      <c r="G958" s="408"/>
      <c r="H958" s="409"/>
      <c r="I958" s="408"/>
      <c r="J958" s="408"/>
      <c r="K958" s="408"/>
    </row>
    <row r="959" ht="12.75" customHeight="1">
      <c r="A959" s="404" t="s">
        <v>96</v>
      </c>
      <c r="B959" s="405" t="s">
        <v>4993</v>
      </c>
      <c r="C959" s="405"/>
      <c r="D959" s="406"/>
      <c r="E959" s="407"/>
      <c r="F959" s="408"/>
      <c r="G959" s="408"/>
      <c r="H959" s="409"/>
      <c r="I959" s="408"/>
      <c r="J959" s="408"/>
      <c r="K959" s="408"/>
    </row>
    <row r="960" ht="12.75" customHeight="1">
      <c r="A960" s="406"/>
      <c r="B960" s="405"/>
      <c r="C960" s="406"/>
      <c r="D960" s="406"/>
      <c r="E960" s="407"/>
      <c r="F960" s="408"/>
      <c r="G960" s="408"/>
      <c r="H960" s="409"/>
      <c r="I960" s="408"/>
      <c r="J960" s="408"/>
      <c r="K960" s="408"/>
    </row>
    <row r="961" ht="12.75" customHeight="1">
      <c r="A961" s="404" t="s">
        <v>98</v>
      </c>
      <c r="B961" s="405" t="s">
        <v>4958</v>
      </c>
      <c r="C961" s="405"/>
      <c r="D961" s="404" t="s">
        <v>40</v>
      </c>
      <c r="E961" s="410">
        <v>166.13</v>
      </c>
      <c r="F961" s="411">
        <v>36.21</v>
      </c>
      <c r="G961" s="411">
        <v>6015.57</v>
      </c>
      <c r="H961" s="412"/>
      <c r="I961" s="411"/>
      <c r="J961" s="411"/>
      <c r="K961" s="411"/>
    </row>
    <row r="962" ht="12.75" customHeight="1">
      <c r="A962" s="406"/>
      <c r="B962" s="405"/>
      <c r="C962" s="406"/>
      <c r="D962" s="406"/>
      <c r="E962" s="407"/>
      <c r="F962" s="408"/>
      <c r="G962" s="408"/>
      <c r="H962" s="409"/>
      <c r="I962" s="408"/>
      <c r="J962" s="408"/>
      <c r="K962" s="408"/>
    </row>
    <row r="963" ht="12.75" customHeight="1">
      <c r="A963" s="404" t="s">
        <v>853</v>
      </c>
      <c r="B963" s="405" t="s">
        <v>4980</v>
      </c>
      <c r="C963" s="405"/>
      <c r="D963" s="404" t="s">
        <v>40</v>
      </c>
      <c r="E963" s="410">
        <v>17.75</v>
      </c>
      <c r="F963" s="411">
        <v>36.21</v>
      </c>
      <c r="G963" s="411">
        <v>642.73</v>
      </c>
      <c r="H963" s="412"/>
      <c r="I963" s="411"/>
      <c r="J963" s="411"/>
      <c r="K963" s="411"/>
    </row>
    <row r="964" ht="12.75" customHeight="1">
      <c r="A964" s="406"/>
      <c r="B964" s="405"/>
      <c r="C964" s="406"/>
      <c r="D964" s="406"/>
      <c r="E964" s="407"/>
      <c r="F964" s="408"/>
      <c r="G964" s="408"/>
      <c r="H964" s="409"/>
      <c r="I964" s="408"/>
      <c r="J964" s="408"/>
      <c r="K964" s="408"/>
    </row>
    <row r="965" ht="12.75" customHeight="1">
      <c r="A965" s="404" t="s">
        <v>854</v>
      </c>
      <c r="B965" s="405" t="s">
        <v>4994</v>
      </c>
      <c r="C965" s="405"/>
      <c r="D965" s="404" t="s">
        <v>40</v>
      </c>
      <c r="E965" s="410">
        <v>188.65</v>
      </c>
      <c r="F965" s="411">
        <v>36.21</v>
      </c>
      <c r="G965" s="411">
        <v>6831.02</v>
      </c>
      <c r="H965" s="412"/>
      <c r="I965" s="411"/>
      <c r="J965" s="411"/>
      <c r="K965" s="411"/>
    </row>
    <row r="966" ht="12.75" customHeight="1">
      <c r="A966" s="406"/>
      <c r="B966" s="405"/>
      <c r="C966" s="406"/>
      <c r="D966" s="406"/>
      <c r="E966" s="407"/>
      <c r="F966" s="408"/>
      <c r="G966" s="408"/>
      <c r="H966" s="409"/>
      <c r="I966" s="408"/>
      <c r="J966" s="408"/>
      <c r="K966" s="408"/>
    </row>
    <row r="967" ht="12.75" customHeight="1">
      <c r="A967" s="404" t="s">
        <v>856</v>
      </c>
      <c r="B967" s="405" t="s">
        <v>4995</v>
      </c>
      <c r="C967" s="405"/>
      <c r="D967" s="404" t="s">
        <v>40</v>
      </c>
      <c r="E967" s="410">
        <v>913.44</v>
      </c>
      <c r="F967" s="411">
        <v>36.21</v>
      </c>
      <c r="G967" s="411">
        <v>33075.66</v>
      </c>
      <c r="H967" s="412"/>
      <c r="I967" s="411"/>
      <c r="J967" s="411"/>
      <c r="K967" s="411"/>
    </row>
    <row r="968" ht="12.75" customHeight="1">
      <c r="A968" s="406"/>
      <c r="B968" s="405"/>
      <c r="C968" s="406"/>
      <c r="D968" s="406"/>
      <c r="E968" s="407"/>
      <c r="F968" s="408"/>
      <c r="G968" s="408"/>
      <c r="H968" s="409"/>
      <c r="I968" s="408"/>
      <c r="J968" s="408"/>
      <c r="K968" s="408"/>
    </row>
    <row r="969" ht="12.75" customHeight="1">
      <c r="A969" s="404" t="s">
        <v>858</v>
      </c>
      <c r="B969" s="405" t="s">
        <v>4967</v>
      </c>
      <c r="C969" s="405"/>
      <c r="D969" s="404" t="s">
        <v>40</v>
      </c>
      <c r="E969" s="410">
        <v>127.0</v>
      </c>
      <c r="F969" s="411">
        <v>36.21</v>
      </c>
      <c r="G969" s="411">
        <v>4598.67</v>
      </c>
      <c r="H969" s="412"/>
      <c r="I969" s="411"/>
      <c r="J969" s="411"/>
      <c r="K969" s="411"/>
    </row>
    <row r="970" ht="12.75" customHeight="1">
      <c r="A970" s="406"/>
      <c r="B970" s="405"/>
      <c r="C970" s="406"/>
      <c r="D970" s="406"/>
      <c r="E970" s="407"/>
      <c r="F970" s="408"/>
      <c r="G970" s="408"/>
      <c r="H970" s="409"/>
      <c r="I970" s="408"/>
      <c r="J970" s="408"/>
      <c r="K970" s="408"/>
    </row>
    <row r="971" ht="12.75" customHeight="1">
      <c r="A971" s="404" t="s">
        <v>859</v>
      </c>
      <c r="B971" s="405" t="s">
        <v>4996</v>
      </c>
      <c r="C971" s="405"/>
      <c r="D971" s="404" t="s">
        <v>40</v>
      </c>
      <c r="E971" s="410">
        <v>280.94</v>
      </c>
      <c r="F971" s="411">
        <v>36.21</v>
      </c>
      <c r="G971" s="411">
        <v>10172.84</v>
      </c>
      <c r="H971" s="412"/>
      <c r="I971" s="411"/>
      <c r="J971" s="411"/>
      <c r="K971" s="411"/>
    </row>
    <row r="972" ht="12.75" customHeight="1">
      <c r="A972" s="406"/>
      <c r="B972" s="405"/>
      <c r="C972" s="406"/>
      <c r="D972" s="406"/>
      <c r="E972" s="407"/>
      <c r="F972" s="408"/>
      <c r="G972" s="408"/>
      <c r="H972" s="409"/>
      <c r="I972" s="408"/>
      <c r="J972" s="408"/>
      <c r="K972" s="408"/>
    </row>
    <row r="973" ht="12.75" customHeight="1">
      <c r="A973" s="404" t="s">
        <v>861</v>
      </c>
      <c r="B973" s="405" t="s">
        <v>4975</v>
      </c>
      <c r="C973" s="405"/>
      <c r="D973" s="404" t="s">
        <v>40</v>
      </c>
      <c r="E973" s="410">
        <v>17.46</v>
      </c>
      <c r="F973" s="411">
        <v>36.21</v>
      </c>
      <c r="G973" s="411">
        <v>632.23</v>
      </c>
      <c r="H973" s="412"/>
      <c r="I973" s="411"/>
      <c r="J973" s="411"/>
      <c r="K973" s="411"/>
    </row>
    <row r="974" ht="12.75" customHeight="1">
      <c r="A974" s="406"/>
      <c r="B974" s="405"/>
      <c r="C974" s="406"/>
      <c r="D974" s="406"/>
      <c r="E974" s="407"/>
      <c r="F974" s="408"/>
      <c r="G974" s="408"/>
      <c r="H974" s="409"/>
      <c r="I974" s="408"/>
      <c r="J974" s="408"/>
      <c r="K974" s="408"/>
    </row>
    <row r="975" ht="12.75" customHeight="1">
      <c r="A975" s="404" t="s">
        <v>862</v>
      </c>
      <c r="B975" s="405" t="s">
        <v>4997</v>
      </c>
      <c r="C975" s="405"/>
      <c r="D975" s="404" t="s">
        <v>40</v>
      </c>
      <c r="E975" s="410">
        <v>268.51</v>
      </c>
      <c r="F975" s="411">
        <v>36.21</v>
      </c>
      <c r="G975" s="411">
        <v>9722.75</v>
      </c>
      <c r="H975" s="412"/>
      <c r="I975" s="411"/>
      <c r="J975" s="411"/>
      <c r="K975" s="411"/>
    </row>
    <row r="976" ht="12.75" customHeight="1">
      <c r="A976" s="406"/>
      <c r="B976" s="405"/>
      <c r="C976" s="406"/>
      <c r="D976" s="406"/>
      <c r="E976" s="407"/>
      <c r="F976" s="408"/>
      <c r="G976" s="408"/>
      <c r="H976" s="409"/>
      <c r="I976" s="408"/>
      <c r="J976" s="408"/>
      <c r="K976" s="408"/>
    </row>
    <row r="977" ht="12.75" customHeight="1">
      <c r="A977" s="404" t="s">
        <v>864</v>
      </c>
      <c r="B977" s="405" t="s">
        <v>4998</v>
      </c>
      <c r="C977" s="405"/>
      <c r="D977" s="404" t="s">
        <v>40</v>
      </c>
      <c r="E977" s="410">
        <v>7.58</v>
      </c>
      <c r="F977" s="411">
        <v>36.21</v>
      </c>
      <c r="G977" s="411">
        <v>274.47</v>
      </c>
      <c r="H977" s="412"/>
      <c r="I977" s="411"/>
      <c r="J977" s="411"/>
      <c r="K977" s="411"/>
    </row>
    <row r="978" ht="12.75" customHeight="1">
      <c r="A978" s="406"/>
      <c r="B978" s="405"/>
      <c r="C978" s="406"/>
      <c r="D978" s="406"/>
      <c r="E978" s="407"/>
      <c r="F978" s="408"/>
      <c r="G978" s="408"/>
      <c r="H978" s="409"/>
      <c r="I978" s="408"/>
      <c r="J978" s="408"/>
      <c r="K978" s="408"/>
    </row>
    <row r="979" ht="12.75" customHeight="1">
      <c r="A979" s="404" t="s">
        <v>866</v>
      </c>
      <c r="B979" s="405" t="s">
        <v>4999</v>
      </c>
      <c r="C979" s="405"/>
      <c r="D979" s="404" t="s">
        <v>40</v>
      </c>
      <c r="E979" s="410">
        <v>29.03</v>
      </c>
      <c r="F979" s="411">
        <v>36.21</v>
      </c>
      <c r="G979" s="411">
        <v>1051.18</v>
      </c>
      <c r="H979" s="412"/>
      <c r="I979" s="411"/>
      <c r="J979" s="411"/>
      <c r="K979" s="411"/>
    </row>
    <row r="980" ht="12.75" customHeight="1">
      <c r="A980" s="406"/>
      <c r="B980" s="405"/>
      <c r="C980" s="406"/>
      <c r="D980" s="406"/>
      <c r="E980" s="407"/>
      <c r="F980" s="408"/>
      <c r="G980" s="408"/>
      <c r="H980" s="409"/>
      <c r="I980" s="408"/>
      <c r="J980" s="408"/>
      <c r="K980" s="408"/>
    </row>
    <row r="981" ht="12.75" customHeight="1">
      <c r="A981" s="404" t="s">
        <v>138</v>
      </c>
      <c r="B981" s="405" t="s">
        <v>5000</v>
      </c>
      <c r="C981" s="405"/>
      <c r="D981" s="406"/>
      <c r="E981" s="407"/>
      <c r="F981" s="408"/>
      <c r="G981" s="408"/>
      <c r="H981" s="409"/>
      <c r="I981" s="408"/>
      <c r="J981" s="408"/>
      <c r="K981" s="408"/>
    </row>
    <row r="982" ht="12.75" customHeight="1">
      <c r="A982" s="406"/>
      <c r="B982" s="405"/>
      <c r="C982" s="406"/>
      <c r="D982" s="406"/>
      <c r="E982" s="407"/>
      <c r="F982" s="408"/>
      <c r="G982" s="408"/>
      <c r="H982" s="409"/>
      <c r="I982" s="408"/>
      <c r="J982" s="408"/>
      <c r="K982" s="408"/>
    </row>
    <row r="983" ht="12.75" customHeight="1">
      <c r="A983" s="404" t="s">
        <v>869</v>
      </c>
      <c r="B983" s="405" t="s">
        <v>5001</v>
      </c>
      <c r="C983" s="405"/>
      <c r="D983" s="404" t="s">
        <v>40</v>
      </c>
      <c r="E983" s="410">
        <v>157.61</v>
      </c>
      <c r="F983" s="411">
        <v>64.66</v>
      </c>
      <c r="G983" s="411">
        <v>10191.06</v>
      </c>
      <c r="H983" s="412"/>
      <c r="I983" s="411"/>
      <c r="J983" s="411"/>
      <c r="K983" s="411"/>
    </row>
    <row r="984" ht="12.75" customHeight="1">
      <c r="A984" s="406"/>
      <c r="B984" s="405"/>
      <c r="C984" s="406"/>
      <c r="D984" s="406"/>
      <c r="E984" s="407"/>
      <c r="F984" s="408"/>
      <c r="G984" s="408"/>
      <c r="H984" s="409"/>
      <c r="I984" s="408"/>
      <c r="J984" s="408"/>
      <c r="K984" s="408"/>
    </row>
    <row r="985" ht="12.75" customHeight="1">
      <c r="A985" s="404" t="s">
        <v>871</v>
      </c>
      <c r="B985" s="405" t="s">
        <v>4996</v>
      </c>
      <c r="C985" s="405"/>
      <c r="D985" s="404" t="s">
        <v>40</v>
      </c>
      <c r="E985" s="410">
        <v>81.58</v>
      </c>
      <c r="F985" s="411">
        <v>64.66</v>
      </c>
      <c r="G985" s="411">
        <v>5274.96</v>
      </c>
      <c r="H985" s="412"/>
      <c r="I985" s="411"/>
      <c r="J985" s="411"/>
      <c r="K985" s="411"/>
    </row>
    <row r="986" ht="12.75" customHeight="1">
      <c r="A986" s="406"/>
      <c r="B986" s="405"/>
      <c r="C986" s="406"/>
      <c r="D986" s="406"/>
      <c r="E986" s="407"/>
      <c r="F986" s="408"/>
      <c r="G986" s="408"/>
      <c r="H986" s="409"/>
      <c r="I986" s="408"/>
      <c r="J986" s="408"/>
      <c r="K986" s="408"/>
    </row>
    <row r="987" ht="12.75" customHeight="1">
      <c r="A987" s="404" t="s">
        <v>872</v>
      </c>
      <c r="B987" s="405" t="s">
        <v>4975</v>
      </c>
      <c r="C987" s="405"/>
      <c r="D987" s="404" t="s">
        <v>40</v>
      </c>
      <c r="E987" s="410">
        <v>515.45</v>
      </c>
      <c r="F987" s="411">
        <v>64.66</v>
      </c>
      <c r="G987" s="411">
        <v>33329.0</v>
      </c>
      <c r="H987" s="412"/>
      <c r="I987" s="411"/>
      <c r="J987" s="411"/>
      <c r="K987" s="411"/>
    </row>
    <row r="988" ht="12.75" customHeight="1">
      <c r="A988" s="406"/>
      <c r="B988" s="405"/>
      <c r="C988" s="406"/>
      <c r="D988" s="406"/>
      <c r="E988" s="407"/>
      <c r="F988" s="408"/>
      <c r="G988" s="408"/>
      <c r="H988" s="409"/>
      <c r="I988" s="408"/>
      <c r="J988" s="408"/>
      <c r="K988" s="408"/>
    </row>
    <row r="989" ht="12.75" customHeight="1">
      <c r="A989" s="404" t="s">
        <v>850</v>
      </c>
      <c r="B989" s="405" t="s">
        <v>4992</v>
      </c>
      <c r="C989" s="405"/>
      <c r="D989" s="406"/>
      <c r="E989" s="407"/>
      <c r="F989" s="408"/>
      <c r="G989" s="411">
        <v>121812.14</v>
      </c>
      <c r="H989" s="412">
        <f>G989</f>
        <v>121812.14</v>
      </c>
      <c r="I989" s="411"/>
      <c r="J989" s="411"/>
      <c r="K989" s="411"/>
    </row>
    <row r="990" ht="12.75" customHeight="1">
      <c r="A990" s="406"/>
      <c r="B990" s="405"/>
      <c r="C990" s="406"/>
      <c r="D990" s="406"/>
      <c r="E990" s="407"/>
      <c r="F990" s="408"/>
      <c r="G990" s="408"/>
      <c r="H990" s="409"/>
      <c r="I990" s="408"/>
      <c r="J990" s="408"/>
      <c r="K990" s="408"/>
    </row>
    <row r="991" ht="12.75" customHeight="1">
      <c r="A991" s="406"/>
      <c r="B991" s="405"/>
      <c r="C991" s="406"/>
      <c r="D991" s="406"/>
      <c r="E991" s="407"/>
      <c r="F991" s="408"/>
      <c r="G991" s="408"/>
      <c r="H991" s="409"/>
      <c r="I991" s="408"/>
      <c r="J991" s="408"/>
      <c r="K991" s="408"/>
    </row>
    <row r="992" ht="12.75" customHeight="1">
      <c r="A992" s="404" t="s">
        <v>873</v>
      </c>
      <c r="B992" s="405" t="s">
        <v>5002</v>
      </c>
      <c r="C992" s="405"/>
      <c r="D992" s="406"/>
      <c r="E992" s="407"/>
      <c r="F992" s="408"/>
      <c r="G992" s="408"/>
      <c r="H992" s="409"/>
      <c r="I992" s="408"/>
      <c r="J992" s="408"/>
      <c r="K992" s="408"/>
    </row>
    <row r="993" ht="12.75" customHeight="1">
      <c r="A993" s="406"/>
      <c r="B993" s="405"/>
      <c r="C993" s="406"/>
      <c r="D993" s="406"/>
      <c r="E993" s="407"/>
      <c r="F993" s="408"/>
      <c r="G993" s="408"/>
      <c r="H993" s="409"/>
      <c r="I993" s="408"/>
      <c r="J993" s="408"/>
      <c r="K993" s="408"/>
    </row>
    <row r="994" ht="12.75" customHeight="1">
      <c r="A994" s="404" t="s">
        <v>147</v>
      </c>
      <c r="B994" s="405" t="s">
        <v>5003</v>
      </c>
      <c r="C994" s="405"/>
      <c r="D994" s="406"/>
      <c r="E994" s="407"/>
      <c r="F994" s="408"/>
      <c r="G994" s="408"/>
      <c r="H994" s="409"/>
      <c r="I994" s="408"/>
      <c r="J994" s="408"/>
      <c r="K994" s="408"/>
    </row>
    <row r="995" ht="12.75" customHeight="1">
      <c r="A995" s="406"/>
      <c r="B995" s="405"/>
      <c r="C995" s="406"/>
      <c r="D995" s="406"/>
      <c r="E995" s="407"/>
      <c r="F995" s="408"/>
      <c r="G995" s="408"/>
      <c r="H995" s="409"/>
      <c r="I995" s="408"/>
      <c r="J995" s="408"/>
      <c r="K995" s="408"/>
    </row>
    <row r="996" ht="12.75" customHeight="1">
      <c r="A996" s="404" t="s">
        <v>149</v>
      </c>
      <c r="B996" s="405" t="s">
        <v>5004</v>
      </c>
      <c r="C996" s="405"/>
      <c r="D996" s="404" t="s">
        <v>877</v>
      </c>
      <c r="E996" s="410">
        <v>1218.48</v>
      </c>
      <c r="F996" s="411">
        <v>16.28</v>
      </c>
      <c r="G996" s="411">
        <v>19836.85</v>
      </c>
      <c r="H996" s="412"/>
      <c r="I996" s="411"/>
      <c r="J996" s="411"/>
      <c r="K996" s="411"/>
    </row>
    <row r="997" ht="12.75" customHeight="1">
      <c r="A997" s="406"/>
      <c r="B997" s="405"/>
      <c r="C997" s="406"/>
      <c r="D997" s="406"/>
      <c r="E997" s="407"/>
      <c r="F997" s="408"/>
      <c r="G997" s="408"/>
      <c r="H997" s="409"/>
      <c r="I997" s="408"/>
      <c r="J997" s="408"/>
      <c r="K997" s="408"/>
    </row>
    <row r="998" ht="12.75" customHeight="1">
      <c r="A998" s="404" t="s">
        <v>878</v>
      </c>
      <c r="B998" s="405" t="s">
        <v>5005</v>
      </c>
      <c r="C998" s="405"/>
      <c r="D998" s="404" t="s">
        <v>75</v>
      </c>
      <c r="E998" s="410">
        <v>58.0</v>
      </c>
      <c r="F998" s="408"/>
      <c r="G998" s="413" t="s">
        <v>880</v>
      </c>
      <c r="H998" s="414"/>
      <c r="I998" s="413"/>
      <c r="J998" s="413"/>
      <c r="K998" s="413"/>
    </row>
    <row r="999" ht="12.75" customHeight="1">
      <c r="A999" s="406"/>
      <c r="B999" s="405"/>
      <c r="C999" s="406"/>
      <c r="D999" s="406"/>
      <c r="E999" s="407"/>
      <c r="F999" s="408"/>
      <c r="G999" s="408"/>
      <c r="H999" s="409"/>
      <c r="I999" s="408"/>
      <c r="J999" s="408"/>
      <c r="K999" s="408"/>
    </row>
    <row r="1000" ht="12.75" customHeight="1">
      <c r="A1000" s="404" t="s">
        <v>881</v>
      </c>
      <c r="B1000" s="405" t="s">
        <v>5006</v>
      </c>
      <c r="C1000" s="405"/>
      <c r="D1000" s="404" t="s">
        <v>75</v>
      </c>
      <c r="E1000" s="410">
        <v>58.0</v>
      </c>
      <c r="F1000" s="408"/>
      <c r="G1000" s="413" t="s">
        <v>880</v>
      </c>
      <c r="H1000" s="414"/>
      <c r="I1000" s="413"/>
      <c r="J1000" s="413"/>
      <c r="K1000" s="413"/>
    </row>
    <row r="1001" ht="12.75" customHeight="1">
      <c r="A1001" s="406"/>
      <c r="B1001" s="405"/>
      <c r="C1001" s="406"/>
      <c r="D1001" s="406"/>
      <c r="E1001" s="407"/>
      <c r="F1001" s="408"/>
      <c r="G1001" s="408"/>
      <c r="H1001" s="409"/>
      <c r="I1001" s="408"/>
      <c r="J1001" s="408"/>
      <c r="K1001" s="408"/>
    </row>
    <row r="1002" ht="12.75" customHeight="1">
      <c r="A1002" s="404" t="s">
        <v>873</v>
      </c>
      <c r="B1002" s="405" t="s">
        <v>5002</v>
      </c>
      <c r="C1002" s="405"/>
      <c r="D1002" s="406"/>
      <c r="E1002" s="407"/>
      <c r="F1002" s="408"/>
      <c r="G1002" s="411">
        <v>19836.85</v>
      </c>
      <c r="H1002" s="412">
        <f>G1002</f>
        <v>19836.85</v>
      </c>
      <c r="I1002" s="411"/>
      <c r="J1002" s="411"/>
      <c r="K1002" s="411"/>
    </row>
    <row r="1003" ht="12.75" customHeight="1">
      <c r="A1003" s="406"/>
      <c r="B1003" s="405"/>
      <c r="C1003" s="406"/>
      <c r="D1003" s="406"/>
      <c r="E1003" s="407"/>
      <c r="F1003" s="408"/>
      <c r="G1003" s="408"/>
      <c r="H1003" s="409"/>
      <c r="I1003" s="408"/>
      <c r="J1003" s="408"/>
      <c r="K1003" s="408"/>
    </row>
    <row r="1004" ht="12.75" customHeight="1">
      <c r="A1004" s="406"/>
      <c r="B1004" s="405"/>
      <c r="C1004" s="406"/>
      <c r="D1004" s="406"/>
      <c r="E1004" s="407"/>
      <c r="F1004" s="408"/>
      <c r="G1004" s="408"/>
      <c r="H1004" s="409"/>
      <c r="I1004" s="408"/>
      <c r="J1004" s="408"/>
      <c r="K1004" s="408"/>
    </row>
    <row r="1005" ht="12.75" customHeight="1">
      <c r="A1005" s="404" t="s">
        <v>883</v>
      </c>
      <c r="B1005" s="405" t="s">
        <v>5007</v>
      </c>
      <c r="C1005" s="405"/>
      <c r="D1005" s="406"/>
      <c r="E1005" s="407"/>
      <c r="F1005" s="408"/>
      <c r="G1005" s="408"/>
      <c r="H1005" s="409"/>
      <c r="I1005" s="408"/>
      <c r="J1005" s="408"/>
      <c r="K1005" s="408"/>
    </row>
    <row r="1006" ht="12.75" customHeight="1">
      <c r="A1006" s="406"/>
      <c r="B1006" s="405"/>
      <c r="C1006" s="406"/>
      <c r="D1006" s="406"/>
      <c r="E1006" s="407"/>
      <c r="F1006" s="408"/>
      <c r="G1006" s="408"/>
      <c r="H1006" s="409"/>
      <c r="I1006" s="408"/>
      <c r="J1006" s="408"/>
      <c r="K1006" s="408"/>
    </row>
    <row r="1007" ht="12.75" customHeight="1">
      <c r="A1007" s="404" t="s">
        <v>166</v>
      </c>
      <c r="B1007" s="405" t="s">
        <v>5008</v>
      </c>
      <c r="C1007" s="405"/>
      <c r="D1007" s="406"/>
      <c r="E1007" s="407"/>
      <c r="F1007" s="408"/>
      <c r="G1007" s="408"/>
      <c r="H1007" s="409"/>
      <c r="I1007" s="408"/>
      <c r="J1007" s="408"/>
      <c r="K1007" s="408"/>
    </row>
    <row r="1008" ht="12.75" customHeight="1">
      <c r="A1008" s="406"/>
      <c r="B1008" s="405"/>
      <c r="C1008" s="406"/>
      <c r="D1008" s="406"/>
      <c r="E1008" s="407"/>
      <c r="F1008" s="408"/>
      <c r="G1008" s="408"/>
      <c r="H1008" s="409"/>
      <c r="I1008" s="408"/>
      <c r="J1008" s="408"/>
      <c r="K1008" s="408"/>
    </row>
    <row r="1009" ht="12.75" customHeight="1">
      <c r="A1009" s="404" t="s">
        <v>170</v>
      </c>
      <c r="B1009" s="405" t="s">
        <v>5009</v>
      </c>
      <c r="C1009" s="405"/>
      <c r="D1009" s="404" t="s">
        <v>75</v>
      </c>
      <c r="E1009" s="410">
        <v>638.0</v>
      </c>
      <c r="F1009" s="411">
        <v>4.08</v>
      </c>
      <c r="G1009" s="411">
        <v>2603.04</v>
      </c>
      <c r="H1009" s="412"/>
      <c r="I1009" s="411"/>
      <c r="J1009" s="411"/>
      <c r="K1009" s="411"/>
    </row>
    <row r="1010" ht="12.75" customHeight="1">
      <c r="A1010" s="406"/>
      <c r="B1010" s="405"/>
      <c r="C1010" s="406"/>
      <c r="D1010" s="406"/>
      <c r="E1010" s="407"/>
      <c r="F1010" s="408"/>
      <c r="G1010" s="408"/>
      <c r="H1010" s="409"/>
      <c r="I1010" s="408"/>
      <c r="J1010" s="408"/>
      <c r="K1010" s="408"/>
    </row>
    <row r="1011" ht="12.75" customHeight="1">
      <c r="A1011" s="404" t="s">
        <v>883</v>
      </c>
      <c r="B1011" s="405" t="s">
        <v>5007</v>
      </c>
      <c r="C1011" s="405"/>
      <c r="D1011" s="406"/>
      <c r="E1011" s="407"/>
      <c r="F1011" s="408"/>
      <c r="G1011" s="411">
        <v>2603.04</v>
      </c>
      <c r="H1011" s="412">
        <f>G1011</f>
        <v>2603.04</v>
      </c>
      <c r="I1011" s="411"/>
      <c r="J1011" s="411"/>
      <c r="K1011" s="411"/>
    </row>
    <row r="1012" ht="12.75" customHeight="1">
      <c r="A1012" s="406"/>
      <c r="B1012" s="405"/>
      <c r="C1012" s="406"/>
      <c r="D1012" s="406"/>
      <c r="E1012" s="407"/>
      <c r="F1012" s="408"/>
      <c r="G1012" s="408"/>
      <c r="H1012" s="409"/>
      <c r="I1012" s="408"/>
      <c r="J1012" s="408"/>
      <c r="K1012" s="408"/>
    </row>
    <row r="1013" ht="12.75" customHeight="1">
      <c r="A1013" s="406"/>
      <c r="B1013" s="405"/>
      <c r="C1013" s="406"/>
      <c r="D1013" s="406"/>
      <c r="E1013" s="407"/>
      <c r="F1013" s="408"/>
      <c r="G1013" s="408"/>
      <c r="H1013" s="409"/>
      <c r="I1013" s="408"/>
      <c r="J1013" s="408"/>
      <c r="K1013" s="408"/>
    </row>
    <row r="1014" ht="12.75" customHeight="1">
      <c r="A1014" s="404" t="s">
        <v>887</v>
      </c>
      <c r="B1014" s="405" t="s">
        <v>5010</v>
      </c>
      <c r="C1014" s="405"/>
      <c r="D1014" s="406"/>
      <c r="E1014" s="407"/>
      <c r="F1014" s="408"/>
      <c r="G1014" s="408"/>
      <c r="H1014" s="409"/>
      <c r="I1014" s="408"/>
      <c r="J1014" s="408"/>
      <c r="K1014" s="408"/>
    </row>
    <row r="1015" ht="12.75" customHeight="1">
      <c r="A1015" s="406"/>
      <c r="B1015" s="405"/>
      <c r="C1015" s="406"/>
      <c r="D1015" s="406"/>
      <c r="E1015" s="407"/>
      <c r="F1015" s="408"/>
      <c r="G1015" s="408"/>
      <c r="H1015" s="409"/>
      <c r="I1015" s="408"/>
      <c r="J1015" s="408"/>
      <c r="K1015" s="408"/>
    </row>
    <row r="1016" ht="12.75" customHeight="1">
      <c r="A1016" s="404" t="s">
        <v>198</v>
      </c>
      <c r="B1016" s="405" t="s">
        <v>5011</v>
      </c>
      <c r="C1016" s="405"/>
      <c r="D1016" s="406"/>
      <c r="E1016" s="407"/>
      <c r="F1016" s="408"/>
      <c r="G1016" s="408"/>
      <c r="H1016" s="409"/>
      <c r="I1016" s="408"/>
      <c r="J1016" s="408"/>
      <c r="K1016" s="408"/>
    </row>
    <row r="1017" ht="12.75" customHeight="1">
      <c r="A1017" s="406"/>
      <c r="B1017" s="405"/>
      <c r="C1017" s="406"/>
      <c r="D1017" s="406"/>
      <c r="E1017" s="407"/>
      <c r="F1017" s="408"/>
      <c r="G1017" s="408"/>
      <c r="H1017" s="409"/>
      <c r="I1017" s="408"/>
      <c r="J1017" s="408"/>
      <c r="K1017" s="408"/>
    </row>
    <row r="1018" ht="12.75" customHeight="1">
      <c r="A1018" s="406"/>
      <c r="B1018" s="405" t="s">
        <v>5012</v>
      </c>
      <c r="C1018" s="405"/>
      <c r="D1018" s="404" t="s">
        <v>827</v>
      </c>
      <c r="E1018" s="410">
        <v>4360.88</v>
      </c>
      <c r="F1018" s="411">
        <v>11.64</v>
      </c>
      <c r="G1018" s="411">
        <v>50760.64</v>
      </c>
      <c r="H1018" s="412"/>
      <c r="I1018" s="411"/>
      <c r="J1018" s="411"/>
      <c r="K1018" s="411"/>
    </row>
    <row r="1019" ht="12.75" customHeight="1">
      <c r="A1019" s="406"/>
      <c r="B1019" s="405"/>
      <c r="C1019" s="406"/>
      <c r="D1019" s="406"/>
      <c r="E1019" s="407"/>
      <c r="F1019" s="408"/>
      <c r="G1019" s="408"/>
      <c r="H1019" s="409"/>
      <c r="I1019" s="408"/>
      <c r="J1019" s="408"/>
      <c r="K1019" s="408"/>
    </row>
    <row r="1020" ht="12.75" customHeight="1">
      <c r="A1020" s="406"/>
      <c r="B1020" s="405" t="s">
        <v>5013</v>
      </c>
      <c r="C1020" s="405"/>
      <c r="D1020" s="404" t="s">
        <v>827</v>
      </c>
      <c r="E1020" s="410">
        <v>112.9</v>
      </c>
      <c r="F1020" s="411">
        <v>11.64</v>
      </c>
      <c r="G1020" s="411">
        <v>1314.16</v>
      </c>
      <c r="H1020" s="412"/>
      <c r="I1020" s="411"/>
      <c r="J1020" s="411"/>
      <c r="K1020" s="411"/>
    </row>
    <row r="1021" ht="12.75" customHeight="1">
      <c r="A1021" s="406"/>
      <c r="B1021" s="405"/>
      <c r="C1021" s="406"/>
      <c r="D1021" s="406"/>
      <c r="E1021" s="407"/>
      <c r="F1021" s="408"/>
      <c r="G1021" s="408"/>
      <c r="H1021" s="409"/>
      <c r="I1021" s="408"/>
      <c r="J1021" s="408"/>
      <c r="K1021" s="408"/>
    </row>
    <row r="1022" ht="12.75" customHeight="1">
      <c r="A1022" s="404" t="s">
        <v>230</v>
      </c>
      <c r="B1022" s="405" t="s">
        <v>5014</v>
      </c>
      <c r="C1022" s="405"/>
      <c r="D1022" s="404" t="s">
        <v>827</v>
      </c>
      <c r="E1022" s="410">
        <v>1501.78</v>
      </c>
      <c r="F1022" s="411">
        <v>11.64</v>
      </c>
      <c r="G1022" s="411">
        <v>17480.72</v>
      </c>
      <c r="H1022" s="412"/>
      <c r="I1022" s="411"/>
      <c r="J1022" s="411"/>
      <c r="K1022" s="411"/>
    </row>
    <row r="1023" ht="12.75" customHeight="1">
      <c r="A1023" s="406"/>
      <c r="B1023" s="405"/>
      <c r="C1023" s="406"/>
      <c r="D1023" s="406"/>
      <c r="E1023" s="407"/>
      <c r="F1023" s="408"/>
      <c r="G1023" s="408"/>
      <c r="H1023" s="409"/>
      <c r="I1023" s="408"/>
      <c r="J1023" s="408"/>
      <c r="K1023" s="408"/>
    </row>
    <row r="1024" ht="12.75" customHeight="1">
      <c r="A1024" s="404" t="s">
        <v>240</v>
      </c>
      <c r="B1024" s="405" t="s">
        <v>5015</v>
      </c>
      <c r="C1024" s="405"/>
      <c r="D1024" s="406"/>
      <c r="E1024" s="407"/>
      <c r="F1024" s="408"/>
      <c r="G1024" s="408"/>
      <c r="H1024" s="409"/>
      <c r="I1024" s="408"/>
      <c r="J1024" s="408"/>
      <c r="K1024" s="408"/>
    </row>
    <row r="1025" ht="12.75" customHeight="1">
      <c r="A1025" s="406"/>
      <c r="B1025" s="405"/>
      <c r="C1025" s="406"/>
      <c r="D1025" s="406"/>
      <c r="E1025" s="407"/>
      <c r="F1025" s="408"/>
      <c r="G1025" s="408"/>
      <c r="H1025" s="409"/>
      <c r="I1025" s="408"/>
      <c r="J1025" s="408"/>
      <c r="K1025" s="408"/>
    </row>
    <row r="1026" ht="12.75" customHeight="1">
      <c r="A1026" s="406"/>
      <c r="B1026" s="405" t="s">
        <v>5016</v>
      </c>
      <c r="C1026" s="405"/>
      <c r="D1026" s="404" t="s">
        <v>827</v>
      </c>
      <c r="E1026" s="410">
        <v>3972.81</v>
      </c>
      <c r="F1026" s="411">
        <v>11.64</v>
      </c>
      <c r="G1026" s="411">
        <v>46243.51</v>
      </c>
      <c r="H1026" s="412"/>
      <c r="I1026" s="411"/>
      <c r="J1026" s="411"/>
      <c r="K1026" s="411"/>
    </row>
    <row r="1027" ht="12.75" customHeight="1">
      <c r="A1027" s="406"/>
      <c r="B1027" s="405"/>
      <c r="C1027" s="406"/>
      <c r="D1027" s="406"/>
      <c r="E1027" s="407"/>
      <c r="F1027" s="408"/>
      <c r="G1027" s="408"/>
      <c r="H1027" s="409"/>
      <c r="I1027" s="408"/>
      <c r="J1027" s="408"/>
      <c r="K1027" s="408"/>
    </row>
    <row r="1028" ht="12.75" customHeight="1">
      <c r="A1028" s="404" t="s">
        <v>895</v>
      </c>
      <c r="B1028" s="405" t="s">
        <v>5017</v>
      </c>
      <c r="C1028" s="405"/>
      <c r="D1028" s="404" t="s">
        <v>33</v>
      </c>
      <c r="E1028" s="410">
        <v>1.0</v>
      </c>
      <c r="F1028" s="411">
        <v>16163.75</v>
      </c>
      <c r="G1028" s="411">
        <v>16163.75</v>
      </c>
      <c r="H1028" s="412"/>
      <c r="I1028" s="411"/>
      <c r="J1028" s="411"/>
      <c r="K1028" s="411"/>
    </row>
    <row r="1029" ht="12.75" customHeight="1">
      <c r="A1029" s="406"/>
      <c r="B1029" s="405"/>
      <c r="C1029" s="406"/>
      <c r="D1029" s="406"/>
      <c r="E1029" s="407"/>
      <c r="F1029" s="408"/>
      <c r="G1029" s="408"/>
      <c r="H1029" s="409"/>
      <c r="I1029" s="408"/>
      <c r="J1029" s="408"/>
      <c r="K1029" s="408"/>
    </row>
    <row r="1030" ht="12.75" customHeight="1">
      <c r="A1030" s="404" t="s">
        <v>897</v>
      </c>
      <c r="B1030" s="405" t="s">
        <v>5018</v>
      </c>
      <c r="C1030" s="405"/>
      <c r="D1030" s="406"/>
      <c r="E1030" s="407"/>
      <c r="F1030" s="408"/>
      <c r="G1030" s="408"/>
      <c r="H1030" s="409"/>
      <c r="I1030" s="408"/>
      <c r="J1030" s="408"/>
      <c r="K1030" s="408"/>
    </row>
    <row r="1031" ht="12.75" customHeight="1">
      <c r="A1031" s="406"/>
      <c r="B1031" s="405"/>
      <c r="C1031" s="406"/>
      <c r="D1031" s="406"/>
      <c r="E1031" s="407"/>
      <c r="F1031" s="408"/>
      <c r="G1031" s="408"/>
      <c r="H1031" s="409"/>
      <c r="I1031" s="408"/>
      <c r="J1031" s="408"/>
      <c r="K1031" s="408"/>
    </row>
    <row r="1032" ht="12.75" customHeight="1">
      <c r="A1032" s="404" t="s">
        <v>246</v>
      </c>
      <c r="B1032" s="405" t="s">
        <v>5019</v>
      </c>
      <c r="C1032" s="405"/>
      <c r="D1032" s="406"/>
      <c r="E1032" s="407"/>
      <c r="F1032" s="408"/>
      <c r="G1032" s="408"/>
      <c r="H1032" s="409"/>
      <c r="I1032" s="408"/>
      <c r="J1032" s="408"/>
      <c r="K1032" s="408"/>
    </row>
    <row r="1033" ht="12.75" customHeight="1">
      <c r="A1033" s="406"/>
      <c r="B1033" s="405"/>
      <c r="C1033" s="406"/>
      <c r="D1033" s="406"/>
      <c r="E1033" s="407"/>
      <c r="F1033" s="408"/>
      <c r="G1033" s="408"/>
      <c r="H1033" s="409"/>
      <c r="I1033" s="408"/>
      <c r="J1033" s="408"/>
      <c r="K1033" s="408"/>
    </row>
    <row r="1034" ht="12.75" customHeight="1">
      <c r="A1034" s="406"/>
      <c r="B1034" s="405" t="s">
        <v>900</v>
      </c>
      <c r="C1034" s="405"/>
      <c r="D1034" s="404" t="s">
        <v>827</v>
      </c>
      <c r="E1034" s="410">
        <v>4.79</v>
      </c>
      <c r="F1034" s="411">
        <v>11.64</v>
      </c>
      <c r="G1034" s="411">
        <v>55.76</v>
      </c>
      <c r="H1034" s="412"/>
      <c r="I1034" s="411"/>
      <c r="J1034" s="411"/>
      <c r="K1034" s="411"/>
    </row>
    <row r="1035" ht="12.75" customHeight="1">
      <c r="A1035" s="406"/>
      <c r="B1035" s="405"/>
      <c r="C1035" s="406"/>
      <c r="D1035" s="406"/>
      <c r="E1035" s="407"/>
      <c r="F1035" s="408"/>
      <c r="G1035" s="408"/>
      <c r="H1035" s="409"/>
      <c r="I1035" s="408"/>
      <c r="J1035" s="408"/>
      <c r="K1035" s="408"/>
    </row>
    <row r="1036" ht="12.75" customHeight="1">
      <c r="A1036" s="406"/>
      <c r="B1036" s="405" t="s">
        <v>901</v>
      </c>
      <c r="C1036" s="405"/>
      <c r="D1036" s="404" t="s">
        <v>827</v>
      </c>
      <c r="E1036" s="410">
        <v>2265.99</v>
      </c>
      <c r="F1036" s="411">
        <v>11.64</v>
      </c>
      <c r="G1036" s="411">
        <v>26376.12</v>
      </c>
      <c r="H1036" s="412"/>
      <c r="I1036" s="411"/>
      <c r="J1036" s="411"/>
      <c r="K1036" s="411"/>
    </row>
    <row r="1037" ht="12.75" customHeight="1">
      <c r="A1037" s="406"/>
      <c r="B1037" s="405"/>
      <c r="C1037" s="406"/>
      <c r="D1037" s="406"/>
      <c r="E1037" s="407"/>
      <c r="F1037" s="408"/>
      <c r="G1037" s="408"/>
      <c r="H1037" s="409"/>
      <c r="I1037" s="408"/>
      <c r="J1037" s="408"/>
      <c r="K1037" s="408"/>
    </row>
    <row r="1038" ht="12.75" customHeight="1">
      <c r="A1038" s="406"/>
      <c r="B1038" s="405" t="s">
        <v>902</v>
      </c>
      <c r="C1038" s="405"/>
      <c r="D1038" s="404" t="s">
        <v>827</v>
      </c>
      <c r="E1038" s="410">
        <v>5.44</v>
      </c>
      <c r="F1038" s="411">
        <v>11.64</v>
      </c>
      <c r="G1038" s="411">
        <v>63.32</v>
      </c>
      <c r="H1038" s="412"/>
      <c r="I1038" s="411"/>
      <c r="J1038" s="411"/>
      <c r="K1038" s="411"/>
    </row>
    <row r="1039" ht="12.75" customHeight="1">
      <c r="A1039" s="406"/>
      <c r="B1039" s="405"/>
      <c r="C1039" s="406"/>
      <c r="D1039" s="406"/>
      <c r="E1039" s="407"/>
      <c r="F1039" s="408"/>
      <c r="G1039" s="408"/>
      <c r="H1039" s="409"/>
      <c r="I1039" s="408"/>
      <c r="J1039" s="408"/>
      <c r="K1039" s="408"/>
    </row>
    <row r="1040" ht="12.75" customHeight="1">
      <c r="A1040" s="406"/>
      <c r="B1040" s="405" t="s">
        <v>903</v>
      </c>
      <c r="C1040" s="405"/>
      <c r="D1040" s="404" t="s">
        <v>827</v>
      </c>
      <c r="E1040" s="410">
        <v>220.49</v>
      </c>
      <c r="F1040" s="411">
        <v>11.64</v>
      </c>
      <c r="G1040" s="411">
        <v>2566.5</v>
      </c>
      <c r="H1040" s="412"/>
      <c r="I1040" s="411"/>
      <c r="J1040" s="411"/>
      <c r="K1040" s="411"/>
    </row>
    <row r="1041" ht="12.75" customHeight="1">
      <c r="A1041" s="406"/>
      <c r="B1041" s="405"/>
      <c r="C1041" s="406"/>
      <c r="D1041" s="406"/>
      <c r="E1041" s="407"/>
      <c r="F1041" s="408"/>
      <c r="G1041" s="408"/>
      <c r="H1041" s="409"/>
      <c r="I1041" s="408"/>
      <c r="J1041" s="408"/>
      <c r="K1041" s="408"/>
    </row>
    <row r="1042" ht="12.75" customHeight="1">
      <c r="A1042" s="406"/>
      <c r="B1042" s="405" t="s">
        <v>5020</v>
      </c>
      <c r="C1042" s="405"/>
      <c r="D1042" s="404" t="s">
        <v>827</v>
      </c>
      <c r="E1042" s="410">
        <v>256.76</v>
      </c>
      <c r="F1042" s="411">
        <v>11.64</v>
      </c>
      <c r="G1042" s="411">
        <v>2988.69</v>
      </c>
      <c r="H1042" s="412"/>
      <c r="I1042" s="411"/>
      <c r="J1042" s="411"/>
      <c r="K1042" s="411"/>
    </row>
    <row r="1043" ht="12.75" customHeight="1">
      <c r="A1043" s="406"/>
      <c r="B1043" s="405"/>
      <c r="C1043" s="406"/>
      <c r="D1043" s="406"/>
      <c r="E1043" s="407"/>
      <c r="F1043" s="408"/>
      <c r="G1043" s="408"/>
      <c r="H1043" s="409"/>
      <c r="I1043" s="408"/>
      <c r="J1043" s="408"/>
      <c r="K1043" s="408"/>
    </row>
    <row r="1044" ht="12.75" customHeight="1">
      <c r="A1044" s="404" t="s">
        <v>887</v>
      </c>
      <c r="B1044" s="405" t="s">
        <v>5010</v>
      </c>
      <c r="C1044" s="405"/>
      <c r="D1044" s="406"/>
      <c r="E1044" s="407"/>
      <c r="F1044" s="408"/>
      <c r="G1044" s="411">
        <v>164013.17</v>
      </c>
      <c r="H1044" s="412"/>
      <c r="I1044" s="411"/>
      <c r="J1044" s="411"/>
      <c r="K1044" s="411"/>
    </row>
    <row r="1045" ht="12.75" customHeight="1">
      <c r="A1045" s="406"/>
      <c r="B1045" s="405"/>
      <c r="C1045" s="406"/>
      <c r="D1045" s="406"/>
      <c r="E1045" s="407"/>
      <c r="F1045" s="408"/>
      <c r="G1045" s="408"/>
      <c r="H1045" s="409"/>
      <c r="I1045" s="408"/>
      <c r="J1045" s="408"/>
      <c r="K1045" s="408"/>
    </row>
    <row r="1046" ht="12.75" customHeight="1">
      <c r="A1046" s="406"/>
      <c r="B1046" s="405"/>
      <c r="C1046" s="406"/>
      <c r="D1046" s="406"/>
      <c r="E1046" s="407"/>
      <c r="F1046" s="408"/>
      <c r="G1046" s="408"/>
      <c r="H1046" s="409"/>
      <c r="I1046" s="408"/>
      <c r="J1046" s="408"/>
      <c r="K1046" s="408"/>
    </row>
    <row r="1047" ht="12.75" customHeight="1">
      <c r="A1047" s="404" t="s">
        <v>905</v>
      </c>
      <c r="B1047" s="405" t="s">
        <v>5021</v>
      </c>
      <c r="C1047" s="405"/>
      <c r="D1047" s="406"/>
      <c r="E1047" s="407"/>
      <c r="F1047" s="408"/>
      <c r="G1047" s="408"/>
      <c r="H1047" s="409"/>
      <c r="I1047" s="408"/>
      <c r="J1047" s="408"/>
      <c r="K1047" s="408"/>
    </row>
    <row r="1048" ht="12.75" customHeight="1">
      <c r="A1048" s="406"/>
      <c r="B1048" s="405"/>
      <c r="C1048" s="406"/>
      <c r="D1048" s="406"/>
      <c r="E1048" s="407"/>
      <c r="F1048" s="408"/>
      <c r="G1048" s="408"/>
      <c r="H1048" s="409"/>
      <c r="I1048" s="408"/>
      <c r="J1048" s="408"/>
      <c r="K1048" s="408"/>
    </row>
    <row r="1049" ht="12.75" customHeight="1">
      <c r="A1049" s="404" t="s">
        <v>381</v>
      </c>
      <c r="B1049" s="405" t="s">
        <v>5022</v>
      </c>
      <c r="C1049" s="405"/>
      <c r="D1049" s="406"/>
      <c r="E1049" s="407"/>
      <c r="F1049" s="408"/>
      <c r="G1049" s="408"/>
      <c r="H1049" s="409"/>
      <c r="I1049" s="408"/>
      <c r="J1049" s="408"/>
      <c r="K1049" s="408"/>
    </row>
    <row r="1050" ht="12.75" customHeight="1">
      <c r="A1050" s="406"/>
      <c r="B1050" s="405"/>
      <c r="C1050" s="406"/>
      <c r="D1050" s="406"/>
      <c r="E1050" s="407"/>
      <c r="F1050" s="408"/>
      <c r="G1050" s="408"/>
      <c r="H1050" s="409"/>
      <c r="I1050" s="408"/>
      <c r="J1050" s="408"/>
      <c r="K1050" s="408"/>
    </row>
    <row r="1051" ht="12.75" customHeight="1">
      <c r="A1051" s="404" t="s">
        <v>384</v>
      </c>
      <c r="B1051" s="405" t="s">
        <v>5023</v>
      </c>
      <c r="C1051" s="405"/>
      <c r="D1051" s="406"/>
      <c r="E1051" s="407"/>
      <c r="F1051" s="408"/>
      <c r="G1051" s="408"/>
      <c r="H1051" s="409"/>
      <c r="I1051" s="408"/>
      <c r="J1051" s="408"/>
      <c r="K1051" s="408"/>
    </row>
    <row r="1052" ht="12.75" customHeight="1">
      <c r="A1052" s="406"/>
      <c r="B1052" s="405"/>
      <c r="C1052" s="406"/>
      <c r="D1052" s="406"/>
      <c r="E1052" s="407"/>
      <c r="F1052" s="408"/>
      <c r="G1052" s="408"/>
      <c r="H1052" s="409"/>
      <c r="I1052" s="408"/>
      <c r="J1052" s="408"/>
      <c r="K1052" s="408"/>
    </row>
    <row r="1053" ht="12.75" customHeight="1">
      <c r="A1053" s="406"/>
      <c r="B1053" s="405" t="s">
        <v>909</v>
      </c>
      <c r="C1053" s="405"/>
      <c r="D1053" s="404" t="s">
        <v>40</v>
      </c>
      <c r="E1053" s="410">
        <v>246.48</v>
      </c>
      <c r="F1053" s="411">
        <v>43.62</v>
      </c>
      <c r="G1053" s="411">
        <v>10751.46</v>
      </c>
      <c r="H1053" s="412"/>
      <c r="I1053" s="411"/>
      <c r="J1053" s="411"/>
      <c r="K1053" s="411"/>
    </row>
    <row r="1054" ht="12.75" customHeight="1">
      <c r="A1054" s="406"/>
      <c r="B1054" s="405"/>
      <c r="C1054" s="406"/>
      <c r="D1054" s="406"/>
      <c r="E1054" s="407"/>
      <c r="F1054" s="408"/>
      <c r="G1054" s="408"/>
      <c r="H1054" s="409"/>
      <c r="I1054" s="408"/>
      <c r="J1054" s="408"/>
      <c r="K1054" s="408"/>
    </row>
    <row r="1055" ht="12.75" customHeight="1">
      <c r="A1055" s="406"/>
      <c r="B1055" s="405" t="s">
        <v>910</v>
      </c>
      <c r="C1055" s="405"/>
      <c r="D1055" s="404" t="s">
        <v>40</v>
      </c>
      <c r="E1055" s="410">
        <v>11.46</v>
      </c>
      <c r="F1055" s="411">
        <v>43.62</v>
      </c>
      <c r="G1055" s="411">
        <v>499.89</v>
      </c>
      <c r="H1055" s="412"/>
      <c r="I1055" s="411"/>
      <c r="J1055" s="411"/>
      <c r="K1055" s="411"/>
    </row>
    <row r="1056" ht="12.75" customHeight="1">
      <c r="A1056" s="406"/>
      <c r="B1056" s="405"/>
      <c r="C1056" s="406"/>
      <c r="D1056" s="406"/>
      <c r="E1056" s="407"/>
      <c r="F1056" s="408"/>
      <c r="G1056" s="408"/>
      <c r="H1056" s="409"/>
      <c r="I1056" s="408"/>
      <c r="J1056" s="408"/>
      <c r="K1056" s="408"/>
    </row>
    <row r="1057" ht="12.75" customHeight="1">
      <c r="A1057" s="404" t="s">
        <v>384</v>
      </c>
      <c r="B1057" s="405" t="s">
        <v>5024</v>
      </c>
      <c r="C1057" s="405"/>
      <c r="D1057" s="406"/>
      <c r="E1057" s="407"/>
      <c r="F1057" s="408"/>
      <c r="G1057" s="408"/>
      <c r="H1057" s="409"/>
      <c r="I1057" s="408"/>
      <c r="J1057" s="408"/>
      <c r="K1057" s="408"/>
    </row>
    <row r="1058" ht="12.75" customHeight="1">
      <c r="A1058" s="406"/>
      <c r="B1058" s="405"/>
      <c r="C1058" s="406"/>
      <c r="D1058" s="406"/>
      <c r="E1058" s="407"/>
      <c r="F1058" s="408"/>
      <c r="G1058" s="408"/>
      <c r="H1058" s="409"/>
      <c r="I1058" s="408"/>
      <c r="J1058" s="408"/>
      <c r="K1058" s="408"/>
    </row>
    <row r="1059" ht="12.75" customHeight="1">
      <c r="A1059" s="406"/>
      <c r="B1059" s="405" t="s">
        <v>912</v>
      </c>
      <c r="C1059" s="405"/>
      <c r="D1059" s="404" t="s">
        <v>40</v>
      </c>
      <c r="E1059" s="410">
        <v>63.73</v>
      </c>
      <c r="F1059" s="411">
        <v>45.47</v>
      </c>
      <c r="G1059" s="411">
        <v>2897.8</v>
      </c>
      <c r="H1059" s="412"/>
      <c r="I1059" s="411"/>
      <c r="J1059" s="411"/>
      <c r="K1059" s="411"/>
    </row>
    <row r="1060" ht="12.75" customHeight="1">
      <c r="A1060" s="406"/>
      <c r="B1060" s="405"/>
      <c r="C1060" s="406"/>
      <c r="D1060" s="406"/>
      <c r="E1060" s="407"/>
      <c r="F1060" s="408"/>
      <c r="G1060" s="408"/>
      <c r="H1060" s="409"/>
      <c r="I1060" s="408"/>
      <c r="J1060" s="408"/>
      <c r="K1060" s="408"/>
    </row>
    <row r="1061" ht="12.75" customHeight="1">
      <c r="A1061" s="406"/>
      <c r="B1061" s="405" t="s">
        <v>913</v>
      </c>
      <c r="C1061" s="405"/>
      <c r="D1061" s="404" t="s">
        <v>40</v>
      </c>
      <c r="E1061" s="410">
        <v>24.52</v>
      </c>
      <c r="F1061" s="411">
        <v>45.47</v>
      </c>
      <c r="G1061" s="411">
        <v>1114.92</v>
      </c>
      <c r="H1061" s="412"/>
      <c r="I1061" s="411"/>
      <c r="J1061" s="411"/>
      <c r="K1061" s="411"/>
    </row>
    <row r="1062" ht="12.75" customHeight="1">
      <c r="A1062" s="406"/>
      <c r="B1062" s="405"/>
      <c r="C1062" s="406"/>
      <c r="D1062" s="406"/>
      <c r="E1062" s="407"/>
      <c r="F1062" s="408"/>
      <c r="G1062" s="408"/>
      <c r="H1062" s="409"/>
      <c r="I1062" s="408"/>
      <c r="J1062" s="408"/>
      <c r="K1062" s="408"/>
    </row>
    <row r="1063" ht="12.75" customHeight="1">
      <c r="A1063" s="406"/>
      <c r="B1063" s="405" t="s">
        <v>914</v>
      </c>
      <c r="C1063" s="405"/>
      <c r="D1063" s="404" t="s">
        <v>40</v>
      </c>
      <c r="E1063" s="410">
        <v>15.37</v>
      </c>
      <c r="F1063" s="411">
        <v>45.47</v>
      </c>
      <c r="G1063" s="411">
        <v>698.87</v>
      </c>
      <c r="H1063" s="412"/>
      <c r="I1063" s="411"/>
      <c r="J1063" s="411"/>
      <c r="K1063" s="411"/>
    </row>
    <row r="1064" ht="12.75" customHeight="1">
      <c r="A1064" s="406"/>
      <c r="B1064" s="405"/>
      <c r="C1064" s="406"/>
      <c r="D1064" s="406"/>
      <c r="E1064" s="407"/>
      <c r="F1064" s="408"/>
      <c r="G1064" s="408"/>
      <c r="H1064" s="409"/>
      <c r="I1064" s="408"/>
      <c r="J1064" s="408"/>
      <c r="K1064" s="408"/>
    </row>
    <row r="1065" ht="12.75" customHeight="1">
      <c r="A1065" s="406"/>
      <c r="B1065" s="405" t="s">
        <v>915</v>
      </c>
      <c r="C1065" s="405"/>
      <c r="D1065" s="404" t="s">
        <v>40</v>
      </c>
      <c r="E1065" s="410">
        <v>21.88</v>
      </c>
      <c r="F1065" s="411">
        <v>45.47</v>
      </c>
      <c r="G1065" s="411">
        <v>994.88</v>
      </c>
      <c r="H1065" s="412"/>
      <c r="I1065" s="411"/>
      <c r="J1065" s="411"/>
      <c r="K1065" s="411"/>
    </row>
    <row r="1066" ht="12.75" customHeight="1">
      <c r="A1066" s="406"/>
      <c r="B1066" s="405"/>
      <c r="C1066" s="406"/>
      <c r="D1066" s="406"/>
      <c r="E1066" s="407"/>
      <c r="F1066" s="408"/>
      <c r="G1066" s="408"/>
      <c r="H1066" s="409"/>
      <c r="I1066" s="408"/>
      <c r="J1066" s="408"/>
      <c r="K1066" s="408"/>
    </row>
    <row r="1067" ht="12.75" customHeight="1">
      <c r="A1067" s="404" t="s">
        <v>905</v>
      </c>
      <c r="B1067" s="405" t="s">
        <v>5021</v>
      </c>
      <c r="C1067" s="405"/>
      <c r="D1067" s="406"/>
      <c r="E1067" s="407"/>
      <c r="F1067" s="408"/>
      <c r="G1067" s="411">
        <v>16957.82</v>
      </c>
      <c r="H1067" s="412">
        <f>G1067</f>
        <v>16957.82</v>
      </c>
      <c r="I1067" s="411"/>
      <c r="J1067" s="411"/>
      <c r="K1067" s="411"/>
    </row>
    <row r="1068" ht="12.75" customHeight="1">
      <c r="A1068" s="406"/>
      <c r="B1068" s="405"/>
      <c r="C1068" s="406"/>
      <c r="D1068" s="406"/>
      <c r="E1068" s="407"/>
      <c r="F1068" s="408"/>
      <c r="G1068" s="408"/>
      <c r="H1068" s="409"/>
      <c r="I1068" s="408"/>
      <c r="J1068" s="408"/>
      <c r="K1068" s="408"/>
    </row>
    <row r="1069" ht="12.75" customHeight="1">
      <c r="A1069" s="406"/>
      <c r="B1069" s="405"/>
      <c r="C1069" s="406"/>
      <c r="D1069" s="406"/>
      <c r="E1069" s="407"/>
      <c r="F1069" s="408"/>
      <c r="G1069" s="408"/>
      <c r="H1069" s="409"/>
      <c r="I1069" s="408"/>
      <c r="J1069" s="408"/>
      <c r="K1069" s="408"/>
    </row>
    <row r="1070" ht="12.75" customHeight="1">
      <c r="A1070" s="404" t="s">
        <v>916</v>
      </c>
      <c r="B1070" s="405" t="s">
        <v>5025</v>
      </c>
      <c r="C1070" s="405"/>
      <c r="D1070" s="406"/>
      <c r="E1070" s="407"/>
      <c r="F1070" s="408"/>
      <c r="G1070" s="408"/>
      <c r="H1070" s="409"/>
      <c r="I1070" s="408"/>
      <c r="J1070" s="408"/>
      <c r="K1070" s="408"/>
    </row>
    <row r="1071" ht="12.75" customHeight="1">
      <c r="A1071" s="406"/>
      <c r="B1071" s="405"/>
      <c r="C1071" s="406"/>
      <c r="D1071" s="406"/>
      <c r="E1071" s="407"/>
      <c r="F1071" s="408"/>
      <c r="G1071" s="408"/>
      <c r="H1071" s="409"/>
      <c r="I1071" s="408"/>
      <c r="J1071" s="408"/>
      <c r="K1071" s="408"/>
    </row>
    <row r="1072" ht="12.75" customHeight="1">
      <c r="A1072" s="404" t="s">
        <v>537</v>
      </c>
      <c r="B1072" s="405" t="s">
        <v>5026</v>
      </c>
      <c r="C1072" s="405"/>
      <c r="D1072" s="406"/>
      <c r="E1072" s="407"/>
      <c r="F1072" s="408"/>
      <c r="G1072" s="408"/>
      <c r="H1072" s="409"/>
      <c r="I1072" s="408"/>
      <c r="J1072" s="408"/>
      <c r="K1072" s="408"/>
    </row>
    <row r="1073" ht="12.75" customHeight="1">
      <c r="A1073" s="406"/>
      <c r="B1073" s="405"/>
      <c r="C1073" s="406"/>
      <c r="D1073" s="406"/>
      <c r="E1073" s="407"/>
      <c r="F1073" s="408"/>
      <c r="G1073" s="408"/>
      <c r="H1073" s="409"/>
      <c r="I1073" s="408"/>
      <c r="J1073" s="408"/>
      <c r="K1073" s="408"/>
    </row>
    <row r="1074" ht="12.75" customHeight="1">
      <c r="A1074" s="404" t="s">
        <v>539</v>
      </c>
      <c r="B1074" s="405" t="s">
        <v>5027</v>
      </c>
      <c r="C1074" s="405"/>
      <c r="D1074" s="406"/>
      <c r="E1074" s="407"/>
      <c r="F1074" s="408"/>
      <c r="G1074" s="408"/>
      <c r="H1074" s="409"/>
      <c r="I1074" s="408"/>
      <c r="J1074" s="408"/>
      <c r="K1074" s="408"/>
    </row>
    <row r="1075" ht="12.75" customHeight="1">
      <c r="A1075" s="406"/>
      <c r="B1075" s="405"/>
      <c r="C1075" s="406"/>
      <c r="D1075" s="406"/>
      <c r="E1075" s="407"/>
      <c r="F1075" s="408"/>
      <c r="G1075" s="408"/>
      <c r="H1075" s="409"/>
      <c r="I1075" s="408"/>
      <c r="J1075" s="408"/>
      <c r="K1075" s="408"/>
    </row>
    <row r="1076" ht="12.75" customHeight="1">
      <c r="A1076" s="406"/>
      <c r="B1076" s="405" t="s">
        <v>920</v>
      </c>
      <c r="C1076" s="405"/>
      <c r="D1076" s="404" t="s">
        <v>877</v>
      </c>
      <c r="E1076" s="410">
        <v>42.55</v>
      </c>
      <c r="F1076" s="411">
        <v>308.17</v>
      </c>
      <c r="G1076" s="411">
        <v>13112.63</v>
      </c>
      <c r="H1076" s="412"/>
      <c r="I1076" s="411"/>
      <c r="J1076" s="411"/>
      <c r="K1076" s="411"/>
    </row>
    <row r="1077" ht="12.75" customHeight="1">
      <c r="A1077" s="406"/>
      <c r="B1077" s="405"/>
      <c r="C1077" s="406"/>
      <c r="D1077" s="406"/>
      <c r="E1077" s="407"/>
      <c r="F1077" s="408"/>
      <c r="G1077" s="408"/>
      <c r="H1077" s="409"/>
      <c r="I1077" s="408"/>
      <c r="J1077" s="408"/>
      <c r="K1077" s="408"/>
    </row>
    <row r="1078" ht="12.75" customHeight="1">
      <c r="A1078" s="406"/>
      <c r="B1078" s="405" t="s">
        <v>921</v>
      </c>
      <c r="C1078" s="405"/>
      <c r="D1078" s="404" t="s">
        <v>877</v>
      </c>
      <c r="E1078" s="410">
        <v>3.92</v>
      </c>
      <c r="F1078" s="411">
        <v>376.42</v>
      </c>
      <c r="G1078" s="411">
        <v>1475.57</v>
      </c>
      <c r="H1078" s="412"/>
      <c r="I1078" s="411"/>
      <c r="J1078" s="411"/>
      <c r="K1078" s="411"/>
    </row>
    <row r="1079" ht="12.75" customHeight="1">
      <c r="A1079" s="406"/>
      <c r="B1079" s="405"/>
      <c r="C1079" s="406"/>
      <c r="D1079" s="406"/>
      <c r="E1079" s="407"/>
      <c r="F1079" s="408"/>
      <c r="G1079" s="408"/>
      <c r="H1079" s="409"/>
      <c r="I1079" s="408"/>
      <c r="J1079" s="408"/>
      <c r="K1079" s="408"/>
    </row>
    <row r="1080" ht="12.75" customHeight="1">
      <c r="A1080" s="406"/>
      <c r="B1080" s="405" t="s">
        <v>922</v>
      </c>
      <c r="C1080" s="405"/>
      <c r="D1080" s="404" t="s">
        <v>877</v>
      </c>
      <c r="E1080" s="410">
        <v>3.88</v>
      </c>
      <c r="F1080" s="411">
        <v>470.49</v>
      </c>
      <c r="G1080" s="411">
        <v>1825.5</v>
      </c>
      <c r="H1080" s="412"/>
      <c r="I1080" s="411"/>
      <c r="J1080" s="411"/>
      <c r="K1080" s="411"/>
    </row>
    <row r="1081" ht="12.75" customHeight="1">
      <c r="A1081" s="406"/>
      <c r="B1081" s="405"/>
      <c r="C1081" s="406"/>
      <c r="D1081" s="406"/>
      <c r="E1081" s="407"/>
      <c r="F1081" s="408"/>
      <c r="G1081" s="408"/>
      <c r="H1081" s="409"/>
      <c r="I1081" s="408"/>
      <c r="J1081" s="408"/>
      <c r="K1081" s="408"/>
    </row>
    <row r="1082" ht="12.75" customHeight="1">
      <c r="A1082" s="406"/>
      <c r="B1082" s="405" t="s">
        <v>923</v>
      </c>
      <c r="C1082" s="405"/>
      <c r="D1082" s="404" t="s">
        <v>877</v>
      </c>
      <c r="E1082" s="410">
        <v>4.5</v>
      </c>
      <c r="F1082" s="411">
        <v>376.42</v>
      </c>
      <c r="G1082" s="411">
        <v>1693.89</v>
      </c>
      <c r="H1082" s="412"/>
      <c r="I1082" s="411"/>
      <c r="J1082" s="411"/>
      <c r="K1082" s="411"/>
    </row>
    <row r="1083" ht="12.75" customHeight="1">
      <c r="A1083" s="406"/>
      <c r="B1083" s="405"/>
      <c r="C1083" s="406"/>
      <c r="D1083" s="406"/>
      <c r="E1083" s="407"/>
      <c r="F1083" s="408"/>
      <c r="G1083" s="408"/>
      <c r="H1083" s="409"/>
      <c r="I1083" s="408"/>
      <c r="J1083" s="408"/>
      <c r="K1083" s="408"/>
    </row>
    <row r="1084" ht="12.75" customHeight="1">
      <c r="A1084" s="404" t="s">
        <v>924</v>
      </c>
      <c r="B1084" s="405" t="s">
        <v>5028</v>
      </c>
      <c r="C1084" s="405"/>
      <c r="D1084" s="406"/>
      <c r="E1084" s="407"/>
      <c r="F1084" s="408"/>
      <c r="G1084" s="408"/>
      <c r="H1084" s="409"/>
      <c r="I1084" s="408"/>
      <c r="J1084" s="408"/>
      <c r="K1084" s="408"/>
    </row>
    <row r="1085" ht="12.75" customHeight="1">
      <c r="A1085" s="406"/>
      <c r="B1085" s="405"/>
      <c r="C1085" s="406"/>
      <c r="D1085" s="406"/>
      <c r="E1085" s="407"/>
      <c r="F1085" s="408"/>
      <c r="G1085" s="408"/>
      <c r="H1085" s="409"/>
      <c r="I1085" s="408"/>
      <c r="J1085" s="408"/>
      <c r="K1085" s="408"/>
    </row>
    <row r="1086" ht="12.75" customHeight="1">
      <c r="A1086" s="406"/>
      <c r="B1086" s="405" t="s">
        <v>922</v>
      </c>
      <c r="C1086" s="405"/>
      <c r="D1086" s="404" t="s">
        <v>877</v>
      </c>
      <c r="E1086" s="410">
        <v>3.88</v>
      </c>
      <c r="F1086" s="411">
        <v>470.49</v>
      </c>
      <c r="G1086" s="411">
        <v>1825.5</v>
      </c>
      <c r="H1086" s="412"/>
      <c r="I1086" s="411"/>
      <c r="J1086" s="411"/>
      <c r="K1086" s="411"/>
    </row>
    <row r="1087" ht="12.75" customHeight="1">
      <c r="A1087" s="406"/>
      <c r="B1087" s="405"/>
      <c r="C1087" s="406"/>
      <c r="D1087" s="406"/>
      <c r="E1087" s="407"/>
      <c r="F1087" s="408"/>
      <c r="G1087" s="408"/>
      <c r="H1087" s="409"/>
      <c r="I1087" s="408"/>
      <c r="J1087" s="408"/>
      <c r="K1087" s="408"/>
    </row>
    <row r="1088" ht="12.75" customHeight="1">
      <c r="A1088" s="406"/>
      <c r="B1088" s="405" t="s">
        <v>926</v>
      </c>
      <c r="C1088" s="405"/>
      <c r="D1088" s="404" t="s">
        <v>877</v>
      </c>
      <c r="E1088" s="410">
        <v>6.39</v>
      </c>
      <c r="F1088" s="411">
        <v>338.74</v>
      </c>
      <c r="G1088" s="411">
        <v>2164.55</v>
      </c>
      <c r="H1088" s="412"/>
      <c r="I1088" s="411"/>
      <c r="J1088" s="411"/>
      <c r="K1088" s="411"/>
    </row>
    <row r="1089" ht="12.75" customHeight="1">
      <c r="A1089" s="406"/>
      <c r="B1089" s="405"/>
      <c r="C1089" s="406"/>
      <c r="D1089" s="406"/>
      <c r="E1089" s="407"/>
      <c r="F1089" s="408"/>
      <c r="G1089" s="408"/>
      <c r="H1089" s="409"/>
      <c r="I1089" s="408"/>
      <c r="J1089" s="408"/>
      <c r="K1089" s="408"/>
    </row>
    <row r="1090" ht="12.75" customHeight="1">
      <c r="A1090" s="404" t="s">
        <v>916</v>
      </c>
      <c r="B1090" s="405" t="s">
        <v>5025</v>
      </c>
      <c r="C1090" s="405"/>
      <c r="D1090" s="406"/>
      <c r="E1090" s="407"/>
      <c r="F1090" s="408"/>
      <c r="G1090" s="411">
        <v>22097.64</v>
      </c>
      <c r="H1090" s="412">
        <f>G1090</f>
        <v>22097.64</v>
      </c>
      <c r="I1090" s="411"/>
      <c r="J1090" s="411"/>
      <c r="K1090" s="411"/>
    </row>
    <row r="1091" ht="12.75" customHeight="1">
      <c r="A1091" s="406"/>
      <c r="B1091" s="405"/>
      <c r="C1091" s="406"/>
      <c r="D1091" s="406"/>
      <c r="E1091" s="407"/>
      <c r="F1091" s="408"/>
      <c r="G1091" s="408"/>
      <c r="H1091" s="409"/>
      <c r="I1091" s="408"/>
      <c r="J1091" s="408"/>
      <c r="K1091" s="408"/>
    </row>
    <row r="1092" ht="12.75" customHeight="1">
      <c r="A1092" s="406"/>
      <c r="B1092" s="405"/>
      <c r="C1092" s="406"/>
      <c r="D1092" s="406"/>
      <c r="E1092" s="407"/>
      <c r="F1092" s="408"/>
      <c r="G1092" s="408"/>
      <c r="H1092" s="409"/>
      <c r="I1092" s="408"/>
      <c r="J1092" s="408"/>
      <c r="K1092" s="408"/>
    </row>
    <row r="1093" ht="12.75" customHeight="1">
      <c r="A1093" s="404" t="s">
        <v>927</v>
      </c>
      <c r="B1093" s="405" t="s">
        <v>5029</v>
      </c>
      <c r="C1093" s="405"/>
      <c r="D1093" s="406"/>
      <c r="E1093" s="407"/>
      <c r="F1093" s="408"/>
      <c r="G1093" s="408"/>
      <c r="H1093" s="409"/>
      <c r="I1093" s="408"/>
      <c r="J1093" s="408"/>
      <c r="K1093" s="408"/>
    </row>
    <row r="1094" ht="12.75" customHeight="1">
      <c r="A1094" s="406"/>
      <c r="B1094" s="405"/>
      <c r="C1094" s="406"/>
      <c r="D1094" s="406"/>
      <c r="E1094" s="407"/>
      <c r="F1094" s="408"/>
      <c r="G1094" s="408"/>
      <c r="H1094" s="409"/>
      <c r="I1094" s="408"/>
      <c r="J1094" s="408"/>
      <c r="K1094" s="408"/>
    </row>
    <row r="1095" ht="12.75" customHeight="1">
      <c r="A1095" s="404" t="s">
        <v>610</v>
      </c>
      <c r="B1095" s="405" t="s">
        <v>5030</v>
      </c>
      <c r="C1095" s="405"/>
      <c r="D1095" s="406"/>
      <c r="E1095" s="407"/>
      <c r="F1095" s="408"/>
      <c r="G1095" s="408"/>
      <c r="H1095" s="409"/>
      <c r="I1095" s="408"/>
      <c r="J1095" s="408"/>
      <c r="K1095" s="408"/>
    </row>
    <row r="1096" ht="12.75" customHeight="1">
      <c r="A1096" s="406"/>
      <c r="B1096" s="405"/>
      <c r="C1096" s="406"/>
      <c r="D1096" s="406"/>
      <c r="E1096" s="407"/>
      <c r="F1096" s="408"/>
      <c r="G1096" s="408"/>
      <c r="H1096" s="409"/>
      <c r="I1096" s="408"/>
      <c r="J1096" s="408"/>
      <c r="K1096" s="408"/>
    </row>
    <row r="1097" ht="12.75" customHeight="1">
      <c r="A1097" s="404" t="s">
        <v>612</v>
      </c>
      <c r="B1097" s="405" t="s">
        <v>5031</v>
      </c>
      <c r="C1097" s="405"/>
      <c r="D1097" s="404" t="s">
        <v>877</v>
      </c>
      <c r="E1097" s="410">
        <v>45.8</v>
      </c>
      <c r="F1097" s="411">
        <v>28.45</v>
      </c>
      <c r="G1097" s="411">
        <v>1303.01</v>
      </c>
      <c r="H1097" s="412"/>
      <c r="I1097" s="411"/>
      <c r="J1097" s="411"/>
      <c r="K1097" s="411"/>
    </row>
    <row r="1098" ht="12.75" customHeight="1">
      <c r="A1098" s="406"/>
      <c r="B1098" s="405"/>
      <c r="C1098" s="406"/>
      <c r="D1098" s="406"/>
      <c r="E1098" s="407"/>
      <c r="F1098" s="408"/>
      <c r="G1098" s="408"/>
      <c r="H1098" s="409"/>
      <c r="I1098" s="408"/>
      <c r="J1098" s="408"/>
      <c r="K1098" s="408"/>
    </row>
    <row r="1099" ht="12.75" customHeight="1">
      <c r="A1099" s="404" t="s">
        <v>620</v>
      </c>
      <c r="B1099" s="405" t="s">
        <v>5032</v>
      </c>
      <c r="C1099" s="405"/>
      <c r="D1099" s="404" t="s">
        <v>877</v>
      </c>
      <c r="E1099" s="410">
        <v>10.42</v>
      </c>
      <c r="F1099" s="411">
        <v>35.56</v>
      </c>
      <c r="G1099" s="411">
        <v>370.54</v>
      </c>
      <c r="H1099" s="412"/>
      <c r="I1099" s="411"/>
      <c r="J1099" s="411"/>
      <c r="K1099" s="411"/>
    </row>
    <row r="1100" ht="12.75" customHeight="1">
      <c r="A1100" s="406"/>
      <c r="B1100" s="405"/>
      <c r="C1100" s="406"/>
      <c r="D1100" s="406"/>
      <c r="E1100" s="407"/>
      <c r="F1100" s="408"/>
      <c r="G1100" s="408"/>
      <c r="H1100" s="409"/>
      <c r="I1100" s="408"/>
      <c r="J1100" s="408"/>
      <c r="K1100" s="408"/>
    </row>
    <row r="1101" ht="12.75" customHeight="1">
      <c r="A1101" s="404" t="s">
        <v>626</v>
      </c>
      <c r="B1101" s="405" t="s">
        <v>5033</v>
      </c>
      <c r="C1101" s="405"/>
      <c r="D1101" s="404" t="s">
        <v>933</v>
      </c>
      <c r="E1101" s="410">
        <v>41.25</v>
      </c>
      <c r="F1101" s="411">
        <v>179.17</v>
      </c>
      <c r="G1101" s="411">
        <v>7390.76</v>
      </c>
      <c r="H1101" s="412"/>
      <c r="I1101" s="411"/>
      <c r="J1101" s="411"/>
      <c r="K1101" s="411"/>
    </row>
    <row r="1102" ht="12.75" customHeight="1">
      <c r="A1102" s="406"/>
      <c r="B1102" s="405"/>
      <c r="C1102" s="406"/>
      <c r="D1102" s="406"/>
      <c r="E1102" s="407"/>
      <c r="F1102" s="408"/>
      <c r="G1102" s="408"/>
      <c r="H1102" s="409"/>
      <c r="I1102" s="408"/>
      <c r="J1102" s="408"/>
      <c r="K1102" s="408"/>
    </row>
    <row r="1103" ht="12.75" customHeight="1">
      <c r="A1103" s="404" t="s">
        <v>628</v>
      </c>
      <c r="B1103" s="405" t="s">
        <v>5034</v>
      </c>
      <c r="C1103" s="405"/>
      <c r="D1103" s="406"/>
      <c r="E1103" s="407"/>
      <c r="F1103" s="408"/>
      <c r="G1103" s="408"/>
      <c r="H1103" s="409"/>
      <c r="I1103" s="408"/>
      <c r="J1103" s="408"/>
      <c r="K1103" s="408"/>
    </row>
    <row r="1104" ht="12.75" customHeight="1">
      <c r="A1104" s="406"/>
      <c r="B1104" s="405"/>
      <c r="C1104" s="406"/>
      <c r="D1104" s="406"/>
      <c r="E1104" s="407"/>
      <c r="F1104" s="408"/>
      <c r="G1104" s="408"/>
      <c r="H1104" s="409"/>
      <c r="I1104" s="408"/>
      <c r="J1104" s="408"/>
      <c r="K1104" s="408"/>
    </row>
    <row r="1105" ht="12.75" customHeight="1">
      <c r="A1105" s="404" t="s">
        <v>935</v>
      </c>
      <c r="B1105" s="405" t="s">
        <v>5035</v>
      </c>
      <c r="C1105" s="405"/>
      <c r="D1105" s="404" t="s">
        <v>33</v>
      </c>
      <c r="E1105" s="410">
        <v>1.0</v>
      </c>
      <c r="F1105" s="411">
        <v>3827.24</v>
      </c>
      <c r="G1105" s="411">
        <v>3827.24</v>
      </c>
      <c r="H1105" s="412"/>
      <c r="I1105" s="411"/>
      <c r="J1105" s="411"/>
      <c r="K1105" s="411"/>
    </row>
    <row r="1106" ht="12.75" customHeight="1">
      <c r="A1106" s="406"/>
      <c r="B1106" s="405"/>
      <c r="C1106" s="406"/>
      <c r="D1106" s="406"/>
      <c r="E1106" s="407"/>
      <c r="F1106" s="408"/>
      <c r="G1106" s="408"/>
      <c r="H1106" s="409"/>
      <c r="I1106" s="408"/>
      <c r="J1106" s="408"/>
      <c r="K1106" s="408"/>
    </row>
    <row r="1107" ht="12.75" customHeight="1">
      <c r="A1107" s="404" t="s">
        <v>927</v>
      </c>
      <c r="B1107" s="405" t="s">
        <v>5029</v>
      </c>
      <c r="C1107" s="405"/>
      <c r="D1107" s="406"/>
      <c r="E1107" s="407"/>
      <c r="F1107" s="408"/>
      <c r="G1107" s="411">
        <v>12891.55</v>
      </c>
      <c r="H1107" s="412">
        <f>G1107</f>
        <v>12891.55</v>
      </c>
      <c r="I1107" s="411"/>
      <c r="J1107" s="411"/>
      <c r="K1107" s="411"/>
    </row>
    <row r="1108" ht="12.75" customHeight="1">
      <c r="A1108" s="406"/>
      <c r="B1108" s="405"/>
      <c r="C1108" s="406"/>
      <c r="D1108" s="406"/>
      <c r="E1108" s="407"/>
      <c r="F1108" s="408"/>
      <c r="G1108" s="408"/>
      <c r="H1108" s="409"/>
      <c r="I1108" s="408"/>
      <c r="J1108" s="408"/>
      <c r="K1108" s="408"/>
    </row>
    <row r="1109" ht="12.75" customHeight="1">
      <c r="A1109" s="404" t="s">
        <v>3696</v>
      </c>
      <c r="B1109" s="405" t="s">
        <v>4953</v>
      </c>
      <c r="C1109" s="405"/>
      <c r="D1109" s="406"/>
      <c r="E1109" s="407"/>
      <c r="F1109" s="408"/>
      <c r="G1109" s="411">
        <v>558392.25</v>
      </c>
      <c r="H1109" s="412"/>
      <c r="I1109" s="411"/>
      <c r="J1109" s="411"/>
      <c r="K1109" s="411"/>
    </row>
    <row r="1110" ht="12.75" customHeight="1">
      <c r="A1110" s="406"/>
      <c r="B1110" s="405"/>
      <c r="C1110" s="406"/>
      <c r="D1110" s="406"/>
      <c r="E1110" s="407"/>
      <c r="F1110" s="408"/>
      <c r="G1110" s="408"/>
      <c r="H1110" s="409"/>
      <c r="I1110" s="408"/>
      <c r="J1110" s="408"/>
      <c r="K1110" s="408"/>
    </row>
    <row r="1111" ht="12.75" customHeight="1">
      <c r="B1111" s="90"/>
      <c r="E1111" s="79"/>
      <c r="F1111" s="80"/>
      <c r="G1111" s="80"/>
      <c r="H1111" s="81"/>
      <c r="I1111" s="80"/>
      <c r="J1111" s="80"/>
      <c r="K1111" s="80"/>
    </row>
    <row r="1112" ht="12.75" customHeight="1">
      <c r="A1112" s="89" t="s">
        <v>4090</v>
      </c>
      <c r="B1112" s="96" t="s">
        <v>5036</v>
      </c>
      <c r="C1112" s="90"/>
      <c r="E1112" s="79"/>
      <c r="F1112" s="80"/>
      <c r="G1112" s="80"/>
      <c r="H1112" s="81"/>
      <c r="I1112" s="80"/>
      <c r="J1112" s="80"/>
      <c r="K1112" s="80"/>
    </row>
    <row r="1113" ht="12.75" customHeight="1">
      <c r="B1113" s="90"/>
      <c r="E1113" s="79"/>
      <c r="F1113" s="80"/>
      <c r="G1113" s="80"/>
      <c r="H1113" s="81"/>
      <c r="I1113" s="80"/>
      <c r="J1113" s="80"/>
      <c r="K1113" s="80"/>
    </row>
    <row r="1114" ht="12.75" customHeight="1">
      <c r="A1114" s="89" t="s">
        <v>4090</v>
      </c>
      <c r="B1114" s="96" t="s">
        <v>5037</v>
      </c>
      <c r="C1114" s="90"/>
      <c r="E1114" s="79"/>
      <c r="F1114" s="80"/>
      <c r="G1114" s="80"/>
      <c r="H1114" s="81"/>
      <c r="I1114" s="80"/>
      <c r="J1114" s="80"/>
      <c r="K1114" s="80"/>
    </row>
    <row r="1115" ht="12.75" customHeight="1">
      <c r="B1115" s="90"/>
      <c r="E1115" s="79"/>
      <c r="F1115" s="80"/>
      <c r="G1115" s="80"/>
      <c r="H1115" s="81"/>
      <c r="I1115" s="80"/>
      <c r="J1115" s="80"/>
      <c r="K1115" s="80"/>
    </row>
    <row r="1116" ht="12.75" customHeight="1">
      <c r="A1116" s="89" t="s">
        <v>4093</v>
      </c>
      <c r="B1116" s="96" t="s">
        <v>5038</v>
      </c>
      <c r="C1116" s="90"/>
      <c r="E1116" s="79"/>
      <c r="F1116" s="80"/>
      <c r="G1116" s="80"/>
      <c r="H1116" s="81"/>
      <c r="I1116" s="80"/>
      <c r="J1116" s="80"/>
      <c r="K1116" s="80"/>
    </row>
    <row r="1117" ht="12.75" customHeight="1">
      <c r="B1117" s="90"/>
      <c r="E1117" s="79"/>
      <c r="F1117" s="80"/>
      <c r="G1117" s="80"/>
      <c r="H1117" s="81"/>
      <c r="I1117" s="80"/>
      <c r="J1117" s="80"/>
      <c r="K1117" s="80"/>
    </row>
    <row r="1118" ht="12.75" customHeight="1">
      <c r="A1118" s="89" t="s">
        <v>940</v>
      </c>
      <c r="B1118" s="96" t="s">
        <v>5039</v>
      </c>
      <c r="C1118" s="90"/>
      <c r="E1118" s="79"/>
      <c r="F1118" s="80"/>
      <c r="G1118" s="80"/>
      <c r="H1118" s="81"/>
      <c r="I1118" s="80"/>
      <c r="J1118" s="80"/>
      <c r="K1118" s="80"/>
    </row>
    <row r="1119" ht="12.75" customHeight="1">
      <c r="B1119" s="90"/>
      <c r="E1119" s="79"/>
      <c r="F1119" s="80"/>
      <c r="G1119" s="80"/>
      <c r="H1119" s="81"/>
      <c r="I1119" s="80"/>
      <c r="J1119" s="80"/>
      <c r="K1119" s="80"/>
    </row>
    <row r="1120" ht="12.75" customHeight="1">
      <c r="A1120" s="89" t="s">
        <v>942</v>
      </c>
      <c r="B1120" s="96" t="s">
        <v>5040</v>
      </c>
      <c r="C1120" s="90"/>
      <c r="D1120" s="89" t="s">
        <v>161</v>
      </c>
      <c r="E1120" s="91">
        <v>111.35</v>
      </c>
      <c r="F1120" s="92">
        <v>4.54</v>
      </c>
      <c r="G1120" s="92">
        <v>505.53</v>
      </c>
      <c r="H1120" s="93"/>
      <c r="I1120" s="92"/>
      <c r="J1120" s="92"/>
      <c r="K1120" s="92"/>
    </row>
    <row r="1121" ht="12.75" customHeight="1">
      <c r="B1121" s="90"/>
      <c r="E1121" s="79"/>
      <c r="F1121" s="80"/>
      <c r="G1121" s="80"/>
      <c r="H1121" s="81"/>
      <c r="I1121" s="80"/>
      <c r="J1121" s="80"/>
      <c r="K1121" s="80"/>
    </row>
    <row r="1122" ht="12.75" customHeight="1">
      <c r="A1122" s="89" t="s">
        <v>944</v>
      </c>
      <c r="B1122" s="96" t="s">
        <v>5041</v>
      </c>
      <c r="C1122" s="90"/>
      <c r="D1122" s="89" t="s">
        <v>161</v>
      </c>
      <c r="E1122" s="91">
        <v>1.7</v>
      </c>
      <c r="F1122" s="92">
        <v>6.23</v>
      </c>
      <c r="G1122" s="92">
        <v>10.59</v>
      </c>
      <c r="H1122" s="93"/>
      <c r="I1122" s="92"/>
      <c r="J1122" s="92"/>
      <c r="K1122" s="92"/>
    </row>
    <row r="1123" ht="12.75" customHeight="1">
      <c r="B1123" s="90"/>
      <c r="E1123" s="79"/>
      <c r="F1123" s="80"/>
      <c r="G1123" s="80"/>
      <c r="H1123" s="81"/>
      <c r="I1123" s="80"/>
      <c r="J1123" s="80"/>
      <c r="K1123" s="80"/>
    </row>
    <row r="1124" ht="12.75" customHeight="1">
      <c r="A1124" s="89" t="s">
        <v>946</v>
      </c>
      <c r="B1124" s="96" t="s">
        <v>5042</v>
      </c>
      <c r="C1124" s="90"/>
      <c r="D1124" s="89" t="s">
        <v>161</v>
      </c>
      <c r="E1124" s="91">
        <v>42.4</v>
      </c>
      <c r="F1124" s="92">
        <v>8.74</v>
      </c>
      <c r="G1124" s="92">
        <v>370.58</v>
      </c>
      <c r="H1124" s="93"/>
      <c r="I1124" s="92"/>
      <c r="J1124" s="92"/>
      <c r="K1124" s="92"/>
    </row>
    <row r="1125" ht="12.75" customHeight="1">
      <c r="B1125" s="90"/>
      <c r="E1125" s="79"/>
      <c r="F1125" s="80"/>
      <c r="G1125" s="80"/>
      <c r="H1125" s="81"/>
      <c r="I1125" s="80"/>
      <c r="J1125" s="80"/>
      <c r="K1125" s="80"/>
    </row>
    <row r="1126" ht="12.75" customHeight="1">
      <c r="A1126" s="89" t="s">
        <v>948</v>
      </c>
      <c r="B1126" s="96" t="s">
        <v>5043</v>
      </c>
      <c r="C1126" s="90"/>
      <c r="E1126" s="79"/>
      <c r="F1126" s="80"/>
      <c r="G1126" s="80"/>
      <c r="H1126" s="81"/>
      <c r="I1126" s="80"/>
      <c r="J1126" s="80"/>
      <c r="K1126" s="80"/>
    </row>
    <row r="1127" ht="12.75" customHeight="1">
      <c r="B1127" s="90"/>
      <c r="E1127" s="79"/>
      <c r="F1127" s="80"/>
      <c r="G1127" s="80"/>
      <c r="H1127" s="81"/>
      <c r="I1127" s="80"/>
      <c r="J1127" s="80"/>
      <c r="K1127" s="80"/>
    </row>
    <row r="1128" ht="12.75" customHeight="1">
      <c r="A1128" s="89" t="s">
        <v>950</v>
      </c>
      <c r="B1128" s="96" t="s">
        <v>2620</v>
      </c>
      <c r="C1128" s="90"/>
      <c r="D1128" s="89" t="s">
        <v>161</v>
      </c>
      <c r="E1128" s="91">
        <v>64.54</v>
      </c>
      <c r="F1128" s="92">
        <v>11.64</v>
      </c>
      <c r="G1128" s="92">
        <v>751.25</v>
      </c>
      <c r="H1128" s="93"/>
      <c r="I1128" s="92"/>
      <c r="J1128" s="92"/>
      <c r="K1128" s="92"/>
    </row>
    <row r="1129" ht="12.75" customHeight="1">
      <c r="B1129" s="90"/>
      <c r="E1129" s="79"/>
      <c r="F1129" s="80"/>
      <c r="G1129" s="80"/>
      <c r="H1129" s="81"/>
      <c r="I1129" s="80"/>
      <c r="J1129" s="80"/>
      <c r="K1129" s="80"/>
    </row>
    <row r="1130" ht="12.75" customHeight="1">
      <c r="A1130" s="89" t="s">
        <v>952</v>
      </c>
      <c r="B1130" s="96" t="s">
        <v>2622</v>
      </c>
      <c r="C1130" s="90"/>
      <c r="D1130" s="89" t="s">
        <v>161</v>
      </c>
      <c r="E1130" s="91">
        <v>82.73</v>
      </c>
      <c r="F1130" s="92">
        <v>12.59</v>
      </c>
      <c r="G1130" s="92">
        <v>1041.57</v>
      </c>
      <c r="H1130" s="93"/>
      <c r="I1130" s="92"/>
      <c r="J1130" s="92"/>
      <c r="K1130" s="92"/>
    </row>
    <row r="1131" ht="12.75" customHeight="1">
      <c r="B1131" s="90"/>
      <c r="E1131" s="79"/>
      <c r="F1131" s="80"/>
      <c r="G1131" s="80"/>
      <c r="H1131" s="81"/>
      <c r="I1131" s="80"/>
      <c r="J1131" s="80"/>
      <c r="K1131" s="80"/>
    </row>
    <row r="1132" ht="12.75" customHeight="1">
      <c r="A1132" s="89" t="s">
        <v>954</v>
      </c>
      <c r="B1132" s="96" t="s">
        <v>2624</v>
      </c>
      <c r="C1132" s="90"/>
      <c r="D1132" s="89" t="s">
        <v>161</v>
      </c>
      <c r="E1132" s="91">
        <v>39.6</v>
      </c>
      <c r="F1132" s="92">
        <v>16.77</v>
      </c>
      <c r="G1132" s="92">
        <v>664.09</v>
      </c>
      <c r="H1132" s="93"/>
      <c r="I1132" s="92"/>
      <c r="J1132" s="92"/>
      <c r="K1132" s="92"/>
    </row>
    <row r="1133" ht="12.75" customHeight="1">
      <c r="B1133" s="90"/>
      <c r="E1133" s="79"/>
      <c r="F1133" s="80"/>
      <c r="G1133" s="80"/>
      <c r="H1133" s="81"/>
      <c r="I1133" s="80"/>
      <c r="J1133" s="80"/>
      <c r="K1133" s="80"/>
    </row>
    <row r="1134" ht="12.75" customHeight="1">
      <c r="A1134" s="89" t="s">
        <v>956</v>
      </c>
      <c r="B1134" s="96" t="s">
        <v>2626</v>
      </c>
      <c r="C1134" s="90"/>
      <c r="D1134" s="89" t="s">
        <v>161</v>
      </c>
      <c r="E1134" s="91">
        <v>27.8</v>
      </c>
      <c r="F1134" s="92">
        <v>20.75</v>
      </c>
      <c r="G1134" s="92">
        <v>576.85</v>
      </c>
      <c r="H1134" s="93"/>
      <c r="I1134" s="92"/>
      <c r="J1134" s="92"/>
      <c r="K1134" s="92"/>
    </row>
    <row r="1135" ht="12.75" customHeight="1">
      <c r="B1135" s="90"/>
      <c r="E1135" s="79"/>
      <c r="F1135" s="80"/>
      <c r="G1135" s="80"/>
      <c r="H1135" s="81"/>
      <c r="I1135" s="80"/>
      <c r="J1135" s="80"/>
      <c r="K1135" s="80"/>
    </row>
    <row r="1136" ht="12.75" customHeight="1">
      <c r="A1136" s="89" t="s">
        <v>958</v>
      </c>
      <c r="B1136" s="96" t="s">
        <v>2628</v>
      </c>
      <c r="C1136" s="90"/>
      <c r="D1136" s="89" t="s">
        <v>161</v>
      </c>
      <c r="E1136" s="91">
        <v>17.28</v>
      </c>
      <c r="F1136" s="92">
        <v>32.69</v>
      </c>
      <c r="G1136" s="92">
        <v>564.88</v>
      </c>
      <c r="H1136" s="93"/>
      <c r="I1136" s="92"/>
      <c r="J1136" s="92"/>
      <c r="K1136" s="92"/>
    </row>
    <row r="1137" ht="12.75" customHeight="1">
      <c r="B1137" s="90"/>
      <c r="E1137" s="79"/>
      <c r="F1137" s="80"/>
      <c r="G1137" s="80"/>
      <c r="H1137" s="81"/>
      <c r="I1137" s="80"/>
      <c r="J1137" s="80"/>
      <c r="K1137" s="80"/>
    </row>
    <row r="1138" ht="12.75" customHeight="1">
      <c r="A1138" s="89" t="s">
        <v>4097</v>
      </c>
      <c r="B1138" s="96" t="s">
        <v>5044</v>
      </c>
      <c r="C1138" s="90"/>
      <c r="E1138" s="79"/>
      <c r="F1138" s="80"/>
      <c r="G1138" s="80"/>
      <c r="H1138" s="81"/>
      <c r="I1138" s="80"/>
      <c r="J1138" s="80"/>
      <c r="K1138" s="80"/>
    </row>
    <row r="1139" ht="12.75" customHeight="1">
      <c r="B1139" s="90"/>
      <c r="E1139" s="79"/>
      <c r="F1139" s="80"/>
      <c r="G1139" s="80"/>
      <c r="H1139" s="81"/>
      <c r="I1139" s="80"/>
      <c r="J1139" s="80"/>
      <c r="K1139" s="80"/>
    </row>
    <row r="1140" ht="12.75" customHeight="1">
      <c r="A1140" s="89" t="s">
        <v>961</v>
      </c>
      <c r="B1140" s="96" t="s">
        <v>5045</v>
      </c>
      <c r="C1140" s="90"/>
      <c r="E1140" s="79"/>
      <c r="F1140" s="80"/>
      <c r="G1140" s="80"/>
      <c r="H1140" s="81"/>
      <c r="I1140" s="80"/>
      <c r="J1140" s="80"/>
      <c r="K1140" s="80"/>
    </row>
    <row r="1141" ht="12.75" customHeight="1">
      <c r="B1141" s="90"/>
      <c r="E1141" s="79"/>
      <c r="F1141" s="80"/>
      <c r="G1141" s="80"/>
      <c r="H1141" s="81"/>
      <c r="I1141" s="80"/>
      <c r="J1141" s="80"/>
      <c r="K1141" s="80"/>
    </row>
    <row r="1142" ht="12.75" customHeight="1">
      <c r="A1142" s="89" t="s">
        <v>963</v>
      </c>
      <c r="B1142" s="96" t="s">
        <v>2620</v>
      </c>
      <c r="C1142" s="90"/>
      <c r="D1142" s="89" t="s">
        <v>161</v>
      </c>
      <c r="E1142" s="91">
        <v>33.18</v>
      </c>
      <c r="F1142" s="92">
        <v>11.64</v>
      </c>
      <c r="G1142" s="92">
        <v>386.22</v>
      </c>
      <c r="H1142" s="93"/>
      <c r="I1142" s="92"/>
      <c r="J1142" s="92"/>
      <c r="K1142" s="92"/>
    </row>
    <row r="1143" ht="12.75" customHeight="1">
      <c r="B1143" s="90"/>
      <c r="E1143" s="79"/>
      <c r="F1143" s="80"/>
      <c r="G1143" s="80"/>
      <c r="H1143" s="81"/>
      <c r="I1143" s="80"/>
      <c r="J1143" s="80"/>
      <c r="K1143" s="80"/>
    </row>
    <row r="1144" ht="12.75" customHeight="1">
      <c r="A1144" s="89" t="s">
        <v>964</v>
      </c>
      <c r="B1144" s="96" t="s">
        <v>2622</v>
      </c>
      <c r="C1144" s="90"/>
      <c r="D1144" s="89" t="s">
        <v>161</v>
      </c>
      <c r="E1144" s="91">
        <v>87.49</v>
      </c>
      <c r="F1144" s="92">
        <v>12.59</v>
      </c>
      <c r="G1144" s="92">
        <v>1101.5</v>
      </c>
      <c r="H1144" s="93"/>
      <c r="I1144" s="92"/>
      <c r="J1144" s="92"/>
      <c r="K1144" s="92"/>
    </row>
    <row r="1145" ht="12.75" customHeight="1">
      <c r="B1145" s="90"/>
      <c r="E1145" s="79"/>
      <c r="F1145" s="80"/>
      <c r="G1145" s="80"/>
      <c r="H1145" s="81"/>
      <c r="I1145" s="80"/>
      <c r="J1145" s="80"/>
      <c r="K1145" s="80"/>
    </row>
    <row r="1146" ht="12.75" customHeight="1">
      <c r="A1146" s="89" t="s">
        <v>965</v>
      </c>
      <c r="B1146" s="96" t="s">
        <v>2624</v>
      </c>
      <c r="C1146" s="90"/>
      <c r="D1146" s="89" t="s">
        <v>161</v>
      </c>
      <c r="E1146" s="91">
        <v>45.63</v>
      </c>
      <c r="F1146" s="92">
        <v>16.77</v>
      </c>
      <c r="G1146" s="92">
        <v>765.22</v>
      </c>
      <c r="H1146" s="93"/>
      <c r="I1146" s="92"/>
      <c r="J1146" s="92"/>
      <c r="K1146" s="92"/>
    </row>
    <row r="1147" ht="12.75" customHeight="1">
      <c r="B1147" s="90"/>
      <c r="E1147" s="79"/>
      <c r="F1147" s="80"/>
      <c r="G1147" s="80"/>
      <c r="H1147" s="81"/>
      <c r="I1147" s="80"/>
      <c r="J1147" s="80"/>
      <c r="K1147" s="80"/>
    </row>
    <row r="1148" ht="12.75" customHeight="1">
      <c r="A1148" s="89" t="s">
        <v>966</v>
      </c>
      <c r="B1148" s="96" t="s">
        <v>2626</v>
      </c>
      <c r="C1148" s="90"/>
      <c r="D1148" s="89" t="s">
        <v>161</v>
      </c>
      <c r="E1148" s="91">
        <v>13.94</v>
      </c>
      <c r="F1148" s="92">
        <v>20.75</v>
      </c>
      <c r="G1148" s="92">
        <v>289.26</v>
      </c>
      <c r="H1148" s="93"/>
      <c r="I1148" s="92"/>
      <c r="J1148" s="92"/>
      <c r="K1148" s="92"/>
    </row>
    <row r="1149" ht="12.75" customHeight="1">
      <c r="B1149" s="90"/>
      <c r="E1149" s="79"/>
      <c r="F1149" s="80"/>
      <c r="G1149" s="80"/>
      <c r="H1149" s="81"/>
      <c r="I1149" s="80"/>
      <c r="J1149" s="80"/>
      <c r="K1149" s="80"/>
    </row>
    <row r="1150" ht="12.75" customHeight="1">
      <c r="A1150" s="89" t="s">
        <v>4100</v>
      </c>
      <c r="B1150" s="96" t="s">
        <v>5046</v>
      </c>
      <c r="C1150" s="90"/>
      <c r="E1150" s="79"/>
      <c r="F1150" s="80"/>
      <c r="G1150" s="80"/>
      <c r="H1150" s="81"/>
      <c r="I1150" s="80"/>
      <c r="J1150" s="80"/>
      <c r="K1150" s="80"/>
    </row>
    <row r="1151" ht="12.75" customHeight="1">
      <c r="B1151" s="90"/>
      <c r="E1151" s="79"/>
      <c r="F1151" s="80"/>
      <c r="G1151" s="80"/>
      <c r="H1151" s="81"/>
      <c r="I1151" s="80"/>
      <c r="J1151" s="80"/>
      <c r="K1151" s="80"/>
    </row>
    <row r="1152" ht="12.75" customHeight="1">
      <c r="A1152" s="89" t="s">
        <v>968</v>
      </c>
      <c r="B1152" s="96" t="s">
        <v>5047</v>
      </c>
      <c r="C1152" s="90"/>
      <c r="E1152" s="79"/>
      <c r="F1152" s="80"/>
      <c r="G1152" s="80"/>
      <c r="H1152" s="81"/>
      <c r="I1152" s="80"/>
      <c r="J1152" s="80"/>
      <c r="K1152" s="80"/>
    </row>
    <row r="1153" ht="12.75" customHeight="1">
      <c r="B1153" s="90"/>
      <c r="E1153" s="79"/>
      <c r="F1153" s="80"/>
      <c r="G1153" s="80"/>
      <c r="H1153" s="81"/>
      <c r="I1153" s="80"/>
      <c r="J1153" s="80"/>
      <c r="K1153" s="80"/>
    </row>
    <row r="1154" ht="12.75" customHeight="1">
      <c r="A1154" s="89" t="s">
        <v>970</v>
      </c>
      <c r="B1154" s="96" t="s">
        <v>2620</v>
      </c>
      <c r="C1154" s="90"/>
      <c r="D1154" s="89" t="s">
        <v>161</v>
      </c>
      <c r="E1154" s="91">
        <v>121.86</v>
      </c>
      <c r="F1154" s="92">
        <v>11.64</v>
      </c>
      <c r="G1154" s="92">
        <v>1418.45</v>
      </c>
      <c r="H1154" s="93"/>
      <c r="I1154" s="92"/>
      <c r="J1154" s="92"/>
      <c r="K1154" s="92"/>
    </row>
    <row r="1155" ht="12.75" customHeight="1">
      <c r="B1155" s="90"/>
      <c r="E1155" s="79"/>
      <c r="F1155" s="80"/>
      <c r="G1155" s="80"/>
      <c r="H1155" s="81"/>
      <c r="I1155" s="80"/>
      <c r="J1155" s="80"/>
      <c r="K1155" s="80"/>
    </row>
    <row r="1156" ht="12.75" customHeight="1">
      <c r="A1156" s="89" t="s">
        <v>971</v>
      </c>
      <c r="B1156" s="96" t="s">
        <v>2622</v>
      </c>
      <c r="C1156" s="90"/>
      <c r="D1156" s="89" t="s">
        <v>161</v>
      </c>
      <c r="E1156" s="91">
        <v>22.29</v>
      </c>
      <c r="F1156" s="92">
        <v>12.59</v>
      </c>
      <c r="G1156" s="92">
        <v>280.63</v>
      </c>
      <c r="H1156" s="93"/>
      <c r="I1156" s="92"/>
      <c r="J1156" s="92"/>
      <c r="K1156" s="92"/>
    </row>
    <row r="1157" ht="12.75" customHeight="1">
      <c r="B1157" s="90"/>
      <c r="E1157" s="79"/>
      <c r="F1157" s="80"/>
      <c r="G1157" s="80"/>
      <c r="H1157" s="81"/>
      <c r="I1157" s="80"/>
      <c r="J1157" s="80"/>
      <c r="K1157" s="80"/>
    </row>
    <row r="1158" ht="12.75" customHeight="1">
      <c r="A1158" s="89" t="s">
        <v>4103</v>
      </c>
      <c r="B1158" s="96" t="s">
        <v>5048</v>
      </c>
      <c r="C1158" s="90"/>
      <c r="D1158" s="89" t="s">
        <v>75</v>
      </c>
      <c r="E1158" s="91">
        <v>1.0</v>
      </c>
      <c r="F1158" s="92">
        <v>1016.69</v>
      </c>
      <c r="G1158" s="92">
        <v>1016.69</v>
      </c>
      <c r="H1158" s="93"/>
      <c r="I1158" s="92"/>
      <c r="J1158" s="92"/>
      <c r="K1158" s="92"/>
    </row>
    <row r="1159" ht="12.75" customHeight="1">
      <c r="B1159" s="90"/>
      <c r="E1159" s="79"/>
      <c r="F1159" s="80"/>
      <c r="G1159" s="80"/>
      <c r="H1159" s="81"/>
      <c r="I1159" s="80"/>
      <c r="J1159" s="80"/>
      <c r="K1159" s="80"/>
    </row>
    <row r="1160" ht="12.75" customHeight="1">
      <c r="A1160" s="89" t="s">
        <v>4105</v>
      </c>
      <c r="B1160" s="96" t="s">
        <v>5049</v>
      </c>
      <c r="C1160" s="90"/>
      <c r="D1160" s="89" t="s">
        <v>75</v>
      </c>
      <c r="E1160" s="91">
        <v>1.0</v>
      </c>
      <c r="F1160" s="92">
        <v>7027.17</v>
      </c>
      <c r="G1160" s="92">
        <v>7027.17</v>
      </c>
      <c r="H1160" s="93"/>
      <c r="I1160" s="92"/>
      <c r="J1160" s="92"/>
      <c r="K1160" s="92"/>
    </row>
    <row r="1161" ht="12.75" customHeight="1">
      <c r="B1161" s="90"/>
      <c r="E1161" s="79"/>
      <c r="F1161" s="80"/>
      <c r="G1161" s="80"/>
      <c r="H1161" s="81"/>
      <c r="I1161" s="80"/>
      <c r="J1161" s="80"/>
      <c r="K1161" s="80"/>
    </row>
    <row r="1162" ht="12.75" customHeight="1">
      <c r="A1162" s="89" t="s">
        <v>4107</v>
      </c>
      <c r="B1162" s="96" t="s">
        <v>5050</v>
      </c>
      <c r="C1162" s="90"/>
      <c r="D1162" s="89" t="s">
        <v>75</v>
      </c>
      <c r="E1162" s="91">
        <v>3.0</v>
      </c>
      <c r="F1162" s="92">
        <v>28.63</v>
      </c>
      <c r="G1162" s="92">
        <v>85.89</v>
      </c>
      <c r="H1162" s="93"/>
      <c r="I1162" s="92"/>
      <c r="J1162" s="92"/>
      <c r="K1162" s="92"/>
    </row>
    <row r="1163" ht="12.75" customHeight="1">
      <c r="B1163" s="90"/>
      <c r="E1163" s="79"/>
      <c r="F1163" s="80"/>
      <c r="G1163" s="80"/>
      <c r="H1163" s="81"/>
      <c r="I1163" s="80"/>
      <c r="J1163" s="80"/>
      <c r="K1163" s="80"/>
    </row>
    <row r="1164" ht="12.75" customHeight="1">
      <c r="A1164" s="89" t="s">
        <v>4109</v>
      </c>
      <c r="B1164" s="96" t="s">
        <v>5051</v>
      </c>
      <c r="C1164" s="90"/>
      <c r="D1164" s="89" t="s">
        <v>75</v>
      </c>
      <c r="E1164" s="91">
        <v>1.0</v>
      </c>
      <c r="F1164" s="92">
        <v>28.63</v>
      </c>
      <c r="G1164" s="92">
        <v>28.63</v>
      </c>
      <c r="H1164" s="93"/>
      <c r="I1164" s="92"/>
      <c r="J1164" s="92"/>
      <c r="K1164" s="92"/>
    </row>
    <row r="1165" ht="12.75" customHeight="1">
      <c r="B1165" s="90"/>
      <c r="E1165" s="79"/>
      <c r="F1165" s="80"/>
      <c r="G1165" s="80"/>
      <c r="H1165" s="81"/>
      <c r="I1165" s="80"/>
      <c r="J1165" s="80"/>
      <c r="K1165" s="80"/>
    </row>
    <row r="1166" ht="12.75" customHeight="1">
      <c r="A1166" s="89" t="s">
        <v>4111</v>
      </c>
      <c r="B1166" s="96" t="s">
        <v>5052</v>
      </c>
      <c r="C1166" s="90"/>
      <c r="D1166" s="89" t="s">
        <v>75</v>
      </c>
      <c r="E1166" s="91">
        <v>19.0</v>
      </c>
      <c r="F1166" s="92">
        <v>36.94</v>
      </c>
      <c r="G1166" s="92">
        <v>701.86</v>
      </c>
      <c r="H1166" s="93"/>
      <c r="I1166" s="92"/>
      <c r="J1166" s="92"/>
      <c r="K1166" s="92"/>
    </row>
    <row r="1167" ht="12.75" customHeight="1">
      <c r="B1167" s="90"/>
      <c r="E1167" s="79"/>
      <c r="F1167" s="80"/>
      <c r="G1167" s="80"/>
      <c r="H1167" s="81"/>
      <c r="I1167" s="80"/>
      <c r="J1167" s="80"/>
      <c r="K1167" s="80"/>
    </row>
    <row r="1168" ht="12.75" customHeight="1">
      <c r="A1168" s="89" t="s">
        <v>4113</v>
      </c>
      <c r="B1168" s="96" t="s">
        <v>5053</v>
      </c>
      <c r="C1168" s="90"/>
      <c r="D1168" s="89" t="s">
        <v>75</v>
      </c>
      <c r="E1168" s="91">
        <v>4.0</v>
      </c>
      <c r="F1168" s="92">
        <v>335.0</v>
      </c>
      <c r="G1168" s="92">
        <v>1340.0</v>
      </c>
      <c r="H1168" s="93"/>
      <c r="I1168" s="92"/>
      <c r="J1168" s="92"/>
      <c r="K1168" s="92"/>
    </row>
    <row r="1169" ht="12.75" customHeight="1">
      <c r="B1169" s="90"/>
      <c r="E1169" s="79"/>
      <c r="F1169" s="80"/>
      <c r="G1169" s="80"/>
      <c r="H1169" s="81"/>
      <c r="I1169" s="80"/>
      <c r="J1169" s="80"/>
      <c r="K1169" s="80"/>
    </row>
    <row r="1170" ht="12.75" customHeight="1">
      <c r="A1170" s="89" t="s">
        <v>4115</v>
      </c>
      <c r="B1170" s="96" t="s">
        <v>5054</v>
      </c>
      <c r="C1170" s="90"/>
      <c r="D1170" s="89" t="s">
        <v>75</v>
      </c>
      <c r="E1170" s="91">
        <v>1.0</v>
      </c>
      <c r="F1170" s="92">
        <v>657.85</v>
      </c>
      <c r="G1170" s="92">
        <v>657.85</v>
      </c>
      <c r="H1170" s="93"/>
      <c r="I1170" s="92"/>
      <c r="J1170" s="92"/>
      <c r="K1170" s="92"/>
    </row>
    <row r="1171" ht="12.75" customHeight="1">
      <c r="B1171" s="90"/>
      <c r="E1171" s="79"/>
      <c r="F1171" s="80"/>
      <c r="G1171" s="80"/>
      <c r="H1171" s="81"/>
      <c r="I1171" s="80"/>
      <c r="J1171" s="80"/>
      <c r="K1171" s="80"/>
    </row>
    <row r="1172" ht="12.75" customHeight="1">
      <c r="A1172" s="89" t="s">
        <v>4117</v>
      </c>
      <c r="B1172" s="96" t="s">
        <v>5055</v>
      </c>
      <c r="C1172" s="90"/>
      <c r="D1172" s="89" t="s">
        <v>33</v>
      </c>
      <c r="E1172" s="91">
        <v>1.0</v>
      </c>
      <c r="F1172" s="92">
        <v>3232.75</v>
      </c>
      <c r="G1172" s="92">
        <v>3232.75</v>
      </c>
      <c r="H1172" s="93"/>
      <c r="I1172" s="92"/>
      <c r="J1172" s="92"/>
      <c r="K1172" s="92"/>
    </row>
    <row r="1173" ht="12.75" customHeight="1">
      <c r="B1173" s="90"/>
      <c r="E1173" s="79"/>
      <c r="F1173" s="80"/>
      <c r="G1173" s="80"/>
      <c r="H1173" s="81"/>
      <c r="I1173" s="80"/>
      <c r="J1173" s="80"/>
      <c r="K1173" s="80"/>
    </row>
    <row r="1174" ht="12.75" customHeight="1">
      <c r="A1174" s="89" t="s">
        <v>4119</v>
      </c>
      <c r="B1174" s="96" t="s">
        <v>5056</v>
      </c>
      <c r="C1174" s="90"/>
      <c r="D1174" s="89" t="s">
        <v>75</v>
      </c>
      <c r="E1174" s="91">
        <v>1.0</v>
      </c>
      <c r="F1174" s="92">
        <v>1326.02</v>
      </c>
      <c r="G1174" s="92">
        <v>1326.02</v>
      </c>
      <c r="H1174" s="93"/>
      <c r="I1174" s="92"/>
      <c r="J1174" s="92"/>
      <c r="K1174" s="92"/>
    </row>
    <row r="1175" ht="12.75" customHeight="1">
      <c r="B1175" s="90"/>
      <c r="E1175" s="79"/>
      <c r="F1175" s="80"/>
      <c r="G1175" s="80"/>
      <c r="H1175" s="81"/>
      <c r="I1175" s="80"/>
      <c r="J1175" s="80"/>
      <c r="K1175" s="80"/>
    </row>
    <row r="1176" ht="12.75" customHeight="1">
      <c r="A1176" s="89" t="s">
        <v>4121</v>
      </c>
      <c r="B1176" s="96" t="s">
        <v>5057</v>
      </c>
      <c r="C1176" s="90"/>
      <c r="E1176" s="79"/>
      <c r="F1176" s="80"/>
      <c r="G1176" s="80"/>
      <c r="H1176" s="81"/>
      <c r="I1176" s="80"/>
      <c r="J1176" s="80"/>
      <c r="K1176" s="80"/>
    </row>
    <row r="1177" ht="12.75" customHeight="1">
      <c r="B1177" s="90"/>
      <c r="E1177" s="79"/>
      <c r="F1177" s="80"/>
      <c r="G1177" s="80"/>
      <c r="H1177" s="81"/>
      <c r="I1177" s="80"/>
      <c r="J1177" s="80"/>
      <c r="K1177" s="80"/>
    </row>
    <row r="1178" ht="12.75" customHeight="1">
      <c r="A1178" s="89" t="s">
        <v>982</v>
      </c>
      <c r="B1178" s="96" t="s">
        <v>5058</v>
      </c>
      <c r="C1178" s="90"/>
      <c r="E1178" s="79"/>
      <c r="F1178" s="80"/>
      <c r="G1178" s="80"/>
      <c r="H1178" s="81"/>
      <c r="I1178" s="80"/>
      <c r="J1178" s="80"/>
      <c r="K1178" s="80"/>
    </row>
    <row r="1179" ht="12.75" customHeight="1">
      <c r="B1179" s="90"/>
      <c r="E1179" s="79"/>
      <c r="F1179" s="80"/>
      <c r="G1179" s="80"/>
      <c r="H1179" s="81"/>
      <c r="I1179" s="80"/>
      <c r="J1179" s="80"/>
      <c r="K1179" s="80"/>
    </row>
    <row r="1180" ht="12.75" customHeight="1">
      <c r="A1180" s="89" t="s">
        <v>984</v>
      </c>
      <c r="B1180" s="96" t="s">
        <v>2659</v>
      </c>
      <c r="C1180" s="90"/>
      <c r="D1180" s="89" t="s">
        <v>161</v>
      </c>
      <c r="E1180" s="91">
        <v>52.18</v>
      </c>
      <c r="F1180" s="92">
        <v>11.59</v>
      </c>
      <c r="G1180" s="92">
        <v>604.77</v>
      </c>
      <c r="H1180" s="93"/>
      <c r="I1180" s="92"/>
      <c r="J1180" s="92"/>
      <c r="K1180" s="92"/>
    </row>
    <row r="1181" ht="12.75" customHeight="1">
      <c r="B1181" s="90"/>
      <c r="E1181" s="79"/>
      <c r="F1181" s="80"/>
      <c r="G1181" s="80"/>
      <c r="H1181" s="81"/>
      <c r="I1181" s="80"/>
      <c r="J1181" s="80"/>
      <c r="K1181" s="80"/>
    </row>
    <row r="1182" ht="12.75" customHeight="1">
      <c r="A1182" s="89" t="s">
        <v>986</v>
      </c>
      <c r="B1182" s="96" t="s">
        <v>5059</v>
      </c>
      <c r="C1182" s="90"/>
      <c r="E1182" s="79"/>
      <c r="F1182" s="80"/>
      <c r="G1182" s="80"/>
      <c r="H1182" s="81"/>
      <c r="I1182" s="80"/>
      <c r="J1182" s="80"/>
      <c r="K1182" s="80"/>
    </row>
    <row r="1183" ht="12.75" customHeight="1">
      <c r="B1183" s="90"/>
      <c r="E1183" s="79"/>
      <c r="F1183" s="80"/>
      <c r="G1183" s="80"/>
      <c r="H1183" s="81"/>
      <c r="I1183" s="80"/>
      <c r="J1183" s="80"/>
      <c r="K1183" s="80"/>
    </row>
    <row r="1184" ht="12.75" customHeight="1">
      <c r="A1184" s="89" t="s">
        <v>988</v>
      </c>
      <c r="B1184" s="96" t="s">
        <v>2663</v>
      </c>
      <c r="C1184" s="90"/>
      <c r="D1184" s="89" t="s">
        <v>161</v>
      </c>
      <c r="E1184" s="91">
        <v>30.19</v>
      </c>
      <c r="F1184" s="92">
        <v>21.58</v>
      </c>
      <c r="G1184" s="92">
        <v>651.5</v>
      </c>
      <c r="H1184" s="93"/>
      <c r="I1184" s="92"/>
      <c r="J1184" s="92"/>
      <c r="K1184" s="92"/>
    </row>
    <row r="1185" ht="12.75" customHeight="1">
      <c r="B1185" s="90"/>
      <c r="E1185" s="79"/>
      <c r="F1185" s="80"/>
      <c r="G1185" s="80"/>
      <c r="H1185" s="81"/>
      <c r="I1185" s="80"/>
      <c r="J1185" s="80"/>
      <c r="K1185" s="80"/>
    </row>
    <row r="1186" ht="12.75" customHeight="1">
      <c r="A1186" s="89" t="s">
        <v>990</v>
      </c>
      <c r="B1186" s="96" t="s">
        <v>5060</v>
      </c>
      <c r="C1186" s="90"/>
      <c r="E1186" s="79"/>
      <c r="F1186" s="80"/>
      <c r="G1186" s="80"/>
      <c r="H1186" s="81"/>
      <c r="I1186" s="80"/>
      <c r="J1186" s="80"/>
      <c r="K1186" s="80"/>
    </row>
    <row r="1187" ht="12.75" customHeight="1">
      <c r="B1187" s="90"/>
      <c r="E1187" s="79"/>
      <c r="F1187" s="80"/>
      <c r="G1187" s="80"/>
      <c r="H1187" s="81"/>
      <c r="I1187" s="80"/>
      <c r="J1187" s="80"/>
      <c r="K1187" s="80"/>
    </row>
    <row r="1188" ht="12.75" customHeight="1">
      <c r="A1188" s="89" t="s">
        <v>992</v>
      </c>
      <c r="B1188" s="96" t="s">
        <v>4126</v>
      </c>
      <c r="C1188" s="90"/>
      <c r="D1188" s="89" t="s">
        <v>75</v>
      </c>
      <c r="E1188" s="91">
        <v>1.0</v>
      </c>
      <c r="F1188" s="92">
        <v>4411.7</v>
      </c>
      <c r="G1188" s="92">
        <v>4411.7</v>
      </c>
      <c r="H1188" s="93"/>
      <c r="I1188" s="92"/>
      <c r="J1188" s="92"/>
      <c r="K1188" s="92"/>
    </row>
    <row r="1189" ht="12.75" customHeight="1">
      <c r="B1189" s="90"/>
      <c r="E1189" s="79"/>
      <c r="F1189" s="80"/>
      <c r="G1189" s="80"/>
      <c r="H1189" s="81"/>
      <c r="I1189" s="80"/>
      <c r="J1189" s="80"/>
      <c r="K1189" s="80"/>
    </row>
    <row r="1190" ht="12.75" customHeight="1">
      <c r="A1190" s="89" t="s">
        <v>994</v>
      </c>
      <c r="B1190" s="96" t="s">
        <v>5061</v>
      </c>
      <c r="C1190" s="90"/>
      <c r="E1190" s="79"/>
      <c r="F1190" s="80"/>
      <c r="G1190" s="80"/>
      <c r="H1190" s="81"/>
      <c r="I1190" s="80"/>
      <c r="J1190" s="80"/>
      <c r="K1190" s="80"/>
    </row>
    <row r="1191" ht="12.75" customHeight="1">
      <c r="B1191" s="90"/>
      <c r="E1191" s="79"/>
      <c r="F1191" s="80"/>
      <c r="G1191" s="80"/>
      <c r="H1191" s="81"/>
      <c r="I1191" s="80"/>
      <c r="J1191" s="80"/>
      <c r="K1191" s="80"/>
    </row>
    <row r="1192" ht="12.75" customHeight="1">
      <c r="A1192" s="89" t="s">
        <v>996</v>
      </c>
      <c r="B1192" s="96" t="s">
        <v>4128</v>
      </c>
      <c r="C1192" s="90"/>
      <c r="D1192" s="89" t="s">
        <v>75</v>
      </c>
      <c r="E1192" s="91">
        <v>1.0</v>
      </c>
      <c r="F1192" s="92">
        <v>2797.12</v>
      </c>
      <c r="G1192" s="92">
        <v>2797.12</v>
      </c>
      <c r="H1192" s="93"/>
      <c r="I1192" s="92"/>
      <c r="J1192" s="92"/>
      <c r="K1192" s="92"/>
    </row>
    <row r="1193" ht="12.75" customHeight="1">
      <c r="B1193" s="90"/>
      <c r="E1193" s="79"/>
      <c r="F1193" s="80"/>
      <c r="G1193" s="80"/>
      <c r="H1193" s="81"/>
      <c r="I1193" s="80"/>
      <c r="J1193" s="80"/>
      <c r="K1193" s="80"/>
    </row>
    <row r="1194" ht="12.75" customHeight="1">
      <c r="A1194" s="89" t="s">
        <v>998</v>
      </c>
      <c r="B1194" s="96" t="s">
        <v>5062</v>
      </c>
      <c r="C1194" s="90"/>
      <c r="D1194" s="89" t="s">
        <v>75</v>
      </c>
      <c r="E1194" s="91">
        <v>1.0</v>
      </c>
      <c r="F1194" s="92">
        <v>149.43</v>
      </c>
      <c r="G1194" s="92">
        <v>149.43</v>
      </c>
      <c r="H1194" s="93"/>
      <c r="I1194" s="92"/>
      <c r="J1194" s="92"/>
      <c r="K1194" s="92"/>
    </row>
    <row r="1195" ht="12.75" customHeight="1">
      <c r="B1195" s="90"/>
      <c r="E1195" s="79"/>
      <c r="F1195" s="80"/>
      <c r="G1195" s="80"/>
      <c r="H1195" s="81"/>
      <c r="I1195" s="80"/>
      <c r="J1195" s="80"/>
      <c r="K1195" s="80"/>
    </row>
    <row r="1196" ht="12.75" customHeight="1">
      <c r="A1196" s="89" t="s">
        <v>1000</v>
      </c>
      <c r="B1196" s="96" t="s">
        <v>5063</v>
      </c>
      <c r="C1196" s="90"/>
      <c r="D1196" s="89" t="s">
        <v>75</v>
      </c>
      <c r="E1196" s="91">
        <v>5.0</v>
      </c>
      <c r="F1196" s="92">
        <v>94.18</v>
      </c>
      <c r="G1196" s="92">
        <v>470.9</v>
      </c>
      <c r="H1196" s="93"/>
      <c r="I1196" s="92"/>
      <c r="J1196" s="92"/>
      <c r="K1196" s="92"/>
    </row>
    <row r="1197" ht="12.75" customHeight="1">
      <c r="B1197" s="90"/>
      <c r="E1197" s="79"/>
      <c r="F1197" s="80"/>
      <c r="G1197" s="80"/>
      <c r="H1197" s="81"/>
      <c r="I1197" s="80"/>
      <c r="J1197" s="80"/>
      <c r="K1197" s="80"/>
    </row>
    <row r="1198" ht="12.75" customHeight="1">
      <c r="A1198" s="89" t="s">
        <v>1002</v>
      </c>
      <c r="B1198" s="96" t="s">
        <v>5064</v>
      </c>
      <c r="C1198" s="90"/>
      <c r="D1198" s="89" t="s">
        <v>75</v>
      </c>
      <c r="E1198" s="91">
        <v>1.0</v>
      </c>
      <c r="F1198" s="92">
        <v>62.75</v>
      </c>
      <c r="G1198" s="92">
        <v>62.75</v>
      </c>
      <c r="H1198" s="93"/>
      <c r="I1198" s="92"/>
      <c r="J1198" s="92"/>
      <c r="K1198" s="92"/>
    </row>
    <row r="1199" ht="12.75" customHeight="1">
      <c r="B1199" s="90"/>
      <c r="E1199" s="79"/>
      <c r="F1199" s="80"/>
      <c r="G1199" s="80"/>
      <c r="H1199" s="81"/>
      <c r="I1199" s="80"/>
      <c r="J1199" s="80"/>
      <c r="K1199" s="80"/>
    </row>
    <row r="1200" ht="12.75" customHeight="1">
      <c r="A1200" s="89" t="s">
        <v>1004</v>
      </c>
      <c r="B1200" s="96" t="s">
        <v>5065</v>
      </c>
      <c r="C1200" s="90"/>
      <c r="D1200" s="89" t="s">
        <v>75</v>
      </c>
      <c r="E1200" s="91">
        <v>1.0</v>
      </c>
      <c r="F1200" s="92">
        <v>44.17</v>
      </c>
      <c r="G1200" s="92">
        <v>44.17</v>
      </c>
      <c r="H1200" s="93"/>
      <c r="I1200" s="92"/>
      <c r="J1200" s="92"/>
      <c r="K1200" s="92"/>
    </row>
    <row r="1201" ht="12.75" customHeight="1">
      <c r="B1201" s="90"/>
      <c r="E1201" s="79"/>
      <c r="F1201" s="80"/>
      <c r="G1201" s="80"/>
      <c r="H1201" s="81"/>
      <c r="I1201" s="80"/>
      <c r="J1201" s="80"/>
      <c r="K1201" s="80"/>
    </row>
    <row r="1202" ht="12.75" customHeight="1">
      <c r="A1202" s="89" t="s">
        <v>1006</v>
      </c>
      <c r="B1202" s="96" t="s">
        <v>5066</v>
      </c>
      <c r="C1202" s="90"/>
      <c r="D1202" s="89" t="s">
        <v>75</v>
      </c>
      <c r="E1202" s="91">
        <v>5.0</v>
      </c>
      <c r="F1202" s="92">
        <v>53.77</v>
      </c>
      <c r="G1202" s="92">
        <v>268.85</v>
      </c>
      <c r="H1202" s="93"/>
      <c r="I1202" s="92"/>
      <c r="J1202" s="92"/>
      <c r="K1202" s="92"/>
    </row>
    <row r="1203" ht="12.75" customHeight="1">
      <c r="B1203" s="90"/>
      <c r="E1203" s="79"/>
      <c r="F1203" s="80"/>
      <c r="G1203" s="80"/>
      <c r="H1203" s="81"/>
      <c r="I1203" s="80"/>
      <c r="J1203" s="80"/>
      <c r="K1203" s="80"/>
    </row>
    <row r="1204" ht="12.75" customHeight="1">
      <c r="A1204" s="89" t="s">
        <v>1008</v>
      </c>
      <c r="B1204" s="96" t="s">
        <v>5067</v>
      </c>
      <c r="C1204" s="90"/>
      <c r="D1204" s="89" t="s">
        <v>75</v>
      </c>
      <c r="E1204" s="91">
        <v>1.0</v>
      </c>
      <c r="F1204" s="92">
        <v>107.09</v>
      </c>
      <c r="G1204" s="92">
        <v>107.09</v>
      </c>
      <c r="H1204" s="93"/>
      <c r="I1204" s="92"/>
      <c r="J1204" s="92"/>
      <c r="K1204" s="92"/>
    </row>
    <row r="1205" ht="12.75" customHeight="1">
      <c r="B1205" s="90"/>
      <c r="E1205" s="79"/>
      <c r="F1205" s="80"/>
      <c r="G1205" s="80"/>
      <c r="H1205" s="81"/>
      <c r="I1205" s="80"/>
      <c r="J1205" s="80"/>
      <c r="K1205" s="80"/>
    </row>
    <row r="1206" ht="12.75" customHeight="1">
      <c r="A1206" s="89" t="s">
        <v>1010</v>
      </c>
      <c r="B1206" s="96" t="s">
        <v>5068</v>
      </c>
      <c r="C1206" s="90"/>
      <c r="D1206" s="89" t="s">
        <v>75</v>
      </c>
      <c r="E1206" s="91">
        <v>1.0</v>
      </c>
      <c r="F1206" s="92">
        <v>764.0</v>
      </c>
      <c r="G1206" s="92">
        <v>764.0</v>
      </c>
      <c r="H1206" s="93"/>
      <c r="I1206" s="92"/>
      <c r="J1206" s="92"/>
      <c r="K1206" s="92"/>
    </row>
    <row r="1207" ht="12.75" customHeight="1">
      <c r="B1207" s="90"/>
      <c r="E1207" s="79"/>
      <c r="F1207" s="80"/>
      <c r="G1207" s="80"/>
      <c r="H1207" s="81"/>
      <c r="I1207" s="80"/>
      <c r="J1207" s="80"/>
      <c r="K1207" s="80"/>
    </row>
    <row r="1208" ht="12.75" customHeight="1">
      <c r="A1208" s="89" t="s">
        <v>1012</v>
      </c>
      <c r="B1208" s="96" t="s">
        <v>5069</v>
      </c>
      <c r="C1208" s="90"/>
      <c r="D1208" s="89" t="s">
        <v>75</v>
      </c>
      <c r="E1208" s="91">
        <v>15.0</v>
      </c>
      <c r="F1208" s="92">
        <v>18.03</v>
      </c>
      <c r="G1208" s="92">
        <v>270.45</v>
      </c>
      <c r="H1208" s="93"/>
      <c r="I1208" s="92"/>
      <c r="J1208" s="92"/>
      <c r="K1208" s="92"/>
    </row>
    <row r="1209" ht="12.75" customHeight="1">
      <c r="B1209" s="90"/>
      <c r="E1209" s="79"/>
      <c r="F1209" s="80"/>
      <c r="G1209" s="80"/>
      <c r="H1209" s="81"/>
      <c r="I1209" s="80"/>
      <c r="J1209" s="80"/>
      <c r="K1209" s="80"/>
    </row>
    <row r="1210" ht="12.75" customHeight="1">
      <c r="A1210" s="89" t="s">
        <v>1014</v>
      </c>
      <c r="B1210" s="96" t="s">
        <v>5070</v>
      </c>
      <c r="C1210" s="90"/>
      <c r="D1210" s="89" t="s">
        <v>75</v>
      </c>
      <c r="E1210" s="91">
        <v>1.0</v>
      </c>
      <c r="F1210" s="92">
        <v>28.72</v>
      </c>
      <c r="G1210" s="92">
        <v>28.72</v>
      </c>
      <c r="H1210" s="93"/>
      <c r="I1210" s="92"/>
      <c r="J1210" s="92"/>
      <c r="K1210" s="92"/>
    </row>
    <row r="1211" ht="12.75" customHeight="1">
      <c r="B1211" s="90"/>
      <c r="E1211" s="79"/>
      <c r="F1211" s="80"/>
      <c r="G1211" s="80"/>
      <c r="H1211" s="81"/>
      <c r="I1211" s="80"/>
      <c r="J1211" s="80"/>
      <c r="K1211" s="80"/>
    </row>
    <row r="1212" ht="12.75" customHeight="1">
      <c r="A1212" s="89" t="s">
        <v>4138</v>
      </c>
      <c r="B1212" s="96" t="s">
        <v>5071</v>
      </c>
      <c r="C1212" s="90"/>
      <c r="E1212" s="79"/>
      <c r="F1212" s="80"/>
      <c r="G1212" s="80"/>
      <c r="H1212" s="81"/>
      <c r="I1212" s="80"/>
      <c r="J1212" s="80"/>
      <c r="K1212" s="80"/>
    </row>
    <row r="1213" ht="12.75" customHeight="1">
      <c r="B1213" s="90"/>
      <c r="E1213" s="79"/>
      <c r="F1213" s="80"/>
      <c r="G1213" s="80"/>
      <c r="H1213" s="81"/>
      <c r="I1213" s="80"/>
      <c r="J1213" s="80"/>
      <c r="K1213" s="80"/>
    </row>
    <row r="1214" ht="12.75" customHeight="1">
      <c r="A1214" s="89" t="s">
        <v>1017</v>
      </c>
      <c r="B1214" s="96" t="s">
        <v>5072</v>
      </c>
      <c r="C1214" s="90"/>
      <c r="E1214" s="79"/>
      <c r="F1214" s="80"/>
      <c r="G1214" s="80"/>
      <c r="H1214" s="81"/>
      <c r="I1214" s="80"/>
      <c r="J1214" s="80"/>
      <c r="K1214" s="80"/>
    </row>
    <row r="1215" ht="12.75" customHeight="1">
      <c r="B1215" s="90"/>
      <c r="E1215" s="79"/>
      <c r="F1215" s="80"/>
      <c r="G1215" s="80"/>
      <c r="H1215" s="81"/>
      <c r="I1215" s="80"/>
      <c r="J1215" s="80"/>
      <c r="K1215" s="80"/>
    </row>
    <row r="1216" ht="12.75" customHeight="1">
      <c r="A1216" s="89" t="s">
        <v>1019</v>
      </c>
      <c r="B1216" s="96" t="s">
        <v>2659</v>
      </c>
      <c r="C1216" s="90"/>
      <c r="D1216" s="89" t="s">
        <v>161</v>
      </c>
      <c r="E1216" s="91">
        <v>34.84</v>
      </c>
      <c r="F1216" s="92">
        <v>11.59</v>
      </c>
      <c r="G1216" s="92">
        <v>403.8</v>
      </c>
      <c r="H1216" s="93"/>
      <c r="I1216" s="92"/>
      <c r="J1216" s="92"/>
      <c r="K1216" s="92"/>
    </row>
    <row r="1217" ht="12.75" customHeight="1">
      <c r="B1217" s="90"/>
      <c r="E1217" s="79"/>
      <c r="F1217" s="80"/>
      <c r="G1217" s="80"/>
      <c r="H1217" s="81"/>
      <c r="I1217" s="80"/>
      <c r="J1217" s="80"/>
      <c r="K1217" s="80"/>
    </row>
    <row r="1218" ht="12.75" customHeight="1">
      <c r="A1218" s="89" t="s">
        <v>1020</v>
      </c>
      <c r="B1218" s="96" t="s">
        <v>5073</v>
      </c>
      <c r="C1218" s="90"/>
      <c r="E1218" s="79"/>
      <c r="F1218" s="80"/>
      <c r="G1218" s="80"/>
      <c r="H1218" s="81"/>
      <c r="I1218" s="80"/>
      <c r="J1218" s="80"/>
      <c r="K1218" s="80"/>
    </row>
    <row r="1219" ht="12.75" customHeight="1">
      <c r="B1219" s="90"/>
      <c r="E1219" s="79"/>
      <c r="F1219" s="80"/>
      <c r="G1219" s="80"/>
      <c r="H1219" s="81"/>
      <c r="I1219" s="80"/>
      <c r="J1219" s="80"/>
      <c r="K1219" s="80"/>
    </row>
    <row r="1220" ht="12.75" customHeight="1">
      <c r="A1220" s="89" t="s">
        <v>1022</v>
      </c>
      <c r="B1220" s="96" t="s">
        <v>5074</v>
      </c>
      <c r="C1220" s="90"/>
      <c r="D1220" s="89" t="s">
        <v>75</v>
      </c>
      <c r="E1220" s="91">
        <v>1.0</v>
      </c>
      <c r="F1220" s="92">
        <v>1657.88</v>
      </c>
      <c r="G1220" s="92">
        <v>1657.88</v>
      </c>
      <c r="H1220" s="93"/>
      <c r="I1220" s="92"/>
      <c r="J1220" s="92"/>
      <c r="K1220" s="92"/>
    </row>
    <row r="1221" ht="12.75" customHeight="1">
      <c r="B1221" s="90"/>
      <c r="E1221" s="79"/>
      <c r="F1221" s="80"/>
      <c r="G1221" s="80"/>
      <c r="H1221" s="81"/>
      <c r="I1221" s="80"/>
      <c r="J1221" s="80"/>
      <c r="K1221" s="80"/>
    </row>
    <row r="1222" ht="12.75" customHeight="1">
      <c r="A1222" s="89" t="s">
        <v>1024</v>
      </c>
      <c r="B1222" s="96" t="s">
        <v>5075</v>
      </c>
      <c r="C1222" s="90"/>
      <c r="D1222" s="89" t="s">
        <v>75</v>
      </c>
      <c r="E1222" s="91">
        <v>1.0</v>
      </c>
      <c r="F1222" s="92">
        <v>301.74</v>
      </c>
      <c r="G1222" s="92">
        <v>301.74</v>
      </c>
      <c r="H1222" s="93"/>
      <c r="I1222" s="92"/>
      <c r="J1222" s="92"/>
      <c r="K1222" s="92"/>
    </row>
    <row r="1223" ht="12.75" customHeight="1">
      <c r="B1223" s="90"/>
      <c r="E1223" s="79"/>
      <c r="F1223" s="80"/>
      <c r="G1223" s="80"/>
      <c r="H1223" s="81"/>
      <c r="I1223" s="80"/>
      <c r="J1223" s="80"/>
      <c r="K1223" s="80"/>
    </row>
    <row r="1224" ht="12.75" customHeight="1">
      <c r="A1224" s="89" t="s">
        <v>1026</v>
      </c>
      <c r="B1224" s="96" t="s">
        <v>5076</v>
      </c>
      <c r="C1224" s="90"/>
      <c r="D1224" s="89" t="s">
        <v>75</v>
      </c>
      <c r="E1224" s="91">
        <v>4.0</v>
      </c>
      <c r="F1224" s="92">
        <v>70.62</v>
      </c>
      <c r="G1224" s="92">
        <v>282.48</v>
      </c>
      <c r="H1224" s="93"/>
      <c r="I1224" s="92"/>
      <c r="J1224" s="92"/>
      <c r="K1224" s="92"/>
    </row>
    <row r="1225" ht="12.75" customHeight="1">
      <c r="B1225" s="90"/>
      <c r="E1225" s="79"/>
      <c r="F1225" s="80"/>
      <c r="G1225" s="80"/>
      <c r="H1225" s="81"/>
      <c r="I1225" s="80"/>
      <c r="J1225" s="80"/>
      <c r="K1225" s="80"/>
    </row>
    <row r="1226" ht="12.75" customHeight="1">
      <c r="A1226" s="89" t="s">
        <v>1028</v>
      </c>
      <c r="B1226" s="96" t="s">
        <v>5077</v>
      </c>
      <c r="C1226" s="90"/>
      <c r="D1226" s="89" t="s">
        <v>75</v>
      </c>
      <c r="E1226" s="91">
        <v>1.0</v>
      </c>
      <c r="F1226" s="92">
        <v>109.63</v>
      </c>
      <c r="G1226" s="92">
        <v>109.63</v>
      </c>
      <c r="H1226" s="93"/>
      <c r="I1226" s="92"/>
      <c r="J1226" s="92"/>
      <c r="K1226" s="92"/>
    </row>
    <row r="1227" ht="12.75" customHeight="1">
      <c r="B1227" s="90"/>
      <c r="E1227" s="79"/>
      <c r="F1227" s="80"/>
      <c r="G1227" s="80"/>
      <c r="H1227" s="81"/>
      <c r="I1227" s="80"/>
      <c r="J1227" s="80"/>
      <c r="K1227" s="80"/>
    </row>
    <row r="1228" ht="12.75" customHeight="1">
      <c r="A1228" s="89" t="s">
        <v>1030</v>
      </c>
      <c r="B1228" s="96" t="s">
        <v>5078</v>
      </c>
      <c r="C1228" s="90"/>
      <c r="D1228" s="89" t="s">
        <v>75</v>
      </c>
      <c r="E1228" s="91">
        <v>1.0</v>
      </c>
      <c r="F1228" s="92">
        <v>685.01</v>
      </c>
      <c r="G1228" s="92">
        <v>685.01</v>
      </c>
      <c r="H1228" s="93"/>
      <c r="I1228" s="92"/>
      <c r="J1228" s="92"/>
      <c r="K1228" s="92"/>
    </row>
    <row r="1229" ht="12.75" customHeight="1">
      <c r="B1229" s="90"/>
      <c r="E1229" s="79"/>
      <c r="F1229" s="80"/>
      <c r="G1229" s="80"/>
      <c r="H1229" s="81"/>
      <c r="I1229" s="80"/>
      <c r="J1229" s="80"/>
      <c r="K1229" s="80"/>
    </row>
    <row r="1230" ht="12.75" customHeight="1">
      <c r="A1230" s="89" t="s">
        <v>1032</v>
      </c>
      <c r="B1230" s="96" t="s">
        <v>5079</v>
      </c>
      <c r="C1230" s="90"/>
      <c r="D1230" s="89" t="s">
        <v>75</v>
      </c>
      <c r="E1230" s="91">
        <v>1.0</v>
      </c>
      <c r="F1230" s="92">
        <v>183.48</v>
      </c>
      <c r="G1230" s="92">
        <v>183.48</v>
      </c>
      <c r="H1230" s="93"/>
      <c r="I1230" s="92"/>
      <c r="J1230" s="92"/>
      <c r="K1230" s="92"/>
    </row>
    <row r="1231" ht="12.75" customHeight="1">
      <c r="B1231" s="90"/>
      <c r="E1231" s="79"/>
      <c r="F1231" s="80"/>
      <c r="G1231" s="80"/>
      <c r="H1231" s="81"/>
      <c r="I1231" s="80"/>
      <c r="J1231" s="80"/>
      <c r="K1231" s="80"/>
    </row>
    <row r="1232" ht="12.75" customHeight="1">
      <c r="A1232" s="89" t="s">
        <v>1034</v>
      </c>
      <c r="B1232" s="96" t="s">
        <v>5055</v>
      </c>
      <c r="C1232" s="90"/>
      <c r="D1232" s="89" t="s">
        <v>33</v>
      </c>
      <c r="E1232" s="91">
        <v>1.0</v>
      </c>
      <c r="F1232" s="92">
        <v>1939.65</v>
      </c>
      <c r="G1232" s="92">
        <v>1939.65</v>
      </c>
      <c r="H1232" s="93"/>
      <c r="I1232" s="92"/>
      <c r="J1232" s="92"/>
      <c r="K1232" s="92"/>
    </row>
    <row r="1233" ht="12.75" customHeight="1">
      <c r="B1233" s="90"/>
      <c r="E1233" s="79"/>
      <c r="F1233" s="80"/>
      <c r="G1233" s="80"/>
      <c r="H1233" s="81"/>
      <c r="I1233" s="80"/>
      <c r="J1233" s="80"/>
      <c r="K1233" s="80"/>
    </row>
    <row r="1234" ht="12.75" customHeight="1">
      <c r="A1234" s="89" t="s">
        <v>4090</v>
      </c>
      <c r="B1234" s="96" t="s">
        <v>5036</v>
      </c>
      <c r="C1234" s="90"/>
      <c r="E1234" s="79"/>
      <c r="F1234" s="80"/>
      <c r="G1234" s="92">
        <v>40338.6</v>
      </c>
      <c r="H1234" s="93">
        <f>G1234</f>
        <v>40338.6</v>
      </c>
      <c r="I1234" s="92"/>
      <c r="J1234" s="92"/>
      <c r="K1234" s="92"/>
    </row>
    <row r="1235" ht="12.75" customHeight="1">
      <c r="B1235" s="90"/>
      <c r="E1235" s="79"/>
      <c r="F1235" s="80"/>
      <c r="G1235" s="80"/>
      <c r="H1235" s="81"/>
      <c r="I1235" s="80"/>
      <c r="J1235" s="80"/>
      <c r="K1235" s="80"/>
    </row>
    <row r="1236" ht="12.75" customHeight="1">
      <c r="B1236" s="90"/>
      <c r="E1236" s="79"/>
      <c r="F1236" s="80"/>
      <c r="G1236" s="80"/>
      <c r="H1236" s="81"/>
      <c r="I1236" s="80"/>
      <c r="J1236" s="80"/>
      <c r="K1236" s="80"/>
    </row>
    <row r="1237" ht="12.75" customHeight="1">
      <c r="A1237" s="89" t="s">
        <v>4148</v>
      </c>
      <c r="B1237" s="96" t="s">
        <v>5080</v>
      </c>
      <c r="C1237" s="90"/>
      <c r="E1237" s="79"/>
      <c r="F1237" s="80"/>
      <c r="G1237" s="80"/>
      <c r="H1237" s="81"/>
      <c r="I1237" s="80"/>
      <c r="J1237" s="80"/>
      <c r="K1237" s="80"/>
    </row>
    <row r="1238" ht="12.75" customHeight="1">
      <c r="B1238" s="90"/>
      <c r="E1238" s="79"/>
      <c r="F1238" s="80"/>
      <c r="G1238" s="80"/>
      <c r="H1238" s="81"/>
      <c r="I1238" s="80"/>
      <c r="J1238" s="80"/>
      <c r="K1238" s="80"/>
    </row>
    <row r="1239" ht="12.75" customHeight="1">
      <c r="A1239" s="89" t="s">
        <v>4150</v>
      </c>
      <c r="B1239" s="96" t="s">
        <v>5081</v>
      </c>
      <c r="C1239" s="90"/>
      <c r="E1239" s="79"/>
      <c r="F1239" s="80"/>
      <c r="G1239" s="80"/>
      <c r="H1239" s="81"/>
      <c r="I1239" s="80"/>
      <c r="J1239" s="80"/>
      <c r="K1239" s="80"/>
    </row>
    <row r="1240" ht="12.75" customHeight="1">
      <c r="B1240" s="90"/>
      <c r="E1240" s="79"/>
      <c r="F1240" s="80"/>
      <c r="G1240" s="80"/>
      <c r="H1240" s="81"/>
      <c r="I1240" s="80"/>
      <c r="J1240" s="80"/>
      <c r="K1240" s="80"/>
    </row>
    <row r="1241" ht="12.75" customHeight="1">
      <c r="A1241" s="89" t="s">
        <v>1037</v>
      </c>
      <c r="B1241" s="96" t="s">
        <v>5082</v>
      </c>
      <c r="C1241" s="90"/>
      <c r="E1241" s="79"/>
      <c r="F1241" s="80"/>
      <c r="G1241" s="80"/>
      <c r="H1241" s="81"/>
      <c r="I1241" s="80"/>
      <c r="J1241" s="80"/>
      <c r="K1241" s="80"/>
    </row>
    <row r="1242" ht="12.75" customHeight="1">
      <c r="B1242" s="90"/>
      <c r="E1242" s="79"/>
      <c r="F1242" s="80"/>
      <c r="G1242" s="80"/>
      <c r="H1242" s="81"/>
      <c r="I1242" s="80"/>
      <c r="J1242" s="80"/>
      <c r="K1242" s="80"/>
    </row>
    <row r="1243" ht="12.75" customHeight="1">
      <c r="A1243" s="89" t="s">
        <v>1039</v>
      </c>
      <c r="B1243" s="96" t="s">
        <v>4153</v>
      </c>
      <c r="C1243" s="90"/>
      <c r="D1243" s="89" t="s">
        <v>161</v>
      </c>
      <c r="E1243" s="91">
        <v>45.73</v>
      </c>
      <c r="F1243" s="92">
        <v>14.95</v>
      </c>
      <c r="G1243" s="92">
        <v>683.66</v>
      </c>
      <c r="H1243" s="93"/>
      <c r="I1243" s="92"/>
      <c r="J1243" s="92"/>
      <c r="K1243" s="92"/>
    </row>
    <row r="1244" ht="12.75" customHeight="1">
      <c r="B1244" s="90"/>
      <c r="E1244" s="79"/>
      <c r="F1244" s="80"/>
      <c r="G1244" s="80"/>
      <c r="H1244" s="81"/>
      <c r="I1244" s="80"/>
      <c r="J1244" s="80"/>
      <c r="K1244" s="80"/>
    </row>
    <row r="1245" ht="12.75" customHeight="1">
      <c r="A1245" s="89" t="s">
        <v>1041</v>
      </c>
      <c r="B1245" s="96" t="s">
        <v>5083</v>
      </c>
      <c r="C1245" s="90"/>
      <c r="E1245" s="79"/>
      <c r="F1245" s="80"/>
      <c r="G1245" s="80"/>
      <c r="H1245" s="81"/>
      <c r="I1245" s="80"/>
      <c r="J1245" s="80"/>
      <c r="K1245" s="80"/>
    </row>
    <row r="1246" ht="12.75" customHeight="1">
      <c r="B1246" s="90"/>
      <c r="E1246" s="79"/>
      <c r="F1246" s="80"/>
      <c r="G1246" s="80"/>
      <c r="H1246" s="81"/>
      <c r="I1246" s="80"/>
      <c r="J1246" s="80"/>
      <c r="K1246" s="80"/>
    </row>
    <row r="1247" ht="12.75" customHeight="1">
      <c r="A1247" s="89" t="s">
        <v>1043</v>
      </c>
      <c r="B1247" s="96" t="s">
        <v>4155</v>
      </c>
      <c r="C1247" s="90"/>
      <c r="D1247" s="89" t="s">
        <v>161</v>
      </c>
      <c r="E1247" s="91">
        <v>15.56</v>
      </c>
      <c r="F1247" s="92">
        <v>19.85</v>
      </c>
      <c r="G1247" s="92">
        <v>308.87</v>
      </c>
      <c r="H1247" s="93"/>
      <c r="I1247" s="92"/>
      <c r="J1247" s="92"/>
      <c r="K1247" s="92"/>
    </row>
    <row r="1248" ht="12.75" customHeight="1">
      <c r="B1248" s="90"/>
      <c r="E1248" s="79"/>
      <c r="F1248" s="80"/>
      <c r="G1248" s="80"/>
      <c r="H1248" s="81"/>
      <c r="I1248" s="80"/>
      <c r="J1248" s="80"/>
      <c r="K1248" s="80"/>
    </row>
    <row r="1249" ht="12.75" customHeight="1">
      <c r="A1249" s="89" t="s">
        <v>1045</v>
      </c>
      <c r="B1249" s="96" t="s">
        <v>4156</v>
      </c>
      <c r="C1249" s="90"/>
      <c r="D1249" s="89" t="s">
        <v>161</v>
      </c>
      <c r="E1249" s="91">
        <v>14.62</v>
      </c>
      <c r="F1249" s="92">
        <v>20.92</v>
      </c>
      <c r="G1249" s="92">
        <v>305.85</v>
      </c>
      <c r="H1249" s="93"/>
      <c r="I1249" s="92"/>
      <c r="J1249" s="92"/>
      <c r="K1249" s="92"/>
    </row>
    <row r="1250" ht="12.75" customHeight="1">
      <c r="B1250" s="90"/>
      <c r="E1250" s="79"/>
      <c r="F1250" s="80"/>
      <c r="G1250" s="80"/>
      <c r="H1250" s="81"/>
      <c r="I1250" s="80"/>
      <c r="J1250" s="80"/>
      <c r="K1250" s="80"/>
    </row>
    <row r="1251" ht="12.75" customHeight="1">
      <c r="A1251" s="89" t="s">
        <v>1047</v>
      </c>
      <c r="B1251" s="96" t="s">
        <v>4157</v>
      </c>
      <c r="C1251" s="90"/>
      <c r="D1251" s="89" t="s">
        <v>161</v>
      </c>
      <c r="E1251" s="91">
        <v>18.36</v>
      </c>
      <c r="F1251" s="92">
        <v>25.05</v>
      </c>
      <c r="G1251" s="92">
        <v>459.92</v>
      </c>
      <c r="H1251" s="93"/>
      <c r="I1251" s="92"/>
      <c r="J1251" s="92"/>
      <c r="K1251" s="92"/>
    </row>
    <row r="1252" ht="12.75" customHeight="1">
      <c r="B1252" s="90"/>
      <c r="E1252" s="79"/>
      <c r="F1252" s="80"/>
      <c r="G1252" s="80"/>
      <c r="H1252" s="81"/>
      <c r="I1252" s="80"/>
      <c r="J1252" s="80"/>
      <c r="K1252" s="80"/>
    </row>
    <row r="1253" ht="12.75" customHeight="1">
      <c r="A1253" s="89" t="s">
        <v>1049</v>
      </c>
      <c r="B1253" s="96" t="s">
        <v>4158</v>
      </c>
      <c r="C1253" s="90"/>
      <c r="D1253" s="89" t="s">
        <v>161</v>
      </c>
      <c r="E1253" s="91">
        <v>68.48</v>
      </c>
      <c r="F1253" s="92">
        <v>26.43</v>
      </c>
      <c r="G1253" s="92">
        <v>1809.93</v>
      </c>
      <c r="H1253" s="93"/>
      <c r="I1253" s="92"/>
      <c r="J1253" s="92"/>
      <c r="K1253" s="92"/>
    </row>
    <row r="1254" ht="12.75" customHeight="1">
      <c r="B1254" s="90"/>
      <c r="E1254" s="79"/>
      <c r="F1254" s="80"/>
      <c r="G1254" s="80"/>
      <c r="H1254" s="81"/>
      <c r="I1254" s="80"/>
      <c r="J1254" s="80"/>
      <c r="K1254" s="80"/>
    </row>
    <row r="1255" ht="12.75" customHeight="1">
      <c r="A1255" s="89" t="s">
        <v>1051</v>
      </c>
      <c r="B1255" s="96" t="s">
        <v>5084</v>
      </c>
      <c r="C1255" s="90"/>
      <c r="E1255" s="79"/>
      <c r="F1255" s="80"/>
      <c r="G1255" s="80"/>
      <c r="H1255" s="81"/>
      <c r="I1255" s="80"/>
      <c r="J1255" s="80"/>
      <c r="K1255" s="80"/>
    </row>
    <row r="1256" ht="12.75" customHeight="1">
      <c r="B1256" s="90"/>
      <c r="E1256" s="79"/>
      <c r="F1256" s="80"/>
      <c r="G1256" s="80"/>
      <c r="H1256" s="81"/>
      <c r="I1256" s="80"/>
      <c r="J1256" s="80"/>
      <c r="K1256" s="80"/>
    </row>
    <row r="1257" ht="12.75" customHeight="1">
      <c r="A1257" s="89" t="s">
        <v>1053</v>
      </c>
      <c r="B1257" s="96" t="s">
        <v>4157</v>
      </c>
      <c r="C1257" s="90"/>
      <c r="D1257" s="89" t="s">
        <v>161</v>
      </c>
      <c r="E1257" s="91">
        <v>6.58</v>
      </c>
      <c r="F1257" s="92">
        <v>112.47</v>
      </c>
      <c r="G1257" s="92">
        <v>740.05</v>
      </c>
      <c r="H1257" s="93"/>
      <c r="I1257" s="92"/>
      <c r="J1257" s="92"/>
      <c r="K1257" s="92"/>
    </row>
    <row r="1258" ht="12.75" customHeight="1">
      <c r="B1258" s="90"/>
      <c r="E1258" s="79"/>
      <c r="F1258" s="80"/>
      <c r="G1258" s="80"/>
      <c r="H1258" s="81"/>
      <c r="I1258" s="80"/>
      <c r="J1258" s="80"/>
      <c r="K1258" s="80"/>
    </row>
    <row r="1259" ht="12.75" customHeight="1">
      <c r="A1259" s="89" t="s">
        <v>1054</v>
      </c>
      <c r="B1259" s="96" t="s">
        <v>4158</v>
      </c>
      <c r="C1259" s="90"/>
      <c r="D1259" s="89" t="s">
        <v>161</v>
      </c>
      <c r="E1259" s="91">
        <v>17.65</v>
      </c>
      <c r="F1259" s="92">
        <v>119.78</v>
      </c>
      <c r="G1259" s="92">
        <v>2114.12</v>
      </c>
      <c r="H1259" s="93"/>
      <c r="I1259" s="92"/>
      <c r="J1259" s="92"/>
      <c r="K1259" s="92"/>
    </row>
    <row r="1260" ht="12.75" customHeight="1">
      <c r="B1260" s="90"/>
      <c r="E1260" s="79"/>
      <c r="F1260" s="80"/>
      <c r="G1260" s="80"/>
      <c r="H1260" s="81"/>
      <c r="I1260" s="80"/>
      <c r="J1260" s="80"/>
      <c r="K1260" s="80"/>
    </row>
    <row r="1261" ht="12.75" customHeight="1">
      <c r="A1261" s="89" t="s">
        <v>1055</v>
      </c>
      <c r="B1261" s="96" t="s">
        <v>5085</v>
      </c>
      <c r="C1261" s="90"/>
      <c r="D1261" s="89" t="s">
        <v>161</v>
      </c>
      <c r="E1261" s="91">
        <v>17.62</v>
      </c>
      <c r="F1261" s="92">
        <v>13.94</v>
      </c>
      <c r="G1261" s="92">
        <v>245.62</v>
      </c>
      <c r="H1261" s="93"/>
      <c r="I1261" s="92"/>
      <c r="J1261" s="92"/>
      <c r="K1261" s="92"/>
    </row>
    <row r="1262" ht="12.75" customHeight="1">
      <c r="B1262" s="90"/>
      <c r="E1262" s="79"/>
      <c r="F1262" s="80"/>
      <c r="G1262" s="80"/>
      <c r="H1262" s="81"/>
      <c r="I1262" s="80"/>
      <c r="J1262" s="80"/>
      <c r="K1262" s="80"/>
    </row>
    <row r="1263" ht="12.75" customHeight="1">
      <c r="A1263" s="89" t="s">
        <v>4161</v>
      </c>
      <c r="B1263" s="96" t="s">
        <v>5086</v>
      </c>
      <c r="C1263" s="90"/>
      <c r="D1263" s="89" t="s">
        <v>161</v>
      </c>
      <c r="E1263" s="91">
        <v>3.84</v>
      </c>
      <c r="F1263" s="92">
        <v>16.81</v>
      </c>
      <c r="G1263" s="92">
        <v>64.55</v>
      </c>
      <c r="H1263" s="93"/>
      <c r="I1263" s="92"/>
      <c r="J1263" s="92"/>
      <c r="K1263" s="92"/>
    </row>
    <row r="1264" ht="12.75" customHeight="1">
      <c r="B1264" s="90"/>
      <c r="E1264" s="79"/>
      <c r="F1264" s="80"/>
      <c r="G1264" s="80"/>
      <c r="H1264" s="81"/>
      <c r="I1264" s="80"/>
      <c r="J1264" s="80"/>
      <c r="K1264" s="80"/>
    </row>
    <row r="1265" ht="12.75" customHeight="1">
      <c r="A1265" s="89" t="s">
        <v>4163</v>
      </c>
      <c r="B1265" s="96" t="s">
        <v>5087</v>
      </c>
      <c r="C1265" s="90"/>
      <c r="E1265" s="79"/>
      <c r="F1265" s="80"/>
      <c r="G1265" s="80"/>
      <c r="H1265" s="81"/>
      <c r="I1265" s="80"/>
      <c r="J1265" s="80"/>
      <c r="K1265" s="80"/>
    </row>
    <row r="1266" ht="12.75" customHeight="1">
      <c r="B1266" s="90"/>
      <c r="E1266" s="79"/>
      <c r="F1266" s="80"/>
      <c r="G1266" s="80"/>
      <c r="H1266" s="81"/>
      <c r="I1266" s="80"/>
      <c r="J1266" s="80"/>
      <c r="K1266" s="80"/>
    </row>
    <row r="1267" ht="12.75" customHeight="1">
      <c r="A1267" s="89" t="s">
        <v>1059</v>
      </c>
      <c r="B1267" s="96" t="s">
        <v>5088</v>
      </c>
      <c r="C1267" s="90"/>
      <c r="E1267" s="79"/>
      <c r="F1267" s="80"/>
      <c r="G1267" s="80"/>
      <c r="H1267" s="81"/>
      <c r="I1267" s="80"/>
      <c r="J1267" s="80"/>
      <c r="K1267" s="80"/>
    </row>
    <row r="1268" ht="12.75" customHeight="1">
      <c r="B1268" s="90"/>
      <c r="E1268" s="79"/>
      <c r="F1268" s="80"/>
      <c r="G1268" s="80"/>
      <c r="H1268" s="81"/>
      <c r="I1268" s="80"/>
      <c r="J1268" s="80"/>
      <c r="K1268" s="80"/>
    </row>
    <row r="1269" ht="12.75" customHeight="1">
      <c r="A1269" s="89" t="s">
        <v>1061</v>
      </c>
      <c r="B1269" s="96" t="s">
        <v>5089</v>
      </c>
      <c r="C1269" s="90"/>
      <c r="D1269" s="89" t="s">
        <v>75</v>
      </c>
      <c r="E1269" s="91">
        <v>1.0</v>
      </c>
      <c r="F1269" s="92">
        <v>226.29</v>
      </c>
      <c r="G1269" s="92">
        <v>226.29</v>
      </c>
      <c r="H1269" s="93"/>
      <c r="I1269" s="92"/>
      <c r="J1269" s="92"/>
      <c r="K1269" s="92"/>
    </row>
    <row r="1270" ht="12.75" customHeight="1">
      <c r="B1270" s="90"/>
      <c r="E1270" s="79"/>
      <c r="F1270" s="80"/>
      <c r="G1270" s="80"/>
      <c r="H1270" s="81"/>
      <c r="I1270" s="80"/>
      <c r="J1270" s="80"/>
      <c r="K1270" s="80"/>
    </row>
    <row r="1271" ht="12.75" customHeight="1">
      <c r="A1271" s="89" t="s">
        <v>1063</v>
      </c>
      <c r="B1271" s="96" t="s">
        <v>5090</v>
      </c>
      <c r="C1271" s="90"/>
      <c r="D1271" s="89" t="s">
        <v>75</v>
      </c>
      <c r="E1271" s="91">
        <v>1.0</v>
      </c>
      <c r="F1271" s="92">
        <v>232.76</v>
      </c>
      <c r="G1271" s="92">
        <v>232.76</v>
      </c>
      <c r="H1271" s="93"/>
      <c r="I1271" s="92"/>
      <c r="J1271" s="92"/>
      <c r="K1271" s="92"/>
    </row>
    <row r="1272" ht="12.75" customHeight="1">
      <c r="B1272" s="90"/>
      <c r="E1272" s="79"/>
      <c r="F1272" s="80"/>
      <c r="G1272" s="80"/>
      <c r="H1272" s="81"/>
      <c r="I1272" s="80"/>
      <c r="J1272" s="80"/>
      <c r="K1272" s="80"/>
    </row>
    <row r="1273" ht="12.75" customHeight="1">
      <c r="A1273" s="89" t="s">
        <v>1065</v>
      </c>
      <c r="B1273" s="96" t="s">
        <v>5091</v>
      </c>
      <c r="C1273" s="90"/>
      <c r="D1273" s="89" t="s">
        <v>75</v>
      </c>
      <c r="E1273" s="91">
        <v>1.0</v>
      </c>
      <c r="F1273" s="92">
        <v>258.62</v>
      </c>
      <c r="G1273" s="92">
        <v>258.62</v>
      </c>
      <c r="H1273" s="93"/>
      <c r="I1273" s="92"/>
      <c r="J1273" s="92"/>
      <c r="K1273" s="92"/>
    </row>
    <row r="1274" ht="12.75" customHeight="1">
      <c r="B1274" s="90"/>
      <c r="E1274" s="79"/>
      <c r="F1274" s="80"/>
      <c r="G1274" s="80"/>
      <c r="H1274" s="81"/>
      <c r="I1274" s="80"/>
      <c r="J1274" s="80"/>
      <c r="K1274" s="80"/>
    </row>
    <row r="1275" ht="12.75" customHeight="1">
      <c r="A1275" s="89" t="s">
        <v>1067</v>
      </c>
      <c r="B1275" s="96" t="s">
        <v>5092</v>
      </c>
      <c r="C1275" s="90"/>
      <c r="D1275" s="89" t="s">
        <v>75</v>
      </c>
      <c r="E1275" s="91">
        <v>2.0</v>
      </c>
      <c r="F1275" s="92">
        <v>646.55</v>
      </c>
      <c r="G1275" s="92">
        <v>1293.1</v>
      </c>
      <c r="H1275" s="93"/>
      <c r="I1275" s="92"/>
      <c r="J1275" s="92"/>
      <c r="K1275" s="92"/>
    </row>
    <row r="1276" ht="12.75" customHeight="1">
      <c r="B1276" s="90"/>
      <c r="E1276" s="79"/>
      <c r="F1276" s="80"/>
      <c r="G1276" s="80"/>
      <c r="H1276" s="81"/>
      <c r="I1276" s="80"/>
      <c r="J1276" s="80"/>
      <c r="K1276" s="80"/>
    </row>
    <row r="1277" ht="12.75" customHeight="1">
      <c r="A1277" s="89" t="s">
        <v>1069</v>
      </c>
      <c r="B1277" s="96" t="s">
        <v>5093</v>
      </c>
      <c r="C1277" s="90"/>
      <c r="D1277" s="89" t="s">
        <v>75</v>
      </c>
      <c r="E1277" s="91">
        <v>1.0</v>
      </c>
      <c r="F1277" s="92">
        <v>711.21</v>
      </c>
      <c r="G1277" s="92">
        <v>711.21</v>
      </c>
      <c r="H1277" s="93"/>
      <c r="I1277" s="92"/>
      <c r="J1277" s="92"/>
      <c r="K1277" s="92"/>
    </row>
    <row r="1278" ht="12.75" customHeight="1">
      <c r="B1278" s="90"/>
      <c r="E1278" s="79"/>
      <c r="F1278" s="80"/>
      <c r="G1278" s="80"/>
      <c r="H1278" s="81"/>
      <c r="I1278" s="80"/>
      <c r="J1278" s="80"/>
      <c r="K1278" s="80"/>
    </row>
    <row r="1279" ht="12.75" customHeight="1">
      <c r="A1279" s="89" t="s">
        <v>4171</v>
      </c>
      <c r="B1279" s="96" t="s">
        <v>5094</v>
      </c>
      <c r="C1279" s="90"/>
      <c r="D1279" s="89" t="s">
        <v>75</v>
      </c>
      <c r="E1279" s="91">
        <v>1.0</v>
      </c>
      <c r="F1279" s="92">
        <v>52.12</v>
      </c>
      <c r="G1279" s="92">
        <v>52.12</v>
      </c>
      <c r="H1279" s="93"/>
      <c r="I1279" s="92"/>
      <c r="J1279" s="92"/>
      <c r="K1279" s="92"/>
    </row>
    <row r="1280" ht="12.75" customHeight="1">
      <c r="B1280" s="90"/>
      <c r="E1280" s="79"/>
      <c r="F1280" s="80"/>
      <c r="G1280" s="80"/>
      <c r="H1280" s="81"/>
      <c r="I1280" s="80"/>
      <c r="J1280" s="80"/>
      <c r="K1280" s="80"/>
    </row>
    <row r="1281" ht="12.75" customHeight="1">
      <c r="A1281" s="89" t="s">
        <v>4173</v>
      </c>
      <c r="B1281" s="96" t="s">
        <v>5095</v>
      </c>
      <c r="C1281" s="90"/>
      <c r="D1281" s="89" t="s">
        <v>75</v>
      </c>
      <c r="E1281" s="91">
        <v>1.0</v>
      </c>
      <c r="F1281" s="92">
        <v>8234.62</v>
      </c>
      <c r="G1281" s="92">
        <v>8234.62</v>
      </c>
      <c r="H1281" s="93"/>
      <c r="I1281" s="92"/>
      <c r="J1281" s="92"/>
      <c r="K1281" s="92"/>
    </row>
    <row r="1282" ht="12.75" customHeight="1">
      <c r="B1282" s="90"/>
      <c r="E1282" s="79"/>
      <c r="F1282" s="80"/>
      <c r="G1282" s="80"/>
      <c r="H1282" s="81"/>
      <c r="I1282" s="80"/>
      <c r="J1282" s="80"/>
      <c r="K1282" s="80"/>
    </row>
    <row r="1283" ht="12.75" customHeight="1">
      <c r="A1283" s="89" t="s">
        <v>4175</v>
      </c>
      <c r="B1283" s="96" t="s">
        <v>5056</v>
      </c>
      <c r="C1283" s="90"/>
      <c r="D1283" s="89" t="s">
        <v>75</v>
      </c>
      <c r="E1283" s="91">
        <v>1.0</v>
      </c>
      <c r="F1283" s="92">
        <v>1326.02</v>
      </c>
      <c r="G1283" s="92">
        <v>1326.02</v>
      </c>
      <c r="H1283" s="93"/>
      <c r="I1283" s="92"/>
      <c r="J1283" s="92"/>
      <c r="K1283" s="92"/>
    </row>
    <row r="1284" ht="12.75" customHeight="1">
      <c r="B1284" s="90"/>
      <c r="E1284" s="79"/>
      <c r="F1284" s="80"/>
      <c r="G1284" s="80"/>
      <c r="H1284" s="81"/>
      <c r="I1284" s="80"/>
      <c r="J1284" s="80"/>
      <c r="K1284" s="80"/>
    </row>
    <row r="1285" ht="12.75" customHeight="1">
      <c r="A1285" s="89" t="s">
        <v>4176</v>
      </c>
      <c r="B1285" s="96" t="s">
        <v>5096</v>
      </c>
      <c r="C1285" s="90"/>
      <c r="D1285" s="89" t="s">
        <v>33</v>
      </c>
      <c r="E1285" s="91">
        <v>1.0</v>
      </c>
      <c r="F1285" s="92">
        <v>3232.75</v>
      </c>
      <c r="G1285" s="92">
        <v>3232.75</v>
      </c>
      <c r="H1285" s="93"/>
      <c r="I1285" s="92"/>
      <c r="J1285" s="92"/>
      <c r="K1285" s="92"/>
    </row>
    <row r="1286" ht="12.75" customHeight="1">
      <c r="B1286" s="90"/>
      <c r="E1286" s="79"/>
      <c r="F1286" s="80"/>
      <c r="G1286" s="80"/>
      <c r="H1286" s="81"/>
      <c r="I1286" s="80"/>
      <c r="J1286" s="80"/>
      <c r="K1286" s="80"/>
    </row>
    <row r="1287" ht="12.75" customHeight="1">
      <c r="A1287" s="89" t="s">
        <v>4178</v>
      </c>
      <c r="B1287" s="96" t="s">
        <v>5097</v>
      </c>
      <c r="C1287" s="90"/>
      <c r="E1287" s="79"/>
      <c r="F1287" s="80"/>
      <c r="G1287" s="80"/>
      <c r="H1287" s="81"/>
      <c r="I1287" s="80"/>
      <c r="J1287" s="80"/>
      <c r="K1287" s="80"/>
    </row>
    <row r="1288" ht="12.75" customHeight="1">
      <c r="B1288" s="90"/>
      <c r="E1288" s="79"/>
      <c r="F1288" s="80"/>
      <c r="G1288" s="80"/>
      <c r="H1288" s="81"/>
      <c r="I1288" s="80"/>
      <c r="J1288" s="80"/>
      <c r="K1288" s="80"/>
    </row>
    <row r="1289" ht="12.75" customHeight="1">
      <c r="A1289" s="89" t="s">
        <v>1075</v>
      </c>
      <c r="B1289" s="96" t="s">
        <v>5082</v>
      </c>
      <c r="C1289" s="90"/>
      <c r="E1289" s="79"/>
      <c r="F1289" s="80"/>
      <c r="G1289" s="80"/>
      <c r="H1289" s="81"/>
      <c r="I1289" s="80"/>
      <c r="J1289" s="80"/>
      <c r="K1289" s="80"/>
    </row>
    <row r="1290" ht="12.75" customHeight="1">
      <c r="B1290" s="90"/>
      <c r="E1290" s="79"/>
      <c r="F1290" s="80"/>
      <c r="G1290" s="80"/>
      <c r="H1290" s="81"/>
      <c r="I1290" s="80"/>
      <c r="J1290" s="80"/>
      <c r="K1290" s="80"/>
    </row>
    <row r="1291" ht="12.75" customHeight="1">
      <c r="A1291" s="89" t="s">
        <v>1076</v>
      </c>
      <c r="B1291" s="96" t="s">
        <v>4153</v>
      </c>
      <c r="C1291" s="90"/>
      <c r="D1291" s="89" t="s">
        <v>161</v>
      </c>
      <c r="E1291" s="91">
        <v>80.05</v>
      </c>
      <c r="F1291" s="92">
        <v>14.95</v>
      </c>
      <c r="G1291" s="92">
        <v>1196.75</v>
      </c>
      <c r="H1291" s="93"/>
      <c r="I1291" s="92"/>
      <c r="J1291" s="92"/>
      <c r="K1291" s="92"/>
    </row>
    <row r="1292" ht="12.75" customHeight="1">
      <c r="B1292" s="90"/>
      <c r="E1292" s="79"/>
      <c r="F1292" s="80"/>
      <c r="G1292" s="80"/>
      <c r="H1292" s="81"/>
      <c r="I1292" s="80"/>
      <c r="J1292" s="80"/>
      <c r="K1292" s="80"/>
    </row>
    <row r="1293" ht="12.75" customHeight="1">
      <c r="A1293" s="89" t="s">
        <v>1077</v>
      </c>
      <c r="B1293" s="96" t="s">
        <v>4180</v>
      </c>
      <c r="C1293" s="90"/>
      <c r="D1293" s="89" t="s">
        <v>161</v>
      </c>
      <c r="E1293" s="91">
        <v>12.6</v>
      </c>
      <c r="F1293" s="92">
        <v>16.81</v>
      </c>
      <c r="G1293" s="92">
        <v>211.81</v>
      </c>
      <c r="H1293" s="93"/>
      <c r="I1293" s="92"/>
      <c r="J1293" s="92"/>
      <c r="K1293" s="92"/>
    </row>
    <row r="1294" ht="12.75" customHeight="1">
      <c r="B1294" s="90"/>
      <c r="E1294" s="79"/>
      <c r="F1294" s="80"/>
      <c r="G1294" s="80"/>
      <c r="H1294" s="81"/>
      <c r="I1294" s="80"/>
      <c r="J1294" s="80"/>
      <c r="K1294" s="80"/>
    </row>
    <row r="1295" ht="12.75" customHeight="1">
      <c r="A1295" s="89" t="s">
        <v>1079</v>
      </c>
      <c r="B1295" s="96" t="s">
        <v>5098</v>
      </c>
      <c r="C1295" s="90"/>
      <c r="E1295" s="79"/>
      <c r="F1295" s="80"/>
      <c r="G1295" s="80"/>
      <c r="H1295" s="81"/>
      <c r="I1295" s="80"/>
      <c r="J1295" s="80"/>
      <c r="K1295" s="80"/>
    </row>
    <row r="1296" ht="12.75" customHeight="1">
      <c r="B1296" s="90"/>
      <c r="E1296" s="79"/>
      <c r="F1296" s="80"/>
      <c r="G1296" s="80"/>
      <c r="H1296" s="81"/>
      <c r="I1296" s="80"/>
      <c r="J1296" s="80"/>
      <c r="K1296" s="80"/>
    </row>
    <row r="1297" ht="12.75" customHeight="1">
      <c r="A1297" s="89" t="s">
        <v>1081</v>
      </c>
      <c r="B1297" s="96" t="s">
        <v>4156</v>
      </c>
      <c r="C1297" s="90"/>
      <c r="D1297" s="89" t="s">
        <v>161</v>
      </c>
      <c r="E1297" s="91">
        <v>37.36</v>
      </c>
      <c r="F1297" s="92">
        <v>20.92</v>
      </c>
      <c r="G1297" s="92">
        <v>781.57</v>
      </c>
      <c r="H1297" s="93"/>
      <c r="I1297" s="92"/>
      <c r="J1297" s="92"/>
      <c r="K1297" s="92"/>
    </row>
    <row r="1298" ht="12.75" customHeight="1">
      <c r="B1298" s="90"/>
      <c r="E1298" s="79"/>
      <c r="F1298" s="80"/>
      <c r="G1298" s="80"/>
      <c r="H1298" s="81"/>
      <c r="I1298" s="80"/>
      <c r="J1298" s="80"/>
      <c r="K1298" s="80"/>
    </row>
    <row r="1299" ht="12.75" customHeight="1">
      <c r="A1299" s="89" t="s">
        <v>1082</v>
      </c>
      <c r="B1299" s="96" t="s">
        <v>4157</v>
      </c>
      <c r="C1299" s="90"/>
      <c r="D1299" s="89" t="s">
        <v>161</v>
      </c>
      <c r="E1299" s="91">
        <v>11.41</v>
      </c>
      <c r="F1299" s="92">
        <v>25.05</v>
      </c>
      <c r="G1299" s="92">
        <v>285.82</v>
      </c>
      <c r="H1299" s="93"/>
      <c r="I1299" s="92"/>
      <c r="J1299" s="92"/>
      <c r="K1299" s="92"/>
    </row>
    <row r="1300" ht="12.75" customHeight="1">
      <c r="B1300" s="90"/>
      <c r="E1300" s="79"/>
      <c r="F1300" s="80"/>
      <c r="G1300" s="80"/>
      <c r="H1300" s="81"/>
      <c r="I1300" s="80"/>
      <c r="J1300" s="80"/>
      <c r="K1300" s="80"/>
    </row>
    <row r="1301" ht="12.75" customHeight="1">
      <c r="A1301" s="89" t="s">
        <v>1083</v>
      </c>
      <c r="B1301" s="96" t="s">
        <v>4158</v>
      </c>
      <c r="C1301" s="90"/>
      <c r="D1301" s="89" t="s">
        <v>161</v>
      </c>
      <c r="E1301" s="91">
        <v>23.75</v>
      </c>
      <c r="F1301" s="92">
        <v>26.43</v>
      </c>
      <c r="G1301" s="92">
        <v>627.71</v>
      </c>
      <c r="H1301" s="93"/>
      <c r="I1301" s="92"/>
      <c r="J1301" s="92"/>
      <c r="K1301" s="92"/>
    </row>
    <row r="1302" ht="12.75" customHeight="1">
      <c r="B1302" s="90"/>
      <c r="E1302" s="79"/>
      <c r="F1302" s="80"/>
      <c r="G1302" s="80"/>
      <c r="H1302" s="81"/>
      <c r="I1302" s="80"/>
      <c r="J1302" s="80"/>
      <c r="K1302" s="80"/>
    </row>
    <row r="1303" ht="12.75" customHeight="1">
      <c r="A1303" s="89" t="s">
        <v>1084</v>
      </c>
      <c r="B1303" s="96" t="s">
        <v>4153</v>
      </c>
      <c r="C1303" s="90"/>
      <c r="D1303" s="89" t="s">
        <v>161</v>
      </c>
      <c r="E1303" s="91">
        <v>3.22</v>
      </c>
      <c r="F1303" s="92">
        <v>30.63</v>
      </c>
      <c r="G1303" s="92">
        <v>98.63</v>
      </c>
      <c r="H1303" s="93"/>
      <c r="I1303" s="92"/>
      <c r="J1303" s="92"/>
      <c r="K1303" s="92"/>
    </row>
    <row r="1304" ht="12.75" customHeight="1">
      <c r="B1304" s="90"/>
      <c r="E1304" s="79"/>
      <c r="F1304" s="80"/>
      <c r="G1304" s="80"/>
      <c r="H1304" s="81"/>
      <c r="I1304" s="80"/>
      <c r="J1304" s="80"/>
      <c r="K1304" s="80"/>
    </row>
    <row r="1305" ht="12.75" customHeight="1">
      <c r="A1305" s="89" t="s">
        <v>1085</v>
      </c>
      <c r="B1305" s="96" t="s">
        <v>5084</v>
      </c>
      <c r="C1305" s="90"/>
      <c r="E1305" s="79"/>
      <c r="F1305" s="80"/>
      <c r="G1305" s="80"/>
      <c r="H1305" s="81"/>
      <c r="I1305" s="80"/>
      <c r="J1305" s="80"/>
      <c r="K1305" s="80"/>
    </row>
    <row r="1306" ht="12.75" customHeight="1">
      <c r="B1306" s="90"/>
      <c r="E1306" s="79"/>
      <c r="F1306" s="80"/>
      <c r="G1306" s="80"/>
      <c r="H1306" s="81"/>
      <c r="I1306" s="80"/>
      <c r="J1306" s="80"/>
      <c r="K1306" s="80"/>
    </row>
    <row r="1307" ht="12.75" customHeight="1">
      <c r="A1307" s="89" t="s">
        <v>1086</v>
      </c>
      <c r="B1307" s="96" t="s">
        <v>4158</v>
      </c>
      <c r="C1307" s="90"/>
      <c r="D1307" s="89" t="s">
        <v>161</v>
      </c>
      <c r="E1307" s="91">
        <v>54.39</v>
      </c>
      <c r="F1307" s="92">
        <v>119.78</v>
      </c>
      <c r="G1307" s="92">
        <v>6514.83</v>
      </c>
      <c r="H1307" s="93"/>
      <c r="I1307" s="92"/>
      <c r="J1307" s="92"/>
      <c r="K1307" s="92"/>
    </row>
    <row r="1308" ht="12.75" customHeight="1">
      <c r="B1308" s="90"/>
      <c r="E1308" s="79"/>
      <c r="F1308" s="80"/>
      <c r="G1308" s="80"/>
      <c r="H1308" s="81"/>
      <c r="I1308" s="80"/>
      <c r="J1308" s="80"/>
      <c r="K1308" s="80"/>
    </row>
    <row r="1309" ht="12.75" customHeight="1">
      <c r="A1309" s="89" t="s">
        <v>1087</v>
      </c>
      <c r="B1309" s="96" t="s">
        <v>4153</v>
      </c>
      <c r="C1309" s="90"/>
      <c r="D1309" s="89" t="s">
        <v>161</v>
      </c>
      <c r="E1309" s="91">
        <v>5.52</v>
      </c>
      <c r="F1309" s="92">
        <v>122.75</v>
      </c>
      <c r="G1309" s="92">
        <v>677.58</v>
      </c>
      <c r="H1309" s="93"/>
      <c r="I1309" s="92"/>
      <c r="J1309" s="92"/>
      <c r="K1309" s="92"/>
    </row>
    <row r="1310" ht="12.75" customHeight="1">
      <c r="B1310" s="90"/>
      <c r="E1310" s="79"/>
      <c r="F1310" s="80"/>
      <c r="G1310" s="80"/>
      <c r="H1310" s="81"/>
      <c r="I1310" s="80"/>
      <c r="J1310" s="80"/>
      <c r="K1310" s="80"/>
    </row>
    <row r="1311" ht="12.75" customHeight="1">
      <c r="A1311" s="89" t="s">
        <v>1088</v>
      </c>
      <c r="B1311" s="96" t="s">
        <v>5099</v>
      </c>
      <c r="C1311" s="90"/>
      <c r="D1311" s="89" t="s">
        <v>161</v>
      </c>
      <c r="E1311" s="91">
        <v>8.24</v>
      </c>
      <c r="F1311" s="92">
        <v>25.42</v>
      </c>
      <c r="G1311" s="92">
        <v>209.46</v>
      </c>
      <c r="H1311" s="93"/>
      <c r="I1311" s="92"/>
      <c r="J1311" s="92"/>
      <c r="K1311" s="92"/>
    </row>
    <row r="1312" ht="12.75" customHeight="1">
      <c r="B1312" s="90"/>
      <c r="E1312" s="79"/>
      <c r="F1312" s="80"/>
      <c r="G1312" s="80"/>
      <c r="H1312" s="81"/>
      <c r="I1312" s="80"/>
      <c r="J1312" s="80"/>
      <c r="K1312" s="80"/>
    </row>
    <row r="1313" ht="12.75" customHeight="1">
      <c r="A1313" s="89" t="s">
        <v>1090</v>
      </c>
      <c r="B1313" s="96" t="s">
        <v>5100</v>
      </c>
      <c r="C1313" s="90"/>
      <c r="D1313" s="89" t="s">
        <v>161</v>
      </c>
      <c r="E1313" s="91">
        <v>23.04</v>
      </c>
      <c r="F1313" s="92">
        <v>10.64</v>
      </c>
      <c r="G1313" s="92">
        <v>245.15</v>
      </c>
      <c r="H1313" s="93"/>
      <c r="I1313" s="92"/>
      <c r="J1313" s="92"/>
      <c r="K1313" s="92"/>
    </row>
    <row r="1314" ht="12.75" customHeight="1">
      <c r="B1314" s="90"/>
      <c r="E1314" s="79"/>
      <c r="F1314" s="80"/>
      <c r="G1314" s="80"/>
      <c r="H1314" s="81"/>
      <c r="I1314" s="80"/>
      <c r="J1314" s="80"/>
      <c r="K1314" s="80"/>
    </row>
    <row r="1315" ht="12.75" customHeight="1">
      <c r="A1315" s="89" t="s">
        <v>1092</v>
      </c>
      <c r="B1315" s="96" t="s">
        <v>5101</v>
      </c>
      <c r="C1315" s="90"/>
      <c r="D1315" s="89" t="s">
        <v>161</v>
      </c>
      <c r="E1315" s="91">
        <v>21.36</v>
      </c>
      <c r="F1315" s="92">
        <v>10.64</v>
      </c>
      <c r="G1315" s="92">
        <v>227.27</v>
      </c>
      <c r="H1315" s="93"/>
      <c r="I1315" s="92"/>
      <c r="J1315" s="92"/>
      <c r="K1315" s="92"/>
    </row>
    <row r="1316" ht="12.75" customHeight="1">
      <c r="B1316" s="90"/>
      <c r="E1316" s="79"/>
      <c r="F1316" s="80"/>
      <c r="G1316" s="80"/>
      <c r="H1316" s="81"/>
      <c r="I1316" s="80"/>
      <c r="J1316" s="80"/>
      <c r="K1316" s="80"/>
    </row>
    <row r="1317" ht="12.75" customHeight="1">
      <c r="A1317" s="89" t="s">
        <v>1094</v>
      </c>
      <c r="B1317" s="96" t="s">
        <v>5102</v>
      </c>
      <c r="C1317" s="90"/>
      <c r="D1317" s="89" t="s">
        <v>161</v>
      </c>
      <c r="E1317" s="91">
        <v>2.25</v>
      </c>
      <c r="F1317" s="92">
        <v>21.58</v>
      </c>
      <c r="G1317" s="92">
        <v>48.56</v>
      </c>
      <c r="H1317" s="93"/>
      <c r="I1317" s="92"/>
      <c r="J1317" s="92"/>
      <c r="K1317" s="92"/>
    </row>
    <row r="1318" ht="12.75" customHeight="1">
      <c r="B1318" s="90"/>
      <c r="E1318" s="79"/>
      <c r="F1318" s="80"/>
      <c r="G1318" s="80"/>
      <c r="H1318" s="81"/>
      <c r="I1318" s="80"/>
      <c r="J1318" s="80"/>
      <c r="K1318" s="80"/>
    </row>
    <row r="1319" ht="12.75" customHeight="1">
      <c r="A1319" s="89" t="s">
        <v>1096</v>
      </c>
      <c r="B1319" s="96" t="s">
        <v>5103</v>
      </c>
      <c r="C1319" s="90"/>
      <c r="D1319" s="89" t="s">
        <v>161</v>
      </c>
      <c r="E1319" s="91">
        <v>50.2</v>
      </c>
      <c r="F1319" s="92">
        <v>6.76</v>
      </c>
      <c r="G1319" s="92">
        <v>339.35</v>
      </c>
      <c r="H1319" s="93"/>
      <c r="I1319" s="92"/>
      <c r="J1319" s="92"/>
      <c r="K1319" s="92"/>
    </row>
    <row r="1320" ht="12.75" customHeight="1">
      <c r="B1320" s="90"/>
      <c r="E1320" s="79"/>
      <c r="F1320" s="80"/>
      <c r="G1320" s="80"/>
      <c r="H1320" s="81"/>
      <c r="I1320" s="80"/>
      <c r="J1320" s="80"/>
      <c r="K1320" s="80"/>
    </row>
    <row r="1321" ht="12.75" customHeight="1">
      <c r="A1321" s="89" t="s">
        <v>4187</v>
      </c>
      <c r="B1321" s="96" t="s">
        <v>5104</v>
      </c>
      <c r="C1321" s="90"/>
      <c r="D1321" s="89" t="s">
        <v>161</v>
      </c>
      <c r="E1321" s="91">
        <v>278.97</v>
      </c>
      <c r="F1321" s="92">
        <v>16.16</v>
      </c>
      <c r="G1321" s="92">
        <v>4508.16</v>
      </c>
      <c r="H1321" s="93"/>
      <c r="I1321" s="92"/>
      <c r="J1321" s="92"/>
      <c r="K1321" s="92"/>
    </row>
    <row r="1322" ht="12.75" customHeight="1">
      <c r="B1322" s="90"/>
      <c r="E1322" s="79"/>
      <c r="F1322" s="80"/>
      <c r="G1322" s="80"/>
      <c r="H1322" s="81"/>
      <c r="I1322" s="80"/>
      <c r="J1322" s="80"/>
      <c r="K1322" s="80"/>
    </row>
    <row r="1323" ht="12.75" customHeight="1">
      <c r="A1323" s="89" t="s">
        <v>4189</v>
      </c>
      <c r="B1323" s="96" t="s">
        <v>5105</v>
      </c>
      <c r="C1323" s="90"/>
      <c r="D1323" s="89" t="s">
        <v>161</v>
      </c>
      <c r="E1323" s="91">
        <v>7.4</v>
      </c>
      <c r="F1323" s="92">
        <v>16.81</v>
      </c>
      <c r="G1323" s="92">
        <v>124.39</v>
      </c>
      <c r="H1323" s="93"/>
      <c r="I1323" s="92"/>
      <c r="J1323" s="92"/>
      <c r="K1323" s="92"/>
    </row>
    <row r="1324" ht="12.75" customHeight="1">
      <c r="B1324" s="90"/>
      <c r="E1324" s="79"/>
      <c r="F1324" s="80"/>
      <c r="G1324" s="80"/>
      <c r="H1324" s="81"/>
      <c r="I1324" s="80"/>
      <c r="J1324" s="80"/>
      <c r="K1324" s="80"/>
    </row>
    <row r="1325" ht="12.75" customHeight="1">
      <c r="A1325" s="89" t="s">
        <v>4191</v>
      </c>
      <c r="B1325" s="96" t="s">
        <v>5087</v>
      </c>
      <c r="C1325" s="90"/>
      <c r="E1325" s="79"/>
      <c r="F1325" s="80"/>
      <c r="G1325" s="80"/>
      <c r="H1325" s="81"/>
      <c r="I1325" s="80"/>
      <c r="J1325" s="80"/>
      <c r="K1325" s="80"/>
    </row>
    <row r="1326" ht="12.75" customHeight="1">
      <c r="B1326" s="90"/>
      <c r="E1326" s="79"/>
      <c r="F1326" s="80"/>
      <c r="G1326" s="80"/>
      <c r="H1326" s="81"/>
      <c r="I1326" s="80"/>
      <c r="J1326" s="80"/>
      <c r="K1326" s="80"/>
    </row>
    <row r="1327" ht="12.75" customHeight="1">
      <c r="A1327" s="89" t="s">
        <v>1100</v>
      </c>
      <c r="B1327" s="96" t="s">
        <v>5088</v>
      </c>
      <c r="C1327" s="90"/>
      <c r="E1327" s="79"/>
      <c r="F1327" s="80"/>
      <c r="G1327" s="80"/>
      <c r="H1327" s="81"/>
      <c r="I1327" s="80"/>
      <c r="J1327" s="80"/>
      <c r="K1327" s="80"/>
    </row>
    <row r="1328" ht="12.75" customHeight="1">
      <c r="B1328" s="90"/>
      <c r="E1328" s="79"/>
      <c r="F1328" s="80"/>
      <c r="G1328" s="80"/>
      <c r="H1328" s="81"/>
      <c r="I1328" s="80"/>
      <c r="J1328" s="80"/>
      <c r="K1328" s="80"/>
    </row>
    <row r="1329" ht="12.75" customHeight="1">
      <c r="A1329" s="89" t="s">
        <v>1101</v>
      </c>
      <c r="B1329" s="96" t="s">
        <v>5089</v>
      </c>
      <c r="C1329" s="90"/>
      <c r="D1329" s="89" t="s">
        <v>75</v>
      </c>
      <c r="E1329" s="91">
        <v>3.0</v>
      </c>
      <c r="F1329" s="92">
        <v>226.29</v>
      </c>
      <c r="G1329" s="92">
        <v>678.87</v>
      </c>
      <c r="H1329" s="93"/>
      <c r="I1329" s="92"/>
      <c r="J1329" s="92"/>
      <c r="K1329" s="92"/>
    </row>
    <row r="1330" ht="12.75" customHeight="1">
      <c r="B1330" s="90"/>
      <c r="E1330" s="79"/>
      <c r="F1330" s="80"/>
      <c r="G1330" s="80"/>
      <c r="H1330" s="81"/>
      <c r="I1330" s="80"/>
      <c r="J1330" s="80"/>
      <c r="K1330" s="80"/>
    </row>
    <row r="1331" ht="12.75" customHeight="1">
      <c r="A1331" s="89" t="s">
        <v>1102</v>
      </c>
      <c r="B1331" s="96" t="s">
        <v>5090</v>
      </c>
      <c r="C1331" s="90"/>
      <c r="D1331" s="89" t="s">
        <v>75</v>
      </c>
      <c r="E1331" s="91">
        <v>1.0</v>
      </c>
      <c r="F1331" s="92">
        <v>232.76</v>
      </c>
      <c r="G1331" s="92">
        <v>232.76</v>
      </c>
      <c r="H1331" s="93"/>
      <c r="I1331" s="92"/>
      <c r="J1331" s="92"/>
      <c r="K1331" s="92"/>
    </row>
    <row r="1332" ht="12.75" customHeight="1">
      <c r="B1332" s="90"/>
      <c r="E1332" s="79"/>
      <c r="F1332" s="80"/>
      <c r="G1332" s="80"/>
      <c r="H1332" s="81"/>
      <c r="I1332" s="80"/>
      <c r="J1332" s="80"/>
      <c r="K1332" s="80"/>
    </row>
    <row r="1333" ht="12.75" customHeight="1">
      <c r="A1333" s="89" t="s">
        <v>1103</v>
      </c>
      <c r="B1333" s="96" t="s">
        <v>5091</v>
      </c>
      <c r="C1333" s="90"/>
      <c r="D1333" s="89" t="s">
        <v>75</v>
      </c>
      <c r="E1333" s="91">
        <v>3.0</v>
      </c>
      <c r="F1333" s="92">
        <v>258.62</v>
      </c>
      <c r="G1333" s="92">
        <v>775.86</v>
      </c>
      <c r="H1333" s="93"/>
      <c r="I1333" s="92"/>
      <c r="J1333" s="92"/>
      <c r="K1333" s="92"/>
    </row>
    <row r="1334" ht="12.75" customHeight="1">
      <c r="B1334" s="90"/>
      <c r="E1334" s="79"/>
      <c r="F1334" s="80"/>
      <c r="G1334" s="80"/>
      <c r="H1334" s="81"/>
      <c r="I1334" s="80"/>
      <c r="J1334" s="80"/>
      <c r="K1334" s="80"/>
    </row>
    <row r="1335" ht="12.75" customHeight="1">
      <c r="A1335" s="89" t="s">
        <v>1104</v>
      </c>
      <c r="B1335" s="96" t="s">
        <v>5106</v>
      </c>
      <c r="C1335" s="90"/>
      <c r="D1335" s="89" t="s">
        <v>75</v>
      </c>
      <c r="E1335" s="91">
        <v>2.0</v>
      </c>
      <c r="F1335" s="92">
        <v>646.55</v>
      </c>
      <c r="G1335" s="92">
        <v>1293.1</v>
      </c>
      <c r="H1335" s="93"/>
      <c r="I1335" s="92"/>
      <c r="J1335" s="92"/>
      <c r="K1335" s="92"/>
    </row>
    <row r="1336" ht="12.75" customHeight="1">
      <c r="B1336" s="90"/>
      <c r="E1336" s="79"/>
      <c r="F1336" s="80"/>
      <c r="G1336" s="80"/>
      <c r="H1336" s="81"/>
      <c r="I1336" s="80"/>
      <c r="J1336" s="80"/>
      <c r="K1336" s="80"/>
    </row>
    <row r="1337" ht="12.75" customHeight="1">
      <c r="A1337" s="89" t="s">
        <v>1106</v>
      </c>
      <c r="B1337" s="96" t="s">
        <v>5092</v>
      </c>
      <c r="C1337" s="90"/>
      <c r="D1337" s="89" t="s">
        <v>75</v>
      </c>
      <c r="E1337" s="91">
        <v>4.0</v>
      </c>
      <c r="F1337" s="92">
        <v>646.55</v>
      </c>
      <c r="G1337" s="92">
        <v>2586.2</v>
      </c>
      <c r="H1337" s="93"/>
      <c r="I1337" s="92"/>
      <c r="J1337" s="92"/>
      <c r="K1337" s="92"/>
    </row>
    <row r="1338" ht="12.75" customHeight="1">
      <c r="B1338" s="90"/>
      <c r="E1338" s="79"/>
      <c r="F1338" s="80"/>
      <c r="G1338" s="80"/>
      <c r="H1338" s="81"/>
      <c r="I1338" s="80"/>
      <c r="J1338" s="80"/>
      <c r="K1338" s="80"/>
    </row>
    <row r="1339" ht="12.75" customHeight="1">
      <c r="A1339" s="89" t="s">
        <v>1107</v>
      </c>
      <c r="B1339" s="96" t="s">
        <v>5107</v>
      </c>
      <c r="C1339" s="90"/>
      <c r="D1339" s="89" t="s">
        <v>75</v>
      </c>
      <c r="E1339" s="91">
        <v>1.0</v>
      </c>
      <c r="F1339" s="92">
        <v>711.21</v>
      </c>
      <c r="G1339" s="92">
        <v>711.21</v>
      </c>
      <c r="H1339" s="93"/>
      <c r="I1339" s="92"/>
      <c r="J1339" s="92"/>
      <c r="K1339" s="92"/>
    </row>
    <row r="1340" ht="12.75" customHeight="1">
      <c r="B1340" s="90"/>
      <c r="E1340" s="79"/>
      <c r="F1340" s="80"/>
      <c r="G1340" s="80"/>
      <c r="H1340" s="81"/>
      <c r="I1340" s="80"/>
      <c r="J1340" s="80"/>
      <c r="K1340" s="80"/>
    </row>
    <row r="1341" ht="12.75" customHeight="1">
      <c r="A1341" s="89" t="s">
        <v>4194</v>
      </c>
      <c r="B1341" s="96" t="s">
        <v>5108</v>
      </c>
      <c r="C1341" s="90"/>
      <c r="D1341" s="89" t="s">
        <v>75</v>
      </c>
      <c r="E1341" s="91">
        <v>8.0</v>
      </c>
      <c r="F1341" s="92">
        <v>711.21</v>
      </c>
      <c r="G1341" s="92">
        <v>5689.68</v>
      </c>
      <c r="H1341" s="93"/>
      <c r="I1341" s="92"/>
      <c r="J1341" s="92"/>
      <c r="K1341" s="92"/>
    </row>
    <row r="1342" ht="12.75" customHeight="1">
      <c r="B1342" s="90"/>
      <c r="E1342" s="79"/>
      <c r="F1342" s="80"/>
      <c r="G1342" s="80"/>
      <c r="H1342" s="81"/>
      <c r="I1342" s="80"/>
      <c r="J1342" s="80"/>
      <c r="K1342" s="80"/>
    </row>
    <row r="1343" ht="12.75" customHeight="1">
      <c r="A1343" s="89" t="s">
        <v>4196</v>
      </c>
      <c r="B1343" s="96" t="s">
        <v>5109</v>
      </c>
      <c r="C1343" s="90"/>
      <c r="D1343" s="89" t="s">
        <v>75</v>
      </c>
      <c r="E1343" s="91">
        <v>9.0</v>
      </c>
      <c r="F1343" s="92">
        <v>58.19</v>
      </c>
      <c r="G1343" s="92">
        <v>523.71</v>
      </c>
      <c r="H1343" s="93"/>
      <c r="I1343" s="92"/>
      <c r="J1343" s="92"/>
      <c r="K1343" s="92"/>
    </row>
    <row r="1344" ht="12.75" customHeight="1">
      <c r="B1344" s="90"/>
      <c r="E1344" s="79"/>
      <c r="F1344" s="80"/>
      <c r="G1344" s="80"/>
      <c r="H1344" s="81"/>
      <c r="I1344" s="80"/>
      <c r="J1344" s="80"/>
      <c r="K1344" s="80"/>
    </row>
    <row r="1345" ht="12.75" customHeight="1">
      <c r="A1345" s="89" t="s">
        <v>4198</v>
      </c>
      <c r="B1345" s="96" t="s">
        <v>5110</v>
      </c>
      <c r="C1345" s="90"/>
      <c r="D1345" s="89" t="s">
        <v>75</v>
      </c>
      <c r="E1345" s="91">
        <v>3.0</v>
      </c>
      <c r="F1345" s="92">
        <v>58.19</v>
      </c>
      <c r="G1345" s="92">
        <v>174.57</v>
      </c>
      <c r="H1345" s="93"/>
      <c r="I1345" s="92"/>
      <c r="J1345" s="92"/>
      <c r="K1345" s="92"/>
    </row>
    <row r="1346" ht="12.75" customHeight="1">
      <c r="B1346" s="90"/>
      <c r="E1346" s="79"/>
      <c r="F1346" s="80"/>
      <c r="G1346" s="80"/>
      <c r="H1346" s="81"/>
      <c r="I1346" s="80"/>
      <c r="J1346" s="80"/>
      <c r="K1346" s="80"/>
    </row>
    <row r="1347" ht="12.75" customHeight="1">
      <c r="A1347" s="89" t="s">
        <v>4200</v>
      </c>
      <c r="B1347" s="96" t="s">
        <v>5111</v>
      </c>
      <c r="C1347" s="90"/>
      <c r="D1347" s="89" t="s">
        <v>161</v>
      </c>
      <c r="E1347" s="91">
        <v>5.5</v>
      </c>
      <c r="F1347" s="92">
        <v>323.28</v>
      </c>
      <c r="G1347" s="92">
        <v>1778.04</v>
      </c>
      <c r="H1347" s="93"/>
      <c r="I1347" s="92"/>
      <c r="J1347" s="92"/>
      <c r="K1347" s="92"/>
    </row>
    <row r="1348" ht="12.75" customHeight="1">
      <c r="B1348" s="90"/>
      <c r="E1348" s="79"/>
      <c r="F1348" s="80"/>
      <c r="G1348" s="80"/>
      <c r="H1348" s="81"/>
      <c r="I1348" s="80"/>
      <c r="J1348" s="80"/>
      <c r="K1348" s="80"/>
    </row>
    <row r="1349" ht="12.75" customHeight="1">
      <c r="A1349" s="89" t="s">
        <v>4202</v>
      </c>
      <c r="B1349" s="96" t="s">
        <v>5112</v>
      </c>
      <c r="C1349" s="90"/>
      <c r="D1349" s="89" t="s">
        <v>161</v>
      </c>
      <c r="E1349" s="91">
        <v>2.0</v>
      </c>
      <c r="F1349" s="92">
        <v>187.9</v>
      </c>
      <c r="G1349" s="92">
        <v>375.8</v>
      </c>
      <c r="H1349" s="93"/>
      <c r="I1349" s="92"/>
      <c r="J1349" s="92"/>
      <c r="K1349" s="92"/>
    </row>
    <row r="1350" ht="12.75" customHeight="1">
      <c r="B1350" s="90"/>
      <c r="E1350" s="79"/>
      <c r="F1350" s="80"/>
      <c r="G1350" s="80"/>
      <c r="H1350" s="81"/>
      <c r="I1350" s="80"/>
      <c r="J1350" s="80"/>
      <c r="K1350" s="80"/>
    </row>
    <row r="1351" ht="12.75" customHeight="1">
      <c r="A1351" s="89" t="s">
        <v>4204</v>
      </c>
      <c r="B1351" s="96" t="s">
        <v>5113</v>
      </c>
      <c r="C1351" s="90"/>
      <c r="E1351" s="79"/>
      <c r="F1351" s="80"/>
      <c r="G1351" s="80"/>
      <c r="H1351" s="81"/>
      <c r="I1351" s="80"/>
      <c r="J1351" s="80"/>
      <c r="K1351" s="80"/>
    </row>
    <row r="1352" ht="12.75" customHeight="1">
      <c r="B1352" s="90"/>
      <c r="E1352" s="79"/>
      <c r="F1352" s="80"/>
      <c r="G1352" s="80"/>
      <c r="H1352" s="81"/>
      <c r="I1352" s="80"/>
      <c r="J1352" s="80"/>
      <c r="K1352" s="80"/>
    </row>
    <row r="1353" ht="12.75" customHeight="1">
      <c r="B1353" s="96" t="s">
        <v>1115</v>
      </c>
      <c r="C1353" s="90"/>
      <c r="D1353" s="89" t="s">
        <v>75</v>
      </c>
      <c r="E1353" s="91">
        <v>1.0</v>
      </c>
      <c r="F1353" s="92">
        <v>229.38</v>
      </c>
      <c r="G1353" s="92">
        <v>229.38</v>
      </c>
      <c r="H1353" s="93"/>
      <c r="I1353" s="92"/>
      <c r="J1353" s="92"/>
      <c r="K1353" s="92"/>
    </row>
    <row r="1354" ht="12.75" customHeight="1">
      <c r="B1354" s="90"/>
      <c r="E1354" s="79"/>
      <c r="F1354" s="80"/>
      <c r="G1354" s="80"/>
      <c r="H1354" s="81"/>
      <c r="I1354" s="80"/>
      <c r="J1354" s="80"/>
      <c r="K1354" s="80"/>
    </row>
    <row r="1355" ht="12.75" customHeight="1">
      <c r="B1355" s="96" t="s">
        <v>1116</v>
      </c>
      <c r="C1355" s="90"/>
      <c r="D1355" s="89" t="s">
        <v>75</v>
      </c>
      <c r="E1355" s="91">
        <v>1.0</v>
      </c>
      <c r="F1355" s="92">
        <v>304.28</v>
      </c>
      <c r="G1355" s="92">
        <v>304.28</v>
      </c>
      <c r="H1355" s="93"/>
      <c r="I1355" s="92"/>
      <c r="J1355" s="92"/>
      <c r="K1355" s="92"/>
    </row>
    <row r="1356" ht="12.75" customHeight="1">
      <c r="B1356" s="90"/>
      <c r="E1356" s="79"/>
      <c r="F1356" s="80"/>
      <c r="G1356" s="80"/>
      <c r="H1356" s="81"/>
      <c r="I1356" s="80"/>
      <c r="J1356" s="80"/>
      <c r="K1356" s="80"/>
    </row>
    <row r="1357" ht="12.75" customHeight="1">
      <c r="A1357" s="89" t="s">
        <v>4206</v>
      </c>
      <c r="B1357" s="96" t="s">
        <v>5114</v>
      </c>
      <c r="C1357" s="90"/>
      <c r="E1357" s="79"/>
      <c r="F1357" s="80"/>
      <c r="G1357" s="80"/>
      <c r="H1357" s="81"/>
      <c r="I1357" s="80"/>
      <c r="J1357" s="80"/>
      <c r="K1357" s="80"/>
    </row>
    <row r="1358" ht="12.75" customHeight="1">
      <c r="B1358" s="90"/>
      <c r="E1358" s="79"/>
      <c r="F1358" s="80"/>
      <c r="G1358" s="80"/>
      <c r="H1358" s="81"/>
      <c r="I1358" s="80"/>
      <c r="J1358" s="80"/>
      <c r="K1358" s="80"/>
    </row>
    <row r="1359" ht="12.75" customHeight="1">
      <c r="A1359" s="89" t="s">
        <v>1118</v>
      </c>
      <c r="B1359" s="96" t="s">
        <v>5115</v>
      </c>
      <c r="C1359" s="90"/>
      <c r="D1359" s="89" t="s">
        <v>75</v>
      </c>
      <c r="E1359" s="91">
        <v>2.0</v>
      </c>
      <c r="F1359" s="92">
        <v>193.97</v>
      </c>
      <c r="G1359" s="92">
        <v>387.94</v>
      </c>
      <c r="H1359" s="93"/>
      <c r="I1359" s="92"/>
      <c r="J1359" s="92"/>
      <c r="K1359" s="92"/>
    </row>
    <row r="1360" ht="12.75" customHeight="1">
      <c r="B1360" s="90"/>
      <c r="E1360" s="79"/>
      <c r="F1360" s="80"/>
      <c r="G1360" s="80"/>
      <c r="H1360" s="81"/>
      <c r="I1360" s="80"/>
      <c r="J1360" s="80"/>
      <c r="K1360" s="80"/>
    </row>
    <row r="1361" ht="12.75" customHeight="1">
      <c r="A1361" s="89" t="s">
        <v>4209</v>
      </c>
      <c r="B1361" s="96" t="s">
        <v>5116</v>
      </c>
      <c r="C1361" s="90"/>
      <c r="D1361" s="89" t="s">
        <v>75</v>
      </c>
      <c r="E1361" s="91">
        <v>1.0</v>
      </c>
      <c r="F1361" s="92">
        <v>14107.38</v>
      </c>
      <c r="G1361" s="92">
        <v>14107.38</v>
      </c>
      <c r="H1361" s="93"/>
      <c r="I1361" s="92"/>
      <c r="J1361" s="92"/>
      <c r="K1361" s="92"/>
    </row>
    <row r="1362" ht="12.75" customHeight="1">
      <c r="B1362" s="90"/>
      <c r="E1362" s="79"/>
      <c r="F1362" s="80"/>
      <c r="G1362" s="80"/>
      <c r="H1362" s="81"/>
      <c r="I1362" s="80"/>
      <c r="J1362" s="80"/>
      <c r="K1362" s="80"/>
    </row>
    <row r="1363" ht="12.75" customHeight="1">
      <c r="A1363" s="89" t="s">
        <v>4211</v>
      </c>
      <c r="B1363" s="96" t="s">
        <v>5117</v>
      </c>
      <c r="C1363" s="90"/>
      <c r="D1363" s="89" t="s">
        <v>75</v>
      </c>
      <c r="E1363" s="91">
        <v>2.0</v>
      </c>
      <c r="F1363" s="92">
        <v>708.05</v>
      </c>
      <c r="G1363" s="92">
        <v>1416.1</v>
      </c>
      <c r="H1363" s="93"/>
      <c r="I1363" s="92"/>
      <c r="J1363" s="92"/>
      <c r="K1363" s="92"/>
    </row>
    <row r="1364" ht="12.75" customHeight="1">
      <c r="B1364" s="90"/>
      <c r="E1364" s="79"/>
      <c r="F1364" s="80"/>
      <c r="G1364" s="80"/>
      <c r="H1364" s="81"/>
      <c r="I1364" s="80"/>
      <c r="J1364" s="80"/>
      <c r="K1364" s="80"/>
    </row>
    <row r="1365" ht="12.75" customHeight="1">
      <c r="A1365" s="89" t="s">
        <v>4213</v>
      </c>
      <c r="B1365" s="96" t="s">
        <v>5056</v>
      </c>
      <c r="C1365" s="90"/>
      <c r="D1365" s="89" t="s">
        <v>75</v>
      </c>
      <c r="E1365" s="91">
        <v>1.0</v>
      </c>
      <c r="F1365" s="92">
        <v>1326.02</v>
      </c>
      <c r="G1365" s="92">
        <v>1326.02</v>
      </c>
      <c r="H1365" s="93"/>
      <c r="I1365" s="92"/>
      <c r="J1365" s="92"/>
      <c r="K1365" s="92"/>
    </row>
    <row r="1366" ht="12.75" customHeight="1">
      <c r="B1366" s="90"/>
      <c r="E1366" s="79"/>
      <c r="F1366" s="80"/>
      <c r="G1366" s="80"/>
      <c r="H1366" s="81"/>
      <c r="I1366" s="80"/>
      <c r="J1366" s="80"/>
      <c r="K1366" s="80"/>
    </row>
    <row r="1367" ht="12.75" customHeight="1">
      <c r="A1367" s="89" t="s">
        <v>4214</v>
      </c>
      <c r="B1367" s="96" t="s">
        <v>5096</v>
      </c>
      <c r="C1367" s="90"/>
      <c r="D1367" s="89" t="s">
        <v>33</v>
      </c>
      <c r="E1367" s="91">
        <v>1.0</v>
      </c>
      <c r="F1367" s="92">
        <v>3232.75</v>
      </c>
      <c r="G1367" s="92">
        <v>3232.75</v>
      </c>
      <c r="H1367" s="93"/>
      <c r="I1367" s="92"/>
      <c r="J1367" s="92"/>
      <c r="K1367" s="92"/>
    </row>
    <row r="1368" ht="12.75" customHeight="1">
      <c r="B1368" s="90"/>
      <c r="E1368" s="79"/>
      <c r="F1368" s="80"/>
      <c r="G1368" s="80"/>
      <c r="H1368" s="81"/>
      <c r="I1368" s="80"/>
      <c r="J1368" s="80"/>
      <c r="K1368" s="80"/>
    </row>
    <row r="1369" ht="12.75" customHeight="1">
      <c r="A1369" s="89" t="s">
        <v>4148</v>
      </c>
      <c r="B1369" s="96" t="s">
        <v>5080</v>
      </c>
      <c r="C1369" s="90"/>
      <c r="E1369" s="79"/>
      <c r="F1369" s="80"/>
      <c r="G1369" s="92">
        <v>74220.75</v>
      </c>
      <c r="H1369" s="93">
        <f>G1369</f>
        <v>74220.75</v>
      </c>
      <c r="I1369" s="92"/>
      <c r="J1369" s="92"/>
      <c r="K1369" s="92"/>
    </row>
    <row r="1370" ht="12.75" customHeight="1">
      <c r="B1370" s="90"/>
      <c r="E1370" s="79"/>
      <c r="F1370" s="80"/>
      <c r="G1370" s="80"/>
      <c r="H1370" s="81"/>
      <c r="I1370" s="80"/>
      <c r="J1370" s="80"/>
      <c r="K1370" s="80"/>
    </row>
    <row r="1371" ht="12.75" customHeight="1">
      <c r="B1371" s="90"/>
      <c r="E1371" s="79"/>
      <c r="F1371" s="80"/>
      <c r="G1371" s="80"/>
      <c r="H1371" s="81"/>
      <c r="I1371" s="80"/>
      <c r="J1371" s="80"/>
      <c r="K1371" s="80"/>
    </row>
    <row r="1372" ht="12.75" customHeight="1">
      <c r="A1372" s="89" t="s">
        <v>4215</v>
      </c>
      <c r="B1372" s="96" t="s">
        <v>5118</v>
      </c>
      <c r="C1372" s="90"/>
      <c r="E1372" s="79"/>
      <c r="F1372" s="80"/>
      <c r="G1372" s="80"/>
      <c r="H1372" s="81"/>
      <c r="I1372" s="80"/>
      <c r="J1372" s="80"/>
      <c r="K1372" s="80"/>
    </row>
    <row r="1373" ht="12.75" customHeight="1">
      <c r="B1373" s="90"/>
      <c r="E1373" s="79"/>
      <c r="F1373" s="80"/>
      <c r="G1373" s="80"/>
      <c r="H1373" s="81"/>
      <c r="I1373" s="80"/>
      <c r="J1373" s="80"/>
      <c r="K1373" s="80"/>
    </row>
    <row r="1374" ht="12.75" customHeight="1">
      <c r="A1374" s="89" t="s">
        <v>4216</v>
      </c>
      <c r="B1374" s="96" t="s">
        <v>5119</v>
      </c>
      <c r="C1374" s="90"/>
      <c r="E1374" s="79"/>
      <c r="F1374" s="80"/>
      <c r="G1374" s="80"/>
      <c r="H1374" s="81"/>
      <c r="I1374" s="80"/>
      <c r="J1374" s="80"/>
      <c r="K1374" s="80"/>
    </row>
    <row r="1375" ht="12.75" customHeight="1">
      <c r="B1375" s="90"/>
      <c r="E1375" s="79"/>
      <c r="F1375" s="80"/>
      <c r="G1375" s="80"/>
      <c r="H1375" s="81"/>
      <c r="I1375" s="80"/>
      <c r="J1375" s="80"/>
      <c r="K1375" s="80"/>
    </row>
    <row r="1376" ht="12.75" customHeight="1">
      <c r="A1376" s="89" t="s">
        <v>1124</v>
      </c>
      <c r="B1376" s="96" t="s">
        <v>5120</v>
      </c>
      <c r="C1376" s="90"/>
      <c r="D1376" s="89" t="s">
        <v>161</v>
      </c>
      <c r="E1376" s="91">
        <v>19.19</v>
      </c>
      <c r="F1376" s="92">
        <v>12.93</v>
      </c>
      <c r="G1376" s="92">
        <v>248.13</v>
      </c>
      <c r="H1376" s="93"/>
      <c r="I1376" s="92"/>
      <c r="J1376" s="92"/>
      <c r="K1376" s="92"/>
    </row>
    <row r="1377" ht="12.75" customHeight="1">
      <c r="B1377" s="90"/>
      <c r="E1377" s="79"/>
      <c r="F1377" s="80"/>
      <c r="G1377" s="80"/>
      <c r="H1377" s="81"/>
      <c r="I1377" s="80"/>
      <c r="J1377" s="80"/>
      <c r="K1377" s="80"/>
    </row>
    <row r="1378" ht="12.75" customHeight="1">
      <c r="A1378" s="89" t="s">
        <v>1126</v>
      </c>
      <c r="B1378" s="96" t="s">
        <v>5121</v>
      </c>
      <c r="C1378" s="90"/>
      <c r="D1378" s="89" t="s">
        <v>161</v>
      </c>
      <c r="E1378" s="91">
        <v>13.91</v>
      </c>
      <c r="F1378" s="92">
        <v>16.16</v>
      </c>
      <c r="G1378" s="92">
        <v>224.79</v>
      </c>
      <c r="H1378" s="93"/>
      <c r="I1378" s="92"/>
      <c r="J1378" s="92"/>
      <c r="K1378" s="92"/>
    </row>
    <row r="1379" ht="12.75" customHeight="1">
      <c r="B1379" s="90"/>
      <c r="E1379" s="79"/>
      <c r="F1379" s="80"/>
      <c r="G1379" s="80"/>
      <c r="H1379" s="81"/>
      <c r="I1379" s="80"/>
      <c r="J1379" s="80"/>
      <c r="K1379" s="80"/>
    </row>
    <row r="1380" ht="12.75" customHeight="1">
      <c r="A1380" s="89" t="s">
        <v>4219</v>
      </c>
      <c r="B1380" s="96" t="s">
        <v>5122</v>
      </c>
      <c r="C1380" s="90"/>
      <c r="E1380" s="79"/>
      <c r="F1380" s="80"/>
      <c r="G1380" s="80"/>
      <c r="H1380" s="81"/>
      <c r="I1380" s="80"/>
      <c r="J1380" s="80"/>
      <c r="K1380" s="80"/>
    </row>
    <row r="1381" ht="12.75" customHeight="1">
      <c r="B1381" s="90"/>
      <c r="E1381" s="79"/>
      <c r="F1381" s="80"/>
      <c r="G1381" s="80"/>
      <c r="H1381" s="81"/>
      <c r="I1381" s="80"/>
      <c r="J1381" s="80"/>
      <c r="K1381" s="80"/>
    </row>
    <row r="1382" ht="12.75" customHeight="1">
      <c r="A1382" s="89" t="s">
        <v>1129</v>
      </c>
      <c r="B1382" s="96" t="s">
        <v>5123</v>
      </c>
      <c r="C1382" s="90"/>
      <c r="D1382" s="89" t="s">
        <v>33</v>
      </c>
      <c r="E1382" s="91">
        <v>1.0</v>
      </c>
      <c r="F1382" s="92">
        <v>323.28</v>
      </c>
      <c r="G1382" s="92">
        <v>323.28</v>
      </c>
      <c r="H1382" s="93"/>
      <c r="I1382" s="92"/>
      <c r="J1382" s="92"/>
      <c r="K1382" s="92"/>
    </row>
    <row r="1383" ht="12.75" customHeight="1">
      <c r="B1383" s="90"/>
      <c r="E1383" s="79"/>
      <c r="F1383" s="80"/>
      <c r="G1383" s="80"/>
      <c r="H1383" s="81"/>
      <c r="I1383" s="80"/>
      <c r="J1383" s="80"/>
      <c r="K1383" s="80"/>
    </row>
    <row r="1384" ht="12.75" customHeight="1">
      <c r="A1384" s="89" t="s">
        <v>1131</v>
      </c>
      <c r="B1384" s="96" t="s">
        <v>5124</v>
      </c>
      <c r="C1384" s="90"/>
      <c r="D1384" s="89" t="s">
        <v>33</v>
      </c>
      <c r="E1384" s="91">
        <v>1.0</v>
      </c>
      <c r="F1384" s="92">
        <v>484.91</v>
      </c>
      <c r="G1384" s="92">
        <v>484.91</v>
      </c>
      <c r="H1384" s="93"/>
      <c r="I1384" s="92"/>
      <c r="J1384" s="92"/>
      <c r="K1384" s="92"/>
    </row>
    <row r="1385" ht="12.75" customHeight="1">
      <c r="B1385" s="90"/>
      <c r="E1385" s="79"/>
      <c r="F1385" s="80"/>
      <c r="G1385" s="80"/>
      <c r="H1385" s="81"/>
      <c r="I1385" s="80"/>
      <c r="J1385" s="80"/>
      <c r="K1385" s="80"/>
    </row>
    <row r="1386" ht="12.75" customHeight="1">
      <c r="A1386" s="89" t="s">
        <v>4222</v>
      </c>
      <c r="B1386" s="96" t="s">
        <v>5029</v>
      </c>
      <c r="C1386" s="90"/>
      <c r="E1386" s="79"/>
      <c r="F1386" s="80"/>
      <c r="G1386" s="80"/>
      <c r="H1386" s="81"/>
      <c r="I1386" s="80"/>
      <c r="J1386" s="80"/>
      <c r="K1386" s="80"/>
    </row>
    <row r="1387" ht="12.75" customHeight="1">
      <c r="B1387" s="90"/>
      <c r="E1387" s="79"/>
      <c r="F1387" s="80"/>
      <c r="G1387" s="80"/>
      <c r="H1387" s="81"/>
      <c r="I1387" s="80"/>
      <c r="J1387" s="80"/>
      <c r="K1387" s="80"/>
    </row>
    <row r="1388" ht="12.75" customHeight="1">
      <c r="A1388" s="89" t="s">
        <v>1133</v>
      </c>
      <c r="B1388" s="96" t="s">
        <v>5125</v>
      </c>
      <c r="C1388" s="90"/>
      <c r="D1388" s="89" t="s">
        <v>33</v>
      </c>
      <c r="E1388" s="91">
        <v>1.0</v>
      </c>
      <c r="F1388" s="92">
        <v>1293.1</v>
      </c>
      <c r="G1388" s="92">
        <v>1293.1</v>
      </c>
      <c r="H1388" s="93"/>
      <c r="I1388" s="92"/>
      <c r="J1388" s="92"/>
      <c r="K1388" s="92"/>
    </row>
    <row r="1389" ht="12.75" customHeight="1">
      <c r="B1389" s="90"/>
      <c r="E1389" s="79"/>
      <c r="F1389" s="80"/>
      <c r="G1389" s="80"/>
      <c r="H1389" s="81"/>
      <c r="I1389" s="80"/>
      <c r="J1389" s="80"/>
      <c r="K1389" s="80"/>
    </row>
    <row r="1390" ht="12.75" customHeight="1">
      <c r="A1390" s="89" t="s">
        <v>1134</v>
      </c>
      <c r="B1390" s="96" t="s">
        <v>5126</v>
      </c>
      <c r="C1390" s="90"/>
      <c r="D1390" s="89" t="s">
        <v>33</v>
      </c>
      <c r="E1390" s="91">
        <v>1.0</v>
      </c>
      <c r="F1390" s="92">
        <v>193.97</v>
      </c>
      <c r="G1390" s="92">
        <v>193.97</v>
      </c>
      <c r="H1390" s="93"/>
      <c r="I1390" s="92"/>
      <c r="J1390" s="92"/>
      <c r="K1390" s="92"/>
    </row>
    <row r="1391" ht="12.75" customHeight="1">
      <c r="B1391" s="90"/>
      <c r="E1391" s="79"/>
      <c r="F1391" s="80"/>
      <c r="G1391" s="80"/>
      <c r="H1391" s="81"/>
      <c r="I1391" s="80"/>
      <c r="J1391" s="80"/>
      <c r="K1391" s="80"/>
    </row>
    <row r="1392" ht="12.75" customHeight="1">
      <c r="A1392" s="89" t="s">
        <v>4215</v>
      </c>
      <c r="B1392" s="96" t="s">
        <v>5118</v>
      </c>
      <c r="C1392" s="90"/>
      <c r="E1392" s="79"/>
      <c r="F1392" s="80"/>
      <c r="G1392" s="92">
        <v>2768.18</v>
      </c>
      <c r="H1392" s="93">
        <f>G1392</f>
        <v>2768.18</v>
      </c>
      <c r="I1392" s="92"/>
      <c r="J1392" s="92"/>
      <c r="K1392" s="92"/>
    </row>
    <row r="1393" ht="12.75" customHeight="1">
      <c r="B1393" s="90"/>
      <c r="E1393" s="79"/>
      <c r="F1393" s="80"/>
      <c r="G1393" s="80"/>
      <c r="H1393" s="81"/>
      <c r="I1393" s="80"/>
      <c r="J1393" s="80"/>
      <c r="K1393" s="80"/>
    </row>
    <row r="1394" ht="12.75" customHeight="1">
      <c r="B1394" s="90"/>
      <c r="E1394" s="79"/>
      <c r="F1394" s="80"/>
      <c r="G1394" s="80"/>
      <c r="H1394" s="81"/>
      <c r="I1394" s="80"/>
      <c r="J1394" s="80"/>
      <c r="K1394" s="80"/>
    </row>
    <row r="1395" ht="12.75" customHeight="1">
      <c r="A1395" s="89" t="s">
        <v>4225</v>
      </c>
      <c r="B1395" s="96" t="s">
        <v>5127</v>
      </c>
      <c r="C1395" s="90"/>
      <c r="E1395" s="79"/>
      <c r="F1395" s="80"/>
      <c r="G1395" s="80"/>
      <c r="H1395" s="81"/>
      <c r="I1395" s="80"/>
      <c r="J1395" s="80"/>
      <c r="K1395" s="80"/>
    </row>
    <row r="1396" ht="12.75" customHeight="1">
      <c r="B1396" s="90"/>
      <c r="E1396" s="79"/>
      <c r="F1396" s="80"/>
      <c r="G1396" s="80"/>
      <c r="H1396" s="81"/>
      <c r="I1396" s="80"/>
      <c r="J1396" s="80"/>
      <c r="K1396" s="80"/>
    </row>
    <row r="1397" ht="12.75" customHeight="1">
      <c r="A1397" s="89" t="s">
        <v>1137</v>
      </c>
      <c r="B1397" s="96" t="s">
        <v>5128</v>
      </c>
      <c r="C1397" s="90"/>
      <c r="D1397" s="89" t="s">
        <v>75</v>
      </c>
      <c r="E1397" s="91">
        <v>1.0</v>
      </c>
      <c r="F1397" s="92">
        <v>13774.59</v>
      </c>
      <c r="G1397" s="92">
        <v>13774.59</v>
      </c>
      <c r="H1397" s="93"/>
      <c r="I1397" s="92"/>
      <c r="J1397" s="92"/>
      <c r="K1397" s="92"/>
    </row>
    <row r="1398" ht="12.75" customHeight="1">
      <c r="B1398" s="90"/>
      <c r="E1398" s="79"/>
      <c r="F1398" s="80"/>
      <c r="G1398" s="80"/>
      <c r="H1398" s="81"/>
      <c r="I1398" s="80"/>
      <c r="J1398" s="80"/>
      <c r="K1398" s="80"/>
    </row>
    <row r="1399" ht="12.75" customHeight="1">
      <c r="A1399" s="89" t="s">
        <v>1139</v>
      </c>
      <c r="B1399" s="96" t="s">
        <v>5129</v>
      </c>
      <c r="C1399" s="90"/>
      <c r="E1399" s="79"/>
      <c r="F1399" s="80"/>
      <c r="G1399" s="80"/>
      <c r="H1399" s="81"/>
      <c r="I1399" s="80"/>
      <c r="J1399" s="80"/>
      <c r="K1399" s="80"/>
    </row>
    <row r="1400" ht="12.75" customHeight="1">
      <c r="B1400" s="90"/>
      <c r="E1400" s="79"/>
      <c r="F1400" s="80"/>
      <c r="G1400" s="80"/>
      <c r="H1400" s="81"/>
      <c r="I1400" s="80"/>
      <c r="J1400" s="80"/>
      <c r="K1400" s="80"/>
    </row>
    <row r="1401" ht="12.75" customHeight="1">
      <c r="B1401" s="96" t="s">
        <v>1141</v>
      </c>
      <c r="C1401" s="90"/>
      <c r="D1401" s="89" t="s">
        <v>75</v>
      </c>
      <c r="E1401" s="91">
        <v>2.0</v>
      </c>
      <c r="F1401" s="92">
        <v>1668.93</v>
      </c>
      <c r="G1401" s="92">
        <v>3337.86</v>
      </c>
      <c r="H1401" s="93"/>
      <c r="I1401" s="92"/>
      <c r="J1401" s="92"/>
      <c r="K1401" s="92"/>
    </row>
    <row r="1402" ht="12.75" customHeight="1">
      <c r="B1402" s="90"/>
      <c r="E1402" s="79"/>
      <c r="F1402" s="80"/>
      <c r="G1402" s="80"/>
      <c r="H1402" s="81"/>
      <c r="I1402" s="80"/>
      <c r="J1402" s="80"/>
      <c r="K1402" s="80"/>
    </row>
    <row r="1403" ht="12.75" customHeight="1">
      <c r="B1403" s="96" t="s">
        <v>1142</v>
      </c>
      <c r="C1403" s="90"/>
      <c r="D1403" s="89" t="s">
        <v>75</v>
      </c>
      <c r="E1403" s="91">
        <v>4.0</v>
      </c>
      <c r="F1403" s="92">
        <v>1773.41</v>
      </c>
      <c r="G1403" s="92">
        <v>7093.64</v>
      </c>
      <c r="H1403" s="93"/>
      <c r="I1403" s="92"/>
      <c r="J1403" s="92"/>
      <c r="K1403" s="92"/>
    </row>
    <row r="1404" ht="12.75" customHeight="1">
      <c r="B1404" s="90"/>
      <c r="E1404" s="79"/>
      <c r="F1404" s="80"/>
      <c r="G1404" s="80"/>
      <c r="H1404" s="81"/>
      <c r="I1404" s="80"/>
      <c r="J1404" s="80"/>
      <c r="K1404" s="80"/>
    </row>
    <row r="1405" ht="12.75" customHeight="1">
      <c r="B1405" s="96" t="s">
        <v>1143</v>
      </c>
      <c r="C1405" s="90"/>
      <c r="D1405" s="89" t="s">
        <v>75</v>
      </c>
      <c r="E1405" s="91">
        <v>1.0</v>
      </c>
      <c r="F1405" s="92">
        <v>2703.28</v>
      </c>
      <c r="G1405" s="92">
        <v>2703.28</v>
      </c>
      <c r="H1405" s="93"/>
      <c r="I1405" s="92"/>
      <c r="J1405" s="92"/>
      <c r="K1405" s="92"/>
    </row>
    <row r="1406" ht="12.75" customHeight="1">
      <c r="B1406" s="90"/>
      <c r="E1406" s="79"/>
      <c r="F1406" s="80"/>
      <c r="G1406" s="80"/>
      <c r="H1406" s="81"/>
      <c r="I1406" s="80"/>
      <c r="J1406" s="80"/>
      <c r="K1406" s="80"/>
    </row>
    <row r="1407" ht="12.75" customHeight="1">
      <c r="A1407" s="89" t="s">
        <v>1144</v>
      </c>
      <c r="B1407" s="96" t="s">
        <v>5130</v>
      </c>
      <c r="C1407" s="90"/>
      <c r="E1407" s="79"/>
      <c r="F1407" s="80"/>
      <c r="G1407" s="80"/>
      <c r="H1407" s="81"/>
      <c r="I1407" s="80"/>
      <c r="J1407" s="80"/>
      <c r="K1407" s="80"/>
    </row>
    <row r="1408" ht="12.75" customHeight="1">
      <c r="B1408" s="90"/>
      <c r="E1408" s="79"/>
      <c r="F1408" s="80"/>
      <c r="G1408" s="80"/>
      <c r="H1408" s="81"/>
      <c r="I1408" s="80"/>
      <c r="J1408" s="80"/>
      <c r="K1408" s="80"/>
    </row>
    <row r="1409" ht="12.75" customHeight="1">
      <c r="B1409" s="96" t="s">
        <v>5131</v>
      </c>
      <c r="C1409" s="90"/>
      <c r="D1409" s="89" t="s">
        <v>75</v>
      </c>
      <c r="E1409" s="91">
        <v>7.0</v>
      </c>
      <c r="F1409" s="92">
        <v>41.9</v>
      </c>
      <c r="G1409" s="92">
        <v>293.3</v>
      </c>
      <c r="H1409" s="93"/>
      <c r="I1409" s="92"/>
      <c r="J1409" s="92"/>
      <c r="K1409" s="92"/>
    </row>
    <row r="1410" ht="12.75" customHeight="1">
      <c r="B1410" s="90"/>
      <c r="E1410" s="79"/>
      <c r="F1410" s="80"/>
      <c r="G1410" s="80"/>
      <c r="H1410" s="81"/>
      <c r="I1410" s="80"/>
      <c r="J1410" s="80"/>
      <c r="K1410" s="80"/>
    </row>
    <row r="1411" ht="12.75" customHeight="1">
      <c r="A1411" s="89" t="s">
        <v>1147</v>
      </c>
      <c r="B1411" s="96" t="s">
        <v>5132</v>
      </c>
      <c r="C1411" s="90"/>
      <c r="E1411" s="79"/>
      <c r="F1411" s="80"/>
      <c r="G1411" s="80"/>
      <c r="H1411" s="81"/>
      <c r="I1411" s="80"/>
      <c r="J1411" s="80"/>
      <c r="K1411" s="80"/>
    </row>
    <row r="1412" ht="12.75" customHeight="1">
      <c r="B1412" s="96"/>
      <c r="E1412" s="79"/>
      <c r="F1412" s="80"/>
      <c r="G1412" s="80"/>
      <c r="H1412" s="81"/>
      <c r="I1412" s="80"/>
      <c r="J1412" s="80"/>
      <c r="K1412" s="80"/>
    </row>
    <row r="1413" ht="12.75" customHeight="1">
      <c r="B1413" s="96" t="s">
        <v>1149</v>
      </c>
      <c r="C1413" s="90"/>
      <c r="D1413" s="89" t="s">
        <v>75</v>
      </c>
      <c r="E1413" s="91">
        <v>6.0</v>
      </c>
      <c r="F1413" s="92">
        <v>214.72</v>
      </c>
      <c r="G1413" s="92">
        <v>1288.32</v>
      </c>
      <c r="H1413" s="93"/>
      <c r="I1413" s="92"/>
      <c r="J1413" s="92"/>
      <c r="K1413" s="92"/>
    </row>
    <row r="1414" ht="12.75" customHeight="1">
      <c r="B1414" s="90"/>
      <c r="E1414" s="79"/>
      <c r="F1414" s="80"/>
      <c r="G1414" s="80"/>
      <c r="H1414" s="81"/>
      <c r="I1414" s="80"/>
      <c r="J1414" s="80"/>
      <c r="K1414" s="80"/>
    </row>
    <row r="1415" ht="12.75" customHeight="1">
      <c r="A1415" s="89" t="s">
        <v>1150</v>
      </c>
      <c r="B1415" s="96" t="s">
        <v>5133</v>
      </c>
      <c r="C1415" s="90"/>
      <c r="E1415" s="79"/>
      <c r="F1415" s="80"/>
      <c r="G1415" s="80"/>
      <c r="H1415" s="81"/>
      <c r="I1415" s="80"/>
      <c r="J1415" s="80"/>
      <c r="K1415" s="80"/>
    </row>
    <row r="1416" ht="12.75" customHeight="1">
      <c r="B1416" s="90"/>
      <c r="E1416" s="79"/>
      <c r="F1416" s="80"/>
      <c r="G1416" s="80"/>
      <c r="H1416" s="81"/>
      <c r="I1416" s="80"/>
      <c r="J1416" s="80"/>
      <c r="K1416" s="80"/>
    </row>
    <row r="1417" ht="12.75" customHeight="1">
      <c r="B1417" s="96" t="s">
        <v>1152</v>
      </c>
      <c r="C1417" s="90"/>
      <c r="D1417" s="89" t="s">
        <v>75</v>
      </c>
      <c r="E1417" s="91">
        <v>1.0</v>
      </c>
      <c r="F1417" s="92">
        <v>13551.34</v>
      </c>
      <c r="G1417" s="92">
        <v>13551.34</v>
      </c>
      <c r="H1417" s="93"/>
      <c r="I1417" s="92"/>
      <c r="J1417" s="92"/>
      <c r="K1417" s="92"/>
    </row>
    <row r="1418" ht="12.75" customHeight="1">
      <c r="B1418" s="90"/>
      <c r="E1418" s="79"/>
      <c r="F1418" s="80"/>
      <c r="G1418" s="80"/>
      <c r="H1418" s="81"/>
      <c r="I1418" s="80"/>
      <c r="J1418" s="80"/>
      <c r="K1418" s="80"/>
    </row>
    <row r="1419" ht="12.75" customHeight="1">
      <c r="A1419" s="89" t="s">
        <v>1153</v>
      </c>
      <c r="B1419" s="96" t="s">
        <v>5134</v>
      </c>
      <c r="C1419" s="90"/>
      <c r="D1419" s="89" t="s">
        <v>75</v>
      </c>
      <c r="E1419" s="91">
        <v>1.0</v>
      </c>
      <c r="F1419" s="92">
        <v>4023.77</v>
      </c>
      <c r="G1419" s="92">
        <v>4023.77</v>
      </c>
      <c r="H1419" s="93"/>
      <c r="I1419" s="92"/>
      <c r="J1419" s="92"/>
      <c r="K1419" s="92"/>
    </row>
    <row r="1420" ht="12.75" customHeight="1">
      <c r="B1420" s="90"/>
      <c r="E1420" s="79"/>
      <c r="F1420" s="80"/>
      <c r="G1420" s="80"/>
      <c r="H1420" s="81"/>
      <c r="I1420" s="80"/>
      <c r="J1420" s="80"/>
      <c r="K1420" s="80"/>
    </row>
    <row r="1421" ht="12.75" customHeight="1">
      <c r="A1421" s="89" t="s">
        <v>1155</v>
      </c>
      <c r="B1421" s="96" t="s">
        <v>5135</v>
      </c>
      <c r="C1421" s="90"/>
      <c r="D1421" s="89" t="s">
        <v>75</v>
      </c>
      <c r="E1421" s="91">
        <v>7.0</v>
      </c>
      <c r="F1421" s="92">
        <v>176.82</v>
      </c>
      <c r="G1421" s="92">
        <v>1237.74</v>
      </c>
      <c r="H1421" s="93"/>
      <c r="I1421" s="92"/>
      <c r="J1421" s="92"/>
      <c r="K1421" s="92"/>
    </row>
    <row r="1422" ht="12.75" customHeight="1">
      <c r="B1422" s="90"/>
      <c r="E1422" s="79"/>
      <c r="F1422" s="80"/>
      <c r="G1422" s="80"/>
      <c r="H1422" s="81"/>
      <c r="I1422" s="80"/>
      <c r="J1422" s="80"/>
      <c r="K1422" s="80"/>
    </row>
    <row r="1423" ht="12.75" customHeight="1">
      <c r="A1423" s="89" t="s">
        <v>1157</v>
      </c>
      <c r="B1423" s="96" t="s">
        <v>5136</v>
      </c>
      <c r="C1423" s="90"/>
      <c r="E1423" s="79"/>
      <c r="F1423" s="80"/>
      <c r="G1423" s="80"/>
      <c r="H1423" s="81"/>
      <c r="I1423" s="80"/>
      <c r="J1423" s="80"/>
      <c r="K1423" s="80"/>
    </row>
    <row r="1424" ht="12.75" customHeight="1">
      <c r="B1424" s="90"/>
      <c r="E1424" s="79"/>
      <c r="F1424" s="80"/>
      <c r="G1424" s="80"/>
      <c r="H1424" s="81"/>
      <c r="I1424" s="80"/>
      <c r="J1424" s="80"/>
      <c r="K1424" s="80"/>
    </row>
    <row r="1425" ht="12.75" customHeight="1">
      <c r="B1425" s="96" t="s">
        <v>1159</v>
      </c>
      <c r="C1425" s="90"/>
      <c r="D1425" s="89" t="s">
        <v>877</v>
      </c>
      <c r="E1425" s="91">
        <v>54.0</v>
      </c>
      <c r="F1425" s="92">
        <v>11.52</v>
      </c>
      <c r="G1425" s="92">
        <v>622.08</v>
      </c>
      <c r="H1425" s="93"/>
      <c r="I1425" s="92"/>
      <c r="J1425" s="92"/>
      <c r="K1425" s="92"/>
    </row>
    <row r="1426" ht="12.75" customHeight="1">
      <c r="B1426" s="90"/>
      <c r="E1426" s="79"/>
      <c r="F1426" s="80"/>
      <c r="G1426" s="80"/>
      <c r="H1426" s="81"/>
      <c r="I1426" s="80"/>
      <c r="J1426" s="80"/>
      <c r="K1426" s="80"/>
    </row>
    <row r="1427" ht="12.75" customHeight="1">
      <c r="B1427" s="96" t="s">
        <v>1160</v>
      </c>
      <c r="C1427" s="90"/>
      <c r="D1427" s="89" t="s">
        <v>877</v>
      </c>
      <c r="E1427" s="91">
        <v>22.0</v>
      </c>
      <c r="F1427" s="92">
        <v>14.24</v>
      </c>
      <c r="G1427" s="92">
        <v>313.28</v>
      </c>
      <c r="H1427" s="93"/>
      <c r="I1427" s="92"/>
      <c r="J1427" s="92"/>
      <c r="K1427" s="92"/>
    </row>
    <row r="1428" ht="12.75" customHeight="1">
      <c r="B1428" s="90"/>
      <c r="E1428" s="79"/>
      <c r="F1428" s="80"/>
      <c r="G1428" s="80"/>
      <c r="H1428" s="81"/>
      <c r="I1428" s="80"/>
      <c r="J1428" s="80"/>
      <c r="K1428" s="80"/>
    </row>
    <row r="1429" ht="12.75" customHeight="1">
      <c r="B1429" s="96" t="s">
        <v>1161</v>
      </c>
      <c r="C1429" s="90"/>
      <c r="D1429" s="89" t="s">
        <v>877</v>
      </c>
      <c r="E1429" s="91">
        <v>72.0</v>
      </c>
      <c r="F1429" s="92">
        <v>17.57</v>
      </c>
      <c r="G1429" s="92">
        <v>1265.04</v>
      </c>
      <c r="H1429" s="93"/>
      <c r="I1429" s="92"/>
      <c r="J1429" s="92"/>
      <c r="K1429" s="92"/>
    </row>
    <row r="1430" ht="12.75" customHeight="1">
      <c r="B1430" s="90"/>
      <c r="E1430" s="79"/>
      <c r="F1430" s="80"/>
      <c r="G1430" s="80"/>
      <c r="H1430" s="81"/>
      <c r="I1430" s="80"/>
      <c r="J1430" s="80"/>
      <c r="K1430" s="80"/>
    </row>
    <row r="1431" ht="12.75" customHeight="1">
      <c r="B1431" s="96" t="s">
        <v>1162</v>
      </c>
      <c r="C1431" s="90"/>
      <c r="D1431" s="89" t="s">
        <v>877</v>
      </c>
      <c r="E1431" s="91">
        <v>56.0</v>
      </c>
      <c r="F1431" s="92">
        <v>21.06</v>
      </c>
      <c r="G1431" s="92">
        <v>1179.36</v>
      </c>
      <c r="H1431" s="93"/>
      <c r="I1431" s="92"/>
      <c r="J1431" s="92"/>
      <c r="K1431" s="92"/>
    </row>
    <row r="1432" ht="12.75" customHeight="1">
      <c r="B1432" s="90"/>
      <c r="E1432" s="79"/>
      <c r="F1432" s="80"/>
      <c r="G1432" s="80"/>
      <c r="H1432" s="81"/>
      <c r="I1432" s="80"/>
      <c r="J1432" s="80"/>
      <c r="K1432" s="80"/>
    </row>
    <row r="1433" ht="12.75" customHeight="1">
      <c r="B1433" s="96" t="s">
        <v>1163</v>
      </c>
      <c r="C1433" s="90"/>
      <c r="D1433" s="89" t="s">
        <v>877</v>
      </c>
      <c r="E1433" s="91">
        <v>10.0</v>
      </c>
      <c r="F1433" s="92">
        <v>27.21</v>
      </c>
      <c r="G1433" s="92">
        <v>272.1</v>
      </c>
      <c r="H1433" s="93"/>
      <c r="I1433" s="92"/>
      <c r="J1433" s="92"/>
      <c r="K1433" s="92"/>
    </row>
    <row r="1434" ht="12.75" customHeight="1">
      <c r="B1434" s="90"/>
      <c r="E1434" s="79"/>
      <c r="F1434" s="80"/>
      <c r="G1434" s="80"/>
      <c r="H1434" s="81"/>
      <c r="I1434" s="80"/>
      <c r="J1434" s="80"/>
      <c r="K1434" s="80"/>
    </row>
    <row r="1435" ht="12.75" customHeight="1">
      <c r="B1435" s="96" t="s">
        <v>1164</v>
      </c>
      <c r="C1435" s="90"/>
      <c r="D1435" s="89" t="s">
        <v>877</v>
      </c>
      <c r="E1435" s="91">
        <v>8.0</v>
      </c>
      <c r="F1435" s="92">
        <v>28.33</v>
      </c>
      <c r="G1435" s="92">
        <v>226.64</v>
      </c>
      <c r="H1435" s="93"/>
      <c r="I1435" s="92"/>
      <c r="J1435" s="92"/>
      <c r="K1435" s="92"/>
    </row>
    <row r="1436" ht="12.75" customHeight="1">
      <c r="B1436" s="90"/>
      <c r="E1436" s="79"/>
      <c r="F1436" s="80"/>
      <c r="G1436" s="80"/>
      <c r="H1436" s="81"/>
      <c r="I1436" s="80"/>
      <c r="J1436" s="80"/>
      <c r="K1436" s="80"/>
    </row>
    <row r="1437" ht="12.75" customHeight="1">
      <c r="B1437" s="96" t="s">
        <v>1165</v>
      </c>
      <c r="C1437" s="90"/>
      <c r="D1437" s="89" t="s">
        <v>877</v>
      </c>
      <c r="E1437" s="91">
        <v>34.0</v>
      </c>
      <c r="F1437" s="92">
        <v>35.55</v>
      </c>
      <c r="G1437" s="92">
        <v>1208.7</v>
      </c>
      <c r="H1437" s="93"/>
      <c r="I1437" s="92"/>
      <c r="J1437" s="92"/>
      <c r="K1437" s="92"/>
    </row>
    <row r="1438" ht="12.75" customHeight="1">
      <c r="B1438" s="90"/>
      <c r="E1438" s="79"/>
      <c r="F1438" s="80"/>
      <c r="G1438" s="80"/>
      <c r="H1438" s="81"/>
      <c r="I1438" s="80"/>
      <c r="J1438" s="80"/>
      <c r="K1438" s="80"/>
    </row>
    <row r="1439" ht="12.75" customHeight="1">
      <c r="A1439" s="89" t="s">
        <v>4235</v>
      </c>
      <c r="B1439" s="96" t="s">
        <v>5137</v>
      </c>
      <c r="C1439" s="90"/>
      <c r="E1439" s="79"/>
      <c r="F1439" s="80"/>
      <c r="G1439" s="80"/>
      <c r="H1439" s="81"/>
      <c r="I1439" s="80"/>
      <c r="J1439" s="80"/>
      <c r="K1439" s="80"/>
    </row>
    <row r="1440" ht="12.75" customHeight="1">
      <c r="B1440" s="90"/>
      <c r="E1440" s="79"/>
      <c r="F1440" s="80"/>
      <c r="G1440" s="80"/>
      <c r="H1440" s="81"/>
      <c r="I1440" s="80"/>
      <c r="J1440" s="80"/>
      <c r="K1440" s="80"/>
    </row>
    <row r="1441" ht="12.75" customHeight="1">
      <c r="B1441" s="96" t="s">
        <v>1167</v>
      </c>
      <c r="C1441" s="90"/>
      <c r="D1441" s="89" t="s">
        <v>877</v>
      </c>
      <c r="E1441" s="91">
        <v>56.0</v>
      </c>
      <c r="F1441" s="92">
        <v>12.93</v>
      </c>
      <c r="G1441" s="92">
        <v>724.08</v>
      </c>
      <c r="H1441" s="93"/>
      <c r="I1441" s="92"/>
      <c r="J1441" s="92"/>
      <c r="K1441" s="92"/>
    </row>
    <row r="1442" ht="12.75" customHeight="1">
      <c r="B1442" s="90"/>
      <c r="E1442" s="79"/>
      <c r="F1442" s="80"/>
      <c r="G1442" s="80"/>
      <c r="H1442" s="81"/>
      <c r="I1442" s="80"/>
      <c r="J1442" s="80"/>
      <c r="K1442" s="80"/>
    </row>
    <row r="1443" ht="12.75" customHeight="1">
      <c r="A1443" s="89" t="s">
        <v>4237</v>
      </c>
      <c r="B1443" s="96" t="s">
        <v>5138</v>
      </c>
      <c r="C1443" s="90"/>
      <c r="E1443" s="79"/>
      <c r="F1443" s="80"/>
      <c r="G1443" s="80"/>
      <c r="H1443" s="81"/>
      <c r="I1443" s="80"/>
      <c r="J1443" s="80"/>
      <c r="K1443" s="80"/>
    </row>
    <row r="1444" ht="12.75" customHeight="1">
      <c r="B1444" s="90"/>
      <c r="E1444" s="79"/>
      <c r="F1444" s="80"/>
      <c r="G1444" s="80"/>
      <c r="H1444" s="81"/>
      <c r="I1444" s="80"/>
      <c r="J1444" s="80"/>
      <c r="K1444" s="80"/>
    </row>
    <row r="1445" ht="12.75" customHeight="1">
      <c r="B1445" s="96" t="s">
        <v>1169</v>
      </c>
      <c r="C1445" s="90"/>
      <c r="D1445" s="89" t="s">
        <v>877</v>
      </c>
      <c r="E1445" s="91">
        <v>28.0</v>
      </c>
      <c r="F1445" s="92">
        <v>12.59</v>
      </c>
      <c r="G1445" s="92">
        <v>352.52</v>
      </c>
      <c r="H1445" s="93"/>
      <c r="I1445" s="92"/>
      <c r="J1445" s="92"/>
      <c r="K1445" s="92"/>
    </row>
    <row r="1446" ht="12.75" customHeight="1">
      <c r="B1446" s="90"/>
      <c r="E1446" s="79"/>
      <c r="F1446" s="80"/>
      <c r="G1446" s="80"/>
      <c r="H1446" s="81"/>
      <c r="I1446" s="80"/>
      <c r="J1446" s="80"/>
      <c r="K1446" s="80"/>
    </row>
    <row r="1447" ht="12.75" customHeight="1">
      <c r="B1447" s="96" t="s">
        <v>1170</v>
      </c>
      <c r="C1447" s="90"/>
      <c r="D1447" s="89" t="s">
        <v>877</v>
      </c>
      <c r="E1447" s="91">
        <v>52.0</v>
      </c>
      <c r="F1447" s="92">
        <v>16.77</v>
      </c>
      <c r="G1447" s="92">
        <v>872.04</v>
      </c>
      <c r="H1447" s="93"/>
      <c r="I1447" s="92"/>
      <c r="J1447" s="92"/>
      <c r="K1447" s="92"/>
    </row>
    <row r="1448" ht="12.75" customHeight="1">
      <c r="B1448" s="90"/>
      <c r="E1448" s="79"/>
      <c r="F1448" s="80"/>
      <c r="G1448" s="80"/>
      <c r="H1448" s="81"/>
      <c r="I1448" s="80"/>
      <c r="J1448" s="80"/>
      <c r="K1448" s="80"/>
    </row>
    <row r="1449" ht="12.75" customHeight="1">
      <c r="B1449" s="96" t="s">
        <v>1167</v>
      </c>
      <c r="C1449" s="90"/>
      <c r="D1449" s="89" t="s">
        <v>877</v>
      </c>
      <c r="E1449" s="91">
        <v>76.0</v>
      </c>
      <c r="F1449" s="92">
        <v>20.75</v>
      </c>
      <c r="G1449" s="92">
        <v>1577.0</v>
      </c>
      <c r="H1449" s="93"/>
      <c r="I1449" s="92"/>
      <c r="J1449" s="92"/>
      <c r="K1449" s="92"/>
    </row>
    <row r="1450" ht="12.75" customHeight="1">
      <c r="B1450" s="90"/>
      <c r="E1450" s="79"/>
      <c r="F1450" s="80"/>
      <c r="G1450" s="80"/>
      <c r="H1450" s="81"/>
      <c r="I1450" s="80"/>
      <c r="J1450" s="80"/>
      <c r="K1450" s="80"/>
    </row>
    <row r="1451" ht="12.75" customHeight="1">
      <c r="B1451" s="96" t="s">
        <v>1171</v>
      </c>
      <c r="C1451" s="90"/>
      <c r="D1451" s="89" t="s">
        <v>877</v>
      </c>
      <c r="E1451" s="91">
        <v>20.0</v>
      </c>
      <c r="F1451" s="92">
        <v>32.69</v>
      </c>
      <c r="G1451" s="92">
        <v>653.8</v>
      </c>
      <c r="H1451" s="93"/>
      <c r="I1451" s="92"/>
      <c r="J1451" s="92"/>
      <c r="K1451" s="92"/>
    </row>
    <row r="1452" ht="12.75" customHeight="1">
      <c r="B1452" s="90"/>
      <c r="E1452" s="79"/>
      <c r="F1452" s="80"/>
      <c r="G1452" s="80"/>
      <c r="H1452" s="81"/>
      <c r="I1452" s="80"/>
      <c r="J1452" s="80"/>
      <c r="K1452" s="80"/>
    </row>
    <row r="1453" ht="12.75" customHeight="1">
      <c r="A1453" s="89" t="s">
        <v>1172</v>
      </c>
      <c r="B1453" s="96" t="s">
        <v>5139</v>
      </c>
      <c r="C1453" s="90"/>
      <c r="E1453" s="79"/>
      <c r="F1453" s="80"/>
      <c r="G1453" s="80"/>
      <c r="H1453" s="81"/>
      <c r="I1453" s="80"/>
      <c r="J1453" s="80"/>
      <c r="K1453" s="80"/>
    </row>
    <row r="1454" ht="12.75" customHeight="1">
      <c r="B1454" s="90"/>
      <c r="E1454" s="79"/>
      <c r="F1454" s="80"/>
      <c r="G1454" s="80"/>
      <c r="H1454" s="81"/>
      <c r="I1454" s="80"/>
      <c r="J1454" s="80"/>
      <c r="K1454" s="80"/>
    </row>
    <row r="1455" ht="12.75" customHeight="1">
      <c r="B1455" s="96" t="s">
        <v>1174</v>
      </c>
      <c r="C1455" s="90"/>
      <c r="D1455" s="89" t="s">
        <v>877</v>
      </c>
      <c r="E1455" s="91">
        <v>2200.0</v>
      </c>
      <c r="F1455" s="92">
        <v>2.59</v>
      </c>
      <c r="G1455" s="92">
        <v>5698.0</v>
      </c>
      <c r="H1455" s="93"/>
      <c r="I1455" s="92"/>
      <c r="J1455" s="92"/>
      <c r="K1455" s="92"/>
    </row>
    <row r="1456" ht="12.75" customHeight="1">
      <c r="B1456" s="90"/>
      <c r="E1456" s="79"/>
      <c r="F1456" s="80"/>
      <c r="G1456" s="80"/>
      <c r="H1456" s="81"/>
      <c r="I1456" s="80"/>
      <c r="J1456" s="80"/>
      <c r="K1456" s="80"/>
    </row>
    <row r="1457" ht="12.75" customHeight="1">
      <c r="B1457" s="96" t="s">
        <v>5140</v>
      </c>
      <c r="C1457" s="90"/>
      <c r="D1457" s="89" t="s">
        <v>40</v>
      </c>
      <c r="E1457" s="91">
        <v>300.0</v>
      </c>
      <c r="F1457" s="92">
        <v>32.17</v>
      </c>
      <c r="G1457" s="92">
        <v>9651.0</v>
      </c>
      <c r="H1457" s="93"/>
      <c r="I1457" s="92"/>
      <c r="J1457" s="92"/>
      <c r="K1457" s="92"/>
    </row>
    <row r="1458" ht="12.75" customHeight="1">
      <c r="B1458" s="90"/>
      <c r="E1458" s="79"/>
      <c r="F1458" s="80"/>
      <c r="G1458" s="80"/>
      <c r="H1458" s="81"/>
      <c r="I1458" s="80"/>
      <c r="J1458" s="80"/>
      <c r="K1458" s="80"/>
    </row>
    <row r="1459" ht="12.75" customHeight="1">
      <c r="B1459" s="96" t="s">
        <v>5141</v>
      </c>
      <c r="C1459" s="90"/>
      <c r="D1459" s="89" t="s">
        <v>877</v>
      </c>
      <c r="E1459" s="91">
        <v>270.0</v>
      </c>
      <c r="F1459" s="92">
        <v>2.94</v>
      </c>
      <c r="G1459" s="92">
        <v>793.8</v>
      </c>
      <c r="H1459" s="93"/>
      <c r="I1459" s="92"/>
      <c r="J1459" s="92"/>
      <c r="K1459" s="92"/>
    </row>
    <row r="1460" ht="12.75" customHeight="1">
      <c r="B1460" s="90"/>
      <c r="E1460" s="79"/>
      <c r="F1460" s="80"/>
      <c r="G1460" s="80"/>
      <c r="H1460" s="81"/>
      <c r="I1460" s="80"/>
      <c r="J1460" s="80"/>
      <c r="K1460" s="80"/>
    </row>
    <row r="1461" ht="12.75" customHeight="1">
      <c r="B1461" s="96" t="s">
        <v>5142</v>
      </c>
      <c r="C1461" s="90"/>
      <c r="D1461" s="89" t="s">
        <v>75</v>
      </c>
      <c r="E1461" s="91">
        <v>3.0</v>
      </c>
      <c r="F1461" s="92">
        <v>234.72</v>
      </c>
      <c r="G1461" s="92">
        <v>704.16</v>
      </c>
      <c r="H1461" s="93"/>
      <c r="I1461" s="92"/>
      <c r="J1461" s="92"/>
      <c r="K1461" s="92"/>
    </row>
    <row r="1462" ht="12.75" customHeight="1">
      <c r="B1462" s="90"/>
      <c r="E1462" s="79"/>
      <c r="F1462" s="80"/>
      <c r="G1462" s="80"/>
      <c r="H1462" s="81"/>
      <c r="I1462" s="80"/>
      <c r="J1462" s="80"/>
      <c r="K1462" s="80"/>
    </row>
    <row r="1463" ht="12.75" customHeight="1">
      <c r="B1463" s="96" t="s">
        <v>5143</v>
      </c>
      <c r="C1463" s="90"/>
      <c r="D1463" s="89" t="s">
        <v>75</v>
      </c>
      <c r="E1463" s="91">
        <v>300.0</v>
      </c>
      <c r="F1463" s="92">
        <v>1.11</v>
      </c>
      <c r="G1463" s="92">
        <v>333.0</v>
      </c>
      <c r="H1463" s="93"/>
      <c r="I1463" s="92"/>
      <c r="J1463" s="92"/>
      <c r="K1463" s="92"/>
    </row>
    <row r="1464" ht="12.75" customHeight="1">
      <c r="B1464" s="90"/>
      <c r="E1464" s="79"/>
      <c r="F1464" s="80"/>
      <c r="G1464" s="80"/>
      <c r="H1464" s="81"/>
      <c r="I1464" s="80"/>
      <c r="J1464" s="80"/>
      <c r="K1464" s="80"/>
    </row>
    <row r="1465" ht="12.75" customHeight="1">
      <c r="B1465" s="96" t="s">
        <v>5144</v>
      </c>
      <c r="C1465" s="90"/>
      <c r="D1465" s="89" t="s">
        <v>1180</v>
      </c>
      <c r="E1465" s="91">
        <v>4.0</v>
      </c>
      <c r="F1465" s="92">
        <v>72.4</v>
      </c>
      <c r="G1465" s="92">
        <v>289.6</v>
      </c>
      <c r="H1465" s="93"/>
      <c r="I1465" s="92"/>
      <c r="J1465" s="92"/>
      <c r="K1465" s="92"/>
    </row>
    <row r="1466" ht="12.75" customHeight="1">
      <c r="B1466" s="90"/>
      <c r="E1466" s="79"/>
      <c r="F1466" s="80"/>
      <c r="G1466" s="80"/>
      <c r="H1466" s="81"/>
      <c r="I1466" s="80"/>
      <c r="J1466" s="80"/>
      <c r="K1466" s="80"/>
    </row>
    <row r="1467" ht="12.75" customHeight="1">
      <c r="B1467" s="96" t="s">
        <v>5145</v>
      </c>
      <c r="C1467" s="90"/>
      <c r="D1467" s="89" t="s">
        <v>75</v>
      </c>
      <c r="E1467" s="91">
        <v>1.0</v>
      </c>
      <c r="F1467" s="92">
        <v>333.23</v>
      </c>
      <c r="G1467" s="92">
        <v>333.23</v>
      </c>
      <c r="H1467" s="93"/>
      <c r="I1467" s="92"/>
      <c r="J1467" s="92"/>
      <c r="K1467" s="92"/>
    </row>
    <row r="1468" ht="12.75" customHeight="1">
      <c r="B1468" s="90"/>
      <c r="E1468" s="79"/>
      <c r="F1468" s="80"/>
      <c r="G1468" s="80"/>
      <c r="H1468" s="81"/>
      <c r="I1468" s="80"/>
      <c r="J1468" s="80"/>
      <c r="K1468" s="80"/>
    </row>
    <row r="1469" ht="12.75" customHeight="1">
      <c r="B1469" s="96" t="s">
        <v>5146</v>
      </c>
      <c r="C1469" s="90"/>
      <c r="D1469" s="89" t="s">
        <v>75</v>
      </c>
      <c r="E1469" s="91">
        <v>2.0</v>
      </c>
      <c r="F1469" s="92">
        <v>365.55</v>
      </c>
      <c r="G1469" s="92">
        <v>731.1</v>
      </c>
      <c r="H1469" s="93"/>
      <c r="I1469" s="92"/>
      <c r="J1469" s="92"/>
      <c r="K1469" s="92"/>
    </row>
    <row r="1470" ht="12.75" customHeight="1">
      <c r="B1470" s="90"/>
      <c r="E1470" s="79"/>
      <c r="F1470" s="80"/>
      <c r="G1470" s="80"/>
      <c r="H1470" s="81"/>
      <c r="I1470" s="80"/>
      <c r="J1470" s="80"/>
      <c r="K1470" s="80"/>
    </row>
    <row r="1471" ht="12.75" customHeight="1">
      <c r="B1471" s="96" t="s">
        <v>5147</v>
      </c>
      <c r="C1471" s="90"/>
      <c r="D1471" s="89" t="s">
        <v>75</v>
      </c>
      <c r="E1471" s="91">
        <v>1.0</v>
      </c>
      <c r="F1471" s="92">
        <v>400.96</v>
      </c>
      <c r="G1471" s="92">
        <v>400.96</v>
      </c>
      <c r="H1471" s="93"/>
      <c r="I1471" s="92"/>
      <c r="J1471" s="92"/>
      <c r="K1471" s="92"/>
    </row>
    <row r="1472" ht="12.75" customHeight="1">
      <c r="B1472" s="90"/>
      <c r="E1472" s="79"/>
      <c r="F1472" s="80"/>
      <c r="G1472" s="80"/>
      <c r="H1472" s="81"/>
      <c r="I1472" s="80"/>
      <c r="J1472" s="80"/>
      <c r="K1472" s="80"/>
    </row>
    <row r="1473" ht="12.75" customHeight="1">
      <c r="B1473" s="96" t="s">
        <v>5148</v>
      </c>
      <c r="C1473" s="90"/>
      <c r="D1473" s="89" t="s">
        <v>75</v>
      </c>
      <c r="E1473" s="91">
        <v>1.0</v>
      </c>
      <c r="F1473" s="92">
        <v>242.12</v>
      </c>
      <c r="G1473" s="92">
        <v>242.12</v>
      </c>
      <c r="H1473" s="93"/>
      <c r="I1473" s="92"/>
      <c r="J1473" s="92"/>
      <c r="K1473" s="92"/>
    </row>
    <row r="1474" ht="12.75" customHeight="1">
      <c r="B1474" s="90"/>
      <c r="E1474" s="79"/>
      <c r="F1474" s="80"/>
      <c r="G1474" s="80"/>
      <c r="H1474" s="81"/>
      <c r="I1474" s="80"/>
      <c r="J1474" s="80"/>
      <c r="K1474" s="80"/>
    </row>
    <row r="1475" ht="12.75" customHeight="1">
      <c r="B1475" s="96" t="s">
        <v>5149</v>
      </c>
      <c r="C1475" s="90"/>
      <c r="D1475" s="89" t="s">
        <v>75</v>
      </c>
      <c r="E1475" s="91">
        <v>3.0</v>
      </c>
      <c r="F1475" s="92">
        <v>257.4</v>
      </c>
      <c r="G1475" s="92">
        <v>772.2</v>
      </c>
      <c r="H1475" s="93"/>
      <c r="I1475" s="92"/>
      <c r="J1475" s="92"/>
      <c r="K1475" s="92"/>
    </row>
    <row r="1476" ht="12.75" customHeight="1">
      <c r="B1476" s="90"/>
      <c r="E1476" s="79"/>
      <c r="F1476" s="80"/>
      <c r="G1476" s="80"/>
      <c r="H1476" s="81"/>
      <c r="I1476" s="80"/>
      <c r="J1476" s="80"/>
      <c r="K1476" s="80"/>
    </row>
    <row r="1477" ht="12.75" customHeight="1">
      <c r="B1477" s="96" t="s">
        <v>5150</v>
      </c>
      <c r="C1477" s="90"/>
      <c r="D1477" s="89" t="s">
        <v>75</v>
      </c>
      <c r="E1477" s="91">
        <v>8.0</v>
      </c>
      <c r="F1477" s="92">
        <v>92.78</v>
      </c>
      <c r="G1477" s="92">
        <v>742.24</v>
      </c>
      <c r="H1477" s="93"/>
      <c r="I1477" s="92"/>
      <c r="J1477" s="92"/>
      <c r="K1477" s="92"/>
    </row>
    <row r="1478" ht="12.75" customHeight="1">
      <c r="B1478" s="90"/>
      <c r="E1478" s="79"/>
      <c r="F1478" s="80"/>
      <c r="G1478" s="80"/>
      <c r="H1478" s="81"/>
      <c r="I1478" s="80"/>
      <c r="J1478" s="80"/>
      <c r="K1478" s="80"/>
    </row>
    <row r="1479" ht="12.75" customHeight="1">
      <c r="B1479" s="96" t="s">
        <v>4251</v>
      </c>
      <c r="C1479" s="90"/>
      <c r="D1479" s="89" t="s">
        <v>75</v>
      </c>
      <c r="E1479" s="91">
        <v>48.0</v>
      </c>
      <c r="F1479" s="92">
        <v>9.96</v>
      </c>
      <c r="G1479" s="92">
        <v>478.08</v>
      </c>
      <c r="H1479" s="93"/>
      <c r="I1479" s="92"/>
      <c r="J1479" s="92"/>
      <c r="K1479" s="92"/>
    </row>
    <row r="1480" ht="12.75" customHeight="1">
      <c r="B1480" s="90"/>
      <c r="E1480" s="79"/>
      <c r="F1480" s="80"/>
      <c r="G1480" s="80"/>
      <c r="H1480" s="81"/>
      <c r="I1480" s="80"/>
      <c r="J1480" s="80"/>
      <c r="K1480" s="80"/>
    </row>
    <row r="1481" ht="12.75" customHeight="1">
      <c r="B1481" s="96" t="s">
        <v>5151</v>
      </c>
      <c r="C1481" s="90"/>
      <c r="D1481" s="89" t="s">
        <v>75</v>
      </c>
      <c r="E1481" s="91">
        <v>1.0</v>
      </c>
      <c r="F1481" s="92">
        <v>2491.0</v>
      </c>
      <c r="G1481" s="92">
        <v>2491.0</v>
      </c>
      <c r="H1481" s="93"/>
      <c r="I1481" s="92"/>
      <c r="J1481" s="92"/>
      <c r="K1481" s="92"/>
    </row>
    <row r="1482" ht="12.75" customHeight="1">
      <c r="B1482" s="90"/>
      <c r="E1482" s="79"/>
      <c r="F1482" s="80"/>
      <c r="G1482" s="80"/>
      <c r="H1482" s="81"/>
      <c r="I1482" s="80"/>
      <c r="J1482" s="80"/>
      <c r="K1482" s="80"/>
    </row>
    <row r="1483" ht="12.75" customHeight="1">
      <c r="B1483" s="96" t="s">
        <v>5152</v>
      </c>
      <c r="C1483" s="90"/>
      <c r="D1483" s="89" t="s">
        <v>75</v>
      </c>
      <c r="E1483" s="91">
        <v>1.0</v>
      </c>
      <c r="F1483" s="92">
        <v>144.21</v>
      </c>
      <c r="G1483" s="92">
        <v>144.21</v>
      </c>
      <c r="H1483" s="93"/>
      <c r="I1483" s="92"/>
      <c r="J1483" s="92"/>
      <c r="K1483" s="92"/>
    </row>
    <row r="1484" ht="12.75" customHeight="1">
      <c r="B1484" s="90"/>
      <c r="E1484" s="79"/>
      <c r="F1484" s="80"/>
      <c r="G1484" s="80"/>
      <c r="H1484" s="81"/>
      <c r="I1484" s="80"/>
      <c r="J1484" s="80"/>
      <c r="K1484" s="80"/>
    </row>
    <row r="1485" ht="12.75" customHeight="1">
      <c r="B1485" s="96" t="s">
        <v>5153</v>
      </c>
      <c r="C1485" s="90"/>
      <c r="D1485" s="89" t="s">
        <v>75</v>
      </c>
      <c r="E1485" s="91">
        <v>1.0</v>
      </c>
      <c r="F1485" s="92">
        <v>304.73</v>
      </c>
      <c r="G1485" s="92">
        <v>304.73</v>
      </c>
      <c r="H1485" s="93"/>
      <c r="I1485" s="92"/>
      <c r="J1485" s="92"/>
      <c r="K1485" s="92"/>
    </row>
    <row r="1486" ht="12.75" customHeight="1">
      <c r="B1486" s="90"/>
      <c r="E1486" s="79"/>
      <c r="F1486" s="80"/>
      <c r="G1486" s="80"/>
      <c r="H1486" s="81"/>
      <c r="I1486" s="80"/>
      <c r="J1486" s="80"/>
      <c r="K1486" s="80"/>
    </row>
    <row r="1487" ht="12.75" customHeight="1">
      <c r="B1487" s="96" t="s">
        <v>5154</v>
      </c>
      <c r="C1487" s="90"/>
      <c r="D1487" s="89" t="s">
        <v>75</v>
      </c>
      <c r="E1487" s="91">
        <v>0.0</v>
      </c>
      <c r="F1487" s="80"/>
      <c r="G1487" s="92">
        <v>0.0</v>
      </c>
      <c r="H1487" s="93"/>
      <c r="I1487" s="92"/>
      <c r="J1487" s="92"/>
      <c r="K1487" s="92"/>
    </row>
    <row r="1488" ht="12.75" customHeight="1">
      <c r="B1488" s="90"/>
      <c r="E1488" s="79"/>
      <c r="F1488" s="80"/>
      <c r="G1488" s="80"/>
      <c r="H1488" s="81"/>
      <c r="I1488" s="80"/>
      <c r="J1488" s="80"/>
      <c r="K1488" s="80"/>
    </row>
    <row r="1489" ht="12.75" customHeight="1">
      <c r="B1489" s="96" t="s">
        <v>5155</v>
      </c>
      <c r="C1489" s="90"/>
      <c r="D1489" s="89" t="s">
        <v>75</v>
      </c>
      <c r="E1489" s="91">
        <v>24.0</v>
      </c>
      <c r="F1489" s="92">
        <v>49.19</v>
      </c>
      <c r="G1489" s="92">
        <v>1180.56</v>
      </c>
      <c r="H1489" s="93"/>
      <c r="I1489" s="92"/>
      <c r="J1489" s="92"/>
      <c r="K1489" s="92"/>
    </row>
    <row r="1490" ht="12.75" customHeight="1">
      <c r="B1490" s="90"/>
      <c r="E1490" s="79"/>
      <c r="F1490" s="80"/>
      <c r="G1490" s="80"/>
      <c r="H1490" s="81"/>
      <c r="I1490" s="80"/>
      <c r="J1490" s="80"/>
      <c r="K1490" s="80"/>
    </row>
    <row r="1491" ht="12.75" customHeight="1">
      <c r="B1491" s="96" t="s">
        <v>5156</v>
      </c>
      <c r="C1491" s="90"/>
      <c r="D1491" s="89" t="s">
        <v>75</v>
      </c>
      <c r="E1491" s="91">
        <v>2.0</v>
      </c>
      <c r="F1491" s="92">
        <v>1548.07</v>
      </c>
      <c r="G1491" s="92">
        <v>3096.14</v>
      </c>
      <c r="H1491" s="93"/>
      <c r="I1491" s="92"/>
      <c r="J1491" s="92"/>
      <c r="K1491" s="92"/>
    </row>
    <row r="1492" ht="12.75" customHeight="1">
      <c r="B1492" s="90"/>
      <c r="E1492" s="79"/>
      <c r="F1492" s="80"/>
      <c r="G1492" s="80"/>
      <c r="H1492" s="81"/>
      <c r="I1492" s="80"/>
      <c r="J1492" s="80"/>
      <c r="K1492" s="80"/>
    </row>
    <row r="1493" ht="12.75" customHeight="1">
      <c r="B1493" s="96" t="s">
        <v>5157</v>
      </c>
      <c r="C1493" s="90"/>
      <c r="D1493" s="89" t="s">
        <v>75</v>
      </c>
      <c r="E1493" s="91">
        <v>2.0</v>
      </c>
      <c r="F1493" s="80"/>
      <c r="G1493" s="135" t="s">
        <v>619</v>
      </c>
      <c r="H1493" s="159"/>
      <c r="I1493" s="135"/>
      <c r="J1493" s="135"/>
      <c r="K1493" s="135"/>
    </row>
    <row r="1494" ht="12.75" customHeight="1">
      <c r="B1494" s="90"/>
      <c r="E1494" s="79"/>
      <c r="F1494" s="80"/>
      <c r="G1494" s="80"/>
      <c r="H1494" s="81"/>
      <c r="I1494" s="80"/>
      <c r="J1494" s="80"/>
      <c r="K1494" s="80"/>
    </row>
    <row r="1495" ht="12.75" customHeight="1">
      <c r="B1495" s="96" t="s">
        <v>5158</v>
      </c>
      <c r="C1495" s="90"/>
      <c r="D1495" s="89" t="s">
        <v>75</v>
      </c>
      <c r="E1495" s="91">
        <v>2.0</v>
      </c>
      <c r="F1495" s="92">
        <v>273.04</v>
      </c>
      <c r="G1495" s="92">
        <v>546.08</v>
      </c>
      <c r="H1495" s="93"/>
      <c r="I1495" s="92"/>
      <c r="J1495" s="92"/>
      <c r="K1495" s="92"/>
    </row>
    <row r="1496" ht="12.75" customHeight="1">
      <c r="B1496" s="90"/>
      <c r="E1496" s="79"/>
      <c r="F1496" s="80"/>
      <c r="G1496" s="80"/>
      <c r="H1496" s="81"/>
      <c r="I1496" s="80"/>
      <c r="J1496" s="80"/>
      <c r="K1496" s="80"/>
    </row>
    <row r="1497" ht="12.75" customHeight="1">
      <c r="B1497" s="96" t="s">
        <v>5159</v>
      </c>
      <c r="C1497" s="90"/>
      <c r="D1497" s="89" t="s">
        <v>75</v>
      </c>
      <c r="E1497" s="91">
        <v>4.0</v>
      </c>
      <c r="F1497" s="80"/>
      <c r="G1497" s="135" t="s">
        <v>619</v>
      </c>
      <c r="H1497" s="159"/>
      <c r="I1497" s="135"/>
      <c r="J1497" s="135"/>
      <c r="K1497" s="135"/>
    </row>
    <row r="1498" ht="12.75" customHeight="1">
      <c r="B1498" s="90"/>
      <c r="E1498" s="79"/>
      <c r="F1498" s="80"/>
      <c r="G1498" s="80"/>
      <c r="H1498" s="81"/>
      <c r="I1498" s="80"/>
      <c r="J1498" s="80"/>
      <c r="K1498" s="80"/>
    </row>
    <row r="1499" ht="12.75" customHeight="1">
      <c r="B1499" s="96" t="s">
        <v>2799</v>
      </c>
      <c r="C1499" s="90"/>
      <c r="D1499" s="89" t="s">
        <v>75</v>
      </c>
      <c r="E1499" s="91">
        <v>4.0</v>
      </c>
      <c r="F1499" s="80"/>
      <c r="G1499" s="135" t="s">
        <v>619</v>
      </c>
      <c r="H1499" s="159"/>
      <c r="I1499" s="135"/>
      <c r="J1499" s="135"/>
      <c r="K1499" s="135"/>
    </row>
    <row r="1500" ht="12.75" customHeight="1">
      <c r="B1500" s="90"/>
      <c r="E1500" s="79"/>
      <c r="F1500" s="80"/>
      <c r="G1500" s="80"/>
      <c r="H1500" s="81"/>
      <c r="I1500" s="80"/>
      <c r="J1500" s="80"/>
      <c r="K1500" s="80"/>
    </row>
    <row r="1501" ht="12.75" customHeight="1">
      <c r="B1501" s="96" t="s">
        <v>5160</v>
      </c>
      <c r="C1501" s="90"/>
      <c r="D1501" s="89" t="s">
        <v>33</v>
      </c>
      <c r="E1501" s="91">
        <v>1.0</v>
      </c>
      <c r="F1501" s="92">
        <v>2589.17</v>
      </c>
      <c r="G1501" s="92">
        <v>2589.17</v>
      </c>
      <c r="H1501" s="93"/>
      <c r="I1501" s="92"/>
      <c r="J1501" s="92"/>
      <c r="K1501" s="92"/>
    </row>
    <row r="1502" ht="12.75" customHeight="1">
      <c r="B1502" s="90"/>
      <c r="E1502" s="79"/>
      <c r="F1502" s="80"/>
      <c r="G1502" s="80"/>
      <c r="H1502" s="81"/>
      <c r="I1502" s="80"/>
      <c r="J1502" s="80"/>
      <c r="K1502" s="80"/>
    </row>
    <row r="1503" ht="12.75" customHeight="1">
      <c r="A1503" s="89" t="s">
        <v>1199</v>
      </c>
      <c r="B1503" s="96" t="s">
        <v>5161</v>
      </c>
      <c r="C1503" s="90"/>
      <c r="E1503" s="79"/>
      <c r="F1503" s="80"/>
      <c r="G1503" s="80"/>
      <c r="H1503" s="81"/>
      <c r="I1503" s="80"/>
      <c r="J1503" s="80"/>
      <c r="K1503" s="80"/>
    </row>
    <row r="1504" ht="12.75" customHeight="1">
      <c r="B1504" s="90"/>
      <c r="E1504" s="79"/>
      <c r="F1504" s="80"/>
      <c r="G1504" s="80"/>
      <c r="H1504" s="81"/>
      <c r="I1504" s="80"/>
      <c r="J1504" s="80"/>
      <c r="K1504" s="80"/>
    </row>
    <row r="1505" ht="12.75" customHeight="1">
      <c r="B1505" s="96" t="s">
        <v>5162</v>
      </c>
      <c r="C1505" s="90"/>
      <c r="D1505" s="89" t="s">
        <v>1202</v>
      </c>
      <c r="E1505" s="91">
        <v>3.0</v>
      </c>
      <c r="F1505" s="92">
        <v>793.32</v>
      </c>
      <c r="G1505" s="92">
        <v>2379.96</v>
      </c>
      <c r="H1505" s="93"/>
      <c r="I1505" s="92"/>
      <c r="J1505" s="92"/>
      <c r="K1505" s="92"/>
    </row>
    <row r="1506" ht="12.75" customHeight="1">
      <c r="B1506" s="90"/>
      <c r="E1506" s="79"/>
      <c r="F1506" s="80"/>
      <c r="G1506" s="80"/>
      <c r="H1506" s="81"/>
      <c r="I1506" s="80"/>
      <c r="J1506" s="80"/>
      <c r="K1506" s="80"/>
    </row>
    <row r="1507" ht="12.75" customHeight="1">
      <c r="B1507" s="96" t="s">
        <v>5163</v>
      </c>
      <c r="C1507" s="90"/>
      <c r="D1507" s="89" t="s">
        <v>1202</v>
      </c>
      <c r="E1507" s="91">
        <v>3.0</v>
      </c>
      <c r="F1507" s="92">
        <v>1024.99</v>
      </c>
      <c r="G1507" s="92">
        <v>3074.97</v>
      </c>
      <c r="H1507" s="93"/>
      <c r="I1507" s="92"/>
      <c r="J1507" s="92"/>
      <c r="K1507" s="92"/>
    </row>
    <row r="1508" ht="12.75" customHeight="1">
      <c r="B1508" s="90"/>
      <c r="E1508" s="79"/>
      <c r="F1508" s="80"/>
      <c r="G1508" s="80"/>
      <c r="H1508" s="81"/>
      <c r="I1508" s="80"/>
      <c r="J1508" s="80"/>
      <c r="K1508" s="80"/>
    </row>
    <row r="1509" ht="12.75" customHeight="1">
      <c r="B1509" s="96" t="s">
        <v>5164</v>
      </c>
      <c r="C1509" s="90"/>
      <c r="D1509" s="89" t="s">
        <v>75</v>
      </c>
      <c r="E1509" s="91">
        <v>1.0</v>
      </c>
      <c r="F1509" s="92">
        <v>5205.12</v>
      </c>
      <c r="G1509" s="92">
        <v>5205.12</v>
      </c>
      <c r="H1509" s="93"/>
      <c r="I1509" s="92"/>
      <c r="J1509" s="92"/>
      <c r="K1509" s="92"/>
    </row>
    <row r="1510" ht="12.75" customHeight="1">
      <c r="B1510" s="90"/>
      <c r="E1510" s="79"/>
      <c r="F1510" s="80"/>
      <c r="G1510" s="80"/>
      <c r="H1510" s="81"/>
      <c r="I1510" s="80"/>
      <c r="J1510" s="80"/>
      <c r="K1510" s="80"/>
    </row>
    <row r="1511" ht="12.75" customHeight="1">
      <c r="B1511" s="96" t="s">
        <v>5165</v>
      </c>
      <c r="C1511" s="90"/>
      <c r="D1511" s="89" t="s">
        <v>75</v>
      </c>
      <c r="E1511" s="91">
        <v>1.0</v>
      </c>
      <c r="F1511" s="92">
        <v>1218.04</v>
      </c>
      <c r="G1511" s="92">
        <v>1218.04</v>
      </c>
      <c r="H1511" s="93"/>
      <c r="I1511" s="92"/>
      <c r="J1511" s="92"/>
      <c r="K1511" s="92"/>
    </row>
    <row r="1512" ht="12.75" customHeight="1">
      <c r="B1512" s="90"/>
      <c r="E1512" s="79"/>
      <c r="F1512" s="80"/>
      <c r="G1512" s="80"/>
      <c r="H1512" s="81"/>
      <c r="I1512" s="80"/>
      <c r="J1512" s="80"/>
      <c r="K1512" s="80"/>
    </row>
    <row r="1513" ht="12.75" customHeight="1">
      <c r="B1513" s="96" t="s">
        <v>5166</v>
      </c>
      <c r="C1513" s="90"/>
      <c r="D1513" s="89" t="s">
        <v>75</v>
      </c>
      <c r="E1513" s="91">
        <v>1.0</v>
      </c>
      <c r="F1513" s="92">
        <v>1170.29</v>
      </c>
      <c r="G1513" s="92">
        <v>1170.29</v>
      </c>
      <c r="H1513" s="93"/>
      <c r="I1513" s="92"/>
      <c r="J1513" s="92"/>
      <c r="K1513" s="92"/>
    </row>
    <row r="1514" ht="12.75" customHeight="1">
      <c r="B1514" s="90"/>
      <c r="E1514" s="79"/>
      <c r="F1514" s="80"/>
      <c r="G1514" s="80"/>
      <c r="H1514" s="81"/>
      <c r="I1514" s="80"/>
      <c r="J1514" s="80"/>
      <c r="K1514" s="80"/>
    </row>
    <row r="1515" ht="12.75" customHeight="1">
      <c r="B1515" s="96" t="s">
        <v>5167</v>
      </c>
      <c r="C1515" s="90"/>
      <c r="D1515" s="89" t="s">
        <v>1180</v>
      </c>
      <c r="E1515" s="91">
        <v>3.0</v>
      </c>
      <c r="F1515" s="92">
        <v>46.86</v>
      </c>
      <c r="G1515" s="92">
        <v>140.58</v>
      </c>
      <c r="H1515" s="93"/>
      <c r="I1515" s="92"/>
      <c r="J1515" s="92"/>
      <c r="K1515" s="92"/>
    </row>
    <row r="1516" ht="12.75" customHeight="1">
      <c r="B1516" s="90"/>
      <c r="E1516" s="79"/>
      <c r="F1516" s="80"/>
      <c r="G1516" s="80"/>
      <c r="H1516" s="81"/>
      <c r="I1516" s="80"/>
      <c r="J1516" s="80"/>
      <c r="K1516" s="80"/>
    </row>
    <row r="1517" ht="12.75" customHeight="1">
      <c r="B1517" s="96" t="s">
        <v>5168</v>
      </c>
      <c r="C1517" s="90"/>
      <c r="D1517" s="89" t="s">
        <v>75</v>
      </c>
      <c r="E1517" s="91">
        <v>1.0</v>
      </c>
      <c r="F1517" s="92">
        <v>296.42</v>
      </c>
      <c r="G1517" s="92">
        <v>296.42</v>
      </c>
      <c r="H1517" s="93"/>
      <c r="I1517" s="92"/>
      <c r="J1517" s="92"/>
      <c r="K1517" s="92"/>
    </row>
    <row r="1518" ht="12.75" customHeight="1">
      <c r="B1518" s="90"/>
      <c r="E1518" s="79"/>
      <c r="F1518" s="80"/>
      <c r="G1518" s="80"/>
      <c r="H1518" s="81"/>
      <c r="I1518" s="80"/>
      <c r="J1518" s="80"/>
      <c r="K1518" s="80"/>
    </row>
    <row r="1519" ht="12.75" customHeight="1">
      <c r="B1519" s="96" t="s">
        <v>5169</v>
      </c>
      <c r="C1519" s="90"/>
      <c r="D1519" s="89" t="s">
        <v>75</v>
      </c>
      <c r="E1519" s="91">
        <v>1.0</v>
      </c>
      <c r="F1519" s="92">
        <v>220.34</v>
      </c>
      <c r="G1519" s="92">
        <v>220.34</v>
      </c>
      <c r="H1519" s="93"/>
      <c r="I1519" s="92"/>
      <c r="J1519" s="92"/>
      <c r="K1519" s="92"/>
    </row>
    <row r="1520" ht="12.75" customHeight="1">
      <c r="B1520" s="90"/>
      <c r="E1520" s="79"/>
      <c r="F1520" s="80"/>
      <c r="G1520" s="80"/>
      <c r="H1520" s="81"/>
      <c r="I1520" s="80"/>
      <c r="J1520" s="80"/>
      <c r="K1520" s="80"/>
    </row>
    <row r="1521" ht="12.75" customHeight="1">
      <c r="B1521" s="96" t="s">
        <v>5170</v>
      </c>
      <c r="C1521" s="90"/>
      <c r="D1521" s="89" t="s">
        <v>75</v>
      </c>
      <c r="E1521" s="91">
        <v>1.0</v>
      </c>
      <c r="F1521" s="92">
        <v>185.92</v>
      </c>
      <c r="G1521" s="92">
        <v>185.92</v>
      </c>
      <c r="H1521" s="93"/>
      <c r="I1521" s="92"/>
      <c r="J1521" s="92"/>
      <c r="K1521" s="92"/>
    </row>
    <row r="1522" ht="12.75" customHeight="1">
      <c r="B1522" s="90"/>
      <c r="E1522" s="79"/>
      <c r="F1522" s="80"/>
      <c r="G1522" s="80"/>
      <c r="H1522" s="81"/>
      <c r="I1522" s="80"/>
      <c r="J1522" s="80"/>
      <c r="K1522" s="80"/>
    </row>
    <row r="1523" ht="12.75" customHeight="1">
      <c r="B1523" s="96" t="s">
        <v>5171</v>
      </c>
      <c r="C1523" s="90"/>
      <c r="D1523" s="89" t="s">
        <v>877</v>
      </c>
      <c r="E1523" s="91">
        <v>40.0</v>
      </c>
      <c r="F1523" s="92">
        <v>22.55</v>
      </c>
      <c r="G1523" s="92">
        <v>902.0</v>
      </c>
      <c r="H1523" s="93"/>
      <c r="I1523" s="92"/>
      <c r="J1523" s="92"/>
      <c r="K1523" s="92"/>
    </row>
    <row r="1524" ht="12.75" customHeight="1">
      <c r="B1524" s="90"/>
      <c r="E1524" s="79"/>
      <c r="F1524" s="80"/>
      <c r="G1524" s="80"/>
      <c r="H1524" s="81"/>
      <c r="I1524" s="80"/>
      <c r="J1524" s="80"/>
      <c r="K1524" s="80"/>
    </row>
    <row r="1525" ht="12.75" customHeight="1">
      <c r="B1525" s="96" t="s">
        <v>5172</v>
      </c>
      <c r="C1525" s="90"/>
      <c r="D1525" s="89" t="s">
        <v>75</v>
      </c>
      <c r="E1525" s="91">
        <v>1.0</v>
      </c>
      <c r="F1525" s="92">
        <v>109.98</v>
      </c>
      <c r="G1525" s="92">
        <v>109.98</v>
      </c>
      <c r="H1525" s="93"/>
      <c r="I1525" s="92"/>
      <c r="J1525" s="92"/>
      <c r="K1525" s="92"/>
    </row>
    <row r="1526" ht="12.75" customHeight="1">
      <c r="B1526" s="90"/>
      <c r="E1526" s="79"/>
      <c r="F1526" s="80"/>
      <c r="G1526" s="80"/>
      <c r="H1526" s="81"/>
      <c r="I1526" s="80"/>
      <c r="J1526" s="80"/>
      <c r="K1526" s="80"/>
    </row>
    <row r="1527" ht="12.75" customHeight="1">
      <c r="B1527" s="96" t="s">
        <v>5173</v>
      </c>
      <c r="C1527" s="90"/>
      <c r="D1527" s="89" t="s">
        <v>75</v>
      </c>
      <c r="E1527" s="91">
        <v>1.0</v>
      </c>
      <c r="F1527" s="80"/>
      <c r="G1527" s="135" t="s">
        <v>619</v>
      </c>
      <c r="H1527" s="159"/>
      <c r="I1527" s="135"/>
      <c r="J1527" s="135"/>
      <c r="K1527" s="135"/>
    </row>
    <row r="1528" ht="12.75" customHeight="1">
      <c r="B1528" s="90"/>
      <c r="E1528" s="79"/>
      <c r="F1528" s="80"/>
      <c r="G1528" s="80"/>
      <c r="H1528" s="81"/>
      <c r="I1528" s="80"/>
      <c r="J1528" s="80"/>
      <c r="K1528" s="80"/>
    </row>
    <row r="1529" ht="12.75" customHeight="1">
      <c r="B1529" s="96" t="s">
        <v>5174</v>
      </c>
      <c r="C1529" s="90"/>
      <c r="D1529" s="89" t="s">
        <v>75</v>
      </c>
      <c r="E1529" s="91">
        <v>1.0</v>
      </c>
      <c r="F1529" s="92">
        <v>545.21</v>
      </c>
      <c r="G1529" s="92">
        <v>545.21</v>
      </c>
      <c r="H1529" s="93"/>
      <c r="I1529" s="92"/>
      <c r="J1529" s="92"/>
      <c r="K1529" s="92"/>
    </row>
    <row r="1530" ht="12.75" customHeight="1">
      <c r="B1530" s="90"/>
      <c r="E1530" s="79"/>
      <c r="F1530" s="80"/>
      <c r="G1530" s="80"/>
      <c r="H1530" s="81"/>
      <c r="I1530" s="80"/>
      <c r="J1530" s="80"/>
      <c r="K1530" s="80"/>
    </row>
    <row r="1531" ht="12.75" customHeight="1">
      <c r="B1531" s="96" t="s">
        <v>5175</v>
      </c>
      <c r="C1531" s="90"/>
      <c r="D1531" s="89" t="s">
        <v>75</v>
      </c>
      <c r="E1531" s="91">
        <v>1.0</v>
      </c>
      <c r="F1531" s="92">
        <v>1468.47</v>
      </c>
      <c r="G1531" s="92">
        <v>1468.47</v>
      </c>
      <c r="H1531" s="93"/>
      <c r="I1531" s="92"/>
      <c r="J1531" s="92"/>
      <c r="K1531" s="92"/>
    </row>
    <row r="1532" ht="12.75" customHeight="1">
      <c r="B1532" s="90"/>
      <c r="E1532" s="79"/>
      <c r="F1532" s="80"/>
      <c r="G1532" s="80"/>
      <c r="H1532" s="81"/>
      <c r="I1532" s="80"/>
      <c r="J1532" s="80"/>
      <c r="K1532" s="80"/>
    </row>
    <row r="1533" ht="12.75" customHeight="1">
      <c r="B1533" s="96" t="s">
        <v>5176</v>
      </c>
      <c r="C1533" s="90"/>
      <c r="D1533" s="89" t="s">
        <v>75</v>
      </c>
      <c r="E1533" s="91">
        <v>1.0</v>
      </c>
      <c r="F1533" s="92">
        <v>1468.47</v>
      </c>
      <c r="G1533" s="92">
        <v>1468.47</v>
      </c>
      <c r="H1533" s="93"/>
      <c r="I1533" s="92"/>
      <c r="J1533" s="92"/>
      <c r="K1533" s="92"/>
    </row>
    <row r="1534" ht="12.75" customHeight="1">
      <c r="B1534" s="90"/>
      <c r="E1534" s="79"/>
      <c r="F1534" s="80"/>
      <c r="G1534" s="80"/>
      <c r="H1534" s="81"/>
      <c r="I1534" s="80"/>
      <c r="J1534" s="80"/>
      <c r="K1534" s="80"/>
    </row>
    <row r="1535" ht="12.75" customHeight="1">
      <c r="B1535" s="96" t="s">
        <v>5177</v>
      </c>
      <c r="C1535" s="90"/>
      <c r="D1535" s="89" t="s">
        <v>75</v>
      </c>
      <c r="E1535" s="91">
        <v>1.0</v>
      </c>
      <c r="F1535" s="92">
        <v>1468.47</v>
      </c>
      <c r="G1535" s="92">
        <v>1468.47</v>
      </c>
      <c r="H1535" s="93"/>
      <c r="I1535" s="92"/>
      <c r="J1535" s="92"/>
      <c r="K1535" s="92"/>
    </row>
    <row r="1536" ht="12.75" customHeight="1">
      <c r="B1536" s="90"/>
      <c r="E1536" s="79"/>
      <c r="F1536" s="80"/>
      <c r="G1536" s="80"/>
      <c r="H1536" s="81"/>
      <c r="I1536" s="80"/>
      <c r="J1536" s="80"/>
      <c r="K1536" s="80"/>
    </row>
    <row r="1537" ht="12.75" customHeight="1">
      <c r="B1537" s="96" t="s">
        <v>5178</v>
      </c>
      <c r="C1537" s="90"/>
      <c r="D1537" s="89" t="s">
        <v>75</v>
      </c>
      <c r="E1537" s="91">
        <v>1.0</v>
      </c>
      <c r="F1537" s="92">
        <v>1999.33</v>
      </c>
      <c r="G1537" s="92">
        <v>1999.33</v>
      </c>
      <c r="H1537" s="93"/>
      <c r="I1537" s="92"/>
      <c r="J1537" s="92"/>
      <c r="K1537" s="92"/>
    </row>
    <row r="1538" ht="12.75" customHeight="1">
      <c r="B1538" s="90"/>
      <c r="E1538" s="79"/>
      <c r="F1538" s="80"/>
      <c r="G1538" s="80"/>
      <c r="H1538" s="81"/>
      <c r="I1538" s="80"/>
      <c r="J1538" s="80"/>
      <c r="K1538" s="80"/>
    </row>
    <row r="1539" ht="12.75" customHeight="1">
      <c r="B1539" s="96" t="s">
        <v>5179</v>
      </c>
      <c r="C1539" s="90"/>
      <c r="D1539" s="89" t="s">
        <v>75</v>
      </c>
      <c r="E1539" s="91">
        <v>1.0</v>
      </c>
      <c r="F1539" s="92">
        <v>309.45</v>
      </c>
      <c r="G1539" s="92">
        <v>309.45</v>
      </c>
      <c r="H1539" s="93"/>
      <c r="I1539" s="92"/>
      <c r="J1539" s="92"/>
      <c r="K1539" s="92"/>
    </row>
    <row r="1540" ht="12.75" customHeight="1">
      <c r="B1540" s="90"/>
      <c r="E1540" s="79"/>
      <c r="F1540" s="80"/>
      <c r="G1540" s="80"/>
      <c r="H1540" s="81"/>
      <c r="I1540" s="80"/>
      <c r="J1540" s="80"/>
      <c r="K1540" s="80"/>
    </row>
    <row r="1541" ht="12.75" customHeight="1">
      <c r="B1541" s="96" t="s">
        <v>5180</v>
      </c>
      <c r="C1541" s="90"/>
      <c r="D1541" s="89" t="s">
        <v>75</v>
      </c>
      <c r="E1541" s="91">
        <v>1.0</v>
      </c>
      <c r="F1541" s="92">
        <v>301.65</v>
      </c>
      <c r="G1541" s="92">
        <v>301.65</v>
      </c>
      <c r="H1541" s="93"/>
      <c r="I1541" s="92"/>
      <c r="J1541" s="92"/>
      <c r="K1541" s="92"/>
    </row>
    <row r="1542" ht="12.75" customHeight="1">
      <c r="B1542" s="90"/>
      <c r="E1542" s="79"/>
      <c r="F1542" s="80"/>
      <c r="G1542" s="80"/>
      <c r="H1542" s="81"/>
      <c r="I1542" s="80"/>
      <c r="J1542" s="80"/>
      <c r="K1542" s="80"/>
    </row>
    <row r="1543" ht="12.75" customHeight="1">
      <c r="B1543" s="96" t="s">
        <v>5160</v>
      </c>
      <c r="C1543" s="90"/>
      <c r="D1543" s="89" t="s">
        <v>33</v>
      </c>
      <c r="E1543" s="91">
        <v>1.0</v>
      </c>
      <c r="F1543" s="92">
        <v>2167.42</v>
      </c>
      <c r="G1543" s="92">
        <v>2167.42</v>
      </c>
      <c r="H1543" s="93"/>
      <c r="I1543" s="92"/>
      <c r="J1543" s="92"/>
      <c r="K1543" s="92"/>
    </row>
    <row r="1544" ht="12.75" customHeight="1">
      <c r="B1544" s="90"/>
      <c r="E1544" s="79"/>
      <c r="F1544" s="80"/>
      <c r="G1544" s="80"/>
      <c r="H1544" s="81"/>
      <c r="I1544" s="80"/>
      <c r="J1544" s="80"/>
      <c r="K1544" s="80"/>
    </row>
    <row r="1545" ht="12.75" customHeight="1">
      <c r="A1545" s="89" t="s">
        <v>4275</v>
      </c>
      <c r="B1545" s="96" t="s">
        <v>5181</v>
      </c>
      <c r="C1545" s="90"/>
      <c r="E1545" s="79"/>
      <c r="F1545" s="80"/>
      <c r="G1545" s="80"/>
      <c r="H1545" s="81"/>
      <c r="I1545" s="80"/>
      <c r="J1545" s="80"/>
      <c r="K1545" s="80"/>
    </row>
    <row r="1546" ht="12.75" customHeight="1">
      <c r="B1546" s="90"/>
      <c r="E1546" s="79"/>
      <c r="F1546" s="80"/>
      <c r="G1546" s="80"/>
      <c r="H1546" s="81"/>
      <c r="I1546" s="80"/>
      <c r="J1546" s="80"/>
      <c r="K1546" s="80"/>
    </row>
    <row r="1547" ht="12.75" customHeight="1">
      <c r="B1547" s="96" t="s">
        <v>1222</v>
      </c>
      <c r="C1547" s="90"/>
      <c r="D1547" s="89" t="s">
        <v>75</v>
      </c>
      <c r="E1547" s="91">
        <v>1.0</v>
      </c>
      <c r="F1547" s="92">
        <v>8405.15</v>
      </c>
      <c r="G1547" s="92">
        <v>8405.15</v>
      </c>
      <c r="H1547" s="93"/>
      <c r="I1547" s="92"/>
      <c r="J1547" s="92"/>
      <c r="K1547" s="92"/>
    </row>
    <row r="1548" ht="12.75" customHeight="1">
      <c r="B1548" s="90"/>
      <c r="E1548" s="79"/>
      <c r="F1548" s="80"/>
      <c r="G1548" s="80"/>
      <c r="H1548" s="81"/>
      <c r="I1548" s="80"/>
      <c r="J1548" s="80"/>
      <c r="K1548" s="80"/>
    </row>
    <row r="1549" ht="12.75" customHeight="1">
      <c r="A1549" s="89" t="s">
        <v>1223</v>
      </c>
      <c r="B1549" s="96" t="s">
        <v>5182</v>
      </c>
      <c r="C1549" s="90"/>
      <c r="E1549" s="79"/>
      <c r="F1549" s="80"/>
      <c r="G1549" s="80"/>
      <c r="H1549" s="81"/>
      <c r="I1549" s="80"/>
      <c r="J1549" s="80"/>
      <c r="K1549" s="80"/>
    </row>
    <row r="1550" ht="12.75" customHeight="1">
      <c r="B1550" s="90"/>
      <c r="E1550" s="79"/>
      <c r="F1550" s="80"/>
      <c r="G1550" s="80"/>
      <c r="H1550" s="81"/>
      <c r="I1550" s="80"/>
      <c r="J1550" s="80"/>
      <c r="K1550" s="80"/>
    </row>
    <row r="1551" ht="12.75" customHeight="1">
      <c r="B1551" s="96" t="s">
        <v>1225</v>
      </c>
      <c r="C1551" s="90"/>
      <c r="D1551" s="89" t="s">
        <v>877</v>
      </c>
      <c r="E1551" s="91">
        <v>20.0</v>
      </c>
      <c r="F1551" s="92">
        <v>32.16</v>
      </c>
      <c r="G1551" s="92">
        <v>643.2</v>
      </c>
      <c r="H1551" s="93"/>
      <c r="I1551" s="92"/>
      <c r="J1551" s="92"/>
      <c r="K1551" s="92"/>
    </row>
    <row r="1552" ht="12.75" customHeight="1">
      <c r="B1552" s="90"/>
      <c r="E1552" s="79"/>
      <c r="F1552" s="80"/>
      <c r="G1552" s="80"/>
      <c r="H1552" s="81"/>
      <c r="I1552" s="80"/>
      <c r="J1552" s="80"/>
      <c r="K1552" s="80"/>
    </row>
    <row r="1553" ht="12.75" customHeight="1">
      <c r="B1553" s="96" t="s">
        <v>1226</v>
      </c>
      <c r="C1553" s="90"/>
      <c r="D1553" s="89" t="s">
        <v>877</v>
      </c>
      <c r="E1553" s="91">
        <v>22.0</v>
      </c>
      <c r="F1553" s="92">
        <v>48.58</v>
      </c>
      <c r="G1553" s="92">
        <v>1068.76</v>
      </c>
      <c r="H1553" s="93"/>
      <c r="I1553" s="92"/>
      <c r="J1553" s="92"/>
      <c r="K1553" s="92"/>
    </row>
    <row r="1554" ht="12.75" customHeight="1">
      <c r="B1554" s="90"/>
      <c r="E1554" s="79"/>
      <c r="F1554" s="80"/>
      <c r="G1554" s="80"/>
      <c r="H1554" s="81"/>
      <c r="I1554" s="80"/>
      <c r="J1554" s="80"/>
      <c r="K1554" s="80"/>
    </row>
    <row r="1555" ht="12.75" customHeight="1">
      <c r="A1555" s="89" t="s">
        <v>1227</v>
      </c>
      <c r="B1555" s="96" t="s">
        <v>5183</v>
      </c>
      <c r="C1555" s="90"/>
      <c r="E1555" s="79"/>
      <c r="F1555" s="80"/>
      <c r="G1555" s="80"/>
      <c r="H1555" s="81"/>
      <c r="I1555" s="80"/>
      <c r="J1555" s="80"/>
      <c r="K1555" s="80"/>
    </row>
    <row r="1556" ht="12.75" customHeight="1">
      <c r="B1556" s="90"/>
      <c r="E1556" s="79"/>
      <c r="F1556" s="80"/>
      <c r="G1556" s="80"/>
      <c r="H1556" s="81"/>
      <c r="I1556" s="80"/>
      <c r="J1556" s="80"/>
      <c r="K1556" s="80"/>
    </row>
    <row r="1557" ht="12.75" customHeight="1">
      <c r="B1557" s="96" t="s">
        <v>1229</v>
      </c>
      <c r="C1557" s="90"/>
      <c r="D1557" s="89" t="s">
        <v>877</v>
      </c>
      <c r="E1557" s="91">
        <v>236.0</v>
      </c>
      <c r="F1557" s="92">
        <v>26.07</v>
      </c>
      <c r="G1557" s="92">
        <v>6152.52</v>
      </c>
      <c r="H1557" s="93"/>
      <c r="I1557" s="92"/>
      <c r="J1557" s="92"/>
      <c r="K1557" s="92"/>
    </row>
    <row r="1558" ht="12.75" customHeight="1">
      <c r="B1558" s="90"/>
      <c r="E1558" s="79"/>
      <c r="F1558" s="80"/>
      <c r="G1558" s="80"/>
      <c r="H1558" s="81"/>
      <c r="I1558" s="80"/>
      <c r="J1558" s="80"/>
      <c r="K1558" s="80"/>
    </row>
    <row r="1559" ht="12.75" customHeight="1">
      <c r="A1559" s="89" t="s">
        <v>1230</v>
      </c>
      <c r="B1559" s="96" t="s">
        <v>5184</v>
      </c>
      <c r="C1559" s="90"/>
      <c r="E1559" s="79"/>
      <c r="F1559" s="80"/>
      <c r="G1559" s="80"/>
      <c r="H1559" s="81"/>
      <c r="I1559" s="80"/>
      <c r="J1559" s="80"/>
      <c r="K1559" s="80"/>
    </row>
    <row r="1560" ht="12.75" customHeight="1">
      <c r="B1560" s="90"/>
      <c r="E1560" s="79"/>
      <c r="F1560" s="80"/>
      <c r="G1560" s="80"/>
      <c r="H1560" s="81"/>
      <c r="I1560" s="80"/>
      <c r="J1560" s="80"/>
      <c r="K1560" s="80"/>
    </row>
    <row r="1561" ht="12.75" customHeight="1">
      <c r="B1561" s="96" t="s">
        <v>1232</v>
      </c>
      <c r="C1561" s="90"/>
      <c r="D1561" s="89" t="s">
        <v>877</v>
      </c>
      <c r="E1561" s="91">
        <v>8.0</v>
      </c>
      <c r="F1561" s="92">
        <v>19.89</v>
      </c>
      <c r="G1561" s="92">
        <v>159.12</v>
      </c>
      <c r="H1561" s="93"/>
      <c r="I1561" s="92"/>
      <c r="J1561" s="92"/>
      <c r="K1561" s="92"/>
    </row>
    <row r="1562" ht="12.75" customHeight="1">
      <c r="B1562" s="90"/>
      <c r="E1562" s="79"/>
      <c r="F1562" s="80"/>
      <c r="G1562" s="80"/>
      <c r="H1562" s="81"/>
      <c r="I1562" s="80"/>
      <c r="J1562" s="80"/>
      <c r="K1562" s="80"/>
    </row>
    <row r="1563" ht="12.75" customHeight="1">
      <c r="B1563" s="96" t="s">
        <v>1233</v>
      </c>
      <c r="C1563" s="90"/>
      <c r="D1563" s="89" t="s">
        <v>877</v>
      </c>
      <c r="E1563" s="91">
        <v>4.0</v>
      </c>
      <c r="F1563" s="92">
        <v>25.85</v>
      </c>
      <c r="G1563" s="92">
        <v>103.4</v>
      </c>
      <c r="H1563" s="93"/>
      <c r="I1563" s="92"/>
      <c r="J1563" s="92"/>
      <c r="K1563" s="92"/>
    </row>
    <row r="1564" ht="12.75" customHeight="1">
      <c r="B1564" s="90"/>
      <c r="E1564" s="79"/>
      <c r="F1564" s="80"/>
      <c r="G1564" s="80"/>
      <c r="H1564" s="81"/>
      <c r="I1564" s="80"/>
      <c r="J1564" s="80"/>
      <c r="K1564" s="80"/>
    </row>
    <row r="1565" ht="12.75" customHeight="1">
      <c r="A1565" s="89" t="s">
        <v>1234</v>
      </c>
      <c r="B1565" s="96" t="s">
        <v>5185</v>
      </c>
      <c r="C1565" s="90"/>
      <c r="D1565" s="89" t="s">
        <v>1236</v>
      </c>
      <c r="E1565" s="91">
        <v>110.0</v>
      </c>
      <c r="F1565" s="92">
        <v>83.09</v>
      </c>
      <c r="G1565" s="92">
        <v>9139.9</v>
      </c>
      <c r="H1565" s="93"/>
      <c r="I1565" s="92"/>
      <c r="J1565" s="92"/>
      <c r="K1565" s="92"/>
    </row>
    <row r="1566" ht="12.75" customHeight="1">
      <c r="B1566" s="90"/>
      <c r="E1566" s="79"/>
      <c r="F1566" s="80"/>
      <c r="G1566" s="80"/>
      <c r="H1566" s="81"/>
      <c r="I1566" s="80"/>
      <c r="J1566" s="80"/>
      <c r="K1566" s="80"/>
    </row>
    <row r="1567" ht="12.75" customHeight="1">
      <c r="A1567" s="89" t="s">
        <v>1237</v>
      </c>
      <c r="B1567" s="96" t="s">
        <v>5186</v>
      </c>
      <c r="C1567" s="90"/>
      <c r="E1567" s="79"/>
      <c r="F1567" s="80"/>
      <c r="G1567" s="80"/>
      <c r="H1567" s="81"/>
      <c r="I1567" s="80"/>
      <c r="J1567" s="80"/>
      <c r="K1567" s="80"/>
    </row>
    <row r="1568" ht="12.75" customHeight="1">
      <c r="B1568" s="90"/>
      <c r="E1568" s="79"/>
      <c r="F1568" s="80"/>
      <c r="G1568" s="80"/>
      <c r="H1568" s="81"/>
      <c r="I1568" s="80"/>
      <c r="J1568" s="80"/>
      <c r="K1568" s="80"/>
    </row>
    <row r="1569" ht="12.75" customHeight="1">
      <c r="B1569" s="96" t="s">
        <v>1239</v>
      </c>
      <c r="C1569" s="90"/>
      <c r="D1569" s="89" t="s">
        <v>75</v>
      </c>
      <c r="E1569" s="91">
        <v>1.0</v>
      </c>
      <c r="F1569" s="92">
        <v>6960.87</v>
      </c>
      <c r="G1569" s="92">
        <v>6960.87</v>
      </c>
      <c r="H1569" s="93"/>
      <c r="I1569" s="92"/>
      <c r="J1569" s="92"/>
      <c r="K1569" s="92"/>
    </row>
    <row r="1570" ht="12.75" customHeight="1">
      <c r="B1570" s="90"/>
      <c r="E1570" s="79"/>
      <c r="F1570" s="80"/>
      <c r="G1570" s="80"/>
      <c r="H1570" s="81"/>
      <c r="I1570" s="80"/>
      <c r="J1570" s="80"/>
      <c r="K1570" s="80"/>
    </row>
    <row r="1571" ht="12.75" customHeight="1">
      <c r="A1571" s="89" t="s">
        <v>1240</v>
      </c>
      <c r="B1571" s="96" t="s">
        <v>5187</v>
      </c>
      <c r="C1571" s="90"/>
      <c r="E1571" s="79"/>
      <c r="F1571" s="80"/>
      <c r="G1571" s="80"/>
      <c r="H1571" s="81"/>
      <c r="I1571" s="80"/>
      <c r="J1571" s="80"/>
      <c r="K1571" s="80"/>
    </row>
    <row r="1572" ht="12.75" customHeight="1">
      <c r="B1572" s="90"/>
      <c r="E1572" s="79"/>
      <c r="F1572" s="80"/>
      <c r="G1572" s="80"/>
      <c r="H1572" s="81"/>
      <c r="I1572" s="80"/>
      <c r="J1572" s="80"/>
      <c r="K1572" s="80"/>
    </row>
    <row r="1573" ht="12.75" customHeight="1">
      <c r="B1573" s="96" t="s">
        <v>1242</v>
      </c>
      <c r="C1573" s="90"/>
      <c r="D1573" s="89" t="s">
        <v>75</v>
      </c>
      <c r="E1573" s="91">
        <v>1.0</v>
      </c>
      <c r="F1573" s="92">
        <v>489.39</v>
      </c>
      <c r="G1573" s="92">
        <v>489.39</v>
      </c>
      <c r="H1573" s="93"/>
      <c r="I1573" s="92"/>
      <c r="J1573" s="92"/>
      <c r="K1573" s="92"/>
    </row>
    <row r="1574" ht="12.75" customHeight="1">
      <c r="B1574" s="90"/>
      <c r="E1574" s="79"/>
      <c r="F1574" s="80"/>
      <c r="G1574" s="80"/>
      <c r="H1574" s="81"/>
      <c r="I1574" s="80"/>
      <c r="J1574" s="80"/>
      <c r="K1574" s="80"/>
    </row>
    <row r="1575" ht="12.75" customHeight="1">
      <c r="A1575" s="89" t="s">
        <v>4283</v>
      </c>
      <c r="B1575" s="96" t="s">
        <v>5188</v>
      </c>
      <c r="C1575" s="90"/>
      <c r="D1575" s="89" t="s">
        <v>227</v>
      </c>
      <c r="E1575" s="91">
        <v>1.0</v>
      </c>
      <c r="F1575" s="92">
        <v>2623.54</v>
      </c>
      <c r="G1575" s="92">
        <v>2623.54</v>
      </c>
      <c r="H1575" s="93"/>
      <c r="I1575" s="92"/>
      <c r="J1575" s="92"/>
      <c r="K1575" s="92"/>
    </row>
    <row r="1576" ht="12.75" customHeight="1">
      <c r="B1576" s="90"/>
      <c r="E1576" s="79"/>
      <c r="F1576" s="80"/>
      <c r="G1576" s="80"/>
      <c r="H1576" s="81"/>
      <c r="I1576" s="80"/>
      <c r="J1576" s="80"/>
      <c r="K1576" s="80"/>
    </row>
    <row r="1577" ht="12.75" customHeight="1">
      <c r="A1577" s="89" t="s">
        <v>1244</v>
      </c>
      <c r="B1577" s="96" t="s">
        <v>5189</v>
      </c>
      <c r="C1577" s="90"/>
      <c r="E1577" s="79"/>
      <c r="F1577" s="80"/>
      <c r="G1577" s="80"/>
      <c r="H1577" s="81"/>
      <c r="I1577" s="80"/>
      <c r="J1577" s="80"/>
      <c r="K1577" s="80"/>
    </row>
    <row r="1578" ht="12.75" customHeight="1">
      <c r="B1578" s="90"/>
      <c r="E1578" s="79"/>
      <c r="F1578" s="80"/>
      <c r="G1578" s="80"/>
      <c r="H1578" s="81"/>
      <c r="I1578" s="80"/>
      <c r="J1578" s="80"/>
      <c r="K1578" s="80"/>
    </row>
    <row r="1579" ht="12.75" customHeight="1">
      <c r="B1579" s="96" t="s">
        <v>1246</v>
      </c>
      <c r="C1579" s="90"/>
      <c r="D1579" s="89" t="s">
        <v>75</v>
      </c>
      <c r="E1579" s="91">
        <v>10.0</v>
      </c>
      <c r="F1579" s="92">
        <v>32.5</v>
      </c>
      <c r="G1579" s="92">
        <v>325.0</v>
      </c>
      <c r="H1579" s="93"/>
      <c r="I1579" s="92"/>
      <c r="J1579" s="92"/>
      <c r="K1579" s="92"/>
    </row>
    <row r="1580" ht="12.75" customHeight="1">
      <c r="B1580" s="90"/>
      <c r="E1580" s="79"/>
      <c r="F1580" s="80"/>
      <c r="G1580" s="80"/>
      <c r="H1580" s="81"/>
      <c r="I1580" s="80"/>
      <c r="J1580" s="80"/>
      <c r="K1580" s="80"/>
    </row>
    <row r="1581" ht="12.75" customHeight="1">
      <c r="A1581" s="89" t="s">
        <v>1247</v>
      </c>
      <c r="B1581" s="96" t="s">
        <v>5190</v>
      </c>
      <c r="C1581" s="90"/>
      <c r="E1581" s="79"/>
      <c r="F1581" s="80"/>
      <c r="G1581" s="80"/>
      <c r="H1581" s="81"/>
      <c r="I1581" s="80"/>
      <c r="J1581" s="80"/>
      <c r="K1581" s="80"/>
    </row>
    <row r="1582" ht="12.75" customHeight="1">
      <c r="B1582" s="90"/>
      <c r="E1582" s="79"/>
      <c r="F1582" s="80"/>
      <c r="G1582" s="80"/>
      <c r="H1582" s="81"/>
      <c r="I1582" s="80"/>
      <c r="J1582" s="80"/>
      <c r="K1582" s="80"/>
    </row>
    <row r="1583" ht="12.75" customHeight="1">
      <c r="B1583" s="96" t="s">
        <v>1249</v>
      </c>
      <c r="C1583" s="90"/>
      <c r="D1583" s="89" t="s">
        <v>75</v>
      </c>
      <c r="E1583" s="91">
        <v>1.0</v>
      </c>
      <c r="F1583" s="92">
        <v>2201.61</v>
      </c>
      <c r="G1583" s="92">
        <v>2201.61</v>
      </c>
      <c r="H1583" s="93"/>
      <c r="I1583" s="92"/>
      <c r="J1583" s="92"/>
      <c r="K1583" s="92"/>
    </row>
    <row r="1584" ht="12.75" customHeight="1">
      <c r="B1584" s="90"/>
      <c r="E1584" s="79"/>
      <c r="F1584" s="80"/>
      <c r="G1584" s="80"/>
      <c r="H1584" s="81"/>
      <c r="I1584" s="80"/>
      <c r="J1584" s="80"/>
      <c r="K1584" s="80"/>
    </row>
    <row r="1585" ht="12.75" customHeight="1">
      <c r="B1585" s="96" t="s">
        <v>1250</v>
      </c>
      <c r="C1585" s="90"/>
      <c r="D1585" s="89" t="s">
        <v>75</v>
      </c>
      <c r="E1585" s="91">
        <v>1.0</v>
      </c>
      <c r="F1585" s="92">
        <v>4403.22</v>
      </c>
      <c r="G1585" s="92">
        <v>4403.22</v>
      </c>
      <c r="H1585" s="93"/>
      <c r="I1585" s="92"/>
      <c r="J1585" s="92"/>
      <c r="K1585" s="92"/>
    </row>
    <row r="1586" ht="12.75" customHeight="1">
      <c r="B1586" s="90"/>
      <c r="E1586" s="79"/>
      <c r="F1586" s="80"/>
      <c r="G1586" s="80"/>
      <c r="H1586" s="81"/>
      <c r="I1586" s="80"/>
      <c r="J1586" s="80"/>
      <c r="K1586" s="80"/>
    </row>
    <row r="1587" ht="12.75" customHeight="1">
      <c r="B1587" s="96" t="s">
        <v>1251</v>
      </c>
      <c r="C1587" s="90"/>
      <c r="D1587" s="89" t="s">
        <v>75</v>
      </c>
      <c r="E1587" s="91">
        <v>1.0</v>
      </c>
      <c r="F1587" s="92">
        <v>3331.12</v>
      </c>
      <c r="G1587" s="92">
        <v>3331.12</v>
      </c>
      <c r="H1587" s="93"/>
      <c r="I1587" s="92"/>
      <c r="J1587" s="92"/>
      <c r="K1587" s="92"/>
    </row>
    <row r="1588" ht="12.75" customHeight="1">
      <c r="B1588" s="90"/>
      <c r="E1588" s="79"/>
      <c r="F1588" s="80"/>
      <c r="G1588" s="80"/>
      <c r="H1588" s="81"/>
      <c r="I1588" s="80"/>
      <c r="J1588" s="80"/>
      <c r="K1588" s="80"/>
    </row>
    <row r="1589" ht="12.75" customHeight="1">
      <c r="B1589" s="96" t="s">
        <v>1252</v>
      </c>
      <c r="C1589" s="90"/>
      <c r="D1589" s="89" t="s">
        <v>75</v>
      </c>
      <c r="E1589" s="91">
        <v>3.0</v>
      </c>
      <c r="F1589" s="92">
        <v>2446.23</v>
      </c>
      <c r="G1589" s="92">
        <v>7338.69</v>
      </c>
      <c r="H1589" s="93"/>
      <c r="I1589" s="92"/>
      <c r="J1589" s="92"/>
      <c r="K1589" s="92"/>
    </row>
    <row r="1590" ht="12.75" customHeight="1">
      <c r="B1590" s="90"/>
      <c r="E1590" s="79"/>
      <c r="F1590" s="80"/>
      <c r="G1590" s="80"/>
      <c r="H1590" s="81"/>
      <c r="I1590" s="80"/>
      <c r="J1590" s="80"/>
      <c r="K1590" s="80"/>
    </row>
    <row r="1591" ht="12.75" customHeight="1">
      <c r="B1591" s="96" t="s">
        <v>1253</v>
      </c>
      <c r="C1591" s="90"/>
      <c r="D1591" s="89" t="s">
        <v>75</v>
      </c>
      <c r="E1591" s="91">
        <v>6.0</v>
      </c>
      <c r="F1591" s="92">
        <v>916.06</v>
      </c>
      <c r="G1591" s="92">
        <v>5496.36</v>
      </c>
      <c r="H1591" s="93"/>
      <c r="I1591" s="92"/>
      <c r="J1591" s="92"/>
      <c r="K1591" s="92"/>
    </row>
    <row r="1592" ht="12.75" customHeight="1">
      <c r="B1592" s="90"/>
      <c r="E1592" s="79"/>
      <c r="F1592" s="80"/>
      <c r="G1592" s="80"/>
      <c r="H1592" s="81"/>
      <c r="I1592" s="80"/>
      <c r="J1592" s="80"/>
      <c r="K1592" s="80"/>
    </row>
    <row r="1593" ht="12.75" customHeight="1">
      <c r="B1593" s="96" t="s">
        <v>5191</v>
      </c>
      <c r="C1593" s="90"/>
      <c r="D1593" s="89" t="s">
        <v>75</v>
      </c>
      <c r="E1593" s="91">
        <v>2.0</v>
      </c>
      <c r="F1593" s="92">
        <v>203.31</v>
      </c>
      <c r="G1593" s="92">
        <v>406.62</v>
      </c>
      <c r="H1593" s="93"/>
      <c r="I1593" s="92"/>
      <c r="J1593" s="92"/>
      <c r="K1593" s="92"/>
    </row>
    <row r="1594" ht="12.75" customHeight="1">
      <c r="B1594" s="90"/>
      <c r="E1594" s="79"/>
      <c r="F1594" s="80"/>
      <c r="G1594" s="80"/>
      <c r="H1594" s="81"/>
      <c r="I1594" s="80"/>
      <c r="J1594" s="80"/>
      <c r="K1594" s="80"/>
    </row>
    <row r="1595" ht="12.75" customHeight="1">
      <c r="B1595" s="96" t="s">
        <v>1255</v>
      </c>
      <c r="C1595" s="90"/>
      <c r="D1595" s="89" t="s">
        <v>75</v>
      </c>
      <c r="E1595" s="91">
        <v>2.0</v>
      </c>
      <c r="F1595" s="92">
        <v>203.31</v>
      </c>
      <c r="G1595" s="92">
        <v>406.62</v>
      </c>
      <c r="H1595" s="93"/>
      <c r="I1595" s="92"/>
      <c r="J1595" s="92"/>
      <c r="K1595" s="92"/>
    </row>
    <row r="1596" ht="12.75" customHeight="1">
      <c r="B1596" s="90"/>
      <c r="E1596" s="79"/>
      <c r="F1596" s="80"/>
      <c r="G1596" s="80"/>
      <c r="H1596" s="81"/>
      <c r="I1596" s="80"/>
      <c r="J1596" s="80"/>
      <c r="K1596" s="80"/>
    </row>
    <row r="1597" ht="12.75" customHeight="1">
      <c r="B1597" s="96" t="s">
        <v>5192</v>
      </c>
      <c r="C1597" s="90"/>
      <c r="D1597" s="89" t="s">
        <v>75</v>
      </c>
      <c r="E1597" s="91">
        <v>1.0</v>
      </c>
      <c r="F1597" s="92">
        <v>289.38</v>
      </c>
      <c r="G1597" s="92">
        <v>289.38</v>
      </c>
      <c r="H1597" s="93"/>
      <c r="I1597" s="92"/>
      <c r="J1597" s="92"/>
      <c r="K1597" s="92"/>
    </row>
    <row r="1598" ht="12.75" customHeight="1">
      <c r="B1598" s="90"/>
      <c r="E1598" s="79"/>
      <c r="F1598" s="80"/>
      <c r="G1598" s="80"/>
      <c r="H1598" s="81"/>
      <c r="I1598" s="80"/>
      <c r="J1598" s="80"/>
      <c r="K1598" s="80"/>
    </row>
    <row r="1599" ht="12.75" customHeight="1">
      <c r="B1599" s="96" t="s">
        <v>1257</v>
      </c>
      <c r="C1599" s="90"/>
      <c r="D1599" s="89" t="s">
        <v>75</v>
      </c>
      <c r="E1599" s="91">
        <v>1.0</v>
      </c>
      <c r="F1599" s="92">
        <v>289.38</v>
      </c>
      <c r="G1599" s="92">
        <v>289.38</v>
      </c>
      <c r="H1599" s="93"/>
      <c r="I1599" s="92"/>
      <c r="J1599" s="92"/>
      <c r="K1599" s="92"/>
    </row>
    <row r="1600" ht="12.75" customHeight="1">
      <c r="B1600" s="90"/>
      <c r="E1600" s="79"/>
      <c r="F1600" s="80"/>
      <c r="G1600" s="80"/>
      <c r="H1600" s="81"/>
      <c r="I1600" s="80"/>
      <c r="J1600" s="80"/>
      <c r="K1600" s="80"/>
    </row>
    <row r="1601" ht="12.75" customHeight="1">
      <c r="B1601" s="96" t="s">
        <v>1258</v>
      </c>
      <c r="C1601" s="90"/>
      <c r="D1601" s="89" t="s">
        <v>75</v>
      </c>
      <c r="E1601" s="91">
        <v>3.0</v>
      </c>
      <c r="F1601" s="92">
        <v>232.94</v>
      </c>
      <c r="G1601" s="92">
        <v>698.82</v>
      </c>
      <c r="H1601" s="93"/>
      <c r="I1601" s="92"/>
      <c r="J1601" s="92"/>
      <c r="K1601" s="92"/>
    </row>
    <row r="1602" ht="12.75" customHeight="1">
      <c r="B1602" s="90"/>
      <c r="E1602" s="79"/>
      <c r="F1602" s="80"/>
      <c r="G1602" s="80"/>
      <c r="H1602" s="81"/>
      <c r="I1602" s="80"/>
      <c r="J1602" s="80"/>
      <c r="K1602" s="80"/>
    </row>
    <row r="1603" ht="12.75" customHeight="1">
      <c r="B1603" s="96" t="s">
        <v>2883</v>
      </c>
      <c r="C1603" s="90"/>
      <c r="D1603" s="89" t="s">
        <v>75</v>
      </c>
      <c r="E1603" s="91">
        <v>1.0</v>
      </c>
      <c r="F1603" s="92">
        <v>133.33</v>
      </c>
      <c r="G1603" s="92">
        <v>133.33</v>
      </c>
      <c r="H1603" s="93"/>
      <c r="I1603" s="92"/>
      <c r="J1603" s="92"/>
      <c r="K1603" s="92"/>
    </row>
    <row r="1604" ht="12.75" customHeight="1">
      <c r="B1604" s="90"/>
      <c r="E1604" s="79"/>
      <c r="F1604" s="80"/>
      <c r="G1604" s="80"/>
      <c r="H1604" s="81"/>
      <c r="I1604" s="80"/>
      <c r="J1604" s="80"/>
      <c r="K1604" s="80"/>
    </row>
    <row r="1605" ht="12.75" customHeight="1">
      <c r="A1605" s="89" t="s">
        <v>1260</v>
      </c>
      <c r="B1605" s="96" t="s">
        <v>5193</v>
      </c>
      <c r="C1605" s="90"/>
      <c r="D1605" s="89" t="s">
        <v>33</v>
      </c>
      <c r="E1605" s="91">
        <v>1.0</v>
      </c>
      <c r="F1605" s="92">
        <v>2207.94</v>
      </c>
      <c r="G1605" s="92">
        <v>2207.94</v>
      </c>
      <c r="H1605" s="93"/>
      <c r="I1605" s="92"/>
      <c r="J1605" s="92"/>
      <c r="K1605" s="92"/>
    </row>
    <row r="1606" ht="12.75" customHeight="1">
      <c r="B1606" s="90"/>
      <c r="E1606" s="79"/>
      <c r="F1606" s="80"/>
      <c r="G1606" s="80"/>
      <c r="H1606" s="81"/>
      <c r="I1606" s="80"/>
      <c r="J1606" s="80"/>
      <c r="K1606" s="80"/>
    </row>
    <row r="1607" ht="12.75" customHeight="1">
      <c r="A1607" s="89" t="s">
        <v>1262</v>
      </c>
      <c r="B1607" s="96" t="s">
        <v>5194</v>
      </c>
      <c r="C1607" s="90"/>
      <c r="D1607" s="89" t="s">
        <v>227</v>
      </c>
      <c r="E1607" s="91">
        <v>1.0</v>
      </c>
      <c r="F1607" s="92">
        <v>2586.2</v>
      </c>
      <c r="G1607" s="92">
        <v>2586.2</v>
      </c>
      <c r="H1607" s="93"/>
      <c r="I1607" s="92"/>
      <c r="J1607" s="92"/>
      <c r="K1607" s="92"/>
    </row>
    <row r="1608" ht="12.75" customHeight="1">
      <c r="B1608" s="90"/>
      <c r="E1608" s="79"/>
      <c r="F1608" s="80"/>
      <c r="G1608" s="80"/>
      <c r="H1608" s="81"/>
      <c r="I1608" s="80"/>
      <c r="J1608" s="80"/>
      <c r="K1608" s="80"/>
    </row>
    <row r="1609" ht="12.75" customHeight="1">
      <c r="B1609" s="96" t="s">
        <v>5195</v>
      </c>
      <c r="C1609" s="90"/>
      <c r="D1609" s="89" t="s">
        <v>227</v>
      </c>
      <c r="E1609" s="91">
        <v>1.0</v>
      </c>
      <c r="F1609" s="92">
        <v>323.28</v>
      </c>
      <c r="G1609" s="92">
        <v>323.28</v>
      </c>
      <c r="H1609" s="93"/>
      <c r="I1609" s="92"/>
      <c r="J1609" s="92"/>
      <c r="K1609" s="92"/>
    </row>
    <row r="1610" ht="12.75" customHeight="1">
      <c r="B1610" s="90"/>
      <c r="E1610" s="79"/>
      <c r="F1610" s="80"/>
      <c r="G1610" s="80"/>
      <c r="H1610" s="81"/>
      <c r="I1610" s="80"/>
      <c r="J1610" s="80"/>
      <c r="K1610" s="80"/>
    </row>
    <row r="1611" ht="12.75" customHeight="1">
      <c r="B1611" s="96" t="s">
        <v>5196</v>
      </c>
      <c r="C1611" s="90"/>
      <c r="D1611" s="89" t="s">
        <v>227</v>
      </c>
      <c r="E1611" s="91">
        <v>1.0</v>
      </c>
      <c r="F1611" s="92">
        <v>370.78</v>
      </c>
      <c r="G1611" s="92">
        <v>370.78</v>
      </c>
      <c r="H1611" s="93"/>
      <c r="I1611" s="92"/>
      <c r="J1611" s="92"/>
      <c r="K1611" s="92"/>
    </row>
    <row r="1612" ht="12.75" customHeight="1">
      <c r="B1612" s="90"/>
      <c r="E1612" s="79"/>
      <c r="F1612" s="80"/>
      <c r="G1612" s="80"/>
      <c r="H1612" s="81"/>
      <c r="I1612" s="80"/>
      <c r="J1612" s="80"/>
      <c r="K1612" s="80"/>
    </row>
    <row r="1613" ht="12.75" customHeight="1">
      <c r="B1613" s="96" t="s">
        <v>5197</v>
      </c>
      <c r="C1613" s="90"/>
      <c r="D1613" s="89" t="s">
        <v>227</v>
      </c>
      <c r="E1613" s="91">
        <v>1.0</v>
      </c>
      <c r="F1613" s="92">
        <v>1962.85</v>
      </c>
      <c r="G1613" s="92">
        <v>1962.85</v>
      </c>
      <c r="H1613" s="93"/>
      <c r="I1613" s="92"/>
      <c r="J1613" s="92"/>
      <c r="K1613" s="92"/>
    </row>
    <row r="1614" ht="12.75" customHeight="1">
      <c r="B1614" s="90"/>
      <c r="E1614" s="79"/>
      <c r="F1614" s="80"/>
      <c r="G1614" s="80"/>
      <c r="H1614" s="81"/>
      <c r="I1614" s="80"/>
      <c r="J1614" s="80"/>
      <c r="K1614" s="80"/>
    </row>
    <row r="1615" ht="12.75" customHeight="1">
      <c r="A1615" s="162" t="s">
        <v>4225</v>
      </c>
      <c r="B1615" s="419" t="s">
        <v>5127</v>
      </c>
      <c r="C1615" s="161"/>
      <c r="D1615" s="160"/>
      <c r="E1615" s="415"/>
      <c r="F1615" s="416"/>
      <c r="G1615" s="164">
        <v>181241.0</v>
      </c>
      <c r="H1615" s="165">
        <f>G1615</f>
        <v>181241</v>
      </c>
      <c r="I1615" s="164"/>
      <c r="J1615" s="164"/>
      <c r="K1615" s="164"/>
    </row>
    <row r="1616" ht="12.75" customHeight="1">
      <c r="B1616" s="90"/>
      <c r="E1616" s="79"/>
      <c r="F1616" s="80"/>
      <c r="G1616" s="80"/>
      <c r="H1616" s="81"/>
      <c r="I1616" s="80"/>
      <c r="J1616" s="80"/>
      <c r="K1616" s="80"/>
    </row>
    <row r="1617" ht="12.75" customHeight="1">
      <c r="B1617" s="90"/>
      <c r="E1617" s="79"/>
      <c r="F1617" s="80"/>
      <c r="G1617" s="80"/>
      <c r="H1617" s="81"/>
      <c r="I1617" s="80"/>
      <c r="J1617" s="80"/>
      <c r="K1617" s="80"/>
    </row>
    <row r="1618" ht="12.75" customHeight="1">
      <c r="A1618" s="89" t="s">
        <v>4292</v>
      </c>
      <c r="B1618" s="96" t="s">
        <v>5198</v>
      </c>
      <c r="C1618" s="90"/>
      <c r="E1618" s="79"/>
      <c r="F1618" s="80"/>
      <c r="G1618" s="80"/>
      <c r="H1618" s="81"/>
      <c r="I1618" s="80"/>
      <c r="J1618" s="80"/>
      <c r="K1618" s="80"/>
    </row>
    <row r="1619" ht="12.75" customHeight="1">
      <c r="B1619" s="90"/>
      <c r="E1619" s="79"/>
      <c r="F1619" s="80"/>
      <c r="G1619" s="80"/>
      <c r="H1619" s="81"/>
      <c r="I1619" s="80"/>
      <c r="J1619" s="80"/>
      <c r="K1619" s="80"/>
    </row>
    <row r="1620" ht="12.75" customHeight="1">
      <c r="A1620" s="89" t="s">
        <v>1268</v>
      </c>
      <c r="B1620" s="96" t="s">
        <v>5199</v>
      </c>
      <c r="C1620" s="90"/>
      <c r="E1620" s="79"/>
      <c r="F1620" s="80"/>
      <c r="G1620" s="80"/>
      <c r="H1620" s="81"/>
      <c r="I1620" s="80"/>
      <c r="J1620" s="80"/>
      <c r="K1620" s="80"/>
    </row>
    <row r="1621" ht="12.75" customHeight="1">
      <c r="B1621" s="90"/>
      <c r="E1621" s="79"/>
      <c r="F1621" s="80"/>
      <c r="G1621" s="80"/>
      <c r="H1621" s="81"/>
      <c r="I1621" s="80"/>
      <c r="J1621" s="80"/>
      <c r="K1621" s="80"/>
    </row>
    <row r="1622" ht="12.75" customHeight="1">
      <c r="B1622" s="96" t="s">
        <v>5200</v>
      </c>
      <c r="C1622" s="90"/>
      <c r="D1622" s="89" t="s">
        <v>33</v>
      </c>
      <c r="E1622" s="91">
        <v>1.0</v>
      </c>
      <c r="F1622" s="92">
        <v>239.87</v>
      </c>
      <c r="G1622" s="92">
        <v>239.87</v>
      </c>
      <c r="H1622" s="93"/>
      <c r="I1622" s="92"/>
      <c r="J1622" s="92"/>
      <c r="K1622" s="92"/>
    </row>
    <row r="1623" ht="12.75" customHeight="1">
      <c r="B1623" s="90"/>
      <c r="E1623" s="79"/>
      <c r="F1623" s="80"/>
      <c r="G1623" s="80"/>
      <c r="H1623" s="81"/>
      <c r="I1623" s="80"/>
      <c r="J1623" s="80"/>
      <c r="K1623" s="80"/>
    </row>
    <row r="1624" ht="12.75" customHeight="1">
      <c r="B1624" s="96" t="s">
        <v>5201</v>
      </c>
      <c r="C1624" s="90"/>
      <c r="D1624" s="89" t="s">
        <v>75</v>
      </c>
      <c r="E1624" s="91">
        <v>1.0</v>
      </c>
      <c r="F1624" s="92">
        <v>118.16</v>
      </c>
      <c r="G1624" s="92">
        <v>118.16</v>
      </c>
      <c r="H1624" s="93"/>
      <c r="I1624" s="92"/>
      <c r="J1624" s="92"/>
      <c r="K1624" s="92"/>
    </row>
    <row r="1625" ht="12.75" customHeight="1">
      <c r="B1625" s="90"/>
      <c r="E1625" s="79"/>
      <c r="F1625" s="80"/>
      <c r="G1625" s="80"/>
      <c r="H1625" s="81"/>
      <c r="I1625" s="80"/>
      <c r="J1625" s="80"/>
      <c r="K1625" s="80"/>
    </row>
    <row r="1626" ht="12.75" customHeight="1">
      <c r="A1626" s="89" t="s">
        <v>1272</v>
      </c>
      <c r="B1626" s="96" t="s">
        <v>5202</v>
      </c>
      <c r="C1626" s="90"/>
      <c r="E1626" s="79"/>
      <c r="F1626" s="80"/>
      <c r="G1626" s="80"/>
      <c r="H1626" s="81"/>
      <c r="I1626" s="80"/>
      <c r="J1626" s="80"/>
      <c r="K1626" s="80"/>
    </row>
    <row r="1627" ht="12.75" customHeight="1">
      <c r="B1627" s="90"/>
      <c r="E1627" s="79"/>
      <c r="F1627" s="80"/>
      <c r="G1627" s="80"/>
      <c r="H1627" s="81"/>
      <c r="I1627" s="80"/>
      <c r="J1627" s="80"/>
      <c r="K1627" s="80"/>
    </row>
    <row r="1628" ht="12.75" customHeight="1">
      <c r="B1628" s="96" t="s">
        <v>5203</v>
      </c>
      <c r="C1628" s="90"/>
      <c r="D1628" s="89" t="s">
        <v>33</v>
      </c>
      <c r="E1628" s="91">
        <v>1.0</v>
      </c>
      <c r="F1628" s="92">
        <v>7118.5</v>
      </c>
      <c r="G1628" s="92">
        <v>7118.5</v>
      </c>
      <c r="H1628" s="93"/>
      <c r="I1628" s="92"/>
      <c r="J1628" s="92"/>
      <c r="K1628" s="92"/>
    </row>
    <row r="1629" ht="12.75" customHeight="1">
      <c r="B1629" s="90"/>
      <c r="E1629" s="79"/>
      <c r="F1629" s="80"/>
      <c r="G1629" s="80"/>
      <c r="H1629" s="81"/>
      <c r="I1629" s="80"/>
      <c r="J1629" s="80"/>
      <c r="K1629" s="80"/>
    </row>
    <row r="1630" ht="12.75" customHeight="1">
      <c r="B1630" s="96" t="s">
        <v>5204</v>
      </c>
      <c r="C1630" s="90"/>
      <c r="D1630" s="89" t="s">
        <v>33</v>
      </c>
      <c r="E1630" s="91">
        <v>1.0</v>
      </c>
      <c r="F1630" s="92">
        <v>5003.02</v>
      </c>
      <c r="G1630" s="92">
        <v>5003.02</v>
      </c>
      <c r="H1630" s="93"/>
      <c r="I1630" s="92"/>
      <c r="J1630" s="92"/>
      <c r="K1630" s="92"/>
    </row>
    <row r="1631" ht="12.75" customHeight="1">
      <c r="B1631" s="90"/>
      <c r="E1631" s="79"/>
      <c r="F1631" s="80"/>
      <c r="G1631" s="80"/>
      <c r="H1631" s="81"/>
      <c r="I1631" s="80"/>
      <c r="J1631" s="80"/>
      <c r="K1631" s="80"/>
    </row>
    <row r="1632" ht="12.75" customHeight="1">
      <c r="B1632" s="96" t="s">
        <v>5205</v>
      </c>
      <c r="C1632" s="90"/>
      <c r="D1632" s="89" t="s">
        <v>33</v>
      </c>
      <c r="E1632" s="91">
        <v>1.0</v>
      </c>
      <c r="F1632" s="92">
        <v>6463.88</v>
      </c>
      <c r="G1632" s="92">
        <v>6463.88</v>
      </c>
      <c r="H1632" s="93"/>
      <c r="I1632" s="92"/>
      <c r="J1632" s="92"/>
      <c r="K1632" s="92"/>
    </row>
    <row r="1633" ht="12.75" customHeight="1">
      <c r="B1633" s="90"/>
      <c r="E1633" s="79"/>
      <c r="F1633" s="80"/>
      <c r="G1633" s="80"/>
      <c r="H1633" s="81"/>
      <c r="I1633" s="80"/>
      <c r="J1633" s="80"/>
      <c r="K1633" s="80"/>
    </row>
    <row r="1634" ht="12.75" customHeight="1">
      <c r="B1634" s="96" t="s">
        <v>5206</v>
      </c>
      <c r="C1634" s="90"/>
      <c r="D1634" s="89" t="s">
        <v>33</v>
      </c>
      <c r="E1634" s="91">
        <v>1.0</v>
      </c>
      <c r="F1634" s="92">
        <v>2459.3</v>
      </c>
      <c r="G1634" s="92">
        <v>2459.3</v>
      </c>
      <c r="H1634" s="93"/>
      <c r="I1634" s="92"/>
      <c r="J1634" s="92"/>
      <c r="K1634" s="92"/>
    </row>
    <row r="1635" ht="12.75" customHeight="1">
      <c r="B1635" s="90"/>
      <c r="E1635" s="79"/>
      <c r="F1635" s="80"/>
      <c r="G1635" s="80"/>
      <c r="H1635" s="81"/>
      <c r="I1635" s="80"/>
      <c r="J1635" s="80"/>
      <c r="K1635" s="80"/>
    </row>
    <row r="1636" ht="12.75" customHeight="1">
      <c r="B1636" s="96" t="s">
        <v>5207</v>
      </c>
      <c r="C1636" s="90"/>
      <c r="D1636" s="89" t="s">
        <v>33</v>
      </c>
      <c r="E1636" s="91">
        <v>1.0</v>
      </c>
      <c r="F1636" s="92">
        <v>1514.74</v>
      </c>
      <c r="G1636" s="92">
        <v>1514.74</v>
      </c>
      <c r="H1636" s="93"/>
      <c r="I1636" s="92"/>
      <c r="J1636" s="92"/>
      <c r="K1636" s="92"/>
    </row>
    <row r="1637" ht="12.75" customHeight="1">
      <c r="B1637" s="90"/>
      <c r="E1637" s="79"/>
      <c r="F1637" s="80"/>
      <c r="G1637" s="80"/>
      <c r="H1637" s="81"/>
      <c r="I1637" s="80"/>
      <c r="J1637" s="80"/>
      <c r="K1637" s="80"/>
    </row>
    <row r="1638" ht="12.75" customHeight="1">
      <c r="B1638" s="96" t="s">
        <v>5208</v>
      </c>
      <c r="C1638" s="90"/>
      <c r="D1638" s="89" t="s">
        <v>33</v>
      </c>
      <c r="E1638" s="91">
        <v>1.0</v>
      </c>
      <c r="F1638" s="92">
        <v>1385.22</v>
      </c>
      <c r="G1638" s="92">
        <v>1385.22</v>
      </c>
      <c r="H1638" s="93"/>
      <c r="I1638" s="92"/>
      <c r="J1638" s="92"/>
      <c r="K1638" s="92"/>
    </row>
    <row r="1639" ht="12.75" customHeight="1">
      <c r="B1639" s="90"/>
      <c r="E1639" s="79"/>
      <c r="F1639" s="80"/>
      <c r="G1639" s="80"/>
      <c r="H1639" s="81"/>
      <c r="I1639" s="80"/>
      <c r="J1639" s="80"/>
      <c r="K1639" s="80"/>
    </row>
    <row r="1640" ht="12.75" customHeight="1">
      <c r="B1640" s="96" t="s">
        <v>5209</v>
      </c>
      <c r="C1640" s="90"/>
      <c r="D1640" s="89" t="s">
        <v>33</v>
      </c>
      <c r="E1640" s="91">
        <v>1.0</v>
      </c>
      <c r="F1640" s="80"/>
      <c r="G1640" s="92">
        <v>0.0</v>
      </c>
      <c r="H1640" s="93"/>
      <c r="I1640" s="92"/>
      <c r="J1640" s="92"/>
      <c r="K1640" s="92"/>
    </row>
    <row r="1641" ht="12.75" customHeight="1">
      <c r="B1641" s="90"/>
      <c r="E1641" s="79"/>
      <c r="F1641" s="80"/>
      <c r="G1641" s="80"/>
      <c r="H1641" s="81"/>
      <c r="I1641" s="80"/>
      <c r="J1641" s="80"/>
      <c r="K1641" s="80"/>
    </row>
    <row r="1642" ht="12.75" customHeight="1">
      <c r="B1642" s="96" t="s">
        <v>5210</v>
      </c>
      <c r="C1642" s="90"/>
      <c r="D1642" s="89" t="s">
        <v>33</v>
      </c>
      <c r="E1642" s="91">
        <v>1.0</v>
      </c>
      <c r="F1642" s="80"/>
      <c r="G1642" s="92">
        <v>0.0</v>
      </c>
      <c r="H1642" s="93"/>
      <c r="I1642" s="92"/>
      <c r="J1642" s="92"/>
      <c r="K1642" s="92"/>
    </row>
    <row r="1643" ht="12.75" customHeight="1">
      <c r="B1643" s="90"/>
      <c r="E1643" s="79"/>
      <c r="F1643" s="80"/>
      <c r="G1643" s="80"/>
      <c r="H1643" s="81"/>
      <c r="I1643" s="80"/>
      <c r="J1643" s="80"/>
      <c r="K1643" s="80"/>
    </row>
    <row r="1644" ht="12.75" customHeight="1">
      <c r="B1644" s="96" t="s">
        <v>5211</v>
      </c>
      <c r="C1644" s="90"/>
      <c r="D1644" s="89" t="s">
        <v>33</v>
      </c>
      <c r="E1644" s="91">
        <v>1.0</v>
      </c>
      <c r="F1644" s="80"/>
      <c r="G1644" s="92">
        <v>0.0</v>
      </c>
      <c r="H1644" s="93"/>
      <c r="I1644" s="92"/>
      <c r="J1644" s="92"/>
      <c r="K1644" s="92"/>
    </row>
    <row r="1645" ht="12.75" customHeight="1">
      <c r="B1645" s="90"/>
      <c r="E1645" s="79"/>
      <c r="F1645" s="80"/>
      <c r="G1645" s="80"/>
      <c r="H1645" s="81"/>
      <c r="I1645" s="80"/>
      <c r="J1645" s="80"/>
      <c r="K1645" s="80"/>
    </row>
    <row r="1646" ht="12.75" customHeight="1">
      <c r="B1646" s="96" t="s">
        <v>5212</v>
      </c>
      <c r="C1646" s="90"/>
      <c r="D1646" s="89" t="s">
        <v>33</v>
      </c>
      <c r="E1646" s="91">
        <v>1.0</v>
      </c>
      <c r="F1646" s="80"/>
      <c r="G1646" s="92">
        <v>0.0</v>
      </c>
      <c r="H1646" s="93"/>
      <c r="I1646" s="92"/>
      <c r="J1646" s="92"/>
      <c r="K1646" s="92"/>
    </row>
    <row r="1647" ht="12.75" customHeight="1">
      <c r="B1647" s="90"/>
      <c r="E1647" s="79"/>
      <c r="F1647" s="80"/>
      <c r="G1647" s="80"/>
      <c r="H1647" s="81"/>
      <c r="I1647" s="80"/>
      <c r="J1647" s="80"/>
      <c r="K1647" s="80"/>
    </row>
    <row r="1648" ht="12.75" customHeight="1">
      <c r="A1648" s="89" t="s">
        <v>1284</v>
      </c>
      <c r="B1648" s="96" t="s">
        <v>5213</v>
      </c>
      <c r="C1648" s="90"/>
      <c r="E1648" s="79"/>
      <c r="F1648" s="80"/>
      <c r="G1648" s="80"/>
      <c r="H1648" s="81"/>
      <c r="I1648" s="80"/>
      <c r="J1648" s="80"/>
      <c r="K1648" s="80"/>
    </row>
    <row r="1649" ht="12.75" customHeight="1">
      <c r="B1649" s="90"/>
      <c r="E1649" s="79"/>
      <c r="F1649" s="80"/>
      <c r="G1649" s="80"/>
      <c r="H1649" s="81"/>
      <c r="I1649" s="80"/>
      <c r="J1649" s="80"/>
      <c r="K1649" s="80"/>
    </row>
    <row r="1650" ht="12.75" customHeight="1">
      <c r="B1650" s="96" t="s">
        <v>5214</v>
      </c>
      <c r="C1650" s="90"/>
      <c r="E1650" s="79"/>
      <c r="F1650" s="80"/>
      <c r="G1650" s="80"/>
      <c r="H1650" s="81"/>
      <c r="I1650" s="80"/>
      <c r="J1650" s="80"/>
      <c r="K1650" s="80"/>
    </row>
    <row r="1651" ht="12.75" customHeight="1">
      <c r="B1651" s="90"/>
      <c r="E1651" s="79"/>
      <c r="F1651" s="80"/>
      <c r="G1651" s="80"/>
      <c r="H1651" s="81"/>
      <c r="I1651" s="80"/>
      <c r="J1651" s="80"/>
      <c r="K1651" s="80"/>
    </row>
    <row r="1652" ht="12.75" customHeight="1">
      <c r="B1652" s="96" t="s">
        <v>5215</v>
      </c>
      <c r="C1652" s="90"/>
      <c r="D1652" s="89" t="s">
        <v>161</v>
      </c>
      <c r="E1652" s="91">
        <v>34.0</v>
      </c>
      <c r="F1652" s="92">
        <v>24.09</v>
      </c>
      <c r="G1652" s="92">
        <v>819.06</v>
      </c>
      <c r="H1652" s="93"/>
      <c r="I1652" s="92"/>
      <c r="J1652" s="92"/>
      <c r="K1652" s="92"/>
    </row>
    <row r="1653" ht="12.75" customHeight="1">
      <c r="B1653" s="90"/>
      <c r="E1653" s="79"/>
      <c r="F1653" s="80"/>
      <c r="G1653" s="80"/>
      <c r="H1653" s="81"/>
      <c r="I1653" s="80"/>
      <c r="J1653" s="80"/>
      <c r="K1653" s="80"/>
    </row>
    <row r="1654" ht="12.75" customHeight="1">
      <c r="B1654" s="96" t="s">
        <v>4308</v>
      </c>
      <c r="C1654" s="90"/>
      <c r="D1654" s="89" t="s">
        <v>161</v>
      </c>
      <c r="E1654" s="91">
        <v>12.0</v>
      </c>
      <c r="F1654" s="92">
        <v>8.38</v>
      </c>
      <c r="G1654" s="92">
        <v>100.56</v>
      </c>
      <c r="H1654" s="93"/>
      <c r="I1654" s="92"/>
      <c r="J1654" s="92"/>
      <c r="K1654" s="92"/>
    </row>
    <row r="1655" ht="12.75" customHeight="1">
      <c r="B1655" s="90"/>
      <c r="E1655" s="79"/>
      <c r="F1655" s="80"/>
      <c r="G1655" s="80"/>
      <c r="H1655" s="81"/>
      <c r="I1655" s="80"/>
      <c r="J1655" s="80"/>
      <c r="K1655" s="80"/>
    </row>
    <row r="1656" ht="12.75" customHeight="1">
      <c r="B1656" s="96" t="s">
        <v>5216</v>
      </c>
      <c r="C1656" s="90"/>
      <c r="D1656" s="89" t="s">
        <v>161</v>
      </c>
      <c r="E1656" s="91">
        <v>33.0</v>
      </c>
      <c r="F1656" s="92">
        <v>6.28</v>
      </c>
      <c r="G1656" s="92">
        <v>207.24</v>
      </c>
      <c r="H1656" s="93"/>
      <c r="I1656" s="92"/>
      <c r="J1656" s="92"/>
      <c r="K1656" s="92"/>
    </row>
    <row r="1657" ht="12.75" customHeight="1">
      <c r="B1657" s="90"/>
      <c r="E1657" s="79"/>
      <c r="F1657" s="80"/>
      <c r="G1657" s="80"/>
      <c r="H1657" s="81"/>
      <c r="I1657" s="80"/>
      <c r="J1657" s="80"/>
      <c r="K1657" s="80"/>
    </row>
    <row r="1658" ht="12.75" customHeight="1">
      <c r="B1658" s="96" t="s">
        <v>4310</v>
      </c>
      <c r="C1658" s="90"/>
      <c r="D1658" s="89" t="s">
        <v>161</v>
      </c>
      <c r="E1658" s="91">
        <v>9.0</v>
      </c>
      <c r="F1658" s="92">
        <v>19.32</v>
      </c>
      <c r="G1658" s="92">
        <v>173.88</v>
      </c>
      <c r="H1658" s="93"/>
      <c r="I1658" s="92"/>
      <c r="J1658" s="92"/>
      <c r="K1658" s="92"/>
    </row>
    <row r="1659" ht="12.75" customHeight="1">
      <c r="B1659" s="90"/>
      <c r="E1659" s="79"/>
      <c r="F1659" s="80"/>
      <c r="G1659" s="80"/>
      <c r="H1659" s="81"/>
      <c r="I1659" s="80"/>
      <c r="J1659" s="80"/>
      <c r="K1659" s="80"/>
    </row>
    <row r="1660" ht="12.75" customHeight="1">
      <c r="B1660" s="96" t="s">
        <v>4311</v>
      </c>
      <c r="C1660" s="90"/>
      <c r="D1660" s="89" t="s">
        <v>161</v>
      </c>
      <c r="E1660" s="91">
        <v>59.0</v>
      </c>
      <c r="F1660" s="92">
        <v>8.38</v>
      </c>
      <c r="G1660" s="92">
        <v>494.42</v>
      </c>
      <c r="H1660" s="93"/>
      <c r="I1660" s="92"/>
      <c r="J1660" s="92"/>
      <c r="K1660" s="92"/>
    </row>
    <row r="1661" ht="12.75" customHeight="1">
      <c r="B1661" s="90"/>
      <c r="E1661" s="79"/>
      <c r="F1661" s="80"/>
      <c r="G1661" s="80"/>
      <c r="H1661" s="81"/>
      <c r="I1661" s="80"/>
      <c r="J1661" s="80"/>
      <c r="K1661" s="80"/>
    </row>
    <row r="1662" ht="12.75" customHeight="1">
      <c r="B1662" s="96" t="s">
        <v>4312</v>
      </c>
      <c r="C1662" s="90"/>
      <c r="D1662" s="89" t="s">
        <v>161</v>
      </c>
      <c r="E1662" s="91">
        <v>33.0</v>
      </c>
      <c r="F1662" s="92">
        <v>8.38</v>
      </c>
      <c r="G1662" s="92">
        <v>276.54</v>
      </c>
      <c r="H1662" s="93"/>
      <c r="I1662" s="92"/>
      <c r="J1662" s="92"/>
      <c r="K1662" s="92"/>
    </row>
    <row r="1663" ht="12.75" customHeight="1">
      <c r="B1663" s="90"/>
      <c r="E1663" s="79"/>
      <c r="F1663" s="80"/>
      <c r="G1663" s="80"/>
      <c r="H1663" s="81"/>
      <c r="I1663" s="80"/>
      <c r="J1663" s="80"/>
      <c r="K1663" s="80"/>
    </row>
    <row r="1664" ht="12.75" customHeight="1">
      <c r="B1664" s="96" t="s">
        <v>4313</v>
      </c>
      <c r="C1664" s="90"/>
      <c r="D1664" s="89" t="s">
        <v>161</v>
      </c>
      <c r="E1664" s="91">
        <v>30.0</v>
      </c>
      <c r="F1664" s="92">
        <v>8.38</v>
      </c>
      <c r="G1664" s="92">
        <v>251.4</v>
      </c>
      <c r="H1664" s="93"/>
      <c r="I1664" s="92"/>
      <c r="J1664" s="92"/>
      <c r="K1664" s="92"/>
    </row>
    <row r="1665" ht="12.75" customHeight="1">
      <c r="B1665" s="90"/>
      <c r="E1665" s="79"/>
      <c r="F1665" s="80"/>
      <c r="G1665" s="80"/>
      <c r="H1665" s="81"/>
      <c r="I1665" s="80"/>
      <c r="J1665" s="80"/>
      <c r="K1665" s="80"/>
    </row>
    <row r="1666" ht="12.75" customHeight="1">
      <c r="B1666" s="96" t="s">
        <v>4314</v>
      </c>
      <c r="C1666" s="90"/>
      <c r="D1666" s="89" t="s">
        <v>161</v>
      </c>
      <c r="E1666" s="91">
        <v>13.0</v>
      </c>
      <c r="F1666" s="92">
        <v>8.38</v>
      </c>
      <c r="G1666" s="92">
        <v>108.94</v>
      </c>
      <c r="H1666" s="93"/>
      <c r="I1666" s="92"/>
      <c r="J1666" s="92"/>
      <c r="K1666" s="92"/>
    </row>
    <row r="1667" ht="12.75" customHeight="1">
      <c r="B1667" s="90"/>
      <c r="E1667" s="79"/>
      <c r="F1667" s="80"/>
      <c r="G1667" s="80"/>
      <c r="H1667" s="81"/>
      <c r="I1667" s="80"/>
      <c r="J1667" s="80"/>
      <c r="K1667" s="80"/>
    </row>
    <row r="1668" ht="12.75" customHeight="1">
      <c r="B1668" s="96" t="s">
        <v>5217</v>
      </c>
      <c r="C1668" s="90"/>
      <c r="D1668" s="89" t="s">
        <v>161</v>
      </c>
      <c r="E1668" s="91">
        <v>35.0</v>
      </c>
      <c r="F1668" s="92">
        <v>8.38</v>
      </c>
      <c r="G1668" s="92">
        <v>293.3</v>
      </c>
      <c r="H1668" s="93"/>
      <c r="I1668" s="92"/>
      <c r="J1668" s="92"/>
      <c r="K1668" s="92"/>
    </row>
    <row r="1669" ht="12.75" customHeight="1">
      <c r="B1669" s="90"/>
      <c r="E1669" s="79"/>
      <c r="F1669" s="80"/>
      <c r="G1669" s="80"/>
      <c r="H1669" s="81"/>
      <c r="I1669" s="80"/>
      <c r="J1669" s="80"/>
      <c r="K1669" s="80"/>
    </row>
    <row r="1670" ht="12.75" customHeight="1">
      <c r="B1670" s="96" t="s">
        <v>5218</v>
      </c>
      <c r="C1670" s="90"/>
      <c r="D1670" s="89" t="s">
        <v>161</v>
      </c>
      <c r="E1670" s="91">
        <v>30.0</v>
      </c>
      <c r="F1670" s="92">
        <v>8.38</v>
      </c>
      <c r="G1670" s="92">
        <v>251.4</v>
      </c>
      <c r="H1670" s="93"/>
      <c r="I1670" s="92"/>
      <c r="J1670" s="92"/>
      <c r="K1670" s="92"/>
    </row>
    <row r="1671" ht="12.75" customHeight="1">
      <c r="B1671" s="90"/>
      <c r="E1671" s="79"/>
      <c r="F1671" s="80"/>
      <c r="G1671" s="80"/>
      <c r="H1671" s="81"/>
      <c r="I1671" s="80"/>
      <c r="J1671" s="80"/>
      <c r="K1671" s="80"/>
    </row>
    <row r="1672" ht="12.75" customHeight="1">
      <c r="B1672" s="96" t="s">
        <v>5219</v>
      </c>
      <c r="C1672" s="90"/>
      <c r="D1672" s="89" t="s">
        <v>161</v>
      </c>
      <c r="E1672" s="91">
        <v>10.0</v>
      </c>
      <c r="F1672" s="92">
        <v>13.11</v>
      </c>
      <c r="G1672" s="92">
        <v>131.1</v>
      </c>
      <c r="H1672" s="93"/>
      <c r="I1672" s="92"/>
      <c r="J1672" s="92"/>
      <c r="K1672" s="92"/>
    </row>
    <row r="1673" ht="12.75" customHeight="1">
      <c r="B1673" s="90"/>
      <c r="E1673" s="79"/>
      <c r="F1673" s="80"/>
      <c r="G1673" s="80"/>
      <c r="H1673" s="81"/>
      <c r="I1673" s="80"/>
      <c r="J1673" s="80"/>
      <c r="K1673" s="80"/>
    </row>
    <row r="1674" ht="12.75" customHeight="1">
      <c r="B1674" s="96" t="s">
        <v>5220</v>
      </c>
      <c r="C1674" s="90"/>
      <c r="D1674" s="89" t="s">
        <v>161</v>
      </c>
      <c r="E1674" s="91">
        <v>10.0</v>
      </c>
      <c r="F1674" s="92">
        <v>6.28</v>
      </c>
      <c r="G1674" s="92">
        <v>62.8</v>
      </c>
      <c r="H1674" s="93"/>
      <c r="I1674" s="92"/>
      <c r="J1674" s="92"/>
      <c r="K1674" s="92"/>
    </row>
    <row r="1675" ht="12.75" customHeight="1">
      <c r="B1675" s="90"/>
      <c r="E1675" s="79"/>
      <c r="F1675" s="80"/>
      <c r="G1675" s="80"/>
      <c r="H1675" s="81"/>
      <c r="I1675" s="80"/>
      <c r="J1675" s="80"/>
      <c r="K1675" s="80"/>
    </row>
    <row r="1676" ht="12.75" customHeight="1">
      <c r="B1676" s="96" t="s">
        <v>5221</v>
      </c>
      <c r="C1676" s="90"/>
      <c r="D1676" s="89" t="s">
        <v>161</v>
      </c>
      <c r="E1676" s="91">
        <v>10.0</v>
      </c>
      <c r="F1676" s="92">
        <v>4.22</v>
      </c>
      <c r="G1676" s="92">
        <v>42.2</v>
      </c>
      <c r="H1676" s="93"/>
      <c r="I1676" s="92"/>
      <c r="J1676" s="92"/>
      <c r="K1676" s="92"/>
    </row>
    <row r="1677" ht="12.75" customHeight="1">
      <c r="B1677" s="90"/>
      <c r="E1677" s="79"/>
      <c r="F1677" s="80"/>
      <c r="G1677" s="80"/>
      <c r="H1677" s="81"/>
      <c r="I1677" s="80"/>
      <c r="J1677" s="80"/>
      <c r="K1677" s="80"/>
    </row>
    <row r="1678" ht="12.75" customHeight="1">
      <c r="B1678" s="96" t="s">
        <v>5222</v>
      </c>
      <c r="C1678" s="90"/>
      <c r="D1678" s="89" t="s">
        <v>161</v>
      </c>
      <c r="E1678" s="91">
        <v>10.0</v>
      </c>
      <c r="F1678" s="92">
        <v>8.38</v>
      </c>
      <c r="G1678" s="92">
        <v>83.8</v>
      </c>
      <c r="H1678" s="93"/>
      <c r="I1678" s="92"/>
      <c r="J1678" s="92"/>
      <c r="K1678" s="92"/>
    </row>
    <row r="1679" ht="12.75" customHeight="1">
      <c r="B1679" s="90"/>
      <c r="E1679" s="79"/>
      <c r="F1679" s="80"/>
      <c r="G1679" s="80"/>
      <c r="H1679" s="81"/>
      <c r="I1679" s="80"/>
      <c r="J1679" s="80"/>
      <c r="K1679" s="80"/>
    </row>
    <row r="1680" ht="12.75" customHeight="1">
      <c r="B1680" s="96" t="s">
        <v>5223</v>
      </c>
      <c r="C1680" s="90"/>
      <c r="D1680" s="89" t="s">
        <v>161</v>
      </c>
      <c r="E1680" s="91">
        <v>13.0</v>
      </c>
      <c r="F1680" s="92">
        <v>6.28</v>
      </c>
      <c r="G1680" s="92">
        <v>81.64</v>
      </c>
      <c r="H1680" s="93"/>
      <c r="I1680" s="92"/>
      <c r="J1680" s="92"/>
      <c r="K1680" s="92"/>
    </row>
    <row r="1681" ht="12.75" customHeight="1">
      <c r="B1681" s="90"/>
      <c r="E1681" s="79"/>
      <c r="F1681" s="80"/>
      <c r="G1681" s="80"/>
      <c r="H1681" s="81"/>
      <c r="I1681" s="80"/>
      <c r="J1681" s="80"/>
      <c r="K1681" s="80"/>
    </row>
    <row r="1682" ht="12.75" customHeight="1">
      <c r="B1682" s="96" t="s">
        <v>5224</v>
      </c>
      <c r="C1682" s="90"/>
      <c r="D1682" s="89" t="s">
        <v>161</v>
      </c>
      <c r="E1682" s="91">
        <v>10.0</v>
      </c>
      <c r="F1682" s="92">
        <v>4.22</v>
      </c>
      <c r="G1682" s="92">
        <v>42.2</v>
      </c>
      <c r="H1682" s="93"/>
      <c r="I1682" s="92"/>
      <c r="J1682" s="92"/>
      <c r="K1682" s="92"/>
    </row>
    <row r="1683" ht="12.75" customHeight="1">
      <c r="B1683" s="90"/>
      <c r="E1683" s="79"/>
      <c r="F1683" s="80"/>
      <c r="G1683" s="80"/>
      <c r="H1683" s="81"/>
      <c r="I1683" s="80"/>
      <c r="J1683" s="80"/>
      <c r="K1683" s="80"/>
    </row>
    <row r="1684" ht="12.75" customHeight="1">
      <c r="B1684" s="96" t="s">
        <v>5225</v>
      </c>
      <c r="C1684" s="90"/>
      <c r="D1684" s="89" t="s">
        <v>161</v>
      </c>
      <c r="E1684" s="91">
        <v>13.0</v>
      </c>
      <c r="F1684" s="92">
        <v>6.28</v>
      </c>
      <c r="G1684" s="92">
        <v>81.64</v>
      </c>
      <c r="H1684" s="93"/>
      <c r="I1684" s="92"/>
      <c r="J1684" s="92"/>
      <c r="K1684" s="92"/>
    </row>
    <row r="1685" ht="12.75" customHeight="1">
      <c r="B1685" s="90"/>
      <c r="E1685" s="79"/>
      <c r="F1685" s="80"/>
      <c r="G1685" s="80"/>
      <c r="H1685" s="81"/>
      <c r="I1685" s="80"/>
      <c r="J1685" s="80"/>
      <c r="K1685" s="80"/>
    </row>
    <row r="1686" ht="12.75" customHeight="1">
      <c r="B1686" s="96" t="s">
        <v>5226</v>
      </c>
      <c r="C1686" s="90"/>
      <c r="D1686" s="89" t="s">
        <v>161</v>
      </c>
      <c r="E1686" s="91">
        <v>13.0</v>
      </c>
      <c r="F1686" s="92">
        <v>6.28</v>
      </c>
      <c r="G1686" s="92">
        <v>81.64</v>
      </c>
      <c r="H1686" s="93"/>
      <c r="I1686" s="92"/>
      <c r="J1686" s="92"/>
      <c r="K1686" s="92"/>
    </row>
    <row r="1687" ht="12.75" customHeight="1">
      <c r="B1687" s="90"/>
      <c r="E1687" s="79"/>
      <c r="F1687" s="80"/>
      <c r="G1687" s="80"/>
      <c r="H1687" s="81"/>
      <c r="I1687" s="80"/>
      <c r="J1687" s="80"/>
      <c r="K1687" s="80"/>
    </row>
    <row r="1688" ht="12.75" customHeight="1">
      <c r="B1688" s="96" t="s">
        <v>5227</v>
      </c>
      <c r="C1688" s="90"/>
      <c r="D1688" s="89" t="s">
        <v>161</v>
      </c>
      <c r="E1688" s="91">
        <v>13.0</v>
      </c>
      <c r="F1688" s="92">
        <v>6.28</v>
      </c>
      <c r="G1688" s="92">
        <v>81.64</v>
      </c>
      <c r="H1688" s="93"/>
      <c r="I1688" s="92"/>
      <c r="J1688" s="92"/>
      <c r="K1688" s="92"/>
    </row>
    <row r="1689" ht="12.75" customHeight="1">
      <c r="B1689" s="90"/>
      <c r="E1689" s="79"/>
      <c r="F1689" s="80"/>
      <c r="G1689" s="80"/>
      <c r="H1689" s="81"/>
      <c r="I1689" s="80"/>
      <c r="J1689" s="80"/>
      <c r="K1689" s="80"/>
    </row>
    <row r="1690" ht="12.75" customHeight="1">
      <c r="B1690" s="96" t="s">
        <v>5228</v>
      </c>
      <c r="C1690" s="90"/>
      <c r="D1690" s="89" t="s">
        <v>161</v>
      </c>
      <c r="E1690" s="91">
        <v>13.0</v>
      </c>
      <c r="F1690" s="92">
        <v>6.28</v>
      </c>
      <c r="G1690" s="92">
        <v>81.64</v>
      </c>
      <c r="H1690" s="93"/>
      <c r="I1690" s="92"/>
      <c r="J1690" s="92"/>
      <c r="K1690" s="92"/>
    </row>
    <row r="1691" ht="12.75" customHeight="1">
      <c r="B1691" s="90"/>
      <c r="E1691" s="79"/>
      <c r="F1691" s="80"/>
      <c r="G1691" s="80"/>
      <c r="H1691" s="81"/>
      <c r="I1691" s="80"/>
      <c r="J1691" s="80"/>
      <c r="K1691" s="80"/>
    </row>
    <row r="1692" ht="12.75" customHeight="1">
      <c r="B1692" s="96" t="s">
        <v>5119</v>
      </c>
      <c r="C1692" s="90"/>
      <c r="E1692" s="79"/>
      <c r="F1692" s="80"/>
      <c r="G1692" s="80"/>
      <c r="H1692" s="81"/>
      <c r="I1692" s="80"/>
      <c r="J1692" s="80"/>
      <c r="K1692" s="80"/>
    </row>
    <row r="1693" ht="12.75" customHeight="1">
      <c r="B1693" s="90"/>
      <c r="E1693" s="79"/>
      <c r="F1693" s="80"/>
      <c r="G1693" s="80"/>
      <c r="H1693" s="81"/>
      <c r="I1693" s="80"/>
      <c r="J1693" s="80"/>
      <c r="K1693" s="80"/>
    </row>
    <row r="1694" ht="12.75" customHeight="1">
      <c r="B1694" s="96" t="s">
        <v>5229</v>
      </c>
      <c r="C1694" s="90"/>
      <c r="D1694" s="89" t="s">
        <v>161</v>
      </c>
      <c r="E1694" s="91">
        <v>7.0</v>
      </c>
      <c r="F1694" s="92">
        <v>6.54</v>
      </c>
      <c r="G1694" s="92">
        <v>45.78</v>
      </c>
      <c r="H1694" s="93"/>
      <c r="I1694" s="92"/>
      <c r="J1694" s="92"/>
      <c r="K1694" s="92"/>
    </row>
    <row r="1695" ht="12.75" customHeight="1">
      <c r="B1695" s="90"/>
      <c r="E1695" s="79"/>
      <c r="F1695" s="80"/>
      <c r="G1695" s="80"/>
      <c r="H1695" s="81"/>
      <c r="I1695" s="80"/>
      <c r="J1695" s="80"/>
      <c r="K1695" s="80"/>
    </row>
    <row r="1696" ht="12.75" customHeight="1">
      <c r="B1696" s="96" t="s">
        <v>5230</v>
      </c>
      <c r="C1696" s="90"/>
      <c r="D1696" s="89" t="s">
        <v>161</v>
      </c>
      <c r="E1696" s="91">
        <v>550.0</v>
      </c>
      <c r="F1696" s="92">
        <v>4.05</v>
      </c>
      <c r="G1696" s="92">
        <v>2227.5</v>
      </c>
      <c r="H1696" s="93"/>
      <c r="I1696" s="92"/>
      <c r="J1696" s="92"/>
      <c r="K1696" s="92"/>
    </row>
    <row r="1697" ht="12.75" customHeight="1">
      <c r="B1697" s="90"/>
      <c r="E1697" s="79"/>
      <c r="F1697" s="80"/>
      <c r="G1697" s="80"/>
      <c r="H1697" s="81"/>
      <c r="I1697" s="80"/>
      <c r="J1697" s="80"/>
      <c r="K1697" s="80"/>
    </row>
    <row r="1698" ht="12.75" customHeight="1">
      <c r="B1698" s="96" t="s">
        <v>5231</v>
      </c>
      <c r="C1698" s="90"/>
      <c r="D1698" s="89" t="s">
        <v>161</v>
      </c>
      <c r="E1698" s="91">
        <v>64.0</v>
      </c>
      <c r="F1698" s="92">
        <v>3.72</v>
      </c>
      <c r="G1698" s="92">
        <v>238.08</v>
      </c>
      <c r="H1698" s="93"/>
      <c r="I1698" s="92"/>
      <c r="J1698" s="92"/>
      <c r="K1698" s="92"/>
    </row>
    <row r="1699" ht="12.75" customHeight="1">
      <c r="B1699" s="90"/>
      <c r="E1699" s="79"/>
      <c r="F1699" s="80"/>
      <c r="G1699" s="80"/>
      <c r="H1699" s="81"/>
      <c r="I1699" s="80"/>
      <c r="J1699" s="80"/>
      <c r="K1699" s="80"/>
    </row>
    <row r="1700" ht="12.75" customHeight="1">
      <c r="B1700" s="96" t="s">
        <v>5232</v>
      </c>
      <c r="C1700" s="90"/>
      <c r="D1700" s="89" t="s">
        <v>161</v>
      </c>
      <c r="E1700" s="91">
        <v>169.0</v>
      </c>
      <c r="F1700" s="92">
        <v>2.66</v>
      </c>
      <c r="G1700" s="92">
        <v>449.54</v>
      </c>
      <c r="H1700" s="93"/>
      <c r="I1700" s="92"/>
      <c r="J1700" s="92"/>
      <c r="K1700" s="92"/>
    </row>
    <row r="1701" ht="12.75" customHeight="1">
      <c r="B1701" s="90"/>
      <c r="E1701" s="79"/>
      <c r="F1701" s="80"/>
      <c r="G1701" s="80"/>
      <c r="H1701" s="81"/>
      <c r="I1701" s="80"/>
      <c r="J1701" s="80"/>
      <c r="K1701" s="80"/>
    </row>
    <row r="1702" ht="12.75" customHeight="1">
      <c r="B1702" s="96" t="s">
        <v>5233</v>
      </c>
      <c r="C1702" s="90"/>
      <c r="D1702" s="89" t="s">
        <v>161</v>
      </c>
      <c r="E1702" s="91">
        <v>98.0</v>
      </c>
      <c r="F1702" s="92">
        <v>2.24</v>
      </c>
      <c r="G1702" s="92">
        <v>219.52</v>
      </c>
      <c r="H1702" s="93"/>
      <c r="I1702" s="92"/>
      <c r="J1702" s="92"/>
      <c r="K1702" s="92"/>
    </row>
    <row r="1703" ht="12.75" customHeight="1">
      <c r="B1703" s="90"/>
      <c r="E1703" s="79"/>
      <c r="F1703" s="80"/>
      <c r="G1703" s="80"/>
      <c r="H1703" s="81"/>
      <c r="I1703" s="80"/>
      <c r="J1703" s="80"/>
      <c r="K1703" s="80"/>
    </row>
    <row r="1704" ht="12.75" customHeight="1">
      <c r="B1704" s="96" t="s">
        <v>5234</v>
      </c>
      <c r="C1704" s="90"/>
      <c r="D1704" s="89" t="s">
        <v>161</v>
      </c>
      <c r="E1704" s="91">
        <v>25.0</v>
      </c>
      <c r="F1704" s="92">
        <v>1.81</v>
      </c>
      <c r="G1704" s="92">
        <v>45.25</v>
      </c>
      <c r="H1704" s="93"/>
      <c r="I1704" s="92"/>
      <c r="J1704" s="92"/>
      <c r="K1704" s="92"/>
    </row>
    <row r="1705" ht="12.75" customHeight="1">
      <c r="B1705" s="90"/>
      <c r="E1705" s="79"/>
      <c r="F1705" s="80"/>
      <c r="G1705" s="80"/>
      <c r="H1705" s="81"/>
      <c r="I1705" s="80"/>
      <c r="J1705" s="80"/>
      <c r="K1705" s="80"/>
    </row>
    <row r="1706" ht="12.75" customHeight="1">
      <c r="B1706" s="96" t="s">
        <v>5235</v>
      </c>
      <c r="C1706" s="90"/>
      <c r="D1706" s="89" t="s">
        <v>161</v>
      </c>
      <c r="E1706" s="91">
        <v>75.0</v>
      </c>
      <c r="F1706" s="92">
        <v>2.84</v>
      </c>
      <c r="G1706" s="92">
        <v>213.0</v>
      </c>
      <c r="H1706" s="93"/>
      <c r="I1706" s="92"/>
      <c r="J1706" s="92"/>
      <c r="K1706" s="92"/>
    </row>
    <row r="1707" ht="12.75" customHeight="1">
      <c r="B1707" s="90"/>
      <c r="E1707" s="79"/>
      <c r="F1707" s="80"/>
      <c r="G1707" s="80"/>
      <c r="H1707" s="81"/>
      <c r="I1707" s="80"/>
      <c r="J1707" s="80"/>
      <c r="K1707" s="80"/>
    </row>
    <row r="1708" ht="12.75" customHeight="1">
      <c r="B1708" s="96" t="s">
        <v>5122</v>
      </c>
      <c r="C1708" s="90"/>
      <c r="E1708" s="79"/>
      <c r="F1708" s="80"/>
      <c r="G1708" s="80"/>
      <c r="H1708" s="81"/>
      <c r="I1708" s="80"/>
      <c r="J1708" s="80"/>
      <c r="K1708" s="80"/>
    </row>
    <row r="1709" ht="12.75" customHeight="1">
      <c r="B1709" s="90"/>
      <c r="E1709" s="79"/>
      <c r="F1709" s="80"/>
      <c r="G1709" s="80"/>
      <c r="H1709" s="81"/>
      <c r="I1709" s="80"/>
      <c r="J1709" s="80"/>
      <c r="K1709" s="80"/>
    </row>
    <row r="1710" ht="12.75" customHeight="1">
      <c r="B1710" s="96" t="s">
        <v>5236</v>
      </c>
      <c r="C1710" s="90"/>
      <c r="D1710" s="89" t="s">
        <v>75</v>
      </c>
      <c r="E1710" s="91">
        <v>13.0</v>
      </c>
      <c r="F1710" s="92">
        <v>193.97</v>
      </c>
      <c r="G1710" s="92">
        <v>2521.61</v>
      </c>
      <c r="H1710" s="93"/>
      <c r="I1710" s="92"/>
      <c r="J1710" s="92"/>
      <c r="K1710" s="92"/>
    </row>
    <row r="1711" ht="12.75" customHeight="1">
      <c r="B1711" s="90"/>
      <c r="E1711" s="79"/>
      <c r="F1711" s="80"/>
      <c r="G1711" s="80"/>
      <c r="H1711" s="81"/>
      <c r="I1711" s="80"/>
      <c r="J1711" s="80"/>
      <c r="K1711" s="80"/>
    </row>
    <row r="1712" ht="12.75" customHeight="1">
      <c r="A1712" s="89" t="s">
        <v>1315</v>
      </c>
      <c r="B1712" s="96" t="s">
        <v>5237</v>
      </c>
      <c r="C1712" s="90"/>
      <c r="E1712" s="79"/>
      <c r="F1712" s="80"/>
      <c r="G1712" s="80"/>
      <c r="H1712" s="81"/>
      <c r="I1712" s="80"/>
      <c r="J1712" s="80"/>
      <c r="K1712" s="80"/>
    </row>
    <row r="1713" ht="12.75" customHeight="1">
      <c r="B1713" s="90"/>
      <c r="E1713" s="79"/>
      <c r="F1713" s="80"/>
      <c r="G1713" s="80"/>
      <c r="H1713" s="81"/>
      <c r="I1713" s="80"/>
      <c r="J1713" s="80"/>
      <c r="K1713" s="80"/>
    </row>
    <row r="1714" ht="12.75" customHeight="1">
      <c r="B1714" s="96" t="s">
        <v>5238</v>
      </c>
      <c r="C1714" s="90"/>
      <c r="E1714" s="79"/>
      <c r="F1714" s="80"/>
      <c r="G1714" s="80"/>
      <c r="H1714" s="81"/>
      <c r="I1714" s="80"/>
      <c r="J1714" s="80"/>
      <c r="K1714" s="80"/>
    </row>
    <row r="1715" ht="12.75" customHeight="1">
      <c r="B1715" s="90"/>
      <c r="E1715" s="79"/>
      <c r="F1715" s="80"/>
      <c r="G1715" s="80"/>
      <c r="H1715" s="81"/>
      <c r="I1715" s="80"/>
      <c r="J1715" s="80"/>
      <c r="K1715" s="80"/>
    </row>
    <row r="1716" ht="12.75" customHeight="1">
      <c r="B1716" s="96" t="s">
        <v>5239</v>
      </c>
      <c r="C1716" s="90"/>
      <c r="D1716" s="89" t="s">
        <v>75</v>
      </c>
      <c r="E1716" s="91">
        <v>1.0</v>
      </c>
      <c r="F1716" s="92">
        <v>107.0</v>
      </c>
      <c r="G1716" s="92">
        <v>107.0</v>
      </c>
      <c r="H1716" s="93"/>
      <c r="I1716" s="92"/>
      <c r="J1716" s="92"/>
      <c r="K1716" s="92"/>
    </row>
    <row r="1717" ht="12.75" customHeight="1">
      <c r="B1717" s="90"/>
      <c r="E1717" s="79"/>
      <c r="F1717" s="80"/>
      <c r="G1717" s="80"/>
      <c r="H1717" s="81"/>
      <c r="I1717" s="80"/>
      <c r="J1717" s="80"/>
      <c r="K1717" s="80"/>
    </row>
    <row r="1718" ht="12.75" customHeight="1">
      <c r="B1718" s="96" t="s">
        <v>5240</v>
      </c>
      <c r="C1718" s="90"/>
      <c r="D1718" s="89" t="s">
        <v>161</v>
      </c>
      <c r="E1718" s="91">
        <v>13.0</v>
      </c>
      <c r="F1718" s="92">
        <v>6.4</v>
      </c>
      <c r="G1718" s="92">
        <v>83.2</v>
      </c>
      <c r="H1718" s="93"/>
      <c r="I1718" s="92"/>
      <c r="J1718" s="92"/>
      <c r="K1718" s="92"/>
    </row>
    <row r="1719" ht="12.75" customHeight="1">
      <c r="B1719" s="90"/>
      <c r="E1719" s="79"/>
      <c r="F1719" s="80"/>
      <c r="G1719" s="80"/>
      <c r="H1719" s="81"/>
      <c r="I1719" s="80"/>
      <c r="J1719" s="80"/>
      <c r="K1719" s="80"/>
    </row>
    <row r="1720" ht="12.75" customHeight="1">
      <c r="B1720" s="96" t="s">
        <v>5241</v>
      </c>
      <c r="C1720" s="90"/>
      <c r="D1720" s="89" t="s">
        <v>75</v>
      </c>
      <c r="E1720" s="91">
        <v>3.0</v>
      </c>
      <c r="F1720" s="92">
        <v>45.43</v>
      </c>
      <c r="G1720" s="92">
        <v>136.29</v>
      </c>
      <c r="H1720" s="93"/>
      <c r="I1720" s="92"/>
      <c r="J1720" s="92"/>
      <c r="K1720" s="92"/>
    </row>
    <row r="1721" ht="12.75" customHeight="1">
      <c r="B1721" s="90"/>
      <c r="E1721" s="79"/>
      <c r="F1721" s="80"/>
      <c r="G1721" s="80"/>
      <c r="H1721" s="81"/>
      <c r="I1721" s="80"/>
      <c r="J1721" s="80"/>
      <c r="K1721" s="80"/>
    </row>
    <row r="1722" ht="12.75" customHeight="1">
      <c r="B1722" s="96" t="s">
        <v>5242</v>
      </c>
      <c r="C1722" s="90"/>
      <c r="D1722" s="89" t="s">
        <v>161</v>
      </c>
      <c r="E1722" s="91">
        <v>13.0</v>
      </c>
      <c r="F1722" s="92">
        <v>2.2</v>
      </c>
      <c r="G1722" s="92">
        <v>28.6</v>
      </c>
      <c r="H1722" s="93"/>
      <c r="I1722" s="92"/>
      <c r="J1722" s="92"/>
      <c r="K1722" s="92"/>
    </row>
    <row r="1723" ht="12.75" customHeight="1">
      <c r="B1723" s="90"/>
      <c r="E1723" s="79"/>
      <c r="F1723" s="80"/>
      <c r="G1723" s="80"/>
      <c r="H1723" s="81"/>
      <c r="I1723" s="80"/>
      <c r="J1723" s="80"/>
      <c r="K1723" s="80"/>
    </row>
    <row r="1724" ht="12.75" customHeight="1">
      <c r="B1724" s="96" t="s">
        <v>2991</v>
      </c>
      <c r="C1724" s="90"/>
      <c r="D1724" s="89" t="s">
        <v>161</v>
      </c>
      <c r="E1724" s="91">
        <v>7.0</v>
      </c>
      <c r="F1724" s="92">
        <v>6.4</v>
      </c>
      <c r="G1724" s="92">
        <v>44.8</v>
      </c>
      <c r="H1724" s="93"/>
      <c r="I1724" s="92"/>
      <c r="J1724" s="92"/>
      <c r="K1724" s="92"/>
    </row>
    <row r="1725" ht="12.75" customHeight="1">
      <c r="B1725" s="90"/>
      <c r="E1725" s="79"/>
      <c r="F1725" s="80"/>
      <c r="G1725" s="80"/>
      <c r="H1725" s="81"/>
      <c r="I1725" s="80"/>
      <c r="J1725" s="80"/>
      <c r="K1725" s="80"/>
    </row>
    <row r="1726" ht="12.75" customHeight="1">
      <c r="B1726" s="96" t="s">
        <v>5243</v>
      </c>
      <c r="C1726" s="90"/>
      <c r="D1726" s="89" t="s">
        <v>161</v>
      </c>
      <c r="E1726" s="91">
        <v>63.0</v>
      </c>
      <c r="F1726" s="92">
        <v>0.96</v>
      </c>
      <c r="G1726" s="92">
        <v>60.48</v>
      </c>
      <c r="H1726" s="93"/>
      <c r="I1726" s="92"/>
      <c r="J1726" s="92"/>
      <c r="K1726" s="92"/>
    </row>
    <row r="1727" ht="12.75" customHeight="1">
      <c r="B1727" s="90"/>
      <c r="E1727" s="79"/>
      <c r="F1727" s="80"/>
      <c r="G1727" s="80"/>
      <c r="H1727" s="81"/>
      <c r="I1727" s="80"/>
      <c r="J1727" s="80"/>
      <c r="K1727" s="80"/>
    </row>
    <row r="1728" ht="12.75" customHeight="1">
      <c r="B1728" s="96" t="s">
        <v>1324</v>
      </c>
      <c r="C1728" s="90"/>
      <c r="D1728" s="89" t="s">
        <v>161</v>
      </c>
      <c r="E1728" s="91">
        <v>63.0</v>
      </c>
      <c r="F1728" s="92">
        <v>1.81</v>
      </c>
      <c r="G1728" s="92">
        <v>114.03</v>
      </c>
      <c r="H1728" s="93"/>
      <c r="I1728" s="92"/>
      <c r="J1728" s="92"/>
      <c r="K1728" s="92"/>
    </row>
    <row r="1729" ht="12.75" customHeight="1">
      <c r="B1729" s="90"/>
      <c r="E1729" s="79"/>
      <c r="F1729" s="80"/>
      <c r="G1729" s="80"/>
      <c r="H1729" s="81"/>
      <c r="I1729" s="80"/>
      <c r="J1729" s="80"/>
      <c r="K1729" s="80"/>
    </row>
    <row r="1730" ht="12.75" customHeight="1">
      <c r="A1730" s="89" t="s">
        <v>1325</v>
      </c>
      <c r="B1730" s="96" t="s">
        <v>5244</v>
      </c>
      <c r="C1730" s="90"/>
      <c r="E1730" s="79"/>
      <c r="F1730" s="80"/>
      <c r="G1730" s="80"/>
      <c r="H1730" s="81"/>
      <c r="I1730" s="80"/>
      <c r="J1730" s="80"/>
      <c r="K1730" s="80"/>
    </row>
    <row r="1731" ht="12.75" customHeight="1">
      <c r="B1731" s="90"/>
      <c r="E1731" s="79"/>
      <c r="F1731" s="80"/>
      <c r="G1731" s="80"/>
      <c r="H1731" s="81"/>
      <c r="I1731" s="80"/>
      <c r="J1731" s="80"/>
      <c r="K1731" s="80"/>
    </row>
    <row r="1732" ht="12.75" customHeight="1">
      <c r="B1732" s="96" t="s">
        <v>5214</v>
      </c>
      <c r="C1732" s="90"/>
      <c r="E1732" s="79"/>
      <c r="F1732" s="80"/>
      <c r="G1732" s="80"/>
      <c r="H1732" s="81"/>
      <c r="I1732" s="80"/>
      <c r="J1732" s="80"/>
      <c r="K1732" s="80"/>
    </row>
    <row r="1733" ht="12.75" customHeight="1">
      <c r="B1733" s="90"/>
      <c r="E1733" s="79"/>
      <c r="F1733" s="80"/>
      <c r="G1733" s="80"/>
      <c r="H1733" s="81"/>
      <c r="I1733" s="80"/>
      <c r="J1733" s="80"/>
      <c r="K1733" s="80"/>
    </row>
    <row r="1734" ht="12.75" customHeight="1">
      <c r="B1734" s="96" t="s">
        <v>5238</v>
      </c>
      <c r="C1734" s="90"/>
      <c r="E1734" s="79"/>
      <c r="F1734" s="80"/>
      <c r="G1734" s="80"/>
      <c r="H1734" s="81"/>
      <c r="I1734" s="80"/>
      <c r="J1734" s="80"/>
      <c r="K1734" s="80"/>
    </row>
    <row r="1735" ht="12.75" customHeight="1">
      <c r="B1735" s="90"/>
      <c r="E1735" s="79"/>
      <c r="F1735" s="80"/>
      <c r="G1735" s="80"/>
      <c r="H1735" s="81"/>
      <c r="I1735" s="80"/>
      <c r="J1735" s="80"/>
      <c r="K1735" s="80"/>
    </row>
    <row r="1736" ht="12.75" customHeight="1">
      <c r="B1736" s="96" t="s">
        <v>5245</v>
      </c>
      <c r="C1736" s="90"/>
      <c r="D1736" s="89" t="s">
        <v>161</v>
      </c>
      <c r="E1736" s="91">
        <v>290.0</v>
      </c>
      <c r="F1736" s="92">
        <v>2.38</v>
      </c>
      <c r="G1736" s="92">
        <v>690.2</v>
      </c>
      <c r="H1736" s="93"/>
      <c r="I1736" s="92"/>
      <c r="J1736" s="92"/>
      <c r="K1736" s="92"/>
    </row>
    <row r="1737" ht="12.75" customHeight="1">
      <c r="B1737" s="90"/>
      <c r="E1737" s="79"/>
      <c r="F1737" s="80"/>
      <c r="G1737" s="80"/>
      <c r="H1737" s="81"/>
      <c r="I1737" s="80"/>
      <c r="J1737" s="80"/>
      <c r="K1737" s="80"/>
    </row>
    <row r="1738" ht="12.75" customHeight="1">
      <c r="B1738" s="96" t="s">
        <v>5246</v>
      </c>
      <c r="C1738" s="90"/>
      <c r="D1738" s="89" t="s">
        <v>161</v>
      </c>
      <c r="E1738" s="91">
        <v>19.0</v>
      </c>
      <c r="F1738" s="92">
        <v>3.89</v>
      </c>
      <c r="G1738" s="92">
        <v>73.91</v>
      </c>
      <c r="H1738" s="93"/>
      <c r="I1738" s="92"/>
      <c r="J1738" s="92"/>
      <c r="K1738" s="92"/>
    </row>
    <row r="1739" ht="12.75" customHeight="1">
      <c r="B1739" s="90"/>
      <c r="E1739" s="79"/>
      <c r="F1739" s="80"/>
      <c r="G1739" s="80"/>
      <c r="H1739" s="81"/>
      <c r="I1739" s="80"/>
      <c r="J1739" s="80"/>
      <c r="K1739" s="80"/>
    </row>
    <row r="1740" ht="12.75" customHeight="1">
      <c r="B1740" s="96" t="s">
        <v>5247</v>
      </c>
      <c r="C1740" s="90"/>
      <c r="D1740" s="89" t="s">
        <v>161</v>
      </c>
      <c r="E1740" s="91">
        <v>290.0</v>
      </c>
      <c r="F1740" s="92">
        <v>1.81</v>
      </c>
      <c r="G1740" s="92">
        <v>524.9</v>
      </c>
      <c r="H1740" s="93"/>
      <c r="I1740" s="92"/>
      <c r="J1740" s="92"/>
      <c r="K1740" s="92"/>
    </row>
    <row r="1741" ht="12.75" customHeight="1">
      <c r="B1741" s="90"/>
      <c r="E1741" s="79"/>
      <c r="F1741" s="80"/>
      <c r="G1741" s="80"/>
      <c r="H1741" s="81"/>
      <c r="I1741" s="80"/>
      <c r="J1741" s="80"/>
      <c r="K1741" s="80"/>
    </row>
    <row r="1742" ht="12.75" customHeight="1">
      <c r="B1742" s="96" t="s">
        <v>5248</v>
      </c>
      <c r="C1742" s="90"/>
      <c r="D1742" s="89" t="s">
        <v>161</v>
      </c>
      <c r="E1742" s="91">
        <v>19.0</v>
      </c>
      <c r="F1742" s="92">
        <v>2.34</v>
      </c>
      <c r="G1742" s="92">
        <v>44.46</v>
      </c>
      <c r="H1742" s="93"/>
      <c r="I1742" s="92"/>
      <c r="J1742" s="92"/>
      <c r="K1742" s="92"/>
    </row>
    <row r="1743" ht="12.75" customHeight="1">
      <c r="B1743" s="90"/>
      <c r="E1743" s="79"/>
      <c r="F1743" s="80"/>
      <c r="G1743" s="80"/>
      <c r="H1743" s="81"/>
      <c r="I1743" s="80"/>
      <c r="J1743" s="80"/>
      <c r="K1743" s="80"/>
    </row>
    <row r="1744" ht="12.75" customHeight="1">
      <c r="B1744" s="96" t="s">
        <v>5249</v>
      </c>
      <c r="C1744" s="90"/>
      <c r="D1744" s="89" t="s">
        <v>75</v>
      </c>
      <c r="E1744" s="91">
        <v>12.0</v>
      </c>
      <c r="F1744" s="92">
        <v>1.23</v>
      </c>
      <c r="G1744" s="92">
        <v>14.76</v>
      </c>
      <c r="H1744" s="93"/>
      <c r="I1744" s="92"/>
      <c r="J1744" s="92"/>
      <c r="K1744" s="92"/>
    </row>
    <row r="1745" ht="12.75" customHeight="1">
      <c r="B1745" s="90"/>
      <c r="E1745" s="79"/>
      <c r="F1745" s="80"/>
      <c r="G1745" s="80"/>
      <c r="H1745" s="81"/>
      <c r="I1745" s="80"/>
      <c r="J1745" s="80"/>
      <c r="K1745" s="80"/>
    </row>
    <row r="1746" ht="12.75" customHeight="1">
      <c r="A1746" s="89" t="s">
        <v>1332</v>
      </c>
      <c r="B1746" s="96" t="s">
        <v>5250</v>
      </c>
      <c r="C1746" s="90"/>
      <c r="E1746" s="79"/>
      <c r="F1746" s="80"/>
      <c r="G1746" s="80"/>
      <c r="H1746" s="81"/>
      <c r="I1746" s="80"/>
      <c r="J1746" s="80"/>
      <c r="K1746" s="80"/>
    </row>
    <row r="1747" ht="12.75" customHeight="1">
      <c r="B1747" s="90"/>
      <c r="E1747" s="79"/>
      <c r="F1747" s="80"/>
      <c r="G1747" s="80"/>
      <c r="H1747" s="81"/>
      <c r="I1747" s="80"/>
      <c r="J1747" s="80"/>
      <c r="K1747" s="80"/>
    </row>
    <row r="1748" ht="12.75" customHeight="1">
      <c r="B1748" s="96" t="s">
        <v>5214</v>
      </c>
      <c r="C1748" s="90"/>
      <c r="E1748" s="79"/>
      <c r="F1748" s="80"/>
      <c r="G1748" s="80"/>
      <c r="H1748" s="81"/>
      <c r="I1748" s="80"/>
      <c r="J1748" s="80"/>
      <c r="K1748" s="80"/>
    </row>
    <row r="1749" ht="12.75" customHeight="1">
      <c r="B1749" s="90"/>
      <c r="E1749" s="79"/>
      <c r="F1749" s="80"/>
      <c r="G1749" s="80"/>
      <c r="H1749" s="81"/>
      <c r="I1749" s="80"/>
      <c r="J1749" s="80"/>
      <c r="K1749" s="80"/>
    </row>
    <row r="1750" ht="12.75" customHeight="1">
      <c r="B1750" s="96" t="s">
        <v>5238</v>
      </c>
      <c r="C1750" s="90"/>
      <c r="E1750" s="79"/>
      <c r="F1750" s="80"/>
      <c r="G1750" s="80"/>
      <c r="H1750" s="81"/>
      <c r="I1750" s="80"/>
      <c r="J1750" s="80"/>
      <c r="K1750" s="80"/>
    </row>
    <row r="1751" ht="12.75" customHeight="1">
      <c r="B1751" s="90"/>
      <c r="E1751" s="79"/>
      <c r="F1751" s="80"/>
      <c r="G1751" s="80"/>
      <c r="H1751" s="81"/>
      <c r="I1751" s="80"/>
      <c r="J1751" s="80"/>
      <c r="K1751" s="80"/>
    </row>
    <row r="1752" ht="12.75" customHeight="1">
      <c r="B1752" s="96" t="s">
        <v>5251</v>
      </c>
      <c r="C1752" s="90"/>
      <c r="D1752" s="89" t="s">
        <v>161</v>
      </c>
      <c r="E1752" s="91">
        <v>732.0</v>
      </c>
      <c r="F1752" s="92">
        <v>3.09</v>
      </c>
      <c r="G1752" s="92">
        <v>2261.88</v>
      </c>
      <c r="H1752" s="93"/>
      <c r="I1752" s="92"/>
      <c r="J1752" s="92"/>
      <c r="K1752" s="92"/>
    </row>
    <row r="1753" ht="12.75" customHeight="1">
      <c r="B1753" s="90"/>
      <c r="E1753" s="79"/>
      <c r="F1753" s="80"/>
      <c r="G1753" s="80"/>
      <c r="H1753" s="81"/>
      <c r="I1753" s="80"/>
      <c r="J1753" s="80"/>
      <c r="K1753" s="80"/>
    </row>
    <row r="1754" ht="12.75" customHeight="1">
      <c r="B1754" s="96" t="s">
        <v>5252</v>
      </c>
      <c r="C1754" s="90"/>
      <c r="D1754" s="89" t="s">
        <v>161</v>
      </c>
      <c r="E1754" s="91">
        <v>780.0</v>
      </c>
      <c r="F1754" s="92">
        <v>2.86</v>
      </c>
      <c r="G1754" s="92">
        <v>2230.8</v>
      </c>
      <c r="H1754" s="93"/>
      <c r="I1754" s="92"/>
      <c r="J1754" s="92"/>
      <c r="K1754" s="92"/>
    </row>
    <row r="1755" ht="12.75" customHeight="1">
      <c r="B1755" s="90"/>
      <c r="E1755" s="79"/>
      <c r="F1755" s="80"/>
      <c r="G1755" s="80"/>
      <c r="H1755" s="81"/>
      <c r="I1755" s="80"/>
      <c r="J1755" s="80"/>
      <c r="K1755" s="80"/>
    </row>
    <row r="1756" ht="12.75" customHeight="1">
      <c r="B1756" s="96" t="s">
        <v>3014</v>
      </c>
      <c r="C1756" s="90"/>
      <c r="D1756" s="89" t="s">
        <v>161</v>
      </c>
      <c r="E1756" s="91">
        <v>40.0</v>
      </c>
      <c r="F1756" s="92">
        <v>3.17</v>
      </c>
      <c r="G1756" s="92">
        <v>126.8</v>
      </c>
      <c r="H1756" s="93"/>
      <c r="I1756" s="92"/>
      <c r="J1756" s="92"/>
      <c r="K1756" s="92"/>
    </row>
    <row r="1757" ht="12.75" customHeight="1">
      <c r="B1757" s="90"/>
      <c r="E1757" s="79"/>
      <c r="F1757" s="80"/>
      <c r="G1757" s="80"/>
      <c r="H1757" s="81"/>
      <c r="I1757" s="80"/>
      <c r="J1757" s="80"/>
      <c r="K1757" s="80"/>
    </row>
    <row r="1758" ht="12.75" customHeight="1">
      <c r="B1758" s="96" t="s">
        <v>3016</v>
      </c>
      <c r="C1758" s="90"/>
      <c r="D1758" s="89" t="s">
        <v>161</v>
      </c>
      <c r="E1758" s="91">
        <v>33.0</v>
      </c>
      <c r="F1758" s="92">
        <v>4.59</v>
      </c>
      <c r="G1758" s="92">
        <v>151.47</v>
      </c>
      <c r="H1758" s="93"/>
      <c r="I1758" s="92"/>
      <c r="J1758" s="92"/>
      <c r="K1758" s="92"/>
    </row>
    <row r="1759" ht="12.75" customHeight="1">
      <c r="B1759" s="90"/>
      <c r="E1759" s="79"/>
      <c r="F1759" s="80"/>
      <c r="G1759" s="80"/>
      <c r="H1759" s="81"/>
      <c r="I1759" s="80"/>
      <c r="J1759" s="80"/>
      <c r="K1759" s="80"/>
    </row>
    <row r="1760" ht="12.75" customHeight="1">
      <c r="B1760" s="96" t="s">
        <v>5119</v>
      </c>
      <c r="C1760" s="90"/>
      <c r="E1760" s="79"/>
      <c r="F1760" s="80"/>
      <c r="G1760" s="80"/>
      <c r="H1760" s="81"/>
      <c r="I1760" s="80"/>
      <c r="J1760" s="80"/>
      <c r="K1760" s="80"/>
    </row>
    <row r="1761" ht="12.75" customHeight="1">
      <c r="B1761" s="90"/>
      <c r="E1761" s="79"/>
      <c r="F1761" s="80"/>
      <c r="G1761" s="80"/>
      <c r="H1761" s="81"/>
      <c r="I1761" s="80"/>
      <c r="J1761" s="80"/>
      <c r="K1761" s="80"/>
    </row>
    <row r="1762" ht="12.75" customHeight="1">
      <c r="B1762" s="96" t="s">
        <v>5238</v>
      </c>
      <c r="C1762" s="90"/>
      <c r="E1762" s="79"/>
      <c r="F1762" s="80"/>
      <c r="G1762" s="80"/>
      <c r="H1762" s="81"/>
      <c r="I1762" s="80"/>
      <c r="J1762" s="80"/>
      <c r="K1762" s="80"/>
    </row>
    <row r="1763" ht="12.75" customHeight="1">
      <c r="B1763" s="90"/>
      <c r="E1763" s="79"/>
      <c r="F1763" s="80"/>
      <c r="G1763" s="80"/>
      <c r="H1763" s="81"/>
      <c r="I1763" s="80"/>
      <c r="J1763" s="80"/>
      <c r="K1763" s="80"/>
    </row>
    <row r="1764" ht="12.75" customHeight="1">
      <c r="B1764" s="96" t="s">
        <v>5247</v>
      </c>
      <c r="C1764" s="90"/>
      <c r="D1764" s="89" t="s">
        <v>161</v>
      </c>
      <c r="E1764" s="91">
        <v>1552.0</v>
      </c>
      <c r="F1764" s="92">
        <v>1.81</v>
      </c>
      <c r="G1764" s="92">
        <v>2809.12</v>
      </c>
      <c r="H1764" s="93"/>
      <c r="I1764" s="92"/>
      <c r="J1764" s="92"/>
      <c r="K1764" s="92"/>
    </row>
    <row r="1765" ht="12.75" customHeight="1">
      <c r="B1765" s="90"/>
      <c r="E1765" s="79"/>
      <c r="F1765" s="80"/>
      <c r="G1765" s="80"/>
      <c r="H1765" s="81"/>
      <c r="I1765" s="80"/>
      <c r="J1765" s="80"/>
      <c r="K1765" s="80"/>
    </row>
    <row r="1766" ht="12.75" customHeight="1">
      <c r="B1766" s="96" t="s">
        <v>5248</v>
      </c>
      <c r="C1766" s="90"/>
      <c r="D1766" s="89" t="s">
        <v>161</v>
      </c>
      <c r="E1766" s="91">
        <v>33.0</v>
      </c>
      <c r="F1766" s="92">
        <v>2.34</v>
      </c>
      <c r="G1766" s="92">
        <v>77.22</v>
      </c>
      <c r="H1766" s="93"/>
      <c r="I1766" s="92"/>
      <c r="J1766" s="92"/>
      <c r="K1766" s="92"/>
    </row>
    <row r="1767" ht="12.75" customHeight="1">
      <c r="B1767" s="90"/>
      <c r="E1767" s="79"/>
      <c r="F1767" s="80"/>
      <c r="G1767" s="80"/>
      <c r="H1767" s="81"/>
      <c r="I1767" s="80"/>
      <c r="J1767" s="80"/>
      <c r="K1767" s="80"/>
    </row>
    <row r="1768" ht="12.75" customHeight="1">
      <c r="B1768" s="96" t="s">
        <v>5122</v>
      </c>
      <c r="C1768" s="90"/>
      <c r="E1768" s="79"/>
      <c r="F1768" s="80"/>
      <c r="G1768" s="80"/>
      <c r="H1768" s="81"/>
      <c r="I1768" s="80"/>
      <c r="J1768" s="80"/>
      <c r="K1768" s="80"/>
    </row>
    <row r="1769" ht="12.75" customHeight="1">
      <c r="B1769" s="90"/>
      <c r="E1769" s="79"/>
      <c r="F1769" s="80"/>
      <c r="G1769" s="80"/>
      <c r="H1769" s="81"/>
      <c r="I1769" s="80"/>
      <c r="J1769" s="80"/>
      <c r="K1769" s="80"/>
    </row>
    <row r="1770" ht="12.75" customHeight="1">
      <c r="B1770" s="96" t="s">
        <v>5238</v>
      </c>
      <c r="C1770" s="90"/>
      <c r="E1770" s="79"/>
      <c r="F1770" s="80"/>
      <c r="G1770" s="80"/>
      <c r="H1770" s="81"/>
      <c r="I1770" s="80"/>
      <c r="J1770" s="80"/>
      <c r="K1770" s="80"/>
    </row>
    <row r="1771" ht="12.75" customHeight="1">
      <c r="B1771" s="90"/>
      <c r="E1771" s="79"/>
      <c r="F1771" s="80"/>
      <c r="G1771" s="80"/>
      <c r="H1771" s="81"/>
      <c r="I1771" s="80"/>
      <c r="J1771" s="80"/>
      <c r="K1771" s="80"/>
    </row>
    <row r="1772" ht="12.75" customHeight="1">
      <c r="B1772" s="96" t="s">
        <v>5253</v>
      </c>
      <c r="C1772" s="90"/>
      <c r="D1772" s="89" t="s">
        <v>75</v>
      </c>
      <c r="E1772" s="91">
        <v>160.0</v>
      </c>
      <c r="F1772" s="92">
        <v>2.3</v>
      </c>
      <c r="G1772" s="92">
        <v>368.0</v>
      </c>
      <c r="H1772" s="93"/>
      <c r="I1772" s="92"/>
      <c r="J1772" s="92"/>
      <c r="K1772" s="92"/>
    </row>
    <row r="1773" ht="12.75" customHeight="1">
      <c r="B1773" s="90"/>
      <c r="E1773" s="79"/>
      <c r="F1773" s="80"/>
      <c r="G1773" s="80"/>
      <c r="H1773" s="81"/>
      <c r="I1773" s="80"/>
      <c r="J1773" s="80"/>
      <c r="K1773" s="80"/>
    </row>
    <row r="1774" ht="12.75" customHeight="1">
      <c r="B1774" s="96" t="s">
        <v>5254</v>
      </c>
      <c r="C1774" s="90"/>
      <c r="E1774" s="79"/>
      <c r="F1774" s="80"/>
      <c r="G1774" s="80"/>
      <c r="H1774" s="81"/>
      <c r="I1774" s="80"/>
      <c r="J1774" s="80"/>
      <c r="K1774" s="80"/>
    </row>
    <row r="1775" ht="12.75" customHeight="1">
      <c r="B1775" s="90"/>
      <c r="E1775" s="79"/>
      <c r="F1775" s="80"/>
      <c r="G1775" s="80"/>
      <c r="H1775" s="81"/>
      <c r="I1775" s="80"/>
      <c r="J1775" s="80"/>
      <c r="K1775" s="80"/>
    </row>
    <row r="1776" ht="12.75" customHeight="1">
      <c r="B1776" s="96" t="s">
        <v>5238</v>
      </c>
      <c r="C1776" s="90"/>
      <c r="E1776" s="79"/>
      <c r="F1776" s="80"/>
      <c r="G1776" s="80"/>
      <c r="H1776" s="81"/>
      <c r="I1776" s="80"/>
      <c r="J1776" s="80"/>
      <c r="K1776" s="80"/>
    </row>
    <row r="1777" ht="12.75" customHeight="1">
      <c r="B1777" s="90"/>
      <c r="E1777" s="79"/>
      <c r="F1777" s="80"/>
      <c r="G1777" s="80"/>
      <c r="H1777" s="81"/>
      <c r="I1777" s="80"/>
      <c r="J1777" s="80"/>
      <c r="K1777" s="80"/>
    </row>
    <row r="1778" ht="12.75" customHeight="1">
      <c r="B1778" s="96" t="s">
        <v>5255</v>
      </c>
      <c r="C1778" s="90"/>
      <c r="D1778" s="89" t="s">
        <v>75</v>
      </c>
      <c r="E1778" s="91">
        <v>21.0</v>
      </c>
      <c r="F1778" s="92">
        <v>25.67</v>
      </c>
      <c r="G1778" s="92">
        <v>539.07</v>
      </c>
      <c r="H1778" s="93"/>
      <c r="I1778" s="92"/>
      <c r="J1778" s="92"/>
      <c r="K1778" s="92"/>
    </row>
    <row r="1779" ht="12.75" customHeight="1">
      <c r="B1779" s="90"/>
      <c r="E1779" s="79"/>
      <c r="F1779" s="80"/>
      <c r="G1779" s="80"/>
      <c r="H1779" s="81"/>
      <c r="I1779" s="80"/>
      <c r="J1779" s="80"/>
      <c r="K1779" s="80"/>
    </row>
    <row r="1780" ht="12.75" customHeight="1">
      <c r="B1780" s="96" t="s">
        <v>5256</v>
      </c>
      <c r="C1780" s="90"/>
      <c r="D1780" s="89" t="s">
        <v>75</v>
      </c>
      <c r="E1780" s="91">
        <v>41.0</v>
      </c>
      <c r="F1780" s="92">
        <v>51.34</v>
      </c>
      <c r="G1780" s="92">
        <v>2104.94</v>
      </c>
      <c r="H1780" s="93"/>
      <c r="I1780" s="92"/>
      <c r="J1780" s="92"/>
      <c r="K1780" s="92"/>
    </row>
    <row r="1781" ht="12.75" customHeight="1">
      <c r="B1781" s="90"/>
      <c r="E1781" s="79"/>
      <c r="F1781" s="80"/>
      <c r="G1781" s="80"/>
      <c r="H1781" s="81"/>
      <c r="I1781" s="80"/>
      <c r="J1781" s="80"/>
      <c r="K1781" s="80"/>
    </row>
    <row r="1782" ht="12.75" customHeight="1">
      <c r="B1782" s="96" t="s">
        <v>5257</v>
      </c>
      <c r="C1782" s="90"/>
      <c r="D1782" s="89" t="s">
        <v>75</v>
      </c>
      <c r="E1782" s="91">
        <v>8.0</v>
      </c>
      <c r="F1782" s="92">
        <v>145.73</v>
      </c>
      <c r="G1782" s="92">
        <v>1165.84</v>
      </c>
      <c r="H1782" s="93"/>
      <c r="I1782" s="92"/>
      <c r="J1782" s="92"/>
      <c r="K1782" s="92"/>
    </row>
    <row r="1783" ht="12.75" customHeight="1">
      <c r="B1783" s="90"/>
      <c r="E1783" s="79"/>
      <c r="F1783" s="80"/>
      <c r="G1783" s="80"/>
      <c r="H1783" s="81"/>
      <c r="I1783" s="80"/>
      <c r="J1783" s="80"/>
      <c r="K1783" s="80"/>
    </row>
    <row r="1784" ht="12.75" customHeight="1">
      <c r="B1784" s="96" t="s">
        <v>5258</v>
      </c>
      <c r="C1784" s="90"/>
      <c r="D1784" s="89" t="s">
        <v>75</v>
      </c>
      <c r="E1784" s="91">
        <v>9.0</v>
      </c>
      <c r="F1784" s="92">
        <v>36.58</v>
      </c>
      <c r="G1784" s="92">
        <v>329.22</v>
      </c>
      <c r="H1784" s="93"/>
      <c r="I1784" s="92"/>
      <c r="J1784" s="92"/>
      <c r="K1784" s="92"/>
    </row>
    <row r="1785" ht="12.75" customHeight="1">
      <c r="B1785" s="90"/>
      <c r="E1785" s="79"/>
      <c r="F1785" s="80"/>
      <c r="G1785" s="80"/>
      <c r="H1785" s="81"/>
      <c r="I1785" s="80"/>
      <c r="J1785" s="80"/>
      <c r="K1785" s="80"/>
    </row>
    <row r="1786" ht="12.75" customHeight="1">
      <c r="B1786" s="96" t="s">
        <v>5259</v>
      </c>
      <c r="C1786" s="90"/>
      <c r="D1786" s="89" t="s">
        <v>75</v>
      </c>
      <c r="E1786" s="91">
        <v>6.0</v>
      </c>
      <c r="F1786" s="92">
        <v>73.16</v>
      </c>
      <c r="G1786" s="92">
        <v>438.96</v>
      </c>
      <c r="H1786" s="93"/>
      <c r="I1786" s="92"/>
      <c r="J1786" s="92"/>
      <c r="K1786" s="92"/>
    </row>
    <row r="1787" ht="12.75" customHeight="1">
      <c r="B1787" s="90"/>
      <c r="E1787" s="79"/>
      <c r="F1787" s="80"/>
      <c r="G1787" s="80"/>
      <c r="H1787" s="81"/>
      <c r="I1787" s="80"/>
      <c r="J1787" s="80"/>
      <c r="K1787" s="80"/>
    </row>
    <row r="1788" ht="12.75" customHeight="1">
      <c r="B1788" s="96" t="s">
        <v>5260</v>
      </c>
      <c r="C1788" s="90"/>
      <c r="D1788" s="89" t="s">
        <v>75</v>
      </c>
      <c r="E1788" s="91">
        <v>2.0</v>
      </c>
      <c r="F1788" s="92">
        <v>1664.22</v>
      </c>
      <c r="G1788" s="92">
        <v>3328.44</v>
      </c>
      <c r="H1788" s="93"/>
      <c r="I1788" s="92"/>
      <c r="J1788" s="92"/>
      <c r="K1788" s="92"/>
    </row>
    <row r="1789" ht="12.75" customHeight="1">
      <c r="B1789" s="90"/>
      <c r="E1789" s="79"/>
      <c r="F1789" s="80"/>
      <c r="G1789" s="80"/>
      <c r="H1789" s="81"/>
      <c r="I1789" s="80"/>
      <c r="J1789" s="80"/>
      <c r="K1789" s="80"/>
    </row>
    <row r="1790" ht="12.75" customHeight="1">
      <c r="B1790" s="96" t="s">
        <v>5261</v>
      </c>
      <c r="C1790" s="90"/>
      <c r="D1790" s="89" t="s">
        <v>75</v>
      </c>
      <c r="E1790" s="91">
        <v>10.0</v>
      </c>
      <c r="F1790" s="92">
        <v>657.44</v>
      </c>
      <c r="G1790" s="92">
        <v>6574.4</v>
      </c>
      <c r="H1790" s="93"/>
      <c r="I1790" s="92"/>
      <c r="J1790" s="92"/>
      <c r="K1790" s="92"/>
    </row>
    <row r="1791" ht="12.75" customHeight="1">
      <c r="B1791" s="96"/>
      <c r="E1791" s="79"/>
      <c r="F1791" s="80"/>
      <c r="G1791" s="80"/>
      <c r="H1791" s="81"/>
      <c r="I1791" s="80"/>
      <c r="J1791" s="80"/>
      <c r="K1791" s="80"/>
    </row>
    <row r="1792" ht="12.75" customHeight="1">
      <c r="B1792" s="96" t="s">
        <v>5262</v>
      </c>
      <c r="C1792" s="90"/>
      <c r="D1792" s="89" t="s">
        <v>75</v>
      </c>
      <c r="E1792" s="91">
        <v>2.0</v>
      </c>
      <c r="F1792" s="92">
        <v>191.44</v>
      </c>
      <c r="G1792" s="92">
        <v>382.88</v>
      </c>
      <c r="H1792" s="93"/>
      <c r="I1792" s="92"/>
      <c r="J1792" s="92"/>
      <c r="K1792" s="92"/>
    </row>
    <row r="1793" ht="12.75" customHeight="1">
      <c r="B1793" s="90"/>
      <c r="E1793" s="79"/>
      <c r="F1793" s="80"/>
      <c r="G1793" s="80"/>
      <c r="H1793" s="81"/>
      <c r="I1793" s="80"/>
      <c r="J1793" s="80"/>
      <c r="K1793" s="80"/>
    </row>
    <row r="1794" ht="12.75" customHeight="1">
      <c r="B1794" s="96" t="s">
        <v>5263</v>
      </c>
      <c r="C1794" s="90"/>
      <c r="D1794" s="89" t="s">
        <v>75</v>
      </c>
      <c r="E1794" s="91">
        <v>14.0</v>
      </c>
      <c r="F1794" s="92">
        <v>65.95</v>
      </c>
      <c r="G1794" s="92">
        <v>923.3</v>
      </c>
      <c r="H1794" s="93"/>
      <c r="I1794" s="92"/>
      <c r="J1794" s="92"/>
      <c r="K1794" s="92"/>
    </row>
    <row r="1795" ht="12.75" customHeight="1">
      <c r="B1795" s="90"/>
      <c r="E1795" s="79"/>
      <c r="F1795" s="80"/>
      <c r="G1795" s="80"/>
      <c r="H1795" s="81"/>
      <c r="I1795" s="80"/>
      <c r="J1795" s="80"/>
      <c r="K1795" s="80"/>
    </row>
    <row r="1796" ht="12.75" customHeight="1">
      <c r="A1796" s="89" t="s">
        <v>1349</v>
      </c>
      <c r="B1796" s="96" t="s">
        <v>4350</v>
      </c>
      <c r="C1796" s="90"/>
      <c r="E1796" s="79"/>
      <c r="F1796" s="80"/>
      <c r="G1796" s="80"/>
      <c r="H1796" s="81"/>
      <c r="I1796" s="80"/>
      <c r="J1796" s="80"/>
      <c r="K1796" s="80"/>
    </row>
    <row r="1797" ht="12.75" customHeight="1">
      <c r="B1797" s="90"/>
      <c r="E1797" s="79"/>
      <c r="F1797" s="80"/>
      <c r="G1797" s="80"/>
      <c r="H1797" s="81"/>
      <c r="I1797" s="80"/>
      <c r="J1797" s="80"/>
      <c r="K1797" s="80"/>
    </row>
    <row r="1798" ht="12.75" customHeight="1">
      <c r="B1798" s="96" t="s">
        <v>5214</v>
      </c>
      <c r="C1798" s="90"/>
      <c r="E1798" s="79"/>
      <c r="F1798" s="80"/>
      <c r="G1798" s="80"/>
      <c r="H1798" s="81"/>
      <c r="I1798" s="80"/>
      <c r="J1798" s="80"/>
      <c r="K1798" s="80"/>
    </row>
    <row r="1799" ht="12.75" customHeight="1">
      <c r="B1799" s="90"/>
      <c r="E1799" s="79"/>
      <c r="F1799" s="80"/>
      <c r="G1799" s="80"/>
      <c r="H1799" s="81"/>
      <c r="I1799" s="80"/>
      <c r="J1799" s="80"/>
      <c r="K1799" s="80"/>
    </row>
    <row r="1800" ht="12.75" customHeight="1">
      <c r="B1800" s="96" t="s">
        <v>5238</v>
      </c>
      <c r="C1800" s="90"/>
      <c r="E1800" s="79"/>
      <c r="F1800" s="80"/>
      <c r="G1800" s="80"/>
      <c r="H1800" s="81"/>
      <c r="I1800" s="80"/>
      <c r="J1800" s="80"/>
      <c r="K1800" s="80"/>
    </row>
    <row r="1801" ht="12.75" customHeight="1">
      <c r="B1801" s="90"/>
      <c r="E1801" s="79"/>
      <c r="F1801" s="80"/>
      <c r="G1801" s="80"/>
      <c r="H1801" s="81"/>
      <c r="I1801" s="80"/>
      <c r="J1801" s="80"/>
      <c r="K1801" s="80"/>
    </row>
    <row r="1802" ht="12.75" customHeight="1">
      <c r="B1802" s="96" t="s">
        <v>5264</v>
      </c>
      <c r="C1802" s="90"/>
      <c r="D1802" s="89" t="s">
        <v>161</v>
      </c>
      <c r="E1802" s="91">
        <v>704.0</v>
      </c>
      <c r="F1802" s="92">
        <v>3.04</v>
      </c>
      <c r="G1802" s="92">
        <v>2140.16</v>
      </c>
      <c r="H1802" s="93"/>
      <c r="I1802" s="92"/>
      <c r="J1802" s="92"/>
      <c r="K1802" s="92"/>
    </row>
    <row r="1803" ht="12.75" customHeight="1">
      <c r="B1803" s="90"/>
      <c r="E1803" s="79"/>
      <c r="F1803" s="80"/>
      <c r="G1803" s="80"/>
      <c r="H1803" s="81"/>
      <c r="I1803" s="80"/>
      <c r="J1803" s="80"/>
      <c r="K1803" s="80"/>
    </row>
    <row r="1804" ht="12.75" customHeight="1">
      <c r="B1804" s="96" t="s">
        <v>5119</v>
      </c>
      <c r="C1804" s="90"/>
      <c r="E1804" s="79"/>
      <c r="F1804" s="80"/>
      <c r="G1804" s="80"/>
      <c r="H1804" s="81"/>
      <c r="I1804" s="80"/>
      <c r="J1804" s="80"/>
      <c r="K1804" s="80"/>
    </row>
    <row r="1805" ht="12.75" customHeight="1">
      <c r="B1805" s="90"/>
      <c r="E1805" s="79"/>
      <c r="F1805" s="80"/>
      <c r="G1805" s="80"/>
      <c r="H1805" s="81"/>
      <c r="I1805" s="80"/>
      <c r="J1805" s="80"/>
      <c r="K1805" s="80"/>
    </row>
    <row r="1806" ht="12.75" customHeight="1">
      <c r="B1806" s="96" t="s">
        <v>5238</v>
      </c>
      <c r="C1806" s="90"/>
      <c r="E1806" s="79"/>
      <c r="F1806" s="80"/>
      <c r="G1806" s="80"/>
      <c r="H1806" s="81"/>
      <c r="I1806" s="80"/>
      <c r="J1806" s="80"/>
      <c r="K1806" s="80"/>
    </row>
    <row r="1807" ht="12.75" customHeight="1">
      <c r="B1807" s="90"/>
      <c r="E1807" s="79"/>
      <c r="F1807" s="80"/>
      <c r="G1807" s="80"/>
      <c r="H1807" s="81"/>
      <c r="I1807" s="80"/>
      <c r="J1807" s="80"/>
      <c r="K1807" s="80"/>
    </row>
    <row r="1808" ht="12.75" customHeight="1">
      <c r="B1808" s="96" t="s">
        <v>5265</v>
      </c>
      <c r="C1808" s="90"/>
      <c r="D1808" s="89" t="s">
        <v>161</v>
      </c>
      <c r="E1808" s="91">
        <v>704.0</v>
      </c>
      <c r="F1808" s="92">
        <v>1.81</v>
      </c>
      <c r="G1808" s="92">
        <v>1274.24</v>
      </c>
      <c r="H1808" s="93"/>
      <c r="I1808" s="92"/>
      <c r="J1808" s="92"/>
      <c r="K1808" s="92"/>
    </row>
    <row r="1809" ht="12.75" customHeight="1">
      <c r="B1809" s="90"/>
      <c r="E1809" s="79"/>
      <c r="F1809" s="80"/>
      <c r="G1809" s="80"/>
      <c r="H1809" s="81"/>
      <c r="I1809" s="80"/>
      <c r="J1809" s="80"/>
      <c r="K1809" s="80"/>
    </row>
    <row r="1810" ht="12.75" customHeight="1">
      <c r="B1810" s="96" t="s">
        <v>5122</v>
      </c>
      <c r="C1810" s="90"/>
      <c r="E1810" s="79"/>
      <c r="F1810" s="80"/>
      <c r="G1810" s="80"/>
      <c r="H1810" s="81"/>
      <c r="I1810" s="80"/>
      <c r="J1810" s="80"/>
      <c r="K1810" s="80"/>
    </row>
    <row r="1811" ht="12.75" customHeight="1">
      <c r="B1811" s="90"/>
      <c r="E1811" s="79"/>
      <c r="F1811" s="80"/>
      <c r="G1811" s="80"/>
      <c r="H1811" s="81"/>
      <c r="I1811" s="80"/>
      <c r="J1811" s="80"/>
      <c r="K1811" s="80"/>
    </row>
    <row r="1812" ht="12.75" customHeight="1">
      <c r="B1812" s="96" t="s">
        <v>5238</v>
      </c>
      <c r="C1812" s="90"/>
      <c r="E1812" s="79"/>
      <c r="F1812" s="80"/>
      <c r="G1812" s="80"/>
      <c r="H1812" s="81"/>
      <c r="I1812" s="80"/>
      <c r="J1812" s="80"/>
      <c r="K1812" s="80"/>
    </row>
    <row r="1813" ht="12.75" customHeight="1">
      <c r="B1813" s="90"/>
      <c r="E1813" s="79"/>
      <c r="F1813" s="80"/>
      <c r="G1813" s="80"/>
      <c r="H1813" s="81"/>
      <c r="I1813" s="80"/>
      <c r="J1813" s="80"/>
      <c r="K1813" s="80"/>
    </row>
    <row r="1814" ht="12.75" customHeight="1">
      <c r="B1814" s="96" t="s">
        <v>5266</v>
      </c>
      <c r="C1814" s="90"/>
      <c r="D1814" s="89" t="s">
        <v>75</v>
      </c>
      <c r="E1814" s="91">
        <v>29.0</v>
      </c>
      <c r="F1814" s="92">
        <v>11.26</v>
      </c>
      <c r="G1814" s="92">
        <v>326.54</v>
      </c>
      <c r="H1814" s="93"/>
      <c r="I1814" s="92"/>
      <c r="J1814" s="92"/>
      <c r="K1814" s="92"/>
    </row>
    <row r="1815" ht="12.75" customHeight="1">
      <c r="B1815" s="90"/>
      <c r="E1815" s="79"/>
      <c r="F1815" s="80"/>
      <c r="G1815" s="80"/>
      <c r="H1815" s="81"/>
      <c r="I1815" s="80"/>
      <c r="J1815" s="80"/>
      <c r="K1815" s="80"/>
    </row>
    <row r="1816" ht="12.75" customHeight="1">
      <c r="A1816" s="89" t="s">
        <v>1354</v>
      </c>
      <c r="B1816" s="96" t="s">
        <v>5267</v>
      </c>
      <c r="C1816" s="90"/>
      <c r="E1816" s="79"/>
      <c r="F1816" s="80"/>
      <c r="G1816" s="80"/>
      <c r="H1816" s="81"/>
      <c r="I1816" s="80"/>
      <c r="J1816" s="80"/>
      <c r="K1816" s="80"/>
    </row>
    <row r="1817" ht="12.75" customHeight="1">
      <c r="B1817" s="90"/>
      <c r="E1817" s="79"/>
      <c r="F1817" s="80"/>
      <c r="G1817" s="80"/>
      <c r="H1817" s="81"/>
      <c r="I1817" s="80"/>
      <c r="J1817" s="80"/>
      <c r="K1817" s="80"/>
    </row>
    <row r="1818" ht="12.75" customHeight="1">
      <c r="B1818" s="96" t="s">
        <v>5214</v>
      </c>
      <c r="C1818" s="90"/>
      <c r="E1818" s="79"/>
      <c r="F1818" s="80"/>
      <c r="G1818" s="80"/>
      <c r="H1818" s="81"/>
      <c r="I1818" s="80"/>
      <c r="J1818" s="80"/>
      <c r="K1818" s="80"/>
    </row>
    <row r="1819" ht="12.75" customHeight="1">
      <c r="B1819" s="90"/>
      <c r="E1819" s="79"/>
      <c r="F1819" s="80"/>
      <c r="G1819" s="80"/>
      <c r="H1819" s="81"/>
      <c r="I1819" s="80"/>
      <c r="J1819" s="80"/>
      <c r="K1819" s="80"/>
    </row>
    <row r="1820" ht="12.75" customHeight="1">
      <c r="B1820" s="96" t="s">
        <v>5238</v>
      </c>
      <c r="C1820" s="90"/>
      <c r="E1820" s="79"/>
      <c r="F1820" s="80"/>
      <c r="G1820" s="80"/>
      <c r="H1820" s="81"/>
      <c r="I1820" s="80"/>
      <c r="J1820" s="80"/>
      <c r="K1820" s="80"/>
    </row>
    <row r="1821" ht="12.75" customHeight="1">
      <c r="B1821" s="90"/>
      <c r="E1821" s="79"/>
      <c r="F1821" s="80"/>
      <c r="G1821" s="80"/>
      <c r="H1821" s="81"/>
      <c r="I1821" s="80"/>
      <c r="J1821" s="80"/>
      <c r="K1821" s="80"/>
    </row>
    <row r="1822" ht="12.75" customHeight="1">
      <c r="B1822" s="96" t="s">
        <v>5268</v>
      </c>
      <c r="C1822" s="90"/>
      <c r="D1822" s="89" t="s">
        <v>161</v>
      </c>
      <c r="E1822" s="91">
        <v>984.0</v>
      </c>
      <c r="F1822" s="92">
        <v>2.12</v>
      </c>
      <c r="G1822" s="92">
        <v>2086.08</v>
      </c>
      <c r="H1822" s="93"/>
      <c r="I1822" s="92"/>
      <c r="J1822" s="92"/>
      <c r="K1822" s="92"/>
    </row>
    <row r="1823" ht="12.75" customHeight="1">
      <c r="B1823" s="90"/>
      <c r="E1823" s="79"/>
      <c r="F1823" s="80"/>
      <c r="G1823" s="80"/>
      <c r="H1823" s="81"/>
      <c r="I1823" s="80"/>
      <c r="J1823" s="80"/>
      <c r="K1823" s="80"/>
    </row>
    <row r="1824" ht="12.75" customHeight="1">
      <c r="B1824" s="96" t="s">
        <v>5269</v>
      </c>
      <c r="C1824" s="90"/>
      <c r="D1824" s="89" t="s">
        <v>161</v>
      </c>
      <c r="E1824" s="91">
        <v>1527.0</v>
      </c>
      <c r="F1824" s="92">
        <v>2.38</v>
      </c>
      <c r="G1824" s="92">
        <v>3634.26</v>
      </c>
      <c r="H1824" s="93"/>
      <c r="I1824" s="92"/>
      <c r="J1824" s="92"/>
      <c r="K1824" s="92"/>
    </row>
    <row r="1825" ht="12.75" customHeight="1">
      <c r="B1825" s="90"/>
      <c r="E1825" s="79"/>
      <c r="F1825" s="80"/>
      <c r="G1825" s="80"/>
      <c r="H1825" s="81"/>
      <c r="I1825" s="80"/>
      <c r="J1825" s="80"/>
      <c r="K1825" s="80"/>
    </row>
    <row r="1826" ht="12.75" customHeight="1">
      <c r="B1826" s="96" t="s">
        <v>5270</v>
      </c>
      <c r="C1826" s="90"/>
      <c r="D1826" s="89" t="s">
        <v>161</v>
      </c>
      <c r="E1826" s="91">
        <v>355.0</v>
      </c>
      <c r="F1826" s="92">
        <v>3.36</v>
      </c>
      <c r="G1826" s="92">
        <v>1192.8</v>
      </c>
      <c r="H1826" s="93"/>
      <c r="I1826" s="92"/>
      <c r="J1826" s="92"/>
      <c r="K1826" s="92"/>
    </row>
    <row r="1827" ht="12.75" customHeight="1">
      <c r="B1827" s="90"/>
      <c r="E1827" s="79"/>
      <c r="F1827" s="80"/>
      <c r="G1827" s="80"/>
      <c r="H1827" s="81"/>
      <c r="I1827" s="80"/>
      <c r="J1827" s="80"/>
      <c r="K1827" s="80"/>
    </row>
    <row r="1828" ht="12.75" customHeight="1">
      <c r="B1828" s="96" t="s">
        <v>5119</v>
      </c>
      <c r="C1828" s="90"/>
      <c r="E1828" s="79"/>
      <c r="F1828" s="80"/>
      <c r="G1828" s="80"/>
      <c r="H1828" s="81"/>
      <c r="I1828" s="80"/>
      <c r="J1828" s="80"/>
      <c r="K1828" s="80"/>
    </row>
    <row r="1829" ht="12.75" customHeight="1">
      <c r="B1829" s="90"/>
      <c r="E1829" s="79"/>
      <c r="F1829" s="80"/>
      <c r="G1829" s="80"/>
      <c r="H1829" s="81"/>
      <c r="I1829" s="80"/>
      <c r="J1829" s="80"/>
      <c r="K1829" s="80"/>
    </row>
    <row r="1830" ht="12.75" customHeight="1">
      <c r="B1830" s="96" t="s">
        <v>5238</v>
      </c>
      <c r="C1830" s="90"/>
      <c r="E1830" s="79"/>
      <c r="F1830" s="80"/>
      <c r="G1830" s="80"/>
      <c r="H1830" s="81"/>
      <c r="I1830" s="80"/>
      <c r="J1830" s="80"/>
      <c r="K1830" s="80"/>
    </row>
    <row r="1831" ht="12.75" customHeight="1">
      <c r="B1831" s="90"/>
      <c r="E1831" s="79"/>
      <c r="F1831" s="80"/>
      <c r="G1831" s="80"/>
      <c r="H1831" s="81"/>
      <c r="I1831" s="80"/>
      <c r="J1831" s="80"/>
      <c r="K1831" s="80"/>
    </row>
    <row r="1832" ht="12.75" customHeight="1">
      <c r="B1832" s="96" t="s">
        <v>5271</v>
      </c>
      <c r="C1832" s="90"/>
      <c r="D1832" s="89" t="s">
        <v>161</v>
      </c>
      <c r="E1832" s="91">
        <v>2865.0</v>
      </c>
      <c r="F1832" s="92">
        <v>1.81</v>
      </c>
      <c r="G1832" s="92">
        <v>5185.65</v>
      </c>
      <c r="H1832" s="93"/>
      <c r="I1832" s="92"/>
      <c r="J1832" s="92"/>
      <c r="K1832" s="92"/>
    </row>
    <row r="1833" ht="12.75" customHeight="1">
      <c r="B1833" s="90"/>
      <c r="E1833" s="79"/>
      <c r="F1833" s="80"/>
      <c r="G1833" s="80"/>
      <c r="H1833" s="81"/>
      <c r="I1833" s="80"/>
      <c r="J1833" s="80"/>
      <c r="K1833" s="80"/>
    </row>
    <row r="1834" ht="12.75" customHeight="1">
      <c r="B1834" s="96" t="s">
        <v>5122</v>
      </c>
      <c r="C1834" s="90"/>
      <c r="E1834" s="79"/>
      <c r="F1834" s="80"/>
      <c r="G1834" s="80"/>
      <c r="H1834" s="81"/>
      <c r="I1834" s="80"/>
      <c r="J1834" s="80"/>
      <c r="K1834" s="80"/>
    </row>
    <row r="1835" ht="12.75" customHeight="1">
      <c r="B1835" s="90"/>
      <c r="E1835" s="79"/>
      <c r="F1835" s="80"/>
      <c r="G1835" s="80"/>
      <c r="H1835" s="81"/>
      <c r="I1835" s="80"/>
      <c r="J1835" s="80"/>
      <c r="K1835" s="80"/>
    </row>
    <row r="1836" ht="12.75" customHeight="1">
      <c r="B1836" s="96" t="s">
        <v>5238</v>
      </c>
      <c r="C1836" s="90"/>
      <c r="E1836" s="79"/>
      <c r="F1836" s="80"/>
      <c r="G1836" s="80"/>
      <c r="H1836" s="81"/>
      <c r="I1836" s="80"/>
      <c r="J1836" s="80"/>
      <c r="K1836" s="80"/>
    </row>
    <row r="1837" ht="12.75" customHeight="1">
      <c r="B1837" s="90"/>
      <c r="E1837" s="79"/>
      <c r="F1837" s="80"/>
      <c r="G1837" s="80"/>
      <c r="H1837" s="81"/>
      <c r="I1837" s="80"/>
      <c r="J1837" s="80"/>
      <c r="K1837" s="80"/>
    </row>
    <row r="1838" ht="12.75" customHeight="1">
      <c r="B1838" s="96" t="s">
        <v>5272</v>
      </c>
      <c r="C1838" s="90"/>
      <c r="D1838" s="89" t="s">
        <v>75</v>
      </c>
      <c r="E1838" s="91">
        <v>199.0</v>
      </c>
      <c r="F1838" s="92">
        <v>13.53</v>
      </c>
      <c r="G1838" s="92">
        <v>2692.47</v>
      </c>
      <c r="H1838" s="93"/>
      <c r="I1838" s="92"/>
      <c r="J1838" s="92"/>
      <c r="K1838" s="92"/>
    </row>
    <row r="1839" ht="12.75" customHeight="1">
      <c r="B1839" s="90"/>
      <c r="E1839" s="79"/>
      <c r="F1839" s="80"/>
      <c r="G1839" s="80"/>
      <c r="H1839" s="81"/>
      <c r="I1839" s="80"/>
      <c r="J1839" s="80"/>
      <c r="K1839" s="80"/>
    </row>
    <row r="1840" ht="12.75" customHeight="1">
      <c r="B1840" s="96" t="s">
        <v>5273</v>
      </c>
      <c r="C1840" s="90"/>
      <c r="D1840" s="89" t="s">
        <v>75</v>
      </c>
      <c r="E1840" s="91">
        <v>15.0</v>
      </c>
      <c r="F1840" s="92">
        <v>84.7</v>
      </c>
      <c r="G1840" s="92">
        <v>1270.5</v>
      </c>
      <c r="H1840" s="93"/>
      <c r="I1840" s="92"/>
      <c r="J1840" s="92"/>
      <c r="K1840" s="92"/>
    </row>
    <row r="1841" ht="12.75" customHeight="1">
      <c r="B1841" s="90"/>
      <c r="E1841" s="79"/>
      <c r="F1841" s="80"/>
      <c r="G1841" s="80"/>
      <c r="H1841" s="81"/>
      <c r="I1841" s="80"/>
      <c r="J1841" s="80"/>
      <c r="K1841" s="80"/>
    </row>
    <row r="1842" ht="12.75" customHeight="1">
      <c r="B1842" s="96" t="s">
        <v>5274</v>
      </c>
      <c r="C1842" s="90"/>
      <c r="D1842" s="89" t="s">
        <v>75</v>
      </c>
      <c r="E1842" s="91">
        <v>16.0</v>
      </c>
      <c r="F1842" s="92">
        <v>1.23</v>
      </c>
      <c r="G1842" s="92">
        <v>19.68</v>
      </c>
      <c r="H1842" s="93"/>
      <c r="I1842" s="92"/>
      <c r="J1842" s="92"/>
      <c r="K1842" s="92"/>
    </row>
    <row r="1843" ht="12.75" customHeight="1">
      <c r="B1843" s="90"/>
      <c r="E1843" s="79"/>
      <c r="F1843" s="80"/>
      <c r="G1843" s="80"/>
      <c r="H1843" s="81"/>
      <c r="I1843" s="80"/>
      <c r="J1843" s="80"/>
      <c r="K1843" s="80"/>
    </row>
    <row r="1844" ht="12.75" customHeight="1">
      <c r="B1844" s="96" t="s">
        <v>5275</v>
      </c>
      <c r="C1844" s="90"/>
      <c r="D1844" s="89" t="s">
        <v>75</v>
      </c>
      <c r="E1844" s="91">
        <v>10.0</v>
      </c>
      <c r="F1844" s="92">
        <v>61.67</v>
      </c>
      <c r="G1844" s="92">
        <v>616.7</v>
      </c>
      <c r="H1844" s="93"/>
      <c r="I1844" s="92"/>
      <c r="J1844" s="92"/>
      <c r="K1844" s="92"/>
    </row>
    <row r="1845" ht="12.75" customHeight="1">
      <c r="B1845" s="90"/>
      <c r="E1845" s="79"/>
      <c r="F1845" s="80"/>
      <c r="G1845" s="80"/>
      <c r="H1845" s="81"/>
      <c r="I1845" s="80"/>
      <c r="J1845" s="80"/>
      <c r="K1845" s="80"/>
    </row>
    <row r="1846" ht="12.75" customHeight="1">
      <c r="B1846" s="96" t="s">
        <v>5276</v>
      </c>
      <c r="C1846" s="90"/>
      <c r="E1846" s="79"/>
      <c r="F1846" s="80"/>
      <c r="G1846" s="80"/>
      <c r="H1846" s="81"/>
      <c r="I1846" s="80"/>
      <c r="J1846" s="80"/>
      <c r="K1846" s="80"/>
    </row>
    <row r="1847" ht="12.75" customHeight="1">
      <c r="B1847" s="90"/>
      <c r="E1847" s="79"/>
      <c r="F1847" s="80"/>
      <c r="G1847" s="80"/>
      <c r="H1847" s="81"/>
      <c r="I1847" s="80"/>
      <c r="J1847" s="80"/>
      <c r="K1847" s="80"/>
    </row>
    <row r="1848" ht="12.75" customHeight="1">
      <c r="B1848" s="96" t="s">
        <v>5277</v>
      </c>
      <c r="C1848" s="90"/>
      <c r="E1848" s="79"/>
      <c r="F1848" s="80"/>
      <c r="G1848" s="80"/>
      <c r="H1848" s="81"/>
      <c r="I1848" s="80"/>
      <c r="J1848" s="80"/>
      <c r="K1848" s="80"/>
    </row>
    <row r="1849" ht="12.75" customHeight="1">
      <c r="B1849" s="90"/>
      <c r="E1849" s="79"/>
      <c r="F1849" s="80"/>
      <c r="G1849" s="80"/>
      <c r="H1849" s="81"/>
      <c r="I1849" s="80"/>
      <c r="J1849" s="80"/>
      <c r="K1849" s="80"/>
    </row>
    <row r="1850" ht="12.75" customHeight="1">
      <c r="B1850" s="96" t="s">
        <v>5278</v>
      </c>
      <c r="C1850" s="90"/>
      <c r="E1850" s="79"/>
      <c r="F1850" s="80"/>
      <c r="G1850" s="80"/>
      <c r="H1850" s="81"/>
      <c r="I1850" s="80"/>
      <c r="J1850" s="80"/>
      <c r="K1850" s="80"/>
    </row>
    <row r="1851" ht="12.75" customHeight="1">
      <c r="B1851" s="90"/>
      <c r="E1851" s="79"/>
      <c r="F1851" s="80"/>
      <c r="G1851" s="80"/>
      <c r="H1851" s="81"/>
      <c r="I1851" s="80"/>
      <c r="J1851" s="80"/>
      <c r="K1851" s="80"/>
    </row>
    <row r="1852" ht="12.75" customHeight="1">
      <c r="B1852" s="96" t="s">
        <v>3070</v>
      </c>
      <c r="C1852" s="90"/>
      <c r="E1852" s="79"/>
      <c r="F1852" s="80"/>
      <c r="G1852" s="80"/>
      <c r="H1852" s="81"/>
      <c r="I1852" s="80"/>
      <c r="J1852" s="80"/>
      <c r="K1852" s="80"/>
    </row>
    <row r="1853" ht="12.75" customHeight="1">
      <c r="B1853" s="90"/>
      <c r="E1853" s="79"/>
      <c r="F1853" s="80"/>
      <c r="G1853" s="80"/>
      <c r="H1853" s="81"/>
      <c r="I1853" s="80"/>
      <c r="J1853" s="80"/>
      <c r="K1853" s="80"/>
    </row>
    <row r="1854" ht="12.75" customHeight="1">
      <c r="B1854" s="96" t="s">
        <v>5279</v>
      </c>
      <c r="C1854" s="90"/>
      <c r="D1854" s="89" t="s">
        <v>75</v>
      </c>
      <c r="E1854" s="91">
        <v>9.0</v>
      </c>
      <c r="F1854" s="92">
        <v>9.18</v>
      </c>
      <c r="G1854" s="92">
        <v>82.62</v>
      </c>
      <c r="H1854" s="93"/>
      <c r="I1854" s="92"/>
      <c r="J1854" s="92"/>
      <c r="K1854" s="92"/>
    </row>
    <row r="1855" ht="12.75" customHeight="1">
      <c r="B1855" s="90"/>
      <c r="E1855" s="79"/>
      <c r="F1855" s="80"/>
      <c r="G1855" s="80"/>
      <c r="H1855" s="81"/>
      <c r="I1855" s="80"/>
      <c r="J1855" s="80"/>
      <c r="K1855" s="80"/>
    </row>
    <row r="1856" ht="12.75" customHeight="1">
      <c r="B1856" s="96" t="s">
        <v>3074</v>
      </c>
      <c r="C1856" s="90"/>
      <c r="D1856" s="89" t="s">
        <v>75</v>
      </c>
      <c r="E1856" s="91">
        <v>11.0</v>
      </c>
      <c r="F1856" s="92">
        <v>9.18</v>
      </c>
      <c r="G1856" s="92">
        <v>100.98</v>
      </c>
      <c r="H1856" s="93"/>
      <c r="I1856" s="92"/>
      <c r="J1856" s="92"/>
      <c r="K1856" s="92"/>
    </row>
    <row r="1857" ht="12.75" customHeight="1">
      <c r="B1857" s="90"/>
      <c r="E1857" s="79"/>
      <c r="F1857" s="80"/>
      <c r="G1857" s="80"/>
      <c r="H1857" s="81"/>
      <c r="I1857" s="80"/>
      <c r="J1857" s="80"/>
      <c r="K1857" s="80"/>
    </row>
    <row r="1858" ht="12.75" customHeight="1">
      <c r="B1858" s="96" t="s">
        <v>5280</v>
      </c>
      <c r="C1858" s="90"/>
      <c r="D1858" s="89" t="s">
        <v>75</v>
      </c>
      <c r="E1858" s="91">
        <v>7.0</v>
      </c>
      <c r="F1858" s="92">
        <v>9.18</v>
      </c>
      <c r="G1858" s="92">
        <v>64.26</v>
      </c>
      <c r="H1858" s="93"/>
      <c r="I1858" s="92"/>
      <c r="J1858" s="92"/>
      <c r="K1858" s="92"/>
    </row>
    <row r="1859" ht="12.75" customHeight="1">
      <c r="B1859" s="90"/>
      <c r="E1859" s="79"/>
      <c r="F1859" s="80"/>
      <c r="G1859" s="80"/>
      <c r="H1859" s="81"/>
      <c r="I1859" s="80"/>
      <c r="J1859" s="80"/>
      <c r="K1859" s="80"/>
    </row>
    <row r="1860" ht="12.75" customHeight="1">
      <c r="B1860" s="96" t="s">
        <v>5281</v>
      </c>
      <c r="C1860" s="90"/>
      <c r="D1860" s="89" t="s">
        <v>75</v>
      </c>
      <c r="E1860" s="91">
        <v>2.0</v>
      </c>
      <c r="F1860" s="92">
        <v>9.18</v>
      </c>
      <c r="G1860" s="92">
        <v>18.36</v>
      </c>
      <c r="H1860" s="93"/>
      <c r="I1860" s="92"/>
      <c r="J1860" s="92"/>
      <c r="K1860" s="92"/>
    </row>
    <row r="1861" ht="12.75" customHeight="1">
      <c r="B1861" s="90"/>
      <c r="E1861" s="79"/>
      <c r="F1861" s="80"/>
      <c r="G1861" s="80"/>
      <c r="H1861" s="81"/>
      <c r="I1861" s="80"/>
      <c r="J1861" s="80"/>
      <c r="K1861" s="80"/>
    </row>
    <row r="1862" ht="12.75" customHeight="1">
      <c r="B1862" s="96" t="s">
        <v>5282</v>
      </c>
      <c r="C1862" s="90"/>
      <c r="D1862" s="89" t="s">
        <v>75</v>
      </c>
      <c r="E1862" s="91">
        <v>8.0</v>
      </c>
      <c r="F1862" s="92">
        <v>9.18</v>
      </c>
      <c r="G1862" s="92">
        <v>73.44</v>
      </c>
      <c r="H1862" s="93"/>
      <c r="I1862" s="92"/>
      <c r="J1862" s="92"/>
      <c r="K1862" s="92"/>
    </row>
    <row r="1863" ht="12.75" customHeight="1">
      <c r="B1863" s="90"/>
      <c r="E1863" s="79"/>
      <c r="F1863" s="80"/>
      <c r="G1863" s="80"/>
      <c r="H1863" s="81"/>
      <c r="I1863" s="80"/>
      <c r="J1863" s="80"/>
      <c r="K1863" s="80"/>
    </row>
    <row r="1864" ht="12.75" customHeight="1">
      <c r="B1864" s="96" t="s">
        <v>5283</v>
      </c>
      <c r="C1864" s="90"/>
      <c r="D1864" s="89" t="s">
        <v>1374</v>
      </c>
      <c r="E1864" s="91">
        <v>2.0</v>
      </c>
      <c r="F1864" s="92">
        <v>9.18</v>
      </c>
      <c r="G1864" s="92">
        <v>18.36</v>
      </c>
      <c r="H1864" s="93"/>
      <c r="I1864" s="92"/>
      <c r="J1864" s="92"/>
      <c r="K1864" s="92"/>
    </row>
    <row r="1865" ht="12.75" customHeight="1">
      <c r="B1865" s="90"/>
      <c r="E1865" s="79"/>
      <c r="F1865" s="80"/>
      <c r="G1865" s="80"/>
      <c r="H1865" s="81"/>
      <c r="I1865" s="80"/>
      <c r="J1865" s="80"/>
      <c r="K1865" s="80"/>
    </row>
    <row r="1866" ht="12.75" customHeight="1">
      <c r="B1866" s="96" t="s">
        <v>5284</v>
      </c>
      <c r="C1866" s="90"/>
      <c r="D1866" s="89" t="s">
        <v>75</v>
      </c>
      <c r="E1866" s="91">
        <v>1.0</v>
      </c>
      <c r="F1866" s="92">
        <v>9.18</v>
      </c>
      <c r="G1866" s="92">
        <v>9.18</v>
      </c>
      <c r="H1866" s="93"/>
      <c r="I1866" s="92"/>
      <c r="J1866" s="92"/>
      <c r="K1866" s="92"/>
    </row>
    <row r="1867" ht="12.75" customHeight="1">
      <c r="B1867" s="90"/>
      <c r="E1867" s="79"/>
      <c r="F1867" s="80"/>
      <c r="G1867" s="80"/>
      <c r="H1867" s="81"/>
      <c r="I1867" s="80"/>
      <c r="J1867" s="80"/>
      <c r="K1867" s="80"/>
    </row>
    <row r="1868" ht="12.75" customHeight="1">
      <c r="B1868" s="96" t="s">
        <v>5285</v>
      </c>
      <c r="C1868" s="90"/>
      <c r="D1868" s="89" t="s">
        <v>75</v>
      </c>
      <c r="E1868" s="91">
        <v>3.0</v>
      </c>
      <c r="F1868" s="92">
        <v>2.12</v>
      </c>
      <c r="G1868" s="92">
        <v>6.36</v>
      </c>
      <c r="H1868" s="93"/>
      <c r="I1868" s="92"/>
      <c r="J1868" s="92"/>
      <c r="K1868" s="92"/>
    </row>
    <row r="1869" ht="12.75" customHeight="1">
      <c r="B1869" s="90"/>
      <c r="E1869" s="79"/>
      <c r="F1869" s="80"/>
      <c r="G1869" s="80"/>
      <c r="H1869" s="81"/>
      <c r="I1869" s="80"/>
      <c r="J1869" s="80"/>
      <c r="K1869" s="80"/>
    </row>
    <row r="1870" ht="12.75" customHeight="1">
      <c r="B1870" s="96" t="s">
        <v>5286</v>
      </c>
      <c r="C1870" s="90"/>
      <c r="D1870" s="89" t="s">
        <v>75</v>
      </c>
      <c r="E1870" s="91">
        <v>2.0</v>
      </c>
      <c r="F1870" s="92">
        <v>9.18</v>
      </c>
      <c r="G1870" s="92">
        <v>18.36</v>
      </c>
      <c r="H1870" s="93"/>
      <c r="I1870" s="92"/>
      <c r="J1870" s="92"/>
      <c r="K1870" s="92"/>
    </row>
    <row r="1871" ht="12.75" customHeight="1">
      <c r="B1871" s="90"/>
      <c r="E1871" s="79"/>
      <c r="F1871" s="80"/>
      <c r="G1871" s="80"/>
      <c r="H1871" s="81"/>
      <c r="I1871" s="80"/>
      <c r="J1871" s="80"/>
      <c r="K1871" s="80"/>
    </row>
    <row r="1872" ht="12.75" customHeight="1">
      <c r="B1872" s="96" t="s">
        <v>5287</v>
      </c>
      <c r="C1872" s="90"/>
      <c r="D1872" s="89" t="s">
        <v>75</v>
      </c>
      <c r="E1872" s="91">
        <v>1.0</v>
      </c>
      <c r="F1872" s="92">
        <v>9.18</v>
      </c>
      <c r="G1872" s="92">
        <v>9.18</v>
      </c>
      <c r="H1872" s="93"/>
      <c r="I1872" s="92"/>
      <c r="J1872" s="92"/>
      <c r="K1872" s="92"/>
    </row>
    <row r="1873" ht="12.75" customHeight="1">
      <c r="B1873" s="90"/>
      <c r="E1873" s="79"/>
      <c r="F1873" s="80"/>
      <c r="G1873" s="80"/>
      <c r="H1873" s="81"/>
      <c r="I1873" s="80"/>
      <c r="J1873" s="80"/>
      <c r="K1873" s="80"/>
    </row>
    <row r="1874" ht="12.75" customHeight="1">
      <c r="B1874" s="96" t="s">
        <v>5288</v>
      </c>
      <c r="C1874" s="90"/>
      <c r="D1874" s="89" t="s">
        <v>75</v>
      </c>
      <c r="E1874" s="91">
        <v>1.0</v>
      </c>
      <c r="F1874" s="92">
        <v>9.18</v>
      </c>
      <c r="G1874" s="92">
        <v>9.18</v>
      </c>
      <c r="H1874" s="93"/>
      <c r="I1874" s="92"/>
      <c r="J1874" s="92"/>
      <c r="K1874" s="92"/>
    </row>
    <row r="1875" ht="12.75" customHeight="1">
      <c r="B1875" s="90"/>
      <c r="E1875" s="79"/>
      <c r="F1875" s="80"/>
      <c r="G1875" s="80"/>
      <c r="H1875" s="81"/>
      <c r="I1875" s="80"/>
      <c r="J1875" s="80"/>
      <c r="K1875" s="80"/>
    </row>
    <row r="1876" ht="12.75" customHeight="1">
      <c r="B1876" s="96" t="s">
        <v>5289</v>
      </c>
      <c r="C1876" s="90"/>
      <c r="D1876" s="89" t="s">
        <v>75</v>
      </c>
      <c r="E1876" s="91">
        <v>1.0</v>
      </c>
      <c r="F1876" s="92">
        <v>9.18</v>
      </c>
      <c r="G1876" s="92">
        <v>9.18</v>
      </c>
      <c r="H1876" s="93"/>
      <c r="I1876" s="92"/>
      <c r="J1876" s="92"/>
      <c r="K1876" s="92"/>
    </row>
    <row r="1877" ht="12.75" customHeight="1">
      <c r="B1877" s="90"/>
      <c r="E1877" s="79"/>
      <c r="F1877" s="80"/>
      <c r="G1877" s="80"/>
      <c r="H1877" s="81"/>
      <c r="I1877" s="80"/>
      <c r="J1877" s="80"/>
      <c r="K1877" s="80"/>
    </row>
    <row r="1878" ht="12.75" customHeight="1">
      <c r="B1878" s="96" t="s">
        <v>5290</v>
      </c>
      <c r="C1878" s="90"/>
      <c r="D1878" s="89" t="s">
        <v>75</v>
      </c>
      <c r="E1878" s="91">
        <v>1.0</v>
      </c>
      <c r="F1878" s="92">
        <v>69.67</v>
      </c>
      <c r="G1878" s="92">
        <v>69.67</v>
      </c>
      <c r="H1878" s="93"/>
      <c r="I1878" s="92"/>
      <c r="J1878" s="92"/>
      <c r="K1878" s="92"/>
    </row>
    <row r="1879" ht="12.75" customHeight="1">
      <c r="B1879" s="90"/>
      <c r="E1879" s="79"/>
      <c r="F1879" s="80"/>
      <c r="G1879" s="80"/>
      <c r="H1879" s="81"/>
      <c r="I1879" s="80"/>
      <c r="J1879" s="80"/>
      <c r="K1879" s="80"/>
    </row>
    <row r="1880" ht="12.75" customHeight="1">
      <c r="B1880" s="96" t="s">
        <v>5291</v>
      </c>
      <c r="C1880" s="90"/>
      <c r="D1880" s="89" t="s">
        <v>75</v>
      </c>
      <c r="E1880" s="91">
        <v>3.0</v>
      </c>
      <c r="F1880" s="92">
        <v>21.66</v>
      </c>
      <c r="G1880" s="92">
        <v>64.98</v>
      </c>
      <c r="H1880" s="93"/>
      <c r="I1880" s="92"/>
      <c r="J1880" s="92"/>
      <c r="K1880" s="92"/>
    </row>
    <row r="1881" ht="12.75" customHeight="1">
      <c r="B1881" s="90"/>
      <c r="E1881" s="79"/>
      <c r="F1881" s="80"/>
      <c r="G1881" s="80"/>
      <c r="H1881" s="81"/>
      <c r="I1881" s="80"/>
      <c r="J1881" s="80"/>
      <c r="K1881" s="80"/>
    </row>
    <row r="1882" ht="12.75" customHeight="1">
      <c r="B1882" s="96" t="s">
        <v>5292</v>
      </c>
      <c r="C1882" s="90"/>
      <c r="D1882" s="89" t="s">
        <v>75</v>
      </c>
      <c r="E1882" s="91">
        <v>6.0</v>
      </c>
      <c r="F1882" s="92">
        <v>107.0</v>
      </c>
      <c r="G1882" s="92">
        <v>642.0</v>
      </c>
      <c r="H1882" s="93"/>
      <c r="I1882" s="92"/>
      <c r="J1882" s="92"/>
      <c r="K1882" s="92"/>
    </row>
    <row r="1883" ht="12.75" customHeight="1">
      <c r="B1883" s="90"/>
      <c r="E1883" s="79"/>
      <c r="F1883" s="80"/>
      <c r="G1883" s="80"/>
      <c r="H1883" s="81"/>
      <c r="I1883" s="80"/>
      <c r="J1883" s="80"/>
      <c r="K1883" s="80"/>
    </row>
    <row r="1884" ht="12.75" customHeight="1">
      <c r="B1884" s="96" t="s">
        <v>5293</v>
      </c>
      <c r="C1884" s="90"/>
      <c r="E1884" s="79"/>
      <c r="F1884" s="80"/>
      <c r="G1884" s="80"/>
      <c r="H1884" s="81"/>
      <c r="I1884" s="80"/>
      <c r="J1884" s="80"/>
      <c r="K1884" s="80"/>
    </row>
    <row r="1885" ht="12.75" customHeight="1">
      <c r="B1885" s="90"/>
      <c r="E1885" s="79"/>
      <c r="F1885" s="80"/>
      <c r="G1885" s="80"/>
      <c r="H1885" s="81"/>
      <c r="I1885" s="80"/>
      <c r="J1885" s="80"/>
      <c r="K1885" s="80"/>
    </row>
    <row r="1886" ht="12.75" customHeight="1">
      <c r="B1886" s="96" t="s">
        <v>3074</v>
      </c>
      <c r="C1886" s="90"/>
      <c r="D1886" s="89" t="s">
        <v>75</v>
      </c>
      <c r="E1886" s="91">
        <v>27.0</v>
      </c>
      <c r="F1886" s="92">
        <v>9.18</v>
      </c>
      <c r="G1886" s="92">
        <v>247.86</v>
      </c>
      <c r="H1886" s="93"/>
      <c r="I1886" s="92"/>
      <c r="J1886" s="92"/>
      <c r="K1886" s="92"/>
    </row>
    <row r="1887" ht="12.75" customHeight="1">
      <c r="B1887" s="90"/>
      <c r="E1887" s="79"/>
      <c r="F1887" s="80"/>
      <c r="G1887" s="80"/>
      <c r="H1887" s="81"/>
      <c r="I1887" s="80"/>
      <c r="J1887" s="80"/>
      <c r="K1887" s="80"/>
    </row>
    <row r="1888" ht="12.75" customHeight="1">
      <c r="B1888" s="96" t="s">
        <v>5282</v>
      </c>
      <c r="C1888" s="90"/>
      <c r="D1888" s="89" t="s">
        <v>75</v>
      </c>
      <c r="E1888" s="91">
        <v>40.0</v>
      </c>
      <c r="F1888" s="92">
        <v>9.18</v>
      </c>
      <c r="G1888" s="92">
        <v>367.2</v>
      </c>
      <c r="H1888" s="93"/>
      <c r="I1888" s="92"/>
      <c r="J1888" s="92"/>
      <c r="K1888" s="92"/>
    </row>
    <row r="1889" ht="12.75" customHeight="1">
      <c r="B1889" s="90"/>
      <c r="E1889" s="79"/>
      <c r="F1889" s="80"/>
      <c r="G1889" s="80"/>
      <c r="H1889" s="81"/>
      <c r="I1889" s="80"/>
      <c r="J1889" s="80"/>
      <c r="K1889" s="80"/>
    </row>
    <row r="1890" ht="12.75" customHeight="1">
      <c r="B1890" s="96" t="s">
        <v>5294</v>
      </c>
      <c r="C1890" s="90"/>
      <c r="D1890" s="89" t="s">
        <v>75</v>
      </c>
      <c r="E1890" s="91">
        <v>5.0</v>
      </c>
      <c r="F1890" s="92">
        <v>9.18</v>
      </c>
      <c r="G1890" s="92">
        <v>45.9</v>
      </c>
      <c r="H1890" s="93"/>
      <c r="I1890" s="92"/>
      <c r="J1890" s="92"/>
      <c r="K1890" s="92"/>
    </row>
    <row r="1891" ht="12.75" customHeight="1">
      <c r="B1891" s="90"/>
      <c r="E1891" s="79"/>
      <c r="F1891" s="80"/>
      <c r="G1891" s="80"/>
      <c r="H1891" s="81"/>
      <c r="I1891" s="80"/>
      <c r="J1891" s="80"/>
      <c r="K1891" s="80"/>
    </row>
    <row r="1892" ht="12.75" customHeight="1">
      <c r="B1892" s="96" t="s">
        <v>5284</v>
      </c>
      <c r="C1892" s="90"/>
      <c r="D1892" s="89" t="s">
        <v>75</v>
      </c>
      <c r="E1892" s="91">
        <v>14.0</v>
      </c>
      <c r="F1892" s="92">
        <v>9.18</v>
      </c>
      <c r="G1892" s="92">
        <v>128.52</v>
      </c>
      <c r="H1892" s="93"/>
      <c r="I1892" s="92"/>
      <c r="J1892" s="92"/>
      <c r="K1892" s="92"/>
    </row>
    <row r="1893" ht="12.75" customHeight="1">
      <c r="B1893" s="90"/>
      <c r="E1893" s="79"/>
      <c r="F1893" s="80"/>
      <c r="G1893" s="80"/>
      <c r="H1893" s="81"/>
      <c r="I1893" s="80"/>
      <c r="J1893" s="80"/>
      <c r="K1893" s="80"/>
    </row>
    <row r="1894" ht="12.75" customHeight="1">
      <c r="B1894" s="96" t="s">
        <v>5295</v>
      </c>
      <c r="C1894" s="90"/>
      <c r="D1894" s="89" t="s">
        <v>75</v>
      </c>
      <c r="E1894" s="91">
        <v>52.0</v>
      </c>
      <c r="F1894" s="92">
        <v>9.18</v>
      </c>
      <c r="G1894" s="92">
        <v>477.36</v>
      </c>
      <c r="H1894" s="93"/>
      <c r="I1894" s="92"/>
      <c r="J1894" s="92"/>
      <c r="K1894" s="92"/>
    </row>
    <row r="1895" ht="12.75" customHeight="1">
      <c r="B1895" s="90"/>
      <c r="E1895" s="79"/>
      <c r="F1895" s="80"/>
      <c r="G1895" s="80"/>
      <c r="H1895" s="81"/>
      <c r="I1895" s="80"/>
      <c r="J1895" s="80"/>
      <c r="K1895" s="80"/>
    </row>
    <row r="1896" ht="12.75" customHeight="1">
      <c r="B1896" s="96" t="s">
        <v>5296</v>
      </c>
      <c r="C1896" s="90"/>
      <c r="D1896" s="89" t="s">
        <v>75</v>
      </c>
      <c r="E1896" s="91">
        <v>3.0</v>
      </c>
      <c r="F1896" s="92">
        <v>9.18</v>
      </c>
      <c r="G1896" s="92">
        <v>27.54</v>
      </c>
      <c r="H1896" s="93"/>
      <c r="I1896" s="92"/>
      <c r="J1896" s="92"/>
      <c r="K1896" s="92"/>
    </row>
    <row r="1897" ht="12.75" customHeight="1">
      <c r="B1897" s="90"/>
      <c r="E1897" s="79"/>
      <c r="F1897" s="80"/>
      <c r="G1897" s="80"/>
      <c r="H1897" s="81"/>
      <c r="I1897" s="80"/>
      <c r="J1897" s="80"/>
      <c r="K1897" s="80"/>
    </row>
    <row r="1898" ht="12.75" customHeight="1">
      <c r="B1898" s="96" t="s">
        <v>5283</v>
      </c>
      <c r="C1898" s="90"/>
      <c r="D1898" s="89" t="s">
        <v>1374</v>
      </c>
      <c r="E1898" s="91">
        <v>1.0</v>
      </c>
      <c r="F1898" s="92">
        <v>9.18</v>
      </c>
      <c r="G1898" s="92">
        <v>9.18</v>
      </c>
      <c r="H1898" s="93"/>
      <c r="I1898" s="92"/>
      <c r="J1898" s="92"/>
      <c r="K1898" s="92"/>
    </row>
    <row r="1899" ht="12.75" customHeight="1">
      <c r="B1899" s="90"/>
      <c r="E1899" s="79"/>
      <c r="F1899" s="80"/>
      <c r="G1899" s="80"/>
      <c r="H1899" s="81"/>
      <c r="I1899" s="80"/>
      <c r="J1899" s="80"/>
      <c r="K1899" s="80"/>
    </row>
    <row r="1900" ht="12.75" customHeight="1">
      <c r="B1900" s="96" t="s">
        <v>5297</v>
      </c>
      <c r="C1900" s="90"/>
      <c r="D1900" s="89" t="s">
        <v>75</v>
      </c>
      <c r="E1900" s="91">
        <v>4.0</v>
      </c>
      <c r="F1900" s="92">
        <v>9.18</v>
      </c>
      <c r="G1900" s="92">
        <v>36.72</v>
      </c>
      <c r="H1900" s="93"/>
      <c r="I1900" s="92"/>
      <c r="J1900" s="92"/>
      <c r="K1900" s="92"/>
    </row>
    <row r="1901" ht="12.75" customHeight="1">
      <c r="B1901" s="90"/>
      <c r="E1901" s="79"/>
      <c r="F1901" s="80"/>
      <c r="G1901" s="80"/>
      <c r="H1901" s="81"/>
      <c r="I1901" s="80"/>
      <c r="J1901" s="80"/>
      <c r="K1901" s="80"/>
    </row>
    <row r="1902" ht="12.75" customHeight="1">
      <c r="B1902" s="96" t="s">
        <v>5298</v>
      </c>
      <c r="C1902" s="90"/>
      <c r="D1902" s="89" t="s">
        <v>75</v>
      </c>
      <c r="E1902" s="91">
        <v>22.0</v>
      </c>
      <c r="F1902" s="92">
        <v>9.18</v>
      </c>
      <c r="G1902" s="92">
        <v>201.96</v>
      </c>
      <c r="H1902" s="93"/>
      <c r="I1902" s="92"/>
      <c r="J1902" s="92"/>
      <c r="K1902" s="92"/>
    </row>
    <row r="1903" ht="12.75" customHeight="1">
      <c r="B1903" s="90"/>
      <c r="E1903" s="79"/>
      <c r="F1903" s="80"/>
      <c r="G1903" s="80"/>
      <c r="H1903" s="81"/>
      <c r="I1903" s="80"/>
      <c r="J1903" s="80"/>
      <c r="K1903" s="80"/>
    </row>
    <row r="1904" ht="12.75" customHeight="1">
      <c r="B1904" s="96" t="s">
        <v>5299</v>
      </c>
      <c r="C1904" s="90"/>
      <c r="D1904" s="89" t="s">
        <v>75</v>
      </c>
      <c r="E1904" s="91">
        <v>1.0</v>
      </c>
      <c r="F1904" s="92">
        <v>9.18</v>
      </c>
      <c r="G1904" s="92">
        <v>9.18</v>
      </c>
      <c r="H1904" s="93"/>
      <c r="I1904" s="92"/>
      <c r="J1904" s="92"/>
      <c r="K1904" s="92"/>
    </row>
    <row r="1905" ht="12.75" customHeight="1">
      <c r="B1905" s="90"/>
      <c r="E1905" s="79"/>
      <c r="F1905" s="80"/>
      <c r="G1905" s="80"/>
      <c r="H1905" s="81"/>
      <c r="I1905" s="80"/>
      <c r="J1905" s="80"/>
      <c r="K1905" s="80"/>
    </row>
    <row r="1906" ht="12.75" customHeight="1">
      <c r="B1906" s="96" t="s">
        <v>5300</v>
      </c>
      <c r="C1906" s="90"/>
      <c r="D1906" s="89" t="s">
        <v>75</v>
      </c>
      <c r="E1906" s="91">
        <v>1.0</v>
      </c>
      <c r="F1906" s="92">
        <v>9.18</v>
      </c>
      <c r="G1906" s="92">
        <v>9.18</v>
      </c>
      <c r="H1906" s="93"/>
      <c r="I1906" s="92"/>
      <c r="J1906" s="92"/>
      <c r="K1906" s="92"/>
    </row>
    <row r="1907" ht="12.75" customHeight="1">
      <c r="B1907" s="90"/>
      <c r="E1907" s="79"/>
      <c r="F1907" s="80"/>
      <c r="G1907" s="80"/>
      <c r="H1907" s="81"/>
      <c r="I1907" s="80"/>
      <c r="J1907" s="80"/>
      <c r="K1907" s="80"/>
    </row>
    <row r="1908" ht="12.75" customHeight="1">
      <c r="B1908" s="96" t="s">
        <v>5301</v>
      </c>
      <c r="C1908" s="90"/>
      <c r="D1908" s="89" t="s">
        <v>75</v>
      </c>
      <c r="E1908" s="91">
        <v>1.0</v>
      </c>
      <c r="F1908" s="92">
        <v>9.18</v>
      </c>
      <c r="G1908" s="92">
        <v>9.18</v>
      </c>
      <c r="H1908" s="93"/>
      <c r="I1908" s="92"/>
      <c r="J1908" s="92"/>
      <c r="K1908" s="92"/>
    </row>
    <row r="1909" ht="12.75" customHeight="1">
      <c r="B1909" s="90"/>
      <c r="E1909" s="79"/>
      <c r="F1909" s="80"/>
      <c r="G1909" s="80"/>
      <c r="H1909" s="81"/>
      <c r="I1909" s="80"/>
      <c r="J1909" s="80"/>
      <c r="K1909" s="80"/>
    </row>
    <row r="1910" ht="12.75" customHeight="1">
      <c r="B1910" s="96" t="s">
        <v>5302</v>
      </c>
      <c r="C1910" s="90"/>
      <c r="D1910" s="89" t="s">
        <v>75</v>
      </c>
      <c r="E1910" s="91">
        <v>1.0</v>
      </c>
      <c r="F1910" s="92">
        <v>9.18</v>
      </c>
      <c r="G1910" s="92">
        <v>9.18</v>
      </c>
      <c r="H1910" s="93"/>
      <c r="I1910" s="92"/>
      <c r="J1910" s="92"/>
      <c r="K1910" s="92"/>
    </row>
    <row r="1911" ht="12.75" customHeight="1">
      <c r="B1911" s="90"/>
      <c r="E1911" s="79"/>
      <c r="F1911" s="80"/>
      <c r="G1911" s="80"/>
      <c r="H1911" s="81"/>
      <c r="I1911" s="80"/>
      <c r="J1911" s="80"/>
      <c r="K1911" s="80"/>
    </row>
    <row r="1912" ht="12.75" customHeight="1">
      <c r="B1912" s="96" t="s">
        <v>5303</v>
      </c>
      <c r="C1912" s="90"/>
      <c r="D1912" s="89" t="s">
        <v>75</v>
      </c>
      <c r="E1912" s="91">
        <v>1.0</v>
      </c>
      <c r="F1912" s="92">
        <v>9.18</v>
      </c>
      <c r="G1912" s="92">
        <v>9.18</v>
      </c>
      <c r="H1912" s="93"/>
      <c r="I1912" s="92"/>
      <c r="J1912" s="92"/>
      <c r="K1912" s="92"/>
    </row>
    <row r="1913" ht="12.75" customHeight="1">
      <c r="B1913" s="90"/>
      <c r="E1913" s="79"/>
      <c r="F1913" s="80"/>
      <c r="G1913" s="80"/>
      <c r="H1913" s="81"/>
      <c r="I1913" s="80"/>
      <c r="J1913" s="80"/>
      <c r="K1913" s="80"/>
    </row>
    <row r="1914" ht="12.75" customHeight="1">
      <c r="B1914" s="96" t="s">
        <v>5304</v>
      </c>
      <c r="C1914" s="90"/>
      <c r="D1914" s="89" t="s">
        <v>75</v>
      </c>
      <c r="E1914" s="91">
        <v>1.0</v>
      </c>
      <c r="F1914" s="92">
        <v>9.18</v>
      </c>
      <c r="G1914" s="92">
        <v>9.18</v>
      </c>
      <c r="H1914" s="93"/>
      <c r="I1914" s="92"/>
      <c r="J1914" s="92"/>
      <c r="K1914" s="92"/>
    </row>
    <row r="1915" ht="12.75" customHeight="1">
      <c r="B1915" s="90"/>
      <c r="E1915" s="79"/>
      <c r="F1915" s="80"/>
      <c r="G1915" s="80"/>
      <c r="H1915" s="81"/>
      <c r="I1915" s="80"/>
      <c r="J1915" s="80"/>
      <c r="K1915" s="80"/>
    </row>
    <row r="1916" ht="12.75" customHeight="1">
      <c r="B1916" s="96" t="s">
        <v>5305</v>
      </c>
      <c r="C1916" s="90"/>
      <c r="D1916" s="89" t="s">
        <v>1374</v>
      </c>
      <c r="E1916" s="91">
        <v>1.0</v>
      </c>
      <c r="F1916" s="92">
        <v>9.18</v>
      </c>
      <c r="G1916" s="92">
        <v>9.18</v>
      </c>
      <c r="H1916" s="93"/>
      <c r="I1916" s="92"/>
      <c r="J1916" s="92"/>
      <c r="K1916" s="92"/>
    </row>
    <row r="1917" ht="12.75" customHeight="1">
      <c r="B1917" s="90"/>
      <c r="E1917" s="79"/>
      <c r="F1917" s="80"/>
      <c r="G1917" s="80"/>
      <c r="H1917" s="81"/>
      <c r="I1917" s="80"/>
      <c r="J1917" s="80"/>
      <c r="K1917" s="80"/>
    </row>
    <row r="1918" ht="12.75" customHeight="1">
      <c r="B1918" s="96" t="s">
        <v>5306</v>
      </c>
      <c r="C1918" s="90"/>
      <c r="D1918" s="89" t="s">
        <v>75</v>
      </c>
      <c r="E1918" s="91">
        <v>1.0</v>
      </c>
      <c r="F1918" s="92">
        <v>9.18</v>
      </c>
      <c r="G1918" s="92">
        <v>9.18</v>
      </c>
      <c r="H1918" s="93"/>
      <c r="I1918" s="92"/>
      <c r="J1918" s="92"/>
      <c r="K1918" s="92"/>
    </row>
    <row r="1919" ht="12.75" customHeight="1">
      <c r="B1919" s="90"/>
      <c r="E1919" s="79"/>
      <c r="F1919" s="80"/>
      <c r="G1919" s="80"/>
      <c r="H1919" s="81"/>
      <c r="I1919" s="80"/>
      <c r="J1919" s="80"/>
      <c r="K1919" s="80"/>
    </row>
    <row r="1920" ht="12.75" customHeight="1">
      <c r="B1920" s="96" t="s">
        <v>3134</v>
      </c>
      <c r="C1920" s="90"/>
      <c r="D1920" s="89" t="s">
        <v>75</v>
      </c>
      <c r="E1920" s="91">
        <v>5.0</v>
      </c>
      <c r="F1920" s="92">
        <v>9.18</v>
      </c>
      <c r="G1920" s="92">
        <v>45.9</v>
      </c>
      <c r="H1920" s="93"/>
      <c r="I1920" s="92"/>
      <c r="J1920" s="92"/>
      <c r="K1920" s="92"/>
    </row>
    <row r="1921" ht="12.75" customHeight="1">
      <c r="B1921" s="90"/>
      <c r="E1921" s="79"/>
      <c r="F1921" s="80"/>
      <c r="G1921" s="80"/>
      <c r="H1921" s="81"/>
      <c r="I1921" s="80"/>
      <c r="J1921" s="80"/>
      <c r="K1921" s="80"/>
    </row>
    <row r="1922" ht="12.75" customHeight="1">
      <c r="B1922" s="96" t="s">
        <v>5289</v>
      </c>
      <c r="C1922" s="90"/>
      <c r="D1922" s="89" t="s">
        <v>75</v>
      </c>
      <c r="E1922" s="91">
        <v>2.0</v>
      </c>
      <c r="F1922" s="92">
        <v>9.18</v>
      </c>
      <c r="G1922" s="92">
        <v>18.36</v>
      </c>
      <c r="H1922" s="93"/>
      <c r="I1922" s="92"/>
      <c r="J1922" s="92"/>
      <c r="K1922" s="92"/>
    </row>
    <row r="1923" ht="12.75" customHeight="1">
      <c r="B1923" s="90"/>
      <c r="E1923" s="79"/>
      <c r="F1923" s="80"/>
      <c r="G1923" s="80"/>
      <c r="H1923" s="81"/>
      <c r="I1923" s="80"/>
      <c r="J1923" s="80"/>
      <c r="K1923" s="80"/>
    </row>
    <row r="1924" ht="12.75" customHeight="1">
      <c r="B1924" s="96" t="s">
        <v>3137</v>
      </c>
      <c r="C1924" s="90"/>
      <c r="D1924" s="89" t="s">
        <v>75</v>
      </c>
      <c r="E1924" s="91">
        <v>1.0</v>
      </c>
      <c r="F1924" s="92">
        <v>9.18</v>
      </c>
      <c r="G1924" s="92">
        <v>9.18</v>
      </c>
      <c r="H1924" s="93"/>
      <c r="I1924" s="92"/>
      <c r="J1924" s="92"/>
      <c r="K1924" s="92"/>
    </row>
    <row r="1925" ht="12.75" customHeight="1">
      <c r="B1925" s="90"/>
      <c r="E1925" s="79"/>
      <c r="F1925" s="80"/>
      <c r="G1925" s="80"/>
      <c r="H1925" s="81"/>
      <c r="I1925" s="80"/>
      <c r="J1925" s="80"/>
      <c r="K1925" s="80"/>
    </row>
    <row r="1926" ht="12.75" customHeight="1">
      <c r="B1926" s="96" t="s">
        <v>5307</v>
      </c>
      <c r="C1926" s="90"/>
      <c r="D1926" s="89" t="s">
        <v>75</v>
      </c>
      <c r="E1926" s="91">
        <v>1.0</v>
      </c>
      <c r="F1926" s="92">
        <v>9.18</v>
      </c>
      <c r="G1926" s="92">
        <v>9.18</v>
      </c>
      <c r="H1926" s="93"/>
      <c r="I1926" s="92"/>
      <c r="J1926" s="92"/>
      <c r="K1926" s="92"/>
    </row>
    <row r="1927" ht="12.75" customHeight="1">
      <c r="B1927" s="90"/>
      <c r="E1927" s="79"/>
      <c r="F1927" s="80"/>
      <c r="G1927" s="80"/>
      <c r="H1927" s="81"/>
      <c r="I1927" s="80"/>
      <c r="J1927" s="80"/>
      <c r="K1927" s="80"/>
    </row>
    <row r="1928" ht="12.75" customHeight="1">
      <c r="B1928" s="96" t="s">
        <v>5308</v>
      </c>
      <c r="C1928" s="90"/>
      <c r="D1928" s="89" t="s">
        <v>75</v>
      </c>
      <c r="E1928" s="91">
        <v>1.0</v>
      </c>
      <c r="F1928" s="92">
        <v>9.18</v>
      </c>
      <c r="G1928" s="92">
        <v>9.18</v>
      </c>
      <c r="H1928" s="93"/>
      <c r="I1928" s="92"/>
      <c r="J1928" s="92"/>
      <c r="K1928" s="92"/>
    </row>
    <row r="1929" ht="12.75" customHeight="1">
      <c r="B1929" s="90"/>
      <c r="E1929" s="79"/>
      <c r="F1929" s="80"/>
      <c r="G1929" s="80"/>
      <c r="H1929" s="81"/>
      <c r="I1929" s="80"/>
      <c r="J1929" s="80"/>
      <c r="K1929" s="80"/>
    </row>
    <row r="1930" ht="12.75" customHeight="1">
      <c r="B1930" s="96" t="s">
        <v>5309</v>
      </c>
      <c r="C1930" s="90"/>
      <c r="D1930" s="89" t="s">
        <v>75</v>
      </c>
      <c r="E1930" s="91">
        <v>1.0</v>
      </c>
      <c r="F1930" s="92">
        <v>9.18</v>
      </c>
      <c r="G1930" s="92">
        <v>9.18</v>
      </c>
      <c r="H1930" s="93"/>
      <c r="I1930" s="92"/>
      <c r="J1930" s="92"/>
      <c r="K1930" s="92"/>
    </row>
    <row r="1931" ht="12.75" customHeight="1">
      <c r="B1931" s="90"/>
      <c r="E1931" s="79"/>
      <c r="F1931" s="80"/>
      <c r="G1931" s="80"/>
      <c r="H1931" s="81"/>
      <c r="I1931" s="80"/>
      <c r="J1931" s="80"/>
      <c r="K1931" s="80"/>
    </row>
    <row r="1932" ht="12.75" customHeight="1">
      <c r="B1932" s="96" t="s">
        <v>5310</v>
      </c>
      <c r="C1932" s="90"/>
      <c r="D1932" s="89" t="s">
        <v>75</v>
      </c>
      <c r="E1932" s="91">
        <v>1.0</v>
      </c>
      <c r="F1932" s="92">
        <v>9.18</v>
      </c>
      <c r="G1932" s="92">
        <v>9.18</v>
      </c>
      <c r="H1932" s="93"/>
      <c r="I1932" s="92"/>
      <c r="J1932" s="92"/>
      <c r="K1932" s="92"/>
    </row>
    <row r="1933" ht="12.75" customHeight="1">
      <c r="B1933" s="90"/>
      <c r="E1933" s="79"/>
      <c r="F1933" s="80"/>
      <c r="G1933" s="80"/>
      <c r="H1933" s="81"/>
      <c r="I1933" s="80"/>
      <c r="J1933" s="80"/>
      <c r="K1933" s="80"/>
    </row>
    <row r="1934" ht="12.75" customHeight="1">
      <c r="B1934" s="96" t="s">
        <v>5311</v>
      </c>
      <c r="C1934" s="90"/>
      <c r="D1934" s="89" t="s">
        <v>75</v>
      </c>
      <c r="E1934" s="91">
        <v>1.0</v>
      </c>
      <c r="F1934" s="92">
        <v>9.18</v>
      </c>
      <c r="G1934" s="92">
        <v>9.18</v>
      </c>
      <c r="H1934" s="93"/>
      <c r="I1934" s="92"/>
      <c r="J1934" s="92"/>
      <c r="K1934" s="92"/>
    </row>
    <row r="1935" ht="12.75" customHeight="1">
      <c r="B1935" s="90"/>
      <c r="E1935" s="79"/>
      <c r="F1935" s="80"/>
      <c r="G1935" s="80"/>
      <c r="H1935" s="81"/>
      <c r="I1935" s="80"/>
      <c r="J1935" s="80"/>
      <c r="K1935" s="80"/>
    </row>
    <row r="1936" ht="12.75" customHeight="1">
      <c r="B1936" s="96" t="s">
        <v>5312</v>
      </c>
      <c r="C1936" s="90"/>
      <c r="D1936" s="89" t="s">
        <v>75</v>
      </c>
      <c r="E1936" s="91">
        <v>1.0</v>
      </c>
      <c r="F1936" s="92">
        <v>9.18</v>
      </c>
      <c r="G1936" s="92">
        <v>9.18</v>
      </c>
      <c r="H1936" s="93"/>
      <c r="I1936" s="92"/>
      <c r="J1936" s="92"/>
      <c r="K1936" s="92"/>
    </row>
    <row r="1937" ht="12.75" customHeight="1">
      <c r="B1937" s="90"/>
      <c r="E1937" s="79"/>
      <c r="F1937" s="80"/>
      <c r="G1937" s="80"/>
      <c r="H1937" s="81"/>
      <c r="I1937" s="80"/>
      <c r="J1937" s="80"/>
      <c r="K1937" s="80"/>
    </row>
    <row r="1938" ht="12.75" customHeight="1">
      <c r="B1938" s="96" t="s">
        <v>5313</v>
      </c>
      <c r="C1938" s="90"/>
      <c r="D1938" s="89" t="s">
        <v>75</v>
      </c>
      <c r="E1938" s="91">
        <v>1.0</v>
      </c>
      <c r="F1938" s="92">
        <v>9.18</v>
      </c>
      <c r="G1938" s="92">
        <v>9.18</v>
      </c>
      <c r="H1938" s="93"/>
      <c r="I1938" s="92"/>
      <c r="J1938" s="92"/>
      <c r="K1938" s="92"/>
    </row>
    <row r="1939" ht="12.75" customHeight="1">
      <c r="B1939" s="90"/>
      <c r="E1939" s="79"/>
      <c r="F1939" s="80"/>
      <c r="G1939" s="80"/>
      <c r="H1939" s="81"/>
      <c r="I1939" s="80"/>
      <c r="J1939" s="80"/>
      <c r="K1939" s="80"/>
    </row>
    <row r="1940" ht="12.75" customHeight="1">
      <c r="B1940" s="96" t="s">
        <v>3153</v>
      </c>
      <c r="C1940" s="90"/>
      <c r="D1940" s="89" t="s">
        <v>75</v>
      </c>
      <c r="E1940" s="91">
        <v>1.0</v>
      </c>
      <c r="F1940" s="92">
        <v>9.18</v>
      </c>
      <c r="G1940" s="92">
        <v>9.18</v>
      </c>
      <c r="H1940" s="93"/>
      <c r="I1940" s="92"/>
      <c r="J1940" s="92"/>
      <c r="K1940" s="92"/>
    </row>
    <row r="1941" ht="12.75" customHeight="1">
      <c r="B1941" s="90"/>
      <c r="E1941" s="79"/>
      <c r="F1941" s="80"/>
      <c r="G1941" s="80"/>
      <c r="H1941" s="81"/>
      <c r="I1941" s="80"/>
      <c r="J1941" s="80"/>
      <c r="K1941" s="80"/>
    </row>
    <row r="1942" ht="12.75" customHeight="1">
      <c r="B1942" s="96" t="s">
        <v>5314</v>
      </c>
      <c r="C1942" s="90"/>
      <c r="D1942" s="89" t="s">
        <v>75</v>
      </c>
      <c r="E1942" s="91">
        <v>1.0</v>
      </c>
      <c r="F1942" s="92">
        <v>9.18</v>
      </c>
      <c r="G1942" s="92">
        <v>9.18</v>
      </c>
      <c r="H1942" s="93"/>
      <c r="I1942" s="92"/>
      <c r="J1942" s="92"/>
      <c r="K1942" s="92"/>
    </row>
    <row r="1943" ht="12.75" customHeight="1">
      <c r="B1943" s="90"/>
      <c r="E1943" s="79"/>
      <c r="F1943" s="80"/>
      <c r="G1943" s="80"/>
      <c r="H1943" s="81"/>
      <c r="I1943" s="80"/>
      <c r="J1943" s="80"/>
      <c r="K1943" s="80"/>
    </row>
    <row r="1944" ht="12.75" customHeight="1">
      <c r="B1944" s="96" t="s">
        <v>3157</v>
      </c>
      <c r="C1944" s="90"/>
      <c r="D1944" s="89" t="s">
        <v>75</v>
      </c>
      <c r="E1944" s="91">
        <v>1.0</v>
      </c>
      <c r="F1944" s="92">
        <v>9.18</v>
      </c>
      <c r="G1944" s="92">
        <v>9.18</v>
      </c>
      <c r="H1944" s="93"/>
      <c r="I1944" s="92"/>
      <c r="J1944" s="92"/>
      <c r="K1944" s="92"/>
    </row>
    <row r="1945" ht="12.75" customHeight="1">
      <c r="B1945" s="90"/>
      <c r="E1945" s="79"/>
      <c r="F1945" s="80"/>
      <c r="G1945" s="80"/>
      <c r="H1945" s="81"/>
      <c r="I1945" s="80"/>
      <c r="J1945" s="80"/>
      <c r="K1945" s="80"/>
    </row>
    <row r="1946" ht="12.75" customHeight="1">
      <c r="B1946" s="96" t="s">
        <v>5315</v>
      </c>
      <c r="C1946" s="90"/>
      <c r="D1946" s="89" t="s">
        <v>75</v>
      </c>
      <c r="E1946" s="91">
        <v>1.0</v>
      </c>
      <c r="F1946" s="92">
        <v>9.18</v>
      </c>
      <c r="G1946" s="92">
        <v>9.18</v>
      </c>
      <c r="H1946" s="93"/>
      <c r="I1946" s="92"/>
      <c r="J1946" s="92"/>
      <c r="K1946" s="92"/>
    </row>
    <row r="1947" ht="12.75" customHeight="1">
      <c r="B1947" s="90"/>
      <c r="E1947" s="79"/>
      <c r="F1947" s="80"/>
      <c r="G1947" s="80"/>
      <c r="H1947" s="81"/>
      <c r="I1947" s="80"/>
      <c r="J1947" s="80"/>
      <c r="K1947" s="80"/>
    </row>
    <row r="1948" ht="12.75" customHeight="1">
      <c r="B1948" s="96" t="s">
        <v>5285</v>
      </c>
      <c r="C1948" s="90"/>
      <c r="D1948" s="89" t="s">
        <v>75</v>
      </c>
      <c r="E1948" s="91">
        <v>6.0</v>
      </c>
      <c r="F1948" s="92">
        <v>2.12</v>
      </c>
      <c r="G1948" s="92">
        <v>12.72</v>
      </c>
      <c r="H1948" s="93"/>
      <c r="I1948" s="92"/>
      <c r="J1948" s="92"/>
      <c r="K1948" s="92"/>
    </row>
    <row r="1949" ht="12.75" customHeight="1">
      <c r="B1949" s="90"/>
      <c r="E1949" s="79"/>
      <c r="F1949" s="80"/>
      <c r="G1949" s="80"/>
      <c r="H1949" s="81"/>
      <c r="I1949" s="80"/>
      <c r="J1949" s="80"/>
      <c r="K1949" s="80"/>
    </row>
    <row r="1950" ht="12.75" customHeight="1">
      <c r="B1950" s="96" t="s">
        <v>5316</v>
      </c>
      <c r="C1950" s="90"/>
      <c r="D1950" s="89" t="s">
        <v>75</v>
      </c>
      <c r="E1950" s="91">
        <v>8.0</v>
      </c>
      <c r="F1950" s="92">
        <v>49.14</v>
      </c>
      <c r="G1950" s="92">
        <v>393.12</v>
      </c>
      <c r="H1950" s="93"/>
      <c r="I1950" s="92"/>
      <c r="J1950" s="92"/>
      <c r="K1950" s="92"/>
    </row>
    <row r="1951" ht="12.75" customHeight="1">
      <c r="B1951" s="90"/>
      <c r="E1951" s="79"/>
      <c r="F1951" s="80"/>
      <c r="G1951" s="80"/>
      <c r="H1951" s="81"/>
      <c r="I1951" s="80"/>
      <c r="J1951" s="80"/>
      <c r="K1951" s="80"/>
    </row>
    <row r="1952" ht="12.75" customHeight="1">
      <c r="B1952" s="96" t="s">
        <v>5279</v>
      </c>
      <c r="C1952" s="90"/>
      <c r="D1952" s="89" t="s">
        <v>75</v>
      </c>
      <c r="E1952" s="91">
        <v>1.0</v>
      </c>
      <c r="F1952" s="92">
        <v>9.18</v>
      </c>
      <c r="G1952" s="92">
        <v>9.18</v>
      </c>
      <c r="H1952" s="93"/>
      <c r="I1952" s="92"/>
      <c r="J1952" s="92"/>
      <c r="K1952" s="92"/>
    </row>
    <row r="1953" ht="12.75" customHeight="1">
      <c r="B1953" s="90"/>
      <c r="E1953" s="79"/>
      <c r="F1953" s="80"/>
      <c r="G1953" s="80"/>
      <c r="H1953" s="81"/>
      <c r="I1953" s="80"/>
      <c r="J1953" s="80"/>
      <c r="K1953" s="80"/>
    </row>
    <row r="1954" ht="12.75" customHeight="1">
      <c r="B1954" s="96" t="s">
        <v>5292</v>
      </c>
      <c r="C1954" s="90"/>
      <c r="D1954" s="89" t="s">
        <v>75</v>
      </c>
      <c r="E1954" s="91">
        <v>2.0</v>
      </c>
      <c r="F1954" s="92">
        <v>107.0</v>
      </c>
      <c r="G1954" s="92">
        <v>214.0</v>
      </c>
      <c r="H1954" s="93"/>
      <c r="I1954" s="92"/>
      <c r="J1954" s="92"/>
      <c r="K1954" s="92"/>
    </row>
    <row r="1955" ht="12.75" customHeight="1">
      <c r="B1955" s="90"/>
      <c r="E1955" s="79"/>
      <c r="F1955" s="80"/>
      <c r="G1955" s="80"/>
      <c r="H1955" s="81"/>
      <c r="I1955" s="80"/>
      <c r="J1955" s="80"/>
      <c r="K1955" s="80"/>
    </row>
    <row r="1956" ht="12.75" customHeight="1">
      <c r="B1956" s="96" t="s">
        <v>5290</v>
      </c>
      <c r="C1956" s="90"/>
      <c r="D1956" s="89" t="s">
        <v>75</v>
      </c>
      <c r="E1956" s="91">
        <v>1.0</v>
      </c>
      <c r="F1956" s="92">
        <v>69.67</v>
      </c>
      <c r="G1956" s="92">
        <v>69.67</v>
      </c>
      <c r="H1956" s="93"/>
      <c r="I1956" s="92"/>
      <c r="J1956" s="92"/>
      <c r="K1956" s="92"/>
    </row>
    <row r="1957" ht="12.75" customHeight="1">
      <c r="B1957" s="90"/>
      <c r="E1957" s="79"/>
      <c r="F1957" s="80"/>
      <c r="G1957" s="80"/>
      <c r="H1957" s="81"/>
      <c r="I1957" s="80"/>
      <c r="J1957" s="80"/>
      <c r="K1957" s="80"/>
    </row>
    <row r="1958" ht="12.75" customHeight="1">
      <c r="B1958" s="96" t="s">
        <v>5317</v>
      </c>
      <c r="C1958" s="90"/>
      <c r="E1958" s="79"/>
      <c r="F1958" s="80"/>
      <c r="G1958" s="80"/>
      <c r="H1958" s="81"/>
      <c r="I1958" s="80"/>
      <c r="J1958" s="80"/>
      <c r="K1958" s="80"/>
    </row>
    <row r="1959" ht="12.75" customHeight="1">
      <c r="B1959" s="90"/>
      <c r="E1959" s="79"/>
      <c r="F1959" s="80"/>
      <c r="G1959" s="80"/>
      <c r="H1959" s="81"/>
      <c r="I1959" s="80"/>
      <c r="J1959" s="80"/>
      <c r="K1959" s="80"/>
    </row>
    <row r="1960" ht="12.75" customHeight="1">
      <c r="B1960" s="96" t="s">
        <v>5318</v>
      </c>
      <c r="C1960" s="90"/>
      <c r="D1960" s="89" t="s">
        <v>75</v>
      </c>
      <c r="E1960" s="91">
        <v>51.0</v>
      </c>
      <c r="F1960" s="92">
        <v>9.18</v>
      </c>
      <c r="G1960" s="92">
        <v>468.18</v>
      </c>
      <c r="H1960" s="93"/>
      <c r="I1960" s="92"/>
      <c r="J1960" s="92"/>
      <c r="K1960" s="92"/>
    </row>
    <row r="1961" ht="12.75" customHeight="1">
      <c r="B1961" s="90"/>
      <c r="E1961" s="79"/>
      <c r="F1961" s="80"/>
      <c r="G1961" s="80"/>
      <c r="H1961" s="81"/>
      <c r="I1961" s="80"/>
      <c r="J1961" s="80"/>
      <c r="K1961" s="80"/>
    </row>
    <row r="1962" ht="12.75" customHeight="1">
      <c r="B1962" s="96" t="s">
        <v>5286</v>
      </c>
      <c r="C1962" s="90"/>
      <c r="D1962" s="89" t="s">
        <v>75</v>
      </c>
      <c r="E1962" s="91">
        <v>6.0</v>
      </c>
      <c r="F1962" s="92">
        <v>9.18</v>
      </c>
      <c r="G1962" s="92">
        <v>55.08</v>
      </c>
      <c r="H1962" s="93"/>
      <c r="I1962" s="92"/>
      <c r="J1962" s="92"/>
      <c r="K1962" s="92"/>
    </row>
    <row r="1963" ht="12.75" customHeight="1">
      <c r="B1963" s="90"/>
      <c r="E1963" s="79"/>
      <c r="F1963" s="80"/>
      <c r="G1963" s="80"/>
      <c r="H1963" s="81"/>
      <c r="I1963" s="80"/>
      <c r="J1963" s="80"/>
      <c r="K1963" s="80"/>
    </row>
    <row r="1964" ht="12.75" customHeight="1">
      <c r="B1964" s="96" t="s">
        <v>5284</v>
      </c>
      <c r="C1964" s="90"/>
      <c r="D1964" s="89" t="s">
        <v>75</v>
      </c>
      <c r="E1964" s="91">
        <v>11.0</v>
      </c>
      <c r="F1964" s="92">
        <v>9.18</v>
      </c>
      <c r="G1964" s="92">
        <v>100.98</v>
      </c>
      <c r="H1964" s="93"/>
      <c r="I1964" s="92"/>
      <c r="J1964" s="92"/>
      <c r="K1964" s="92"/>
    </row>
    <row r="1965" ht="12.75" customHeight="1">
      <c r="B1965" s="90"/>
      <c r="E1965" s="79"/>
      <c r="F1965" s="80"/>
      <c r="G1965" s="80"/>
      <c r="H1965" s="81"/>
      <c r="I1965" s="80"/>
      <c r="J1965" s="80"/>
      <c r="K1965" s="80"/>
    </row>
    <row r="1966" ht="12.75" customHeight="1">
      <c r="B1966" s="96" t="s">
        <v>5283</v>
      </c>
      <c r="C1966" s="90"/>
      <c r="D1966" s="89" t="s">
        <v>1374</v>
      </c>
      <c r="E1966" s="91">
        <v>4.0</v>
      </c>
      <c r="F1966" s="92">
        <v>9.18</v>
      </c>
      <c r="G1966" s="92">
        <v>36.72</v>
      </c>
      <c r="H1966" s="93"/>
      <c r="I1966" s="92"/>
      <c r="J1966" s="92"/>
      <c r="K1966" s="92"/>
    </row>
    <row r="1967" ht="12.75" customHeight="1">
      <c r="B1967" s="90"/>
      <c r="E1967" s="79"/>
      <c r="F1967" s="80"/>
      <c r="G1967" s="80"/>
      <c r="H1967" s="81"/>
      <c r="I1967" s="80"/>
      <c r="J1967" s="80"/>
      <c r="K1967" s="80"/>
    </row>
    <row r="1968" ht="12.75" customHeight="1">
      <c r="B1968" s="96" t="s">
        <v>5319</v>
      </c>
      <c r="C1968" s="90"/>
      <c r="D1968" s="89" t="s">
        <v>75</v>
      </c>
      <c r="E1968" s="91">
        <v>1.0</v>
      </c>
      <c r="F1968" s="92">
        <v>9.18</v>
      </c>
      <c r="G1968" s="92">
        <v>9.18</v>
      </c>
      <c r="H1968" s="93"/>
      <c r="I1968" s="92"/>
      <c r="J1968" s="92"/>
      <c r="K1968" s="92"/>
    </row>
    <row r="1969" ht="12.75" customHeight="1">
      <c r="B1969" s="90"/>
      <c r="E1969" s="79"/>
      <c r="F1969" s="80"/>
      <c r="G1969" s="80"/>
      <c r="H1969" s="81"/>
      <c r="I1969" s="80"/>
      <c r="J1969" s="80"/>
      <c r="K1969" s="80"/>
    </row>
    <row r="1970" ht="12.75" customHeight="1">
      <c r="B1970" s="96" t="s">
        <v>3074</v>
      </c>
      <c r="C1970" s="90"/>
      <c r="D1970" s="89" t="s">
        <v>75</v>
      </c>
      <c r="E1970" s="91">
        <v>9.0</v>
      </c>
      <c r="F1970" s="92">
        <v>9.18</v>
      </c>
      <c r="G1970" s="92">
        <v>82.62</v>
      </c>
      <c r="H1970" s="93"/>
      <c r="I1970" s="92"/>
      <c r="J1970" s="92"/>
      <c r="K1970" s="92"/>
    </row>
    <row r="1971" ht="12.75" customHeight="1">
      <c r="B1971" s="90"/>
      <c r="E1971" s="79"/>
      <c r="F1971" s="80"/>
      <c r="G1971" s="80"/>
      <c r="H1971" s="81"/>
      <c r="I1971" s="80"/>
      <c r="J1971" s="80"/>
      <c r="K1971" s="80"/>
    </row>
    <row r="1972" ht="12.75" customHeight="1">
      <c r="B1972" s="96" t="s">
        <v>5298</v>
      </c>
      <c r="C1972" s="90"/>
      <c r="D1972" s="89" t="s">
        <v>75</v>
      </c>
      <c r="E1972" s="91">
        <v>4.0</v>
      </c>
      <c r="F1972" s="92">
        <v>9.18</v>
      </c>
      <c r="G1972" s="92">
        <v>36.72</v>
      </c>
      <c r="H1972" s="93"/>
      <c r="I1972" s="92"/>
      <c r="J1972" s="92"/>
      <c r="K1972" s="92"/>
    </row>
    <row r="1973" ht="12.75" customHeight="1">
      <c r="B1973" s="90"/>
      <c r="E1973" s="79"/>
      <c r="F1973" s="80"/>
      <c r="G1973" s="80"/>
      <c r="H1973" s="81"/>
      <c r="I1973" s="80"/>
      <c r="J1973" s="80"/>
      <c r="K1973" s="80"/>
    </row>
    <row r="1974" ht="12.75" customHeight="1">
      <c r="B1974" s="96" t="s">
        <v>5297</v>
      </c>
      <c r="C1974" s="90"/>
      <c r="D1974" s="89" t="s">
        <v>75</v>
      </c>
      <c r="E1974" s="91">
        <v>4.0</v>
      </c>
      <c r="F1974" s="92">
        <v>9.18</v>
      </c>
      <c r="G1974" s="92">
        <v>36.72</v>
      </c>
      <c r="H1974" s="93"/>
      <c r="I1974" s="92"/>
      <c r="J1974" s="92"/>
      <c r="K1974" s="92"/>
    </row>
    <row r="1975" ht="12.75" customHeight="1">
      <c r="B1975" s="90"/>
      <c r="E1975" s="79"/>
      <c r="F1975" s="80"/>
      <c r="G1975" s="80"/>
      <c r="H1975" s="81"/>
      <c r="I1975" s="80"/>
      <c r="J1975" s="80"/>
      <c r="K1975" s="80"/>
    </row>
    <row r="1976" ht="12.75" customHeight="1">
      <c r="B1976" s="96" t="s">
        <v>5285</v>
      </c>
      <c r="C1976" s="90"/>
      <c r="D1976" s="89" t="s">
        <v>75</v>
      </c>
      <c r="E1976" s="91">
        <v>4.0</v>
      </c>
      <c r="F1976" s="92">
        <v>2.12</v>
      </c>
      <c r="G1976" s="92">
        <v>8.48</v>
      </c>
      <c r="H1976" s="93"/>
      <c r="I1976" s="92"/>
      <c r="J1976" s="92"/>
      <c r="K1976" s="92"/>
    </row>
    <row r="1977" ht="12.75" customHeight="1">
      <c r="B1977" s="90"/>
      <c r="E1977" s="79"/>
      <c r="F1977" s="80"/>
      <c r="G1977" s="80"/>
      <c r="H1977" s="81"/>
      <c r="I1977" s="80"/>
      <c r="J1977" s="80"/>
      <c r="K1977" s="80"/>
    </row>
    <row r="1978" ht="12.75" customHeight="1">
      <c r="B1978" s="96" t="s">
        <v>5320</v>
      </c>
      <c r="C1978" s="90"/>
      <c r="D1978" s="89" t="s">
        <v>75</v>
      </c>
      <c r="E1978" s="91">
        <v>1.0</v>
      </c>
      <c r="F1978" s="92">
        <v>9.18</v>
      </c>
      <c r="G1978" s="92">
        <v>9.18</v>
      </c>
      <c r="H1978" s="93"/>
      <c r="I1978" s="92"/>
      <c r="J1978" s="92"/>
      <c r="K1978" s="92"/>
    </row>
    <row r="1979" ht="12.75" customHeight="1">
      <c r="B1979" s="90"/>
      <c r="E1979" s="79"/>
      <c r="F1979" s="80"/>
      <c r="G1979" s="80"/>
      <c r="H1979" s="81"/>
      <c r="I1979" s="80"/>
      <c r="J1979" s="80"/>
      <c r="K1979" s="80"/>
    </row>
    <row r="1980" ht="12.75" customHeight="1">
      <c r="B1980" s="96" t="s">
        <v>5321</v>
      </c>
      <c r="C1980" s="90"/>
      <c r="D1980" s="89" t="s">
        <v>75</v>
      </c>
      <c r="E1980" s="91">
        <v>1.0</v>
      </c>
      <c r="F1980" s="92">
        <v>9.18</v>
      </c>
      <c r="G1980" s="92">
        <v>9.18</v>
      </c>
      <c r="H1980" s="93"/>
      <c r="I1980" s="92"/>
      <c r="J1980" s="92"/>
      <c r="K1980" s="92"/>
    </row>
    <row r="1981" ht="12.75" customHeight="1">
      <c r="B1981" s="90"/>
      <c r="E1981" s="79"/>
      <c r="F1981" s="80"/>
      <c r="G1981" s="80"/>
      <c r="H1981" s="81"/>
      <c r="I1981" s="80"/>
      <c r="J1981" s="80"/>
      <c r="K1981" s="80"/>
    </row>
    <row r="1982" ht="12.75" customHeight="1">
      <c r="B1982" s="96" t="s">
        <v>5322</v>
      </c>
      <c r="C1982" s="90"/>
      <c r="D1982" s="89" t="s">
        <v>75</v>
      </c>
      <c r="E1982" s="91">
        <v>1.0</v>
      </c>
      <c r="F1982" s="92">
        <v>9.18</v>
      </c>
      <c r="G1982" s="92">
        <v>9.18</v>
      </c>
      <c r="H1982" s="93"/>
      <c r="I1982" s="92"/>
      <c r="J1982" s="92"/>
      <c r="K1982" s="92"/>
    </row>
    <row r="1983" ht="12.75" customHeight="1">
      <c r="B1983" s="90"/>
      <c r="E1983" s="79"/>
      <c r="F1983" s="80"/>
      <c r="G1983" s="80"/>
      <c r="H1983" s="81"/>
      <c r="I1983" s="80"/>
      <c r="J1983" s="80"/>
      <c r="K1983" s="80"/>
    </row>
    <row r="1984" ht="12.75" customHeight="1">
      <c r="B1984" s="96" t="s">
        <v>5323</v>
      </c>
      <c r="C1984" s="90"/>
      <c r="D1984" s="89" t="s">
        <v>75</v>
      </c>
      <c r="E1984" s="91">
        <v>1.0</v>
      </c>
      <c r="F1984" s="92">
        <v>9.18</v>
      </c>
      <c r="G1984" s="92">
        <v>9.18</v>
      </c>
      <c r="H1984" s="93"/>
      <c r="I1984" s="92"/>
      <c r="J1984" s="92"/>
      <c r="K1984" s="92"/>
    </row>
    <row r="1985" ht="12.75" customHeight="1">
      <c r="B1985" s="90"/>
      <c r="E1985" s="79"/>
      <c r="F1985" s="80"/>
      <c r="G1985" s="80"/>
      <c r="H1985" s="81"/>
      <c r="I1985" s="80"/>
      <c r="J1985" s="80"/>
      <c r="K1985" s="80"/>
    </row>
    <row r="1986" ht="12.75" customHeight="1">
      <c r="B1986" s="96" t="s">
        <v>5324</v>
      </c>
      <c r="C1986" s="90"/>
      <c r="D1986" s="89" t="s">
        <v>75</v>
      </c>
      <c r="E1986" s="91">
        <v>1.0</v>
      </c>
      <c r="F1986" s="92">
        <v>9.18</v>
      </c>
      <c r="G1986" s="92">
        <v>9.18</v>
      </c>
      <c r="H1986" s="93"/>
      <c r="I1986" s="92"/>
      <c r="J1986" s="92"/>
      <c r="K1986" s="92"/>
    </row>
    <row r="1987" ht="12.75" customHeight="1">
      <c r="B1987" s="90"/>
      <c r="E1987" s="79"/>
      <c r="F1987" s="80"/>
      <c r="G1987" s="80"/>
      <c r="H1987" s="81"/>
      <c r="I1987" s="80"/>
      <c r="J1987" s="80"/>
      <c r="K1987" s="80"/>
    </row>
    <row r="1988" ht="12.75" customHeight="1">
      <c r="B1988" s="96" t="s">
        <v>5325</v>
      </c>
      <c r="C1988" s="90"/>
      <c r="D1988" s="89" t="s">
        <v>75</v>
      </c>
      <c r="E1988" s="91">
        <v>1.0</v>
      </c>
      <c r="F1988" s="92">
        <v>9.18</v>
      </c>
      <c r="G1988" s="92">
        <v>9.18</v>
      </c>
      <c r="H1988" s="93"/>
      <c r="I1988" s="92"/>
      <c r="J1988" s="92"/>
      <c r="K1988" s="92"/>
    </row>
    <row r="1989" ht="12.75" customHeight="1">
      <c r="B1989" s="90"/>
      <c r="E1989" s="79"/>
      <c r="F1989" s="80"/>
      <c r="G1989" s="80"/>
      <c r="H1989" s="81"/>
      <c r="I1989" s="80"/>
      <c r="J1989" s="80"/>
      <c r="K1989" s="80"/>
    </row>
    <row r="1990" ht="12.75" customHeight="1">
      <c r="B1990" s="96" t="s">
        <v>5326</v>
      </c>
      <c r="C1990" s="90"/>
      <c r="D1990" s="89" t="s">
        <v>75</v>
      </c>
      <c r="E1990" s="91">
        <v>1.0</v>
      </c>
      <c r="F1990" s="92">
        <v>9.18</v>
      </c>
      <c r="G1990" s="92">
        <v>9.18</v>
      </c>
      <c r="H1990" s="93"/>
      <c r="I1990" s="92"/>
      <c r="J1990" s="92"/>
      <c r="K1990" s="92"/>
    </row>
    <row r="1991" ht="12.75" customHeight="1">
      <c r="B1991" s="90"/>
      <c r="E1991" s="79"/>
      <c r="F1991" s="80"/>
      <c r="G1991" s="80"/>
      <c r="H1991" s="81"/>
      <c r="I1991" s="80"/>
      <c r="J1991" s="80"/>
      <c r="K1991" s="80"/>
    </row>
    <row r="1992" ht="12.75" customHeight="1">
      <c r="B1992" s="96" t="s">
        <v>5327</v>
      </c>
      <c r="C1992" s="90"/>
      <c r="D1992" s="89" t="s">
        <v>75</v>
      </c>
      <c r="E1992" s="91">
        <v>1.0</v>
      </c>
      <c r="F1992" s="92">
        <v>9.18</v>
      </c>
      <c r="G1992" s="92">
        <v>9.18</v>
      </c>
      <c r="H1992" s="93"/>
      <c r="I1992" s="92"/>
      <c r="J1992" s="92"/>
      <c r="K1992" s="92"/>
    </row>
    <row r="1993" ht="12.75" customHeight="1">
      <c r="B1993" s="90"/>
      <c r="E1993" s="79"/>
      <c r="F1993" s="80"/>
      <c r="G1993" s="80"/>
      <c r="H1993" s="81"/>
      <c r="I1993" s="80"/>
      <c r="J1993" s="80"/>
      <c r="K1993" s="80"/>
    </row>
    <row r="1994" ht="12.75" customHeight="1">
      <c r="B1994" s="96" t="s">
        <v>5328</v>
      </c>
      <c r="C1994" s="90"/>
      <c r="D1994" s="89" t="s">
        <v>1374</v>
      </c>
      <c r="E1994" s="91">
        <v>1.0</v>
      </c>
      <c r="F1994" s="92">
        <v>9.18</v>
      </c>
      <c r="G1994" s="92">
        <v>9.18</v>
      </c>
      <c r="H1994" s="93"/>
      <c r="I1994" s="92"/>
      <c r="J1994" s="92"/>
      <c r="K1994" s="92"/>
    </row>
    <row r="1995" ht="12.75" customHeight="1">
      <c r="B1995" s="90"/>
      <c r="E1995" s="79"/>
      <c r="F1995" s="80"/>
      <c r="G1995" s="80"/>
      <c r="H1995" s="81"/>
      <c r="I1995" s="80"/>
      <c r="J1995" s="80"/>
      <c r="K1995" s="80"/>
    </row>
    <row r="1996" ht="12.75" customHeight="1">
      <c r="B1996" s="96" t="s">
        <v>5305</v>
      </c>
      <c r="C1996" s="90"/>
      <c r="D1996" s="89" t="s">
        <v>1374</v>
      </c>
      <c r="E1996" s="91">
        <v>1.0</v>
      </c>
      <c r="F1996" s="92">
        <v>9.18</v>
      </c>
      <c r="G1996" s="92">
        <v>9.18</v>
      </c>
      <c r="H1996" s="93"/>
      <c r="I1996" s="92"/>
      <c r="J1996" s="92"/>
      <c r="K1996" s="92"/>
    </row>
    <row r="1997" ht="12.75" customHeight="1">
      <c r="B1997" s="90"/>
      <c r="E1997" s="79"/>
      <c r="F1997" s="80"/>
      <c r="G1997" s="80"/>
      <c r="H1997" s="81"/>
      <c r="I1997" s="80"/>
      <c r="J1997" s="80"/>
      <c r="K1997" s="80"/>
    </row>
    <row r="1998" ht="12.75" customHeight="1">
      <c r="B1998" s="96" t="s">
        <v>5329</v>
      </c>
      <c r="C1998" s="90"/>
      <c r="D1998" s="89" t="s">
        <v>75</v>
      </c>
      <c r="E1998" s="91">
        <v>1.0</v>
      </c>
      <c r="F1998" s="92">
        <v>9.18</v>
      </c>
      <c r="G1998" s="92">
        <v>9.18</v>
      </c>
      <c r="H1998" s="93"/>
      <c r="I1998" s="92"/>
      <c r="J1998" s="92"/>
      <c r="K1998" s="92"/>
    </row>
    <row r="1999" ht="12.75" customHeight="1">
      <c r="B1999" s="90"/>
      <c r="E1999" s="79"/>
      <c r="F1999" s="80"/>
      <c r="G1999" s="80"/>
      <c r="H1999" s="81"/>
      <c r="I1999" s="80"/>
      <c r="J1999" s="80"/>
      <c r="K1999" s="80"/>
    </row>
    <row r="2000" ht="12.75" customHeight="1">
      <c r="B2000" s="96" t="s">
        <v>5292</v>
      </c>
      <c r="C2000" s="90"/>
      <c r="D2000" s="89" t="s">
        <v>75</v>
      </c>
      <c r="E2000" s="91">
        <v>14.0</v>
      </c>
      <c r="F2000" s="92">
        <v>107.0</v>
      </c>
      <c r="G2000" s="92">
        <v>1498.0</v>
      </c>
      <c r="H2000" s="93"/>
      <c r="I2000" s="92"/>
      <c r="J2000" s="92"/>
      <c r="K2000" s="92"/>
    </row>
    <row r="2001" ht="12.75" customHeight="1">
      <c r="B2001" s="90"/>
      <c r="E2001" s="79"/>
      <c r="F2001" s="80"/>
      <c r="G2001" s="80"/>
      <c r="H2001" s="81"/>
      <c r="I2001" s="80"/>
      <c r="J2001" s="80"/>
      <c r="K2001" s="80"/>
    </row>
    <row r="2002" ht="12.75" customHeight="1">
      <c r="B2002" s="96" t="s">
        <v>5330</v>
      </c>
      <c r="C2002" s="90"/>
      <c r="D2002" s="89" t="s">
        <v>75</v>
      </c>
      <c r="E2002" s="91">
        <v>3.0</v>
      </c>
      <c r="F2002" s="92">
        <v>49.14</v>
      </c>
      <c r="G2002" s="92">
        <v>147.42</v>
      </c>
      <c r="H2002" s="93"/>
      <c r="I2002" s="92"/>
      <c r="J2002" s="92"/>
      <c r="K2002" s="92"/>
    </row>
    <row r="2003" ht="12.75" customHeight="1">
      <c r="B2003" s="90"/>
      <c r="E2003" s="79"/>
      <c r="F2003" s="80"/>
      <c r="G2003" s="80"/>
      <c r="H2003" s="81"/>
      <c r="I2003" s="80"/>
      <c r="J2003" s="80"/>
      <c r="K2003" s="80"/>
    </row>
    <row r="2004" ht="12.75" customHeight="1">
      <c r="B2004" s="96" t="s">
        <v>5331</v>
      </c>
      <c r="C2004" s="90"/>
      <c r="D2004" s="89" t="s">
        <v>33</v>
      </c>
      <c r="E2004" s="91">
        <v>1.0</v>
      </c>
      <c r="F2004" s="92">
        <v>19571.21</v>
      </c>
      <c r="G2004" s="92">
        <v>19571.21</v>
      </c>
      <c r="H2004" s="93"/>
      <c r="I2004" s="92"/>
      <c r="J2004" s="92"/>
      <c r="K2004" s="92"/>
    </row>
    <row r="2005" ht="12.75" customHeight="1">
      <c r="B2005" s="90"/>
      <c r="E2005" s="79"/>
      <c r="F2005" s="80"/>
      <c r="G2005" s="80"/>
      <c r="H2005" s="81"/>
      <c r="I2005" s="80"/>
      <c r="J2005" s="80"/>
      <c r="K2005" s="80"/>
    </row>
    <row r="2006" ht="12.75" customHeight="1">
      <c r="B2006" s="96" t="s">
        <v>5332</v>
      </c>
      <c r="C2006" s="90"/>
      <c r="D2006" s="89" t="s">
        <v>33</v>
      </c>
      <c r="E2006" s="91">
        <v>1.0</v>
      </c>
      <c r="F2006" s="80"/>
      <c r="G2006" s="135" t="s">
        <v>1428</v>
      </c>
      <c r="H2006" s="159"/>
      <c r="I2006" s="135"/>
      <c r="J2006" s="135"/>
      <c r="K2006" s="135"/>
    </row>
    <row r="2007" ht="12.75" customHeight="1">
      <c r="B2007" s="90"/>
      <c r="E2007" s="79"/>
      <c r="F2007" s="80"/>
      <c r="G2007" s="80"/>
      <c r="H2007" s="81"/>
      <c r="I2007" s="80"/>
      <c r="J2007" s="80"/>
      <c r="K2007" s="80"/>
    </row>
    <row r="2008" ht="12.75" customHeight="1">
      <c r="A2008" s="89" t="s">
        <v>1429</v>
      </c>
      <c r="B2008" s="96" t="s">
        <v>4897</v>
      </c>
      <c r="C2008" s="90"/>
      <c r="E2008" s="79"/>
      <c r="F2008" s="80"/>
      <c r="G2008" s="80"/>
      <c r="H2008" s="81"/>
      <c r="I2008" s="80"/>
      <c r="J2008" s="80"/>
      <c r="K2008" s="80"/>
    </row>
    <row r="2009" ht="12.75" customHeight="1">
      <c r="B2009" s="90"/>
      <c r="E2009" s="79"/>
      <c r="F2009" s="80"/>
      <c r="G2009" s="80"/>
      <c r="H2009" s="81"/>
      <c r="I2009" s="80"/>
      <c r="J2009" s="80"/>
      <c r="K2009" s="80"/>
    </row>
    <row r="2010" ht="12.75" customHeight="1">
      <c r="B2010" s="96" t="s">
        <v>5126</v>
      </c>
      <c r="C2010" s="90"/>
      <c r="D2010" s="89" t="s">
        <v>33</v>
      </c>
      <c r="E2010" s="91">
        <v>1.0</v>
      </c>
      <c r="F2010" s="92">
        <v>338.79</v>
      </c>
      <c r="G2010" s="92">
        <v>338.79</v>
      </c>
      <c r="H2010" s="93"/>
      <c r="I2010" s="92"/>
      <c r="J2010" s="92"/>
      <c r="K2010" s="92"/>
    </row>
    <row r="2011" ht="12.75" customHeight="1">
      <c r="B2011" s="90"/>
      <c r="E2011" s="79"/>
      <c r="F2011" s="80"/>
      <c r="G2011" s="80"/>
      <c r="H2011" s="81"/>
      <c r="I2011" s="80"/>
      <c r="J2011" s="80"/>
      <c r="K2011" s="80"/>
    </row>
    <row r="2012" ht="12.75" customHeight="1">
      <c r="B2012" s="96" t="s">
        <v>5333</v>
      </c>
      <c r="C2012" s="90"/>
      <c r="D2012" s="89" t="s">
        <v>33</v>
      </c>
      <c r="E2012" s="91">
        <v>1.0</v>
      </c>
      <c r="F2012" s="92">
        <v>499.78</v>
      </c>
      <c r="G2012" s="92">
        <v>499.78</v>
      </c>
      <c r="H2012" s="93"/>
      <c r="I2012" s="92"/>
      <c r="J2012" s="92"/>
      <c r="K2012" s="92"/>
    </row>
    <row r="2013" ht="12.75" customHeight="1">
      <c r="B2013" s="90"/>
      <c r="E2013" s="79"/>
      <c r="F2013" s="80"/>
      <c r="G2013" s="80"/>
      <c r="H2013" s="81"/>
      <c r="I2013" s="80"/>
      <c r="J2013" s="80"/>
      <c r="K2013" s="80"/>
    </row>
    <row r="2014" ht="12.75" customHeight="1">
      <c r="A2014" s="89" t="s">
        <v>1432</v>
      </c>
      <c r="B2014" s="96" t="s">
        <v>5334</v>
      </c>
      <c r="C2014" s="90"/>
      <c r="E2014" s="79"/>
      <c r="F2014" s="80"/>
      <c r="G2014" s="80"/>
      <c r="H2014" s="81"/>
      <c r="I2014" s="80"/>
      <c r="J2014" s="80"/>
      <c r="K2014" s="80"/>
    </row>
    <row r="2015" ht="12.75" customHeight="1">
      <c r="B2015" s="90"/>
      <c r="E2015" s="79"/>
      <c r="F2015" s="80"/>
      <c r="G2015" s="80"/>
      <c r="H2015" s="81"/>
      <c r="I2015" s="80"/>
      <c r="J2015" s="80"/>
      <c r="K2015" s="80"/>
    </row>
    <row r="2016" ht="12.75" customHeight="1">
      <c r="A2016" s="160"/>
      <c r="B2016" s="419" t="s">
        <v>5335</v>
      </c>
      <c r="C2016" s="161"/>
      <c r="D2016" s="162" t="s">
        <v>1435</v>
      </c>
      <c r="E2016" s="163">
        <v>1.0</v>
      </c>
      <c r="F2016" s="164">
        <v>58958.71</v>
      </c>
      <c r="G2016" s="164">
        <v>58958.71</v>
      </c>
      <c r="H2016" s="165">
        <f>G2016</f>
        <v>58958.71</v>
      </c>
      <c r="I2016" s="164"/>
      <c r="J2016" s="164"/>
      <c r="K2016" s="164"/>
    </row>
    <row r="2017" ht="12.75" customHeight="1">
      <c r="B2017" s="90"/>
      <c r="E2017" s="79"/>
      <c r="F2017" s="80"/>
      <c r="G2017" s="80"/>
      <c r="H2017" s="81"/>
      <c r="I2017" s="80"/>
      <c r="J2017" s="80"/>
      <c r="K2017" s="80"/>
    </row>
    <row r="2018" ht="12.75" customHeight="1">
      <c r="A2018" s="89" t="s">
        <v>1436</v>
      </c>
      <c r="B2018" s="96" t="s">
        <v>5336</v>
      </c>
      <c r="C2018" s="90"/>
      <c r="E2018" s="79"/>
      <c r="F2018" s="80"/>
      <c r="G2018" s="80"/>
      <c r="H2018" s="81"/>
      <c r="I2018" s="80"/>
      <c r="J2018" s="80"/>
      <c r="K2018" s="80"/>
    </row>
    <row r="2019" ht="12.75" customHeight="1">
      <c r="B2019" s="90"/>
      <c r="E2019" s="79"/>
      <c r="F2019" s="80"/>
      <c r="G2019" s="80"/>
      <c r="H2019" s="81"/>
      <c r="I2019" s="80"/>
      <c r="J2019" s="80"/>
      <c r="K2019" s="80"/>
    </row>
    <row r="2020" ht="12.75" customHeight="1">
      <c r="B2020" s="96" t="s">
        <v>5337</v>
      </c>
      <c r="C2020" s="90"/>
      <c r="E2020" s="79"/>
      <c r="F2020" s="80"/>
      <c r="G2020" s="80"/>
      <c r="H2020" s="81"/>
      <c r="I2020" s="80"/>
      <c r="J2020" s="80"/>
      <c r="K2020" s="80"/>
    </row>
    <row r="2021" ht="12.75" customHeight="1">
      <c r="B2021" s="90"/>
      <c r="E2021" s="79"/>
      <c r="F2021" s="80"/>
      <c r="G2021" s="80"/>
      <c r="H2021" s="81"/>
      <c r="I2021" s="80"/>
      <c r="J2021" s="80"/>
      <c r="K2021" s="80"/>
    </row>
    <row r="2022" ht="12.75" customHeight="1">
      <c r="B2022" s="96" t="s">
        <v>5338</v>
      </c>
      <c r="C2022" s="90"/>
      <c r="E2022" s="79"/>
      <c r="F2022" s="80"/>
      <c r="G2022" s="80"/>
      <c r="H2022" s="81"/>
      <c r="I2022" s="80"/>
      <c r="J2022" s="80"/>
      <c r="K2022" s="80"/>
    </row>
    <row r="2023" ht="12.75" customHeight="1">
      <c r="B2023" s="90"/>
      <c r="E2023" s="79"/>
      <c r="F2023" s="80"/>
      <c r="G2023" s="80"/>
      <c r="H2023" s="81"/>
      <c r="I2023" s="80"/>
      <c r="J2023" s="80"/>
      <c r="K2023" s="80"/>
    </row>
    <row r="2024" ht="12.75" customHeight="1">
      <c r="B2024" s="96" t="s">
        <v>5339</v>
      </c>
      <c r="C2024" s="90"/>
      <c r="D2024" s="89" t="s">
        <v>75</v>
      </c>
      <c r="E2024" s="91">
        <v>28.0</v>
      </c>
      <c r="F2024" s="80"/>
      <c r="G2024" s="135" t="s">
        <v>619</v>
      </c>
      <c r="H2024" s="159"/>
      <c r="I2024" s="135"/>
      <c r="J2024" s="135"/>
      <c r="K2024" s="135"/>
    </row>
    <row r="2025" ht="12.75" customHeight="1">
      <c r="B2025" s="90"/>
      <c r="E2025" s="79"/>
      <c r="F2025" s="80"/>
      <c r="G2025" s="80"/>
      <c r="H2025" s="81"/>
      <c r="I2025" s="80"/>
      <c r="J2025" s="80"/>
      <c r="K2025" s="80"/>
    </row>
    <row r="2026" ht="12.75" customHeight="1">
      <c r="B2026" s="96" t="s">
        <v>5340</v>
      </c>
      <c r="C2026" s="90"/>
      <c r="D2026" s="89" t="s">
        <v>75</v>
      </c>
      <c r="E2026" s="91">
        <v>6.0</v>
      </c>
      <c r="F2026" s="80"/>
      <c r="G2026" s="135" t="s">
        <v>619</v>
      </c>
      <c r="H2026" s="159"/>
      <c r="I2026" s="135"/>
      <c r="J2026" s="135"/>
      <c r="K2026" s="135"/>
    </row>
    <row r="2027" ht="12.75" customHeight="1">
      <c r="B2027" s="90"/>
      <c r="E2027" s="79"/>
      <c r="F2027" s="80"/>
      <c r="G2027" s="80"/>
      <c r="H2027" s="81"/>
      <c r="I2027" s="80"/>
      <c r="J2027" s="80"/>
      <c r="K2027" s="80"/>
    </row>
    <row r="2028" ht="12.75" customHeight="1">
      <c r="B2028" s="96" t="s">
        <v>5341</v>
      </c>
      <c r="C2028" s="90"/>
      <c r="D2028" s="89" t="s">
        <v>75</v>
      </c>
      <c r="E2028" s="91">
        <v>1.0</v>
      </c>
      <c r="F2028" s="80"/>
      <c r="G2028" s="135" t="s">
        <v>619</v>
      </c>
      <c r="H2028" s="159"/>
      <c r="I2028" s="135"/>
      <c r="J2028" s="135"/>
      <c r="K2028" s="135"/>
    </row>
    <row r="2029" ht="12.75" customHeight="1">
      <c r="B2029" s="90"/>
      <c r="E2029" s="79"/>
      <c r="F2029" s="80"/>
      <c r="G2029" s="80"/>
      <c r="H2029" s="81"/>
      <c r="I2029" s="80"/>
      <c r="J2029" s="80"/>
      <c r="K2029" s="80"/>
    </row>
    <row r="2030" ht="12.75" customHeight="1">
      <c r="B2030" s="96" t="s">
        <v>5342</v>
      </c>
      <c r="C2030" s="90"/>
      <c r="E2030" s="79"/>
      <c r="F2030" s="80"/>
      <c r="G2030" s="80"/>
      <c r="H2030" s="81"/>
      <c r="I2030" s="80"/>
      <c r="J2030" s="80"/>
      <c r="K2030" s="80"/>
    </row>
    <row r="2031" ht="12.75" customHeight="1">
      <c r="B2031" s="90"/>
      <c r="E2031" s="79"/>
      <c r="F2031" s="80"/>
      <c r="G2031" s="80"/>
      <c r="H2031" s="81"/>
      <c r="I2031" s="80"/>
      <c r="J2031" s="80"/>
      <c r="K2031" s="80"/>
    </row>
    <row r="2032" ht="12.75" customHeight="1">
      <c r="B2032" s="96" t="s">
        <v>4385</v>
      </c>
      <c r="C2032" s="90"/>
      <c r="D2032" s="89" t="s">
        <v>75</v>
      </c>
      <c r="E2032" s="91">
        <v>7.0</v>
      </c>
      <c r="F2032" s="80"/>
      <c r="G2032" s="135" t="s">
        <v>619</v>
      </c>
      <c r="H2032" s="159"/>
      <c r="I2032" s="135"/>
      <c r="J2032" s="135"/>
      <c r="K2032" s="135"/>
    </row>
    <row r="2033" ht="12.75" customHeight="1">
      <c r="B2033" s="90"/>
      <c r="E2033" s="79"/>
      <c r="F2033" s="80"/>
      <c r="G2033" s="80"/>
      <c r="H2033" s="81"/>
      <c r="I2033" s="80"/>
      <c r="J2033" s="80"/>
      <c r="K2033" s="80"/>
    </row>
    <row r="2034" ht="12.75" customHeight="1">
      <c r="B2034" s="96" t="s">
        <v>4386</v>
      </c>
      <c r="C2034" s="90"/>
      <c r="D2034" s="89" t="s">
        <v>75</v>
      </c>
      <c r="E2034" s="91">
        <v>8.0</v>
      </c>
      <c r="F2034" s="80"/>
      <c r="G2034" s="135" t="s">
        <v>619</v>
      </c>
      <c r="H2034" s="159"/>
      <c r="I2034" s="135"/>
      <c r="J2034" s="135"/>
      <c r="K2034" s="135"/>
    </row>
    <row r="2035" ht="12.75" customHeight="1">
      <c r="B2035" s="90"/>
      <c r="E2035" s="79"/>
      <c r="F2035" s="80"/>
      <c r="G2035" s="80"/>
      <c r="H2035" s="81"/>
      <c r="I2035" s="80"/>
      <c r="J2035" s="80"/>
      <c r="K2035" s="80"/>
    </row>
    <row r="2036" ht="12.75" customHeight="1">
      <c r="B2036" s="96" t="s">
        <v>5343</v>
      </c>
      <c r="C2036" s="90"/>
      <c r="E2036" s="79"/>
      <c r="F2036" s="80"/>
      <c r="G2036" s="80"/>
      <c r="H2036" s="81"/>
      <c r="I2036" s="80"/>
      <c r="J2036" s="80"/>
      <c r="K2036" s="80"/>
    </row>
    <row r="2037" ht="12.75" customHeight="1">
      <c r="B2037" s="90"/>
      <c r="E2037" s="79"/>
      <c r="F2037" s="80"/>
      <c r="G2037" s="80"/>
      <c r="H2037" s="81"/>
      <c r="I2037" s="80"/>
      <c r="J2037" s="80"/>
      <c r="K2037" s="80"/>
    </row>
    <row r="2038" ht="12.75" customHeight="1">
      <c r="B2038" s="96" t="s">
        <v>5214</v>
      </c>
      <c r="C2038" s="90"/>
      <c r="E2038" s="79"/>
      <c r="F2038" s="80"/>
      <c r="G2038" s="80"/>
      <c r="H2038" s="81"/>
      <c r="I2038" s="80"/>
      <c r="J2038" s="80"/>
      <c r="K2038" s="80"/>
    </row>
    <row r="2039" ht="12.75" customHeight="1">
      <c r="B2039" s="90"/>
      <c r="E2039" s="79"/>
      <c r="F2039" s="80"/>
      <c r="G2039" s="80"/>
      <c r="H2039" s="81"/>
      <c r="I2039" s="80"/>
      <c r="J2039" s="80"/>
      <c r="K2039" s="80"/>
    </row>
    <row r="2040" ht="12.75" customHeight="1">
      <c r="B2040" s="96" t="s">
        <v>5238</v>
      </c>
      <c r="C2040" s="90"/>
      <c r="E2040" s="79"/>
      <c r="F2040" s="80"/>
      <c r="G2040" s="80"/>
      <c r="H2040" s="81"/>
      <c r="I2040" s="80"/>
      <c r="J2040" s="80"/>
      <c r="K2040" s="80"/>
    </row>
    <row r="2041" ht="12.75" customHeight="1">
      <c r="B2041" s="90"/>
      <c r="E2041" s="79"/>
      <c r="F2041" s="80"/>
      <c r="G2041" s="80"/>
      <c r="H2041" s="81"/>
      <c r="I2041" s="80"/>
      <c r="J2041" s="80"/>
      <c r="K2041" s="80"/>
    </row>
    <row r="2042" ht="12.75" customHeight="1">
      <c r="B2042" s="96" t="s">
        <v>3231</v>
      </c>
      <c r="C2042" s="90"/>
      <c r="D2042" s="89" t="s">
        <v>161</v>
      </c>
      <c r="E2042" s="91">
        <v>488.0</v>
      </c>
      <c r="F2042" s="80"/>
      <c r="G2042" s="135" t="s">
        <v>619</v>
      </c>
      <c r="H2042" s="159"/>
      <c r="I2042" s="135"/>
      <c r="J2042" s="135"/>
      <c r="K2042" s="135"/>
    </row>
    <row r="2043" ht="12.75" customHeight="1">
      <c r="B2043" s="90"/>
      <c r="E2043" s="79"/>
      <c r="F2043" s="80"/>
      <c r="G2043" s="80"/>
      <c r="H2043" s="81"/>
      <c r="I2043" s="80"/>
      <c r="J2043" s="80"/>
      <c r="K2043" s="80"/>
    </row>
    <row r="2044" ht="12.75" customHeight="1">
      <c r="B2044" s="96" t="s">
        <v>5119</v>
      </c>
      <c r="C2044" s="90"/>
      <c r="E2044" s="79"/>
      <c r="F2044" s="80"/>
      <c r="G2044" s="80"/>
      <c r="H2044" s="81"/>
      <c r="I2044" s="80"/>
      <c r="J2044" s="80"/>
      <c r="K2044" s="80"/>
    </row>
    <row r="2045" ht="12.75" customHeight="1">
      <c r="B2045" s="90"/>
      <c r="E2045" s="79"/>
      <c r="F2045" s="80"/>
      <c r="G2045" s="80"/>
      <c r="H2045" s="81"/>
      <c r="I2045" s="80"/>
      <c r="J2045" s="80"/>
      <c r="K2045" s="80"/>
    </row>
    <row r="2046" ht="12.75" customHeight="1">
      <c r="B2046" s="96" t="s">
        <v>5238</v>
      </c>
      <c r="C2046" s="90"/>
      <c r="E2046" s="79"/>
      <c r="F2046" s="80"/>
      <c r="G2046" s="80"/>
      <c r="H2046" s="81"/>
      <c r="I2046" s="80"/>
      <c r="J2046" s="80"/>
      <c r="K2046" s="80"/>
    </row>
    <row r="2047" ht="12.75" customHeight="1">
      <c r="B2047" s="90"/>
      <c r="E2047" s="79"/>
      <c r="F2047" s="80"/>
      <c r="G2047" s="80"/>
      <c r="H2047" s="81"/>
      <c r="I2047" s="80"/>
      <c r="J2047" s="80"/>
      <c r="K2047" s="80"/>
    </row>
    <row r="2048" ht="12.75" customHeight="1">
      <c r="B2048" s="96" t="s">
        <v>5247</v>
      </c>
      <c r="C2048" s="90"/>
      <c r="D2048" s="89" t="s">
        <v>161</v>
      </c>
      <c r="E2048" s="91">
        <v>457.0</v>
      </c>
      <c r="F2048" s="92">
        <v>1.81</v>
      </c>
      <c r="G2048" s="92">
        <v>827.17</v>
      </c>
      <c r="H2048" s="93"/>
      <c r="I2048" s="92"/>
      <c r="J2048" s="92"/>
      <c r="K2048" s="92"/>
    </row>
    <row r="2049" ht="12.75" customHeight="1">
      <c r="B2049" s="90"/>
      <c r="E2049" s="79"/>
      <c r="F2049" s="80"/>
      <c r="G2049" s="80"/>
      <c r="H2049" s="81"/>
      <c r="I2049" s="80"/>
      <c r="J2049" s="80"/>
      <c r="K2049" s="80"/>
    </row>
    <row r="2050" ht="12.75" customHeight="1">
      <c r="B2050" s="96" t="s">
        <v>5344</v>
      </c>
      <c r="C2050" s="90"/>
      <c r="D2050" s="89" t="s">
        <v>161</v>
      </c>
      <c r="E2050" s="91">
        <v>32.0</v>
      </c>
      <c r="F2050" s="92">
        <v>2.2</v>
      </c>
      <c r="G2050" s="92">
        <v>70.4</v>
      </c>
      <c r="H2050" s="93"/>
      <c r="I2050" s="92"/>
      <c r="J2050" s="92"/>
      <c r="K2050" s="92"/>
    </row>
    <row r="2051" ht="12.75" customHeight="1">
      <c r="B2051" s="90"/>
      <c r="E2051" s="79"/>
      <c r="F2051" s="80"/>
      <c r="G2051" s="80"/>
      <c r="H2051" s="81"/>
      <c r="I2051" s="80"/>
      <c r="J2051" s="80"/>
      <c r="K2051" s="80"/>
    </row>
    <row r="2052" ht="12.75" customHeight="1">
      <c r="B2052" s="96" t="s">
        <v>5122</v>
      </c>
      <c r="C2052" s="90"/>
      <c r="E2052" s="79"/>
      <c r="F2052" s="80"/>
      <c r="G2052" s="80"/>
      <c r="H2052" s="81"/>
      <c r="I2052" s="80"/>
      <c r="J2052" s="80"/>
      <c r="K2052" s="80"/>
    </row>
    <row r="2053" ht="12.75" customHeight="1">
      <c r="B2053" s="90"/>
      <c r="E2053" s="79"/>
      <c r="F2053" s="80"/>
      <c r="G2053" s="80"/>
      <c r="H2053" s="81"/>
      <c r="I2053" s="80"/>
      <c r="J2053" s="80"/>
      <c r="K2053" s="80"/>
    </row>
    <row r="2054" ht="12.75" customHeight="1">
      <c r="B2054" s="96" t="s">
        <v>5238</v>
      </c>
      <c r="C2054" s="90"/>
      <c r="E2054" s="79"/>
      <c r="F2054" s="80"/>
      <c r="G2054" s="80"/>
      <c r="H2054" s="81"/>
      <c r="I2054" s="80"/>
      <c r="J2054" s="80"/>
      <c r="K2054" s="80"/>
    </row>
    <row r="2055" ht="12.75" customHeight="1">
      <c r="B2055" s="90"/>
      <c r="E2055" s="79"/>
      <c r="F2055" s="80"/>
      <c r="G2055" s="80"/>
      <c r="H2055" s="81"/>
      <c r="I2055" s="80"/>
      <c r="J2055" s="80"/>
      <c r="K2055" s="80"/>
    </row>
    <row r="2056" ht="12.75" customHeight="1">
      <c r="B2056" s="96" t="s">
        <v>5345</v>
      </c>
      <c r="C2056" s="90"/>
      <c r="D2056" s="89" t="s">
        <v>75</v>
      </c>
      <c r="E2056" s="91">
        <v>50.0</v>
      </c>
      <c r="F2056" s="92">
        <v>2.3</v>
      </c>
      <c r="G2056" s="92">
        <v>115.0</v>
      </c>
      <c r="H2056" s="93"/>
      <c r="I2056" s="92"/>
      <c r="J2056" s="92"/>
      <c r="K2056" s="92"/>
    </row>
    <row r="2057" ht="12.75" customHeight="1">
      <c r="B2057" s="90"/>
      <c r="E2057" s="79"/>
      <c r="F2057" s="80"/>
      <c r="G2057" s="80"/>
      <c r="H2057" s="81"/>
      <c r="I2057" s="80"/>
      <c r="J2057" s="80"/>
      <c r="K2057" s="80"/>
    </row>
    <row r="2058" ht="12.75" customHeight="1">
      <c r="B2058" s="96" t="s">
        <v>1450</v>
      </c>
      <c r="C2058" s="90"/>
      <c r="D2058" s="89" t="s">
        <v>75</v>
      </c>
      <c r="E2058" s="91">
        <v>2.0</v>
      </c>
      <c r="F2058" s="92">
        <v>21.66</v>
      </c>
      <c r="G2058" s="92">
        <v>43.32</v>
      </c>
      <c r="H2058" s="93"/>
      <c r="I2058" s="92"/>
      <c r="J2058" s="92"/>
      <c r="K2058" s="92"/>
    </row>
    <row r="2059" ht="12.75" customHeight="1">
      <c r="B2059" s="90"/>
      <c r="E2059" s="79"/>
      <c r="F2059" s="80"/>
      <c r="G2059" s="80"/>
      <c r="H2059" s="81"/>
      <c r="I2059" s="80"/>
      <c r="J2059" s="80"/>
      <c r="K2059" s="80"/>
    </row>
    <row r="2060" ht="12.75" customHeight="1">
      <c r="A2060" s="89" t="s">
        <v>1451</v>
      </c>
      <c r="B2060" s="96" t="s">
        <v>4388</v>
      </c>
      <c r="C2060" s="90"/>
      <c r="D2060" s="89" t="s">
        <v>1435</v>
      </c>
      <c r="E2060" s="91">
        <v>1.0</v>
      </c>
      <c r="F2060" s="92">
        <v>5810.6</v>
      </c>
      <c r="G2060" s="92">
        <v>5810.6</v>
      </c>
      <c r="H2060" s="93"/>
      <c r="I2060" s="92"/>
      <c r="J2060" s="92"/>
      <c r="K2060" s="92"/>
    </row>
    <row r="2061" ht="12.75" customHeight="1">
      <c r="B2061" s="90"/>
      <c r="E2061" s="79"/>
      <c r="F2061" s="80"/>
      <c r="G2061" s="80"/>
      <c r="H2061" s="81"/>
      <c r="I2061" s="80"/>
      <c r="J2061" s="80"/>
      <c r="K2061" s="80"/>
    </row>
    <row r="2062" ht="12.75" customHeight="1">
      <c r="B2062" s="96" t="s">
        <v>5346</v>
      </c>
      <c r="C2062" s="90"/>
      <c r="E2062" s="79"/>
      <c r="F2062" s="80"/>
      <c r="G2062" s="80"/>
      <c r="H2062" s="81"/>
      <c r="I2062" s="80"/>
      <c r="J2062" s="80"/>
      <c r="K2062" s="80"/>
    </row>
    <row r="2063" ht="12.75" customHeight="1">
      <c r="B2063" s="90"/>
      <c r="E2063" s="79"/>
      <c r="F2063" s="80"/>
      <c r="G2063" s="80"/>
      <c r="H2063" s="81"/>
      <c r="I2063" s="80"/>
      <c r="J2063" s="80"/>
      <c r="K2063" s="80"/>
    </row>
    <row r="2064" ht="12.75" customHeight="1">
      <c r="B2064" s="96" t="s">
        <v>5347</v>
      </c>
      <c r="C2064" s="90"/>
      <c r="E2064" s="79"/>
      <c r="F2064" s="80"/>
      <c r="G2064" s="80"/>
      <c r="H2064" s="81"/>
      <c r="I2064" s="80"/>
      <c r="J2064" s="80"/>
      <c r="K2064" s="80"/>
    </row>
    <row r="2065" ht="12.75" customHeight="1">
      <c r="B2065" s="90"/>
      <c r="E2065" s="79"/>
      <c r="F2065" s="80"/>
      <c r="G2065" s="80"/>
      <c r="H2065" s="81"/>
      <c r="I2065" s="80"/>
      <c r="J2065" s="80"/>
      <c r="K2065" s="80"/>
    </row>
    <row r="2066" ht="12.75" customHeight="1">
      <c r="B2066" s="96" t="s">
        <v>5348</v>
      </c>
      <c r="C2066" s="90"/>
      <c r="D2066" s="89" t="s">
        <v>75</v>
      </c>
      <c r="E2066" s="91">
        <v>10.0</v>
      </c>
      <c r="F2066" s="80"/>
      <c r="G2066" s="135" t="s">
        <v>619</v>
      </c>
      <c r="H2066" s="159"/>
      <c r="I2066" s="135"/>
      <c r="J2066" s="135"/>
      <c r="K2066" s="135"/>
    </row>
    <row r="2067" ht="12.75" customHeight="1">
      <c r="B2067" s="90"/>
      <c r="E2067" s="79"/>
      <c r="F2067" s="80"/>
      <c r="G2067" s="80"/>
      <c r="H2067" s="81"/>
      <c r="I2067" s="80"/>
      <c r="J2067" s="80"/>
      <c r="K2067" s="80"/>
    </row>
    <row r="2068" ht="12.75" customHeight="1">
      <c r="B2068" s="96" t="s">
        <v>5349</v>
      </c>
      <c r="C2068" s="90"/>
      <c r="D2068" s="89" t="s">
        <v>75</v>
      </c>
      <c r="E2068" s="91">
        <v>1.0</v>
      </c>
      <c r="F2068" s="80"/>
      <c r="G2068" s="135" t="s">
        <v>619</v>
      </c>
      <c r="H2068" s="159"/>
      <c r="I2068" s="135"/>
      <c r="J2068" s="135"/>
      <c r="K2068" s="135"/>
    </row>
    <row r="2069" ht="12.75" customHeight="1">
      <c r="B2069" s="90"/>
      <c r="E2069" s="79"/>
      <c r="F2069" s="80"/>
      <c r="G2069" s="80"/>
      <c r="H2069" s="81"/>
      <c r="I2069" s="80"/>
      <c r="J2069" s="80"/>
      <c r="K2069" s="80"/>
    </row>
    <row r="2070" ht="12.75" customHeight="1">
      <c r="B2070" s="96" t="s">
        <v>5350</v>
      </c>
      <c r="C2070" s="90"/>
      <c r="D2070" s="89" t="s">
        <v>75</v>
      </c>
      <c r="E2070" s="91">
        <v>11.0</v>
      </c>
      <c r="F2070" s="80"/>
      <c r="G2070" s="135" t="s">
        <v>619</v>
      </c>
      <c r="H2070" s="159"/>
      <c r="I2070" s="135"/>
      <c r="J2070" s="135"/>
      <c r="K2070" s="135"/>
    </row>
    <row r="2071" ht="12.75" customHeight="1">
      <c r="B2071" s="90"/>
      <c r="E2071" s="79"/>
      <c r="F2071" s="80"/>
      <c r="G2071" s="80"/>
      <c r="H2071" s="81"/>
      <c r="I2071" s="80"/>
      <c r="J2071" s="80"/>
      <c r="K2071" s="80"/>
    </row>
    <row r="2072" ht="12.75" customHeight="1">
      <c r="B2072" s="96" t="s">
        <v>5351</v>
      </c>
      <c r="C2072" s="90"/>
      <c r="E2072" s="79"/>
      <c r="F2072" s="80"/>
      <c r="G2072" s="80"/>
      <c r="H2072" s="81"/>
      <c r="I2072" s="80"/>
      <c r="J2072" s="80"/>
      <c r="K2072" s="80"/>
    </row>
    <row r="2073" ht="12.75" customHeight="1">
      <c r="B2073" s="90"/>
      <c r="E2073" s="79"/>
      <c r="F2073" s="80"/>
      <c r="G2073" s="80"/>
      <c r="H2073" s="81"/>
      <c r="I2073" s="80"/>
      <c r="J2073" s="80"/>
      <c r="K2073" s="80"/>
    </row>
    <row r="2074" ht="12.75" customHeight="1">
      <c r="B2074" s="96" t="s">
        <v>5352</v>
      </c>
      <c r="C2074" s="90"/>
      <c r="D2074" s="89" t="s">
        <v>75</v>
      </c>
      <c r="E2074" s="91">
        <v>1.0</v>
      </c>
      <c r="F2074" s="80"/>
      <c r="G2074" s="135" t="s">
        <v>619</v>
      </c>
      <c r="H2074" s="159"/>
      <c r="I2074" s="135"/>
      <c r="J2074" s="135"/>
      <c r="K2074" s="135"/>
    </row>
    <row r="2075" ht="12.75" customHeight="1">
      <c r="B2075" s="90"/>
      <c r="E2075" s="79"/>
      <c r="F2075" s="80"/>
      <c r="G2075" s="80"/>
      <c r="H2075" s="81"/>
      <c r="I2075" s="80"/>
      <c r="J2075" s="80"/>
      <c r="K2075" s="80"/>
    </row>
    <row r="2076" ht="12.75" customHeight="1">
      <c r="B2076" s="96" t="s">
        <v>5353</v>
      </c>
      <c r="C2076" s="90"/>
      <c r="D2076" s="89" t="s">
        <v>75</v>
      </c>
      <c r="E2076" s="91">
        <v>1.0</v>
      </c>
      <c r="F2076" s="80"/>
      <c r="G2076" s="135" t="s">
        <v>619</v>
      </c>
      <c r="H2076" s="159"/>
      <c r="I2076" s="135"/>
      <c r="J2076" s="135"/>
      <c r="K2076" s="135"/>
    </row>
    <row r="2077" ht="12.75" customHeight="1">
      <c r="B2077" s="90"/>
      <c r="E2077" s="79"/>
      <c r="F2077" s="80"/>
      <c r="G2077" s="80"/>
      <c r="H2077" s="81"/>
      <c r="I2077" s="80"/>
      <c r="J2077" s="80"/>
      <c r="K2077" s="80"/>
    </row>
    <row r="2078" ht="12.75" customHeight="1">
      <c r="B2078" s="96" t="s">
        <v>5354</v>
      </c>
      <c r="C2078" s="90"/>
      <c r="D2078" s="89" t="s">
        <v>75</v>
      </c>
      <c r="E2078" s="91">
        <v>1.0</v>
      </c>
      <c r="F2078" s="80"/>
      <c r="G2078" s="135" t="s">
        <v>619</v>
      </c>
      <c r="H2078" s="159"/>
      <c r="I2078" s="135"/>
      <c r="J2078" s="135"/>
      <c r="K2078" s="135"/>
    </row>
    <row r="2079" ht="12.75" customHeight="1">
      <c r="B2079" s="90"/>
      <c r="E2079" s="79"/>
      <c r="F2079" s="80"/>
      <c r="G2079" s="80"/>
      <c r="H2079" s="81"/>
      <c r="I2079" s="80"/>
      <c r="J2079" s="80"/>
      <c r="K2079" s="80"/>
    </row>
    <row r="2080" ht="12.75" customHeight="1">
      <c r="B2080" s="96" t="s">
        <v>5355</v>
      </c>
      <c r="C2080" s="90"/>
      <c r="D2080" s="89" t="s">
        <v>75</v>
      </c>
      <c r="E2080" s="91">
        <v>1.0</v>
      </c>
      <c r="F2080" s="80"/>
      <c r="G2080" s="135" t="s">
        <v>619</v>
      </c>
      <c r="H2080" s="159"/>
      <c r="I2080" s="135"/>
      <c r="J2080" s="135"/>
      <c r="K2080" s="135"/>
    </row>
    <row r="2081" ht="12.75" customHeight="1">
      <c r="B2081" s="90"/>
      <c r="E2081" s="79"/>
      <c r="F2081" s="80"/>
      <c r="G2081" s="80"/>
      <c r="H2081" s="81"/>
      <c r="I2081" s="80"/>
      <c r="J2081" s="80"/>
      <c r="K2081" s="80"/>
    </row>
    <row r="2082" ht="12.75" customHeight="1">
      <c r="B2082" s="96" t="s">
        <v>5356</v>
      </c>
      <c r="C2082" s="90"/>
      <c r="D2082" s="89" t="s">
        <v>75</v>
      </c>
      <c r="E2082" s="91">
        <v>1.0</v>
      </c>
      <c r="F2082" s="80"/>
      <c r="G2082" s="135" t="s">
        <v>619</v>
      </c>
      <c r="H2082" s="159"/>
      <c r="I2082" s="135"/>
      <c r="J2082" s="135"/>
      <c r="K2082" s="135"/>
    </row>
    <row r="2083" ht="12.75" customHeight="1">
      <c r="B2083" s="90"/>
      <c r="E2083" s="79"/>
      <c r="F2083" s="80"/>
      <c r="G2083" s="80"/>
      <c r="H2083" s="81"/>
      <c r="I2083" s="80"/>
      <c r="J2083" s="80"/>
      <c r="K2083" s="80"/>
    </row>
    <row r="2084" ht="12.75" customHeight="1">
      <c r="B2084" s="96" t="s">
        <v>5357</v>
      </c>
      <c r="C2084" s="90"/>
      <c r="D2084" s="89" t="s">
        <v>161</v>
      </c>
      <c r="E2084" s="91">
        <v>303.0</v>
      </c>
      <c r="F2084" s="80"/>
      <c r="G2084" s="135" t="s">
        <v>619</v>
      </c>
      <c r="H2084" s="159"/>
      <c r="I2084" s="135"/>
      <c r="J2084" s="135"/>
      <c r="K2084" s="135"/>
    </row>
    <row r="2085" ht="12.75" customHeight="1">
      <c r="B2085" s="90"/>
      <c r="E2085" s="79"/>
      <c r="F2085" s="80"/>
      <c r="G2085" s="80"/>
      <c r="H2085" s="81"/>
      <c r="I2085" s="80"/>
      <c r="J2085" s="80"/>
      <c r="K2085" s="80"/>
    </row>
    <row r="2086" ht="12.75" customHeight="1">
      <c r="B2086" s="96" t="s">
        <v>4401</v>
      </c>
      <c r="C2086" s="90"/>
      <c r="D2086" s="89" t="s">
        <v>75</v>
      </c>
      <c r="E2086" s="91">
        <v>11.0</v>
      </c>
      <c r="F2086" s="80"/>
      <c r="G2086" s="135" t="s">
        <v>619</v>
      </c>
      <c r="H2086" s="159"/>
      <c r="I2086" s="135"/>
      <c r="J2086" s="135"/>
      <c r="K2086" s="135"/>
    </row>
    <row r="2087" ht="12.75" customHeight="1">
      <c r="B2087" s="90"/>
      <c r="E2087" s="79"/>
      <c r="F2087" s="80"/>
      <c r="G2087" s="80"/>
      <c r="H2087" s="81"/>
      <c r="I2087" s="80"/>
      <c r="J2087" s="80"/>
      <c r="K2087" s="80"/>
    </row>
    <row r="2088" ht="12.75" customHeight="1">
      <c r="B2088" s="96" t="s">
        <v>5358</v>
      </c>
      <c r="C2088" s="90"/>
      <c r="D2088" s="89" t="s">
        <v>161</v>
      </c>
      <c r="E2088" s="91">
        <v>183.0</v>
      </c>
      <c r="F2088" s="92">
        <v>2.2</v>
      </c>
      <c r="G2088" s="92">
        <v>402.6</v>
      </c>
      <c r="H2088" s="93"/>
      <c r="I2088" s="92"/>
      <c r="J2088" s="92"/>
      <c r="K2088" s="92"/>
    </row>
    <row r="2089" ht="12.75" customHeight="1">
      <c r="B2089" s="90"/>
      <c r="E2089" s="79"/>
      <c r="F2089" s="80"/>
      <c r="G2089" s="80"/>
      <c r="H2089" s="81"/>
      <c r="I2089" s="80"/>
      <c r="J2089" s="80"/>
      <c r="K2089" s="80"/>
    </row>
    <row r="2090" ht="12.75" customHeight="1">
      <c r="B2090" s="96" t="s">
        <v>5359</v>
      </c>
      <c r="C2090" s="90"/>
      <c r="D2090" s="89" t="s">
        <v>161</v>
      </c>
      <c r="E2090" s="91">
        <v>19.0</v>
      </c>
      <c r="F2090" s="92">
        <v>3.34</v>
      </c>
      <c r="G2090" s="92">
        <v>63.46</v>
      </c>
      <c r="H2090" s="93"/>
      <c r="I2090" s="92"/>
      <c r="J2090" s="92"/>
      <c r="K2090" s="92"/>
    </row>
    <row r="2091" ht="12.75" customHeight="1">
      <c r="B2091" s="90"/>
      <c r="E2091" s="79"/>
      <c r="F2091" s="80"/>
      <c r="G2091" s="80"/>
      <c r="H2091" s="81"/>
      <c r="I2091" s="80"/>
      <c r="J2091" s="80"/>
      <c r="K2091" s="80"/>
    </row>
    <row r="2092" ht="12.75" customHeight="1">
      <c r="B2092" s="96" t="s">
        <v>5360</v>
      </c>
      <c r="C2092" s="90"/>
      <c r="D2092" s="89" t="s">
        <v>75</v>
      </c>
      <c r="E2092" s="91">
        <v>2.0</v>
      </c>
      <c r="F2092" s="92">
        <v>61.67</v>
      </c>
      <c r="G2092" s="92">
        <v>123.34</v>
      </c>
      <c r="H2092" s="93"/>
      <c r="I2092" s="92"/>
      <c r="J2092" s="92"/>
      <c r="K2092" s="92"/>
    </row>
    <row r="2093" ht="12.75" customHeight="1">
      <c r="B2093" s="90"/>
      <c r="E2093" s="79"/>
      <c r="F2093" s="80"/>
      <c r="G2093" s="80"/>
      <c r="H2093" s="81"/>
      <c r="I2093" s="80"/>
      <c r="J2093" s="80"/>
      <c r="K2093" s="80"/>
    </row>
    <row r="2094" ht="12.75" customHeight="1">
      <c r="A2094" s="89" t="s">
        <v>1469</v>
      </c>
      <c r="B2094" s="96" t="s">
        <v>5361</v>
      </c>
      <c r="C2094" s="90"/>
      <c r="D2094" s="89" t="s">
        <v>1435</v>
      </c>
      <c r="E2094" s="91">
        <v>0.0</v>
      </c>
      <c r="F2094" s="80"/>
      <c r="G2094" s="92">
        <v>0.0</v>
      </c>
      <c r="H2094" s="93"/>
      <c r="I2094" s="92"/>
      <c r="J2094" s="92"/>
      <c r="K2094" s="92"/>
    </row>
    <row r="2095" ht="12.75" customHeight="1">
      <c r="B2095" s="90"/>
      <c r="E2095" s="79"/>
      <c r="F2095" s="80"/>
      <c r="G2095" s="80"/>
      <c r="H2095" s="81"/>
      <c r="I2095" s="80"/>
      <c r="J2095" s="80"/>
      <c r="K2095" s="80"/>
    </row>
    <row r="2096" ht="12.75" customHeight="1">
      <c r="A2096" s="89" t="s">
        <v>1471</v>
      </c>
      <c r="B2096" s="96" t="s">
        <v>5362</v>
      </c>
      <c r="C2096" s="90"/>
      <c r="D2096" s="89" t="s">
        <v>1435</v>
      </c>
      <c r="E2096" s="91">
        <v>1.0</v>
      </c>
      <c r="F2096" s="92">
        <v>21963.67</v>
      </c>
      <c r="G2096" s="92">
        <v>21963.67</v>
      </c>
      <c r="H2096" s="93"/>
      <c r="I2096" s="92"/>
      <c r="J2096" s="92"/>
      <c r="K2096" s="92"/>
    </row>
    <row r="2097" ht="12.75" customHeight="1">
      <c r="B2097" s="90"/>
      <c r="E2097" s="79"/>
      <c r="F2097" s="80"/>
      <c r="G2097" s="80"/>
      <c r="H2097" s="81"/>
      <c r="I2097" s="80"/>
      <c r="J2097" s="80"/>
      <c r="K2097" s="80"/>
    </row>
    <row r="2098" ht="12.75" customHeight="1">
      <c r="B2098" s="96" t="s">
        <v>5363</v>
      </c>
      <c r="C2098" s="90"/>
      <c r="D2098" s="89" t="s">
        <v>161</v>
      </c>
      <c r="E2098" s="91">
        <v>98.0</v>
      </c>
      <c r="F2098" s="80"/>
      <c r="G2098" s="135" t="s">
        <v>619</v>
      </c>
      <c r="H2098" s="159"/>
      <c r="I2098" s="135"/>
      <c r="J2098" s="135"/>
      <c r="K2098" s="135"/>
    </row>
    <row r="2099" ht="12.75" customHeight="1">
      <c r="B2099" s="90"/>
      <c r="E2099" s="79"/>
      <c r="F2099" s="80"/>
      <c r="G2099" s="80"/>
      <c r="H2099" s="81"/>
      <c r="I2099" s="80"/>
      <c r="J2099" s="80"/>
      <c r="K2099" s="80"/>
    </row>
    <row r="2100" ht="12.75" customHeight="1">
      <c r="B2100" s="96" t="s">
        <v>5238</v>
      </c>
      <c r="C2100" s="90"/>
      <c r="E2100" s="79"/>
      <c r="F2100" s="80"/>
      <c r="G2100" s="80"/>
      <c r="H2100" s="81"/>
      <c r="I2100" s="80"/>
      <c r="J2100" s="80"/>
      <c r="K2100" s="80"/>
    </row>
    <row r="2101" ht="12.75" customHeight="1">
      <c r="B2101" s="90"/>
      <c r="E2101" s="79"/>
      <c r="F2101" s="80"/>
      <c r="G2101" s="80"/>
      <c r="H2101" s="81"/>
      <c r="I2101" s="80"/>
      <c r="J2101" s="80"/>
      <c r="K2101" s="80"/>
    </row>
    <row r="2102" ht="12.75" customHeight="1">
      <c r="B2102" s="96" t="s">
        <v>5364</v>
      </c>
      <c r="C2102" s="90"/>
      <c r="D2102" s="89" t="s">
        <v>75</v>
      </c>
      <c r="E2102" s="91">
        <v>1.0</v>
      </c>
      <c r="F2102" s="80"/>
      <c r="G2102" s="135" t="s">
        <v>619</v>
      </c>
      <c r="H2102" s="159"/>
      <c r="I2102" s="135"/>
      <c r="J2102" s="135"/>
      <c r="K2102" s="135"/>
    </row>
    <row r="2103" ht="12.75" customHeight="1">
      <c r="B2103" s="90"/>
      <c r="E2103" s="79"/>
      <c r="F2103" s="80"/>
      <c r="G2103" s="80"/>
      <c r="H2103" s="81"/>
      <c r="I2103" s="80"/>
      <c r="J2103" s="80"/>
      <c r="K2103" s="80"/>
    </row>
    <row r="2104" ht="12.75" customHeight="1">
      <c r="B2104" s="96" t="s">
        <v>5365</v>
      </c>
      <c r="C2104" s="90"/>
      <c r="D2104" s="89" t="s">
        <v>75</v>
      </c>
      <c r="E2104" s="91">
        <v>1.0</v>
      </c>
      <c r="F2104" s="80"/>
      <c r="G2104" s="135" t="s">
        <v>619</v>
      </c>
      <c r="H2104" s="159"/>
      <c r="I2104" s="135"/>
      <c r="J2104" s="135"/>
      <c r="K2104" s="135"/>
    </row>
    <row r="2105" ht="12.75" customHeight="1">
      <c r="B2105" s="90"/>
      <c r="E2105" s="79"/>
      <c r="F2105" s="80"/>
      <c r="G2105" s="80"/>
      <c r="H2105" s="81"/>
      <c r="I2105" s="80"/>
      <c r="J2105" s="80"/>
      <c r="K2105" s="80"/>
    </row>
    <row r="2106" ht="12.75" customHeight="1">
      <c r="B2106" s="96" t="s">
        <v>4401</v>
      </c>
      <c r="C2106" s="90"/>
      <c r="D2106" s="89" t="s">
        <v>75</v>
      </c>
      <c r="E2106" s="91">
        <v>1.0</v>
      </c>
      <c r="F2106" s="80"/>
      <c r="G2106" s="135" t="s">
        <v>619</v>
      </c>
      <c r="H2106" s="159"/>
      <c r="I2106" s="135"/>
      <c r="J2106" s="135"/>
      <c r="K2106" s="135"/>
    </row>
    <row r="2107" ht="12.75" customHeight="1">
      <c r="B2107" s="90"/>
      <c r="E2107" s="79"/>
      <c r="F2107" s="80"/>
      <c r="G2107" s="80"/>
      <c r="H2107" s="81"/>
      <c r="I2107" s="80"/>
      <c r="J2107" s="80"/>
      <c r="K2107" s="80"/>
    </row>
    <row r="2108" ht="12.75" customHeight="1">
      <c r="B2108" s="96" t="s">
        <v>5238</v>
      </c>
      <c r="C2108" s="90"/>
      <c r="E2108" s="79"/>
      <c r="F2108" s="80"/>
      <c r="G2108" s="80"/>
      <c r="H2108" s="81"/>
      <c r="I2108" s="80"/>
      <c r="J2108" s="80"/>
      <c r="K2108" s="80"/>
    </row>
    <row r="2109" ht="12.75" customHeight="1">
      <c r="B2109" s="90"/>
      <c r="E2109" s="79"/>
      <c r="F2109" s="80"/>
      <c r="G2109" s="80"/>
      <c r="H2109" s="81"/>
      <c r="I2109" s="80"/>
      <c r="J2109" s="80"/>
      <c r="K2109" s="80"/>
    </row>
    <row r="2110" ht="12.75" customHeight="1">
      <c r="B2110" s="96" t="s">
        <v>5358</v>
      </c>
      <c r="C2110" s="90"/>
      <c r="D2110" s="89" t="s">
        <v>161</v>
      </c>
      <c r="E2110" s="91">
        <v>50.0</v>
      </c>
      <c r="F2110" s="92">
        <v>2.2</v>
      </c>
      <c r="G2110" s="92">
        <v>110.0</v>
      </c>
      <c r="H2110" s="93"/>
      <c r="I2110" s="92"/>
      <c r="J2110" s="92"/>
      <c r="K2110" s="92"/>
    </row>
    <row r="2111" ht="12.75" customHeight="1">
      <c r="B2111" s="90"/>
      <c r="E2111" s="79"/>
      <c r="F2111" s="80"/>
      <c r="G2111" s="80"/>
      <c r="H2111" s="81"/>
      <c r="I2111" s="80"/>
      <c r="J2111" s="80"/>
      <c r="K2111" s="80"/>
    </row>
    <row r="2112" ht="12.75" customHeight="1">
      <c r="B2112" s="96" t="s">
        <v>5366</v>
      </c>
      <c r="C2112" s="90"/>
      <c r="D2112" s="89" t="s">
        <v>75</v>
      </c>
      <c r="E2112" s="91">
        <v>1.0</v>
      </c>
      <c r="F2112" s="92">
        <v>21.66</v>
      </c>
      <c r="G2112" s="92">
        <v>21.66</v>
      </c>
      <c r="H2112" s="93"/>
      <c r="I2112" s="92"/>
      <c r="J2112" s="92"/>
      <c r="K2112" s="92"/>
    </row>
    <row r="2113" ht="12.75" customHeight="1">
      <c r="B2113" s="90"/>
      <c r="E2113" s="79"/>
      <c r="F2113" s="80"/>
      <c r="G2113" s="80"/>
      <c r="H2113" s="81"/>
      <c r="I2113" s="80"/>
      <c r="J2113" s="80"/>
      <c r="K2113" s="80"/>
    </row>
    <row r="2114" ht="12.75" customHeight="1">
      <c r="A2114" s="89" t="s">
        <v>1477</v>
      </c>
      <c r="B2114" s="96" t="s">
        <v>5367</v>
      </c>
      <c r="C2114" s="90"/>
      <c r="E2114" s="79"/>
      <c r="F2114" s="80"/>
      <c r="G2114" s="80"/>
      <c r="H2114" s="81"/>
      <c r="I2114" s="80"/>
      <c r="J2114" s="80"/>
      <c r="K2114" s="80"/>
    </row>
    <row r="2115" ht="12.75" customHeight="1">
      <c r="B2115" s="90"/>
      <c r="E2115" s="79"/>
      <c r="F2115" s="80"/>
      <c r="G2115" s="80"/>
      <c r="H2115" s="81"/>
      <c r="I2115" s="80"/>
      <c r="J2115" s="80"/>
      <c r="K2115" s="80"/>
    </row>
    <row r="2116" ht="12.75" customHeight="1">
      <c r="B2116" s="96" t="s">
        <v>5368</v>
      </c>
      <c r="C2116" s="90"/>
      <c r="D2116" s="89" t="s">
        <v>75</v>
      </c>
      <c r="E2116" s="91">
        <v>1.0</v>
      </c>
      <c r="F2116" s="80"/>
      <c r="G2116" s="135" t="s">
        <v>619</v>
      </c>
      <c r="H2116" s="159"/>
      <c r="I2116" s="135"/>
      <c r="J2116" s="135"/>
      <c r="K2116" s="135"/>
    </row>
    <row r="2117" ht="12.75" customHeight="1">
      <c r="B2117" s="90"/>
      <c r="E2117" s="79"/>
      <c r="F2117" s="80"/>
      <c r="G2117" s="80"/>
      <c r="H2117" s="81"/>
      <c r="I2117" s="80"/>
      <c r="J2117" s="80"/>
      <c r="K2117" s="80"/>
    </row>
    <row r="2118" ht="12.75" customHeight="1">
      <c r="B2118" s="96" t="s">
        <v>5369</v>
      </c>
      <c r="C2118" s="90"/>
      <c r="D2118" s="89" t="s">
        <v>75</v>
      </c>
      <c r="E2118" s="91">
        <v>1.0</v>
      </c>
      <c r="F2118" s="80"/>
      <c r="G2118" s="135" t="s">
        <v>619</v>
      </c>
      <c r="H2118" s="159"/>
      <c r="I2118" s="135"/>
      <c r="J2118" s="135"/>
      <c r="K2118" s="135"/>
    </row>
    <row r="2119" ht="12.75" customHeight="1">
      <c r="B2119" s="90"/>
      <c r="E2119" s="79"/>
      <c r="F2119" s="80"/>
      <c r="G2119" s="80"/>
      <c r="H2119" s="81"/>
      <c r="I2119" s="80"/>
      <c r="J2119" s="80"/>
      <c r="K2119" s="80"/>
    </row>
    <row r="2120" ht="12.75" customHeight="1">
      <c r="B2120" s="96" t="s">
        <v>5370</v>
      </c>
      <c r="C2120" s="90"/>
      <c r="D2120" s="89" t="s">
        <v>75</v>
      </c>
      <c r="E2120" s="91">
        <v>3.0</v>
      </c>
      <c r="F2120" s="80"/>
      <c r="G2120" s="135" t="s">
        <v>619</v>
      </c>
      <c r="H2120" s="159"/>
      <c r="I2120" s="135"/>
      <c r="J2120" s="135"/>
      <c r="K2120" s="135"/>
    </row>
    <row r="2121" ht="12.75" customHeight="1">
      <c r="B2121" s="90"/>
      <c r="E2121" s="79"/>
      <c r="F2121" s="80"/>
      <c r="G2121" s="80"/>
      <c r="H2121" s="81"/>
      <c r="I2121" s="80"/>
      <c r="J2121" s="80"/>
      <c r="K2121" s="80"/>
    </row>
    <row r="2122" ht="12.75" customHeight="1">
      <c r="B2122" s="96" t="s">
        <v>5371</v>
      </c>
      <c r="C2122" s="90"/>
      <c r="D2122" s="89" t="s">
        <v>75</v>
      </c>
      <c r="E2122" s="91">
        <v>1.0</v>
      </c>
      <c r="F2122" s="80"/>
      <c r="G2122" s="135" t="s">
        <v>619</v>
      </c>
      <c r="H2122" s="159"/>
      <c r="I2122" s="135"/>
      <c r="J2122" s="135"/>
      <c r="K2122" s="135"/>
    </row>
    <row r="2123" ht="12.75" customHeight="1">
      <c r="B2123" s="90"/>
      <c r="E2123" s="79"/>
      <c r="F2123" s="80"/>
      <c r="G2123" s="80"/>
      <c r="H2123" s="81"/>
      <c r="I2123" s="80"/>
      <c r="J2123" s="80"/>
      <c r="K2123" s="80"/>
    </row>
    <row r="2124" ht="12.75" customHeight="1">
      <c r="A2124" s="89" t="s">
        <v>1483</v>
      </c>
      <c r="B2124" s="96" t="s">
        <v>5372</v>
      </c>
      <c r="C2124" s="90"/>
      <c r="D2124" s="89" t="s">
        <v>1485</v>
      </c>
      <c r="E2124" s="91">
        <v>0.0</v>
      </c>
      <c r="F2124" s="80"/>
      <c r="G2124" s="92">
        <v>0.0</v>
      </c>
      <c r="H2124" s="93"/>
      <c r="I2124" s="92"/>
      <c r="J2124" s="92"/>
      <c r="K2124" s="92"/>
    </row>
    <row r="2125" ht="12.75" customHeight="1">
      <c r="B2125" s="90"/>
      <c r="E2125" s="79"/>
      <c r="F2125" s="80"/>
      <c r="G2125" s="80"/>
      <c r="H2125" s="81"/>
      <c r="I2125" s="80"/>
      <c r="J2125" s="80"/>
      <c r="K2125" s="80"/>
    </row>
    <row r="2126" ht="12.75" customHeight="1">
      <c r="A2126" s="89" t="s">
        <v>1486</v>
      </c>
      <c r="B2126" s="96" t="s">
        <v>5373</v>
      </c>
      <c r="C2126" s="90"/>
      <c r="D2126" s="89" t="s">
        <v>1435</v>
      </c>
      <c r="E2126" s="91">
        <v>1.0</v>
      </c>
      <c r="F2126" s="92">
        <v>6366.06</v>
      </c>
      <c r="G2126" s="92">
        <v>6366.06</v>
      </c>
      <c r="H2126" s="93"/>
      <c r="I2126" s="92"/>
      <c r="J2126" s="92"/>
      <c r="K2126" s="92"/>
    </row>
    <row r="2127" ht="12.75" customHeight="1">
      <c r="B2127" s="90"/>
      <c r="E2127" s="79"/>
      <c r="F2127" s="80"/>
      <c r="G2127" s="80"/>
      <c r="H2127" s="81"/>
      <c r="I2127" s="80"/>
      <c r="J2127" s="80"/>
      <c r="K2127" s="80"/>
    </row>
    <row r="2128" ht="12.75" customHeight="1">
      <c r="B2128" s="96" t="s">
        <v>5374</v>
      </c>
      <c r="C2128" s="90"/>
      <c r="E2128" s="79"/>
      <c r="F2128" s="80"/>
      <c r="G2128" s="80"/>
      <c r="H2128" s="81"/>
      <c r="I2128" s="80"/>
      <c r="J2128" s="80"/>
      <c r="K2128" s="80"/>
    </row>
    <row r="2129" ht="12.75" customHeight="1">
      <c r="B2129" s="90"/>
      <c r="E2129" s="79"/>
      <c r="F2129" s="80"/>
      <c r="G2129" s="80"/>
      <c r="H2129" s="81"/>
      <c r="I2129" s="80"/>
      <c r="J2129" s="80"/>
      <c r="K2129" s="80"/>
    </row>
    <row r="2130" ht="12.75" customHeight="1">
      <c r="B2130" s="96" t="s">
        <v>5375</v>
      </c>
      <c r="C2130" s="90"/>
      <c r="E2130" s="79"/>
      <c r="F2130" s="80"/>
      <c r="G2130" s="80"/>
      <c r="H2130" s="81"/>
      <c r="I2130" s="80"/>
      <c r="J2130" s="80"/>
      <c r="K2130" s="80"/>
    </row>
    <row r="2131" ht="12.75" customHeight="1">
      <c r="B2131" s="90"/>
      <c r="E2131" s="79"/>
      <c r="F2131" s="80"/>
      <c r="G2131" s="80"/>
      <c r="H2131" s="81"/>
      <c r="I2131" s="80"/>
      <c r="J2131" s="80"/>
      <c r="K2131" s="80"/>
    </row>
    <row r="2132" ht="12.75" customHeight="1">
      <c r="B2132" s="96" t="s">
        <v>5376</v>
      </c>
      <c r="C2132" s="90"/>
      <c r="D2132" s="89" t="s">
        <v>33</v>
      </c>
      <c r="E2132" s="91">
        <v>1.0</v>
      </c>
      <c r="F2132" s="80"/>
      <c r="G2132" s="135" t="s">
        <v>619</v>
      </c>
      <c r="H2132" s="159"/>
      <c r="I2132" s="135"/>
      <c r="J2132" s="135"/>
      <c r="K2132" s="135"/>
    </row>
    <row r="2133" ht="12.75" customHeight="1">
      <c r="B2133" s="90"/>
      <c r="E2133" s="79"/>
      <c r="F2133" s="80"/>
      <c r="G2133" s="80"/>
      <c r="H2133" s="81"/>
      <c r="I2133" s="80"/>
      <c r="J2133" s="80"/>
      <c r="K2133" s="80"/>
    </row>
    <row r="2134" ht="12.75" customHeight="1">
      <c r="B2134" s="96" t="s">
        <v>5377</v>
      </c>
      <c r="C2134" s="90"/>
      <c r="D2134" s="89" t="s">
        <v>75</v>
      </c>
      <c r="E2134" s="91">
        <v>1.0</v>
      </c>
      <c r="F2134" s="80"/>
      <c r="G2134" s="135" t="s">
        <v>619</v>
      </c>
      <c r="H2134" s="159"/>
      <c r="I2134" s="135"/>
      <c r="J2134" s="135"/>
      <c r="K2134" s="135"/>
    </row>
    <row r="2135" ht="12.75" customHeight="1">
      <c r="B2135" s="90"/>
      <c r="E2135" s="79"/>
      <c r="F2135" s="80"/>
      <c r="G2135" s="80"/>
      <c r="H2135" s="81"/>
      <c r="I2135" s="80"/>
      <c r="J2135" s="80"/>
      <c r="K2135" s="80"/>
    </row>
    <row r="2136" ht="12.75" customHeight="1">
      <c r="B2136" s="96" t="s">
        <v>5378</v>
      </c>
      <c r="C2136" s="90"/>
      <c r="D2136" s="89" t="s">
        <v>161</v>
      </c>
      <c r="E2136" s="91">
        <v>654.0</v>
      </c>
      <c r="F2136" s="80"/>
      <c r="G2136" s="135" t="s">
        <v>619</v>
      </c>
      <c r="H2136" s="159"/>
      <c r="I2136" s="135"/>
      <c r="J2136" s="135"/>
      <c r="K2136" s="135"/>
    </row>
    <row r="2137" ht="12.75" customHeight="1">
      <c r="B2137" s="90"/>
      <c r="E2137" s="79"/>
      <c r="F2137" s="80"/>
      <c r="G2137" s="80"/>
      <c r="H2137" s="81"/>
      <c r="I2137" s="80"/>
      <c r="J2137" s="80"/>
      <c r="K2137" s="80"/>
    </row>
    <row r="2138" ht="12.75" customHeight="1">
      <c r="B2138" s="96" t="s">
        <v>5379</v>
      </c>
      <c r="C2138" s="90"/>
      <c r="D2138" s="89" t="s">
        <v>75</v>
      </c>
      <c r="E2138" s="91">
        <v>1.0</v>
      </c>
      <c r="F2138" s="80"/>
      <c r="G2138" s="135" t="s">
        <v>619</v>
      </c>
      <c r="H2138" s="159"/>
      <c r="I2138" s="135"/>
      <c r="J2138" s="135"/>
      <c r="K2138" s="135"/>
    </row>
    <row r="2139" ht="12.75" customHeight="1">
      <c r="B2139" s="90"/>
      <c r="E2139" s="79"/>
      <c r="F2139" s="80"/>
      <c r="G2139" s="80"/>
      <c r="H2139" s="81"/>
      <c r="I2139" s="80"/>
      <c r="J2139" s="80"/>
      <c r="K2139" s="80"/>
    </row>
    <row r="2140" ht="12.75" customHeight="1">
      <c r="B2140" s="96" t="s">
        <v>5380</v>
      </c>
      <c r="C2140" s="90"/>
      <c r="D2140" s="89" t="s">
        <v>75</v>
      </c>
      <c r="E2140" s="91">
        <v>1.0</v>
      </c>
      <c r="F2140" s="80"/>
      <c r="G2140" s="135" t="s">
        <v>619</v>
      </c>
      <c r="H2140" s="159"/>
      <c r="I2140" s="135"/>
      <c r="J2140" s="135"/>
      <c r="K2140" s="135"/>
    </row>
    <row r="2141" ht="12.75" customHeight="1">
      <c r="B2141" s="90"/>
      <c r="E2141" s="79"/>
      <c r="F2141" s="80"/>
      <c r="G2141" s="80"/>
      <c r="H2141" s="81"/>
      <c r="I2141" s="80"/>
      <c r="J2141" s="80"/>
      <c r="K2141" s="80"/>
    </row>
    <row r="2142" ht="12.75" customHeight="1">
      <c r="B2142" s="96" t="s">
        <v>5381</v>
      </c>
      <c r="C2142" s="90"/>
      <c r="D2142" s="89" t="s">
        <v>75</v>
      </c>
      <c r="E2142" s="91">
        <v>1.0</v>
      </c>
      <c r="F2142" s="80"/>
      <c r="G2142" s="135" t="s">
        <v>619</v>
      </c>
      <c r="H2142" s="159"/>
      <c r="I2142" s="135"/>
      <c r="J2142" s="135"/>
      <c r="K2142" s="135"/>
    </row>
    <row r="2143" ht="12.75" customHeight="1">
      <c r="B2143" s="90"/>
      <c r="E2143" s="79"/>
      <c r="F2143" s="80"/>
      <c r="G2143" s="80"/>
      <c r="H2143" s="81"/>
      <c r="I2143" s="80"/>
      <c r="J2143" s="80"/>
      <c r="K2143" s="80"/>
    </row>
    <row r="2144" ht="12.75" customHeight="1">
      <c r="B2144" s="96" t="s">
        <v>5382</v>
      </c>
      <c r="C2144" s="90"/>
      <c r="D2144" s="89" t="s">
        <v>75</v>
      </c>
      <c r="E2144" s="91">
        <v>1.0</v>
      </c>
      <c r="F2144" s="80"/>
      <c r="G2144" s="135" t="s">
        <v>619</v>
      </c>
      <c r="H2144" s="159"/>
      <c r="I2144" s="135"/>
      <c r="J2144" s="135"/>
      <c r="K2144" s="135"/>
    </row>
    <row r="2145" ht="12.75" customHeight="1">
      <c r="B2145" s="90"/>
      <c r="E2145" s="79"/>
      <c r="F2145" s="80"/>
      <c r="G2145" s="80"/>
      <c r="H2145" s="81"/>
      <c r="I2145" s="80"/>
      <c r="J2145" s="80"/>
      <c r="K2145" s="80"/>
    </row>
    <row r="2146" ht="12.75" customHeight="1">
      <c r="B2146" s="96" t="s">
        <v>5383</v>
      </c>
      <c r="C2146" s="90"/>
      <c r="D2146" s="89" t="s">
        <v>75</v>
      </c>
      <c r="E2146" s="91">
        <v>5.0</v>
      </c>
      <c r="F2146" s="80"/>
      <c r="G2146" s="135" t="s">
        <v>619</v>
      </c>
      <c r="H2146" s="159"/>
      <c r="I2146" s="135"/>
      <c r="J2146" s="135"/>
      <c r="K2146" s="135"/>
    </row>
    <row r="2147" ht="12.75" customHeight="1">
      <c r="B2147" s="90"/>
      <c r="E2147" s="79"/>
      <c r="F2147" s="80"/>
      <c r="G2147" s="80"/>
      <c r="H2147" s="81"/>
      <c r="I2147" s="80"/>
      <c r="J2147" s="80"/>
      <c r="K2147" s="80"/>
    </row>
    <row r="2148" ht="12.75" customHeight="1">
      <c r="B2148" s="96" t="s">
        <v>5384</v>
      </c>
      <c r="C2148" s="90"/>
      <c r="D2148" s="89" t="s">
        <v>75</v>
      </c>
      <c r="E2148" s="91">
        <v>19.0</v>
      </c>
      <c r="F2148" s="80"/>
      <c r="G2148" s="135" t="s">
        <v>619</v>
      </c>
      <c r="H2148" s="159"/>
      <c r="I2148" s="135"/>
      <c r="J2148" s="135"/>
      <c r="K2148" s="135"/>
    </row>
    <row r="2149" ht="12.75" customHeight="1">
      <c r="B2149" s="90"/>
      <c r="E2149" s="79"/>
      <c r="F2149" s="80"/>
      <c r="G2149" s="80"/>
      <c r="H2149" s="81"/>
      <c r="I2149" s="80"/>
      <c r="J2149" s="80"/>
      <c r="K2149" s="80"/>
    </row>
    <row r="2150" ht="12.75" customHeight="1">
      <c r="B2150" s="96" t="s">
        <v>5385</v>
      </c>
      <c r="C2150" s="90"/>
      <c r="D2150" s="89" t="s">
        <v>75</v>
      </c>
      <c r="E2150" s="91">
        <v>4.0</v>
      </c>
      <c r="F2150" s="80"/>
      <c r="G2150" s="135" t="s">
        <v>619</v>
      </c>
      <c r="H2150" s="159"/>
      <c r="I2150" s="135"/>
      <c r="J2150" s="135"/>
      <c r="K2150" s="135"/>
    </row>
    <row r="2151" ht="12.75" customHeight="1">
      <c r="B2151" s="90"/>
      <c r="E2151" s="79"/>
      <c r="F2151" s="80"/>
      <c r="G2151" s="80"/>
      <c r="H2151" s="81"/>
      <c r="I2151" s="80"/>
      <c r="J2151" s="80"/>
      <c r="K2151" s="80"/>
    </row>
    <row r="2152" ht="12.75" customHeight="1">
      <c r="B2152" s="96" t="s">
        <v>5386</v>
      </c>
      <c r="C2152" s="90"/>
      <c r="D2152" s="89" t="s">
        <v>75</v>
      </c>
      <c r="E2152" s="91">
        <v>9.0</v>
      </c>
      <c r="F2152" s="80"/>
      <c r="G2152" s="135" t="s">
        <v>619</v>
      </c>
      <c r="H2152" s="159"/>
      <c r="I2152" s="135"/>
      <c r="J2152" s="135"/>
      <c r="K2152" s="135"/>
    </row>
    <row r="2153" ht="12.75" customHeight="1">
      <c r="B2153" s="90"/>
      <c r="E2153" s="79"/>
      <c r="F2153" s="80"/>
      <c r="G2153" s="80"/>
      <c r="H2153" s="81"/>
      <c r="I2153" s="80"/>
      <c r="J2153" s="80"/>
      <c r="K2153" s="80"/>
    </row>
    <row r="2154" ht="12.75" customHeight="1">
      <c r="B2154" s="96" t="s">
        <v>5387</v>
      </c>
      <c r="C2154" s="90"/>
      <c r="D2154" s="89" t="s">
        <v>75</v>
      </c>
      <c r="E2154" s="91">
        <v>1.0</v>
      </c>
      <c r="F2154" s="80"/>
      <c r="G2154" s="135" t="s">
        <v>619</v>
      </c>
      <c r="H2154" s="159"/>
      <c r="I2154" s="135"/>
      <c r="J2154" s="135"/>
      <c r="K2154" s="135"/>
    </row>
    <row r="2155" ht="12.75" customHeight="1">
      <c r="B2155" s="90"/>
      <c r="E2155" s="79"/>
      <c r="F2155" s="80"/>
      <c r="G2155" s="80"/>
      <c r="H2155" s="81"/>
      <c r="I2155" s="80"/>
      <c r="J2155" s="80"/>
      <c r="K2155" s="80"/>
    </row>
    <row r="2156" ht="12.75" customHeight="1">
      <c r="B2156" s="96" t="s">
        <v>5388</v>
      </c>
      <c r="C2156" s="90"/>
      <c r="D2156" s="89" t="s">
        <v>75</v>
      </c>
      <c r="E2156" s="91">
        <v>2.0</v>
      </c>
      <c r="F2156" s="80"/>
      <c r="G2156" s="135" t="s">
        <v>619</v>
      </c>
      <c r="H2156" s="159"/>
      <c r="I2156" s="135"/>
      <c r="J2156" s="135"/>
      <c r="K2156" s="135"/>
    </row>
    <row r="2157" ht="12.75" customHeight="1">
      <c r="B2157" s="90"/>
      <c r="E2157" s="79"/>
      <c r="F2157" s="80"/>
      <c r="G2157" s="80"/>
      <c r="H2157" s="81"/>
      <c r="I2157" s="80"/>
      <c r="J2157" s="80"/>
      <c r="K2157" s="80"/>
    </row>
    <row r="2158" ht="12.75" customHeight="1">
      <c r="B2158" s="96" t="s">
        <v>5389</v>
      </c>
      <c r="C2158" s="90"/>
      <c r="D2158" s="89" t="s">
        <v>75</v>
      </c>
      <c r="E2158" s="91">
        <v>1.0</v>
      </c>
      <c r="F2158" s="80"/>
      <c r="G2158" s="135" t="s">
        <v>619</v>
      </c>
      <c r="H2158" s="159"/>
      <c r="I2158" s="135"/>
      <c r="J2158" s="135"/>
      <c r="K2158" s="135"/>
    </row>
    <row r="2159" ht="12.75" customHeight="1">
      <c r="B2159" s="90"/>
      <c r="E2159" s="79"/>
      <c r="F2159" s="80"/>
      <c r="G2159" s="80"/>
      <c r="H2159" s="81"/>
      <c r="I2159" s="80"/>
      <c r="J2159" s="80"/>
      <c r="K2159" s="80"/>
    </row>
    <row r="2160" ht="12.75" customHeight="1">
      <c r="B2160" s="96" t="s">
        <v>5390</v>
      </c>
      <c r="C2160" s="90"/>
      <c r="D2160" s="89" t="s">
        <v>161</v>
      </c>
      <c r="E2160" s="91">
        <v>628.0</v>
      </c>
      <c r="F2160" s="92">
        <v>1.81</v>
      </c>
      <c r="G2160" s="92">
        <v>1136.68</v>
      </c>
      <c r="H2160" s="93"/>
      <c r="I2160" s="92"/>
      <c r="J2160" s="92"/>
      <c r="K2160" s="92"/>
    </row>
    <row r="2161" ht="12.75" customHeight="1">
      <c r="B2161" s="90"/>
      <c r="E2161" s="79"/>
      <c r="F2161" s="80"/>
      <c r="G2161" s="80"/>
      <c r="H2161" s="81"/>
      <c r="I2161" s="80"/>
      <c r="J2161" s="80"/>
      <c r="K2161" s="80"/>
    </row>
    <row r="2162" ht="12.75" customHeight="1">
      <c r="B2162" s="96" t="s">
        <v>5391</v>
      </c>
      <c r="C2162" s="90"/>
      <c r="D2162" s="89" t="s">
        <v>161</v>
      </c>
      <c r="E2162" s="91">
        <v>25.0</v>
      </c>
      <c r="F2162" s="92">
        <v>2.34</v>
      </c>
      <c r="G2162" s="92">
        <v>58.5</v>
      </c>
      <c r="H2162" s="93"/>
      <c r="I2162" s="92"/>
      <c r="J2162" s="92"/>
      <c r="K2162" s="92"/>
    </row>
    <row r="2163" ht="12.75" customHeight="1">
      <c r="B2163" s="90"/>
      <c r="E2163" s="79"/>
      <c r="F2163" s="80"/>
      <c r="G2163" s="80"/>
      <c r="H2163" s="81"/>
      <c r="I2163" s="80"/>
      <c r="J2163" s="80"/>
      <c r="K2163" s="80"/>
    </row>
    <row r="2164" ht="12.75" customHeight="1">
      <c r="B2164" s="96" t="s">
        <v>5360</v>
      </c>
      <c r="C2164" s="90"/>
      <c r="D2164" s="89" t="s">
        <v>75</v>
      </c>
      <c r="E2164" s="91">
        <v>2.0</v>
      </c>
      <c r="F2164" s="92">
        <v>61.67</v>
      </c>
      <c r="G2164" s="92">
        <v>123.34</v>
      </c>
      <c r="H2164" s="93"/>
      <c r="I2164" s="92"/>
      <c r="J2164" s="92"/>
      <c r="K2164" s="92"/>
    </row>
    <row r="2165" ht="12.75" customHeight="1">
      <c r="B2165" s="90"/>
      <c r="E2165" s="79"/>
      <c r="F2165" s="80"/>
      <c r="G2165" s="80"/>
      <c r="H2165" s="81"/>
      <c r="I2165" s="80"/>
      <c r="J2165" s="80"/>
      <c r="K2165" s="80"/>
    </row>
    <row r="2166" ht="12.75" customHeight="1">
      <c r="B2166" s="96" t="s">
        <v>5392</v>
      </c>
      <c r="C2166" s="90"/>
      <c r="D2166" s="89" t="s">
        <v>75</v>
      </c>
      <c r="E2166" s="91">
        <v>1.0</v>
      </c>
      <c r="F2166" s="92">
        <v>77.83</v>
      </c>
      <c r="G2166" s="92">
        <v>77.83</v>
      </c>
      <c r="H2166" s="93"/>
      <c r="I2166" s="92"/>
      <c r="J2166" s="92"/>
      <c r="K2166" s="92"/>
    </row>
    <row r="2167" ht="12.75" customHeight="1">
      <c r="B2167" s="90"/>
      <c r="E2167" s="79"/>
      <c r="F2167" s="80"/>
      <c r="G2167" s="80"/>
      <c r="H2167" s="81"/>
      <c r="I2167" s="80"/>
      <c r="J2167" s="80"/>
      <c r="K2167" s="80"/>
    </row>
    <row r="2168" ht="12.75" customHeight="1">
      <c r="A2168" s="89" t="s">
        <v>1507</v>
      </c>
      <c r="B2168" s="96" t="s">
        <v>5393</v>
      </c>
      <c r="C2168" s="90"/>
      <c r="D2168" s="89" t="s">
        <v>1435</v>
      </c>
      <c r="E2168" s="91">
        <v>1.0</v>
      </c>
      <c r="F2168" s="92">
        <v>8837.23</v>
      </c>
      <c r="G2168" s="92">
        <v>8837.23</v>
      </c>
      <c r="H2168" s="93"/>
      <c r="I2168" s="92"/>
      <c r="J2168" s="92"/>
      <c r="K2168" s="92"/>
    </row>
    <row r="2169" ht="12.75" customHeight="1">
      <c r="B2169" s="90"/>
      <c r="E2169" s="79"/>
      <c r="F2169" s="80"/>
      <c r="G2169" s="80"/>
      <c r="H2169" s="81"/>
      <c r="I2169" s="80"/>
      <c r="J2169" s="80"/>
      <c r="K2169" s="80"/>
    </row>
    <row r="2170" ht="12.75" customHeight="1">
      <c r="B2170" s="96" t="s">
        <v>5394</v>
      </c>
      <c r="C2170" s="90"/>
      <c r="E2170" s="79"/>
      <c r="F2170" s="80"/>
      <c r="G2170" s="80"/>
      <c r="H2170" s="81"/>
      <c r="I2170" s="80"/>
      <c r="J2170" s="80"/>
      <c r="K2170" s="80"/>
    </row>
    <row r="2171" ht="12.75" customHeight="1">
      <c r="B2171" s="90"/>
      <c r="E2171" s="79"/>
      <c r="F2171" s="80"/>
      <c r="G2171" s="80"/>
      <c r="H2171" s="81"/>
      <c r="I2171" s="80"/>
      <c r="J2171" s="80"/>
      <c r="K2171" s="80"/>
    </row>
    <row r="2172" ht="12.75" customHeight="1">
      <c r="B2172" s="96" t="s">
        <v>5395</v>
      </c>
      <c r="C2172" s="90"/>
      <c r="E2172" s="79"/>
      <c r="F2172" s="80"/>
      <c r="G2172" s="80"/>
      <c r="H2172" s="81"/>
      <c r="I2172" s="80"/>
      <c r="J2172" s="80"/>
      <c r="K2172" s="80"/>
    </row>
    <row r="2173" ht="12.75" customHeight="1">
      <c r="B2173" s="90"/>
      <c r="E2173" s="79"/>
      <c r="F2173" s="80"/>
      <c r="G2173" s="80"/>
      <c r="H2173" s="81"/>
      <c r="I2173" s="80"/>
      <c r="J2173" s="80"/>
      <c r="K2173" s="80"/>
    </row>
    <row r="2174" ht="12.75" customHeight="1">
      <c r="B2174" s="96" t="s">
        <v>5396</v>
      </c>
      <c r="C2174" s="90"/>
      <c r="D2174" s="89" t="s">
        <v>75</v>
      </c>
      <c r="E2174" s="91">
        <v>1.0</v>
      </c>
      <c r="F2174" s="80"/>
      <c r="G2174" s="135" t="s">
        <v>619</v>
      </c>
      <c r="H2174" s="159"/>
      <c r="I2174" s="135"/>
      <c r="J2174" s="135"/>
      <c r="K2174" s="135"/>
    </row>
    <row r="2175" ht="12.75" customHeight="1">
      <c r="B2175" s="90"/>
      <c r="E2175" s="79"/>
      <c r="F2175" s="80"/>
      <c r="G2175" s="80"/>
      <c r="H2175" s="81"/>
      <c r="I2175" s="80"/>
      <c r="J2175" s="80"/>
      <c r="K2175" s="80"/>
    </row>
    <row r="2176" ht="12.75" customHeight="1">
      <c r="B2176" s="96" t="s">
        <v>5397</v>
      </c>
      <c r="C2176" s="90"/>
      <c r="D2176" s="89" t="s">
        <v>75</v>
      </c>
      <c r="E2176" s="91">
        <v>1.0</v>
      </c>
      <c r="F2176" s="80"/>
      <c r="G2176" s="135" t="s">
        <v>619</v>
      </c>
      <c r="H2176" s="159"/>
      <c r="I2176" s="135"/>
      <c r="J2176" s="135"/>
      <c r="K2176" s="135"/>
    </row>
    <row r="2177" ht="12.75" customHeight="1">
      <c r="B2177" s="90"/>
      <c r="E2177" s="79"/>
      <c r="F2177" s="80"/>
      <c r="G2177" s="80"/>
      <c r="H2177" s="81"/>
      <c r="I2177" s="80"/>
      <c r="J2177" s="80"/>
      <c r="K2177" s="80"/>
    </row>
    <row r="2178" ht="12.75" customHeight="1">
      <c r="B2178" s="96" t="s">
        <v>5398</v>
      </c>
      <c r="C2178" s="90"/>
      <c r="D2178" s="89" t="s">
        <v>75</v>
      </c>
      <c r="E2178" s="91">
        <v>1.0</v>
      </c>
      <c r="F2178" s="80"/>
      <c r="G2178" s="135" t="s">
        <v>619</v>
      </c>
      <c r="H2178" s="159"/>
      <c r="I2178" s="135"/>
      <c r="J2178" s="135"/>
      <c r="K2178" s="135"/>
    </row>
    <row r="2179" ht="12.75" customHeight="1">
      <c r="B2179" s="90"/>
      <c r="E2179" s="79"/>
      <c r="F2179" s="80"/>
      <c r="G2179" s="80"/>
      <c r="H2179" s="81"/>
      <c r="I2179" s="80"/>
      <c r="J2179" s="80"/>
      <c r="K2179" s="80"/>
    </row>
    <row r="2180" ht="12.75" customHeight="1">
      <c r="B2180" s="96" t="s">
        <v>5399</v>
      </c>
      <c r="C2180" s="90"/>
      <c r="D2180" s="89" t="s">
        <v>75</v>
      </c>
      <c r="E2180" s="91">
        <v>1.0</v>
      </c>
      <c r="F2180" s="80"/>
      <c r="G2180" s="135" t="s">
        <v>619</v>
      </c>
      <c r="H2180" s="159"/>
      <c r="I2180" s="135"/>
      <c r="J2180" s="135"/>
      <c r="K2180" s="135"/>
    </row>
    <row r="2181" ht="12.75" customHeight="1">
      <c r="B2181" s="96"/>
      <c r="E2181" s="79"/>
      <c r="F2181" s="80"/>
      <c r="G2181" s="80"/>
      <c r="H2181" s="81"/>
      <c r="I2181" s="80"/>
      <c r="J2181" s="80"/>
      <c r="K2181" s="80"/>
    </row>
    <row r="2182" ht="12.75" customHeight="1">
      <c r="B2182" s="96" t="s">
        <v>5357</v>
      </c>
      <c r="C2182" s="90"/>
      <c r="D2182" s="89" t="s">
        <v>161</v>
      </c>
      <c r="E2182" s="91">
        <v>398.0</v>
      </c>
      <c r="F2182" s="80"/>
      <c r="G2182" s="135" t="s">
        <v>619</v>
      </c>
      <c r="H2182" s="159"/>
      <c r="I2182" s="135"/>
      <c r="J2182" s="135"/>
      <c r="K2182" s="135"/>
    </row>
    <row r="2183" ht="12.75" customHeight="1">
      <c r="B2183" s="90"/>
      <c r="E2183" s="79"/>
      <c r="F2183" s="80"/>
      <c r="G2183" s="80"/>
      <c r="H2183" s="81"/>
      <c r="I2183" s="80"/>
      <c r="J2183" s="80"/>
      <c r="K2183" s="80"/>
    </row>
    <row r="2184" ht="12.75" customHeight="1">
      <c r="B2184" s="96" t="s">
        <v>4434</v>
      </c>
      <c r="C2184" s="90"/>
      <c r="D2184" s="89" t="s">
        <v>75</v>
      </c>
      <c r="E2184" s="91">
        <v>9.0</v>
      </c>
      <c r="F2184" s="80"/>
      <c r="G2184" s="135" t="s">
        <v>619</v>
      </c>
      <c r="H2184" s="159"/>
      <c r="I2184" s="135"/>
      <c r="J2184" s="135"/>
      <c r="K2184" s="135"/>
    </row>
    <row r="2185" ht="12.75" customHeight="1">
      <c r="B2185" s="90"/>
      <c r="E2185" s="79"/>
      <c r="F2185" s="80"/>
      <c r="G2185" s="80"/>
      <c r="H2185" s="81"/>
      <c r="I2185" s="80"/>
      <c r="J2185" s="80"/>
      <c r="K2185" s="80"/>
    </row>
    <row r="2186" ht="12.75" customHeight="1">
      <c r="B2186" s="96" t="s">
        <v>5400</v>
      </c>
      <c r="C2186" s="90"/>
      <c r="D2186" s="89" t="s">
        <v>75</v>
      </c>
      <c r="E2186" s="91">
        <v>4.0</v>
      </c>
      <c r="F2186" s="80"/>
      <c r="G2186" s="135" t="s">
        <v>619</v>
      </c>
      <c r="H2186" s="159"/>
      <c r="I2186" s="135"/>
      <c r="J2186" s="135"/>
      <c r="K2186" s="135"/>
    </row>
    <row r="2187" ht="12.75" customHeight="1">
      <c r="B2187" s="90"/>
      <c r="E2187" s="79"/>
      <c r="F2187" s="80"/>
      <c r="G2187" s="80"/>
      <c r="H2187" s="81"/>
      <c r="I2187" s="80"/>
      <c r="J2187" s="80"/>
      <c r="K2187" s="80"/>
    </row>
    <row r="2188" ht="12.75" customHeight="1">
      <c r="B2188" s="96" t="s">
        <v>4401</v>
      </c>
      <c r="C2188" s="90"/>
      <c r="D2188" s="89" t="s">
        <v>75</v>
      </c>
      <c r="E2188" s="91">
        <v>1.0</v>
      </c>
      <c r="F2188" s="80"/>
      <c r="G2188" s="135" t="s">
        <v>619</v>
      </c>
      <c r="H2188" s="159"/>
      <c r="I2188" s="135"/>
      <c r="J2188" s="135"/>
      <c r="K2188" s="135"/>
    </row>
    <row r="2189" ht="12.75" customHeight="1">
      <c r="B2189" s="90"/>
      <c r="E2189" s="79"/>
      <c r="F2189" s="80"/>
      <c r="G2189" s="80"/>
      <c r="H2189" s="81"/>
      <c r="I2189" s="80"/>
      <c r="J2189" s="80"/>
      <c r="K2189" s="80"/>
    </row>
    <row r="2190" ht="12.75" customHeight="1">
      <c r="B2190" s="96" t="s">
        <v>5401</v>
      </c>
      <c r="C2190" s="90"/>
      <c r="D2190" s="89" t="s">
        <v>161</v>
      </c>
      <c r="E2190" s="91">
        <v>369.0</v>
      </c>
      <c r="F2190" s="92">
        <v>2.2</v>
      </c>
      <c r="G2190" s="92">
        <v>811.8</v>
      </c>
      <c r="H2190" s="93"/>
      <c r="I2190" s="92"/>
      <c r="J2190" s="92"/>
      <c r="K2190" s="92"/>
    </row>
    <row r="2191" ht="12.75" customHeight="1">
      <c r="B2191" s="90"/>
      <c r="E2191" s="79"/>
      <c r="F2191" s="80"/>
      <c r="G2191" s="80"/>
      <c r="H2191" s="81"/>
      <c r="I2191" s="80"/>
      <c r="J2191" s="80"/>
      <c r="K2191" s="80"/>
    </row>
    <row r="2192" ht="12.75" customHeight="1">
      <c r="B2192" s="96" t="s">
        <v>5391</v>
      </c>
      <c r="C2192" s="90"/>
      <c r="D2192" s="89" t="s">
        <v>161</v>
      </c>
      <c r="E2192" s="91">
        <v>13.0</v>
      </c>
      <c r="F2192" s="92">
        <v>2.34</v>
      </c>
      <c r="G2192" s="92">
        <v>30.42</v>
      </c>
      <c r="H2192" s="93"/>
      <c r="I2192" s="92"/>
      <c r="J2192" s="92"/>
      <c r="K2192" s="92"/>
    </row>
    <row r="2193" ht="12.75" customHeight="1">
      <c r="B2193" s="90"/>
      <c r="E2193" s="79"/>
      <c r="F2193" s="80"/>
      <c r="G2193" s="80"/>
      <c r="H2193" s="81"/>
      <c r="I2193" s="80"/>
      <c r="J2193" s="80"/>
      <c r="K2193" s="80"/>
    </row>
    <row r="2194" ht="12.75" customHeight="1">
      <c r="A2194" s="89" t="s">
        <v>1521</v>
      </c>
      <c r="B2194" s="96" t="s">
        <v>4897</v>
      </c>
      <c r="C2194" s="90"/>
      <c r="E2194" s="79"/>
      <c r="F2194" s="80"/>
      <c r="G2194" s="80"/>
      <c r="H2194" s="81"/>
      <c r="I2194" s="80"/>
      <c r="J2194" s="80"/>
      <c r="K2194" s="80"/>
    </row>
    <row r="2195" ht="12.75" customHeight="1">
      <c r="B2195" s="90"/>
      <c r="E2195" s="79"/>
      <c r="F2195" s="80"/>
      <c r="G2195" s="80"/>
      <c r="H2195" s="81"/>
      <c r="I2195" s="80"/>
      <c r="J2195" s="80"/>
      <c r="K2195" s="80"/>
    </row>
    <row r="2196" ht="12.75" customHeight="1">
      <c r="B2196" s="96" t="s">
        <v>5126</v>
      </c>
      <c r="C2196" s="90"/>
      <c r="D2196" s="89" t="s">
        <v>33</v>
      </c>
      <c r="E2196" s="91">
        <v>1.0</v>
      </c>
      <c r="F2196" s="92">
        <v>451.94</v>
      </c>
      <c r="G2196" s="92">
        <v>451.94</v>
      </c>
      <c r="H2196" s="93"/>
      <c r="I2196" s="92"/>
      <c r="J2196" s="92"/>
      <c r="K2196" s="92"/>
    </row>
    <row r="2197" ht="12.75" customHeight="1">
      <c r="B2197" s="90"/>
      <c r="E2197" s="79"/>
      <c r="F2197" s="80"/>
      <c r="G2197" s="80"/>
      <c r="H2197" s="81"/>
      <c r="I2197" s="80"/>
      <c r="J2197" s="80"/>
      <c r="K2197" s="80"/>
    </row>
    <row r="2198" ht="12.75" customHeight="1">
      <c r="B2198" s="96" t="s">
        <v>5333</v>
      </c>
      <c r="C2198" s="90"/>
      <c r="D2198" s="89" t="s">
        <v>33</v>
      </c>
      <c r="E2198" s="91">
        <v>1.0</v>
      </c>
      <c r="F2198" s="92">
        <v>404.09</v>
      </c>
      <c r="G2198" s="92">
        <v>404.09</v>
      </c>
      <c r="H2198" s="93"/>
      <c r="I2198" s="92"/>
      <c r="J2198" s="92"/>
      <c r="K2198" s="92"/>
    </row>
    <row r="2199" ht="12.75" customHeight="1">
      <c r="B2199" s="90"/>
      <c r="E2199" s="79"/>
      <c r="F2199" s="80"/>
      <c r="G2199" s="80"/>
      <c r="H2199" s="81"/>
      <c r="I2199" s="80"/>
      <c r="J2199" s="80"/>
      <c r="K2199" s="80"/>
    </row>
    <row r="2200" ht="12.75" customHeight="1">
      <c r="A2200" s="162" t="s">
        <v>4292</v>
      </c>
      <c r="B2200" s="419" t="s">
        <v>5198</v>
      </c>
      <c r="C2200" s="161"/>
      <c r="D2200" s="160"/>
      <c r="E2200" s="415"/>
      <c r="F2200" s="416"/>
      <c r="G2200" s="164">
        <v>213667.64</v>
      </c>
      <c r="H2200" s="165">
        <f>G2200</f>
        <v>213667.64</v>
      </c>
      <c r="I2200" s="164"/>
      <c r="J2200" s="164"/>
      <c r="K2200" s="164"/>
    </row>
    <row r="2201" ht="12.75" customHeight="1">
      <c r="B2201" s="90"/>
      <c r="E2201" s="79"/>
      <c r="F2201" s="80"/>
      <c r="G2201" s="80"/>
      <c r="H2201" s="81"/>
      <c r="I2201" s="80"/>
      <c r="J2201" s="80"/>
      <c r="K2201" s="80"/>
    </row>
    <row r="2202" ht="12.75" customHeight="1">
      <c r="B2202" s="90"/>
      <c r="E2202" s="79"/>
      <c r="F2202" s="80"/>
      <c r="G2202" s="80"/>
      <c r="H2202" s="81"/>
      <c r="I2202" s="80"/>
      <c r="J2202" s="80"/>
      <c r="K2202" s="80"/>
    </row>
    <row r="2203" ht="12.75" customHeight="1">
      <c r="A2203" s="89" t="s">
        <v>1522</v>
      </c>
      <c r="B2203" s="96" t="s">
        <v>5402</v>
      </c>
      <c r="C2203" s="90"/>
      <c r="E2203" s="79"/>
      <c r="F2203" s="80"/>
      <c r="G2203" s="80"/>
      <c r="H2203" s="81"/>
      <c r="I2203" s="80"/>
      <c r="J2203" s="80"/>
      <c r="K2203" s="80"/>
    </row>
    <row r="2204" ht="12.75" customHeight="1">
      <c r="B2204" s="90"/>
      <c r="E2204" s="79"/>
      <c r="F2204" s="80"/>
      <c r="G2204" s="80"/>
      <c r="H2204" s="81"/>
      <c r="I2204" s="80"/>
      <c r="J2204" s="80"/>
      <c r="K2204" s="80"/>
    </row>
    <row r="2205" ht="12.75" customHeight="1">
      <c r="B2205" s="96" t="s">
        <v>5403</v>
      </c>
      <c r="C2205" s="90"/>
      <c r="E2205" s="79"/>
      <c r="F2205" s="80"/>
      <c r="G2205" s="80"/>
      <c r="H2205" s="81"/>
      <c r="I2205" s="80"/>
      <c r="J2205" s="80"/>
      <c r="K2205" s="80"/>
    </row>
    <row r="2206" ht="12.75" customHeight="1">
      <c r="B2206" s="90"/>
      <c r="E2206" s="79"/>
      <c r="F2206" s="80"/>
      <c r="G2206" s="80"/>
      <c r="H2206" s="81"/>
      <c r="I2206" s="80"/>
      <c r="J2206" s="80"/>
      <c r="K2206" s="80"/>
    </row>
    <row r="2207" ht="12.75" customHeight="1">
      <c r="A2207" s="89" t="s">
        <v>1525</v>
      </c>
      <c r="B2207" s="96" t="s">
        <v>5404</v>
      </c>
      <c r="C2207" s="90"/>
      <c r="E2207" s="79"/>
      <c r="F2207" s="80"/>
      <c r="G2207" s="80"/>
      <c r="H2207" s="81"/>
      <c r="I2207" s="80"/>
      <c r="J2207" s="80"/>
      <c r="K2207" s="80"/>
    </row>
    <row r="2208" ht="12.75" customHeight="1">
      <c r="B2208" s="90"/>
      <c r="E2208" s="79"/>
      <c r="F2208" s="80"/>
      <c r="G2208" s="80"/>
      <c r="H2208" s="81"/>
      <c r="I2208" s="80"/>
      <c r="J2208" s="80"/>
      <c r="K2208" s="80"/>
    </row>
    <row r="2209" ht="12.75" customHeight="1">
      <c r="B2209" s="96" t="s">
        <v>1527</v>
      </c>
      <c r="C2209" s="90"/>
      <c r="D2209" s="89" t="s">
        <v>161</v>
      </c>
      <c r="E2209" s="91">
        <v>369.0</v>
      </c>
      <c r="F2209" s="92">
        <v>3.09</v>
      </c>
      <c r="G2209" s="92">
        <v>1140.21</v>
      </c>
      <c r="H2209" s="93"/>
      <c r="I2209" s="92"/>
      <c r="J2209" s="92"/>
      <c r="K2209" s="92"/>
    </row>
    <row r="2210" ht="12.75" customHeight="1">
      <c r="B2210" s="90"/>
      <c r="E2210" s="79"/>
      <c r="F2210" s="80"/>
      <c r="G2210" s="80"/>
      <c r="H2210" s="81"/>
      <c r="I2210" s="80"/>
      <c r="J2210" s="80"/>
      <c r="K2210" s="80"/>
    </row>
    <row r="2211" ht="12.75" customHeight="1">
      <c r="B2211" s="96" t="s">
        <v>1528</v>
      </c>
      <c r="C2211" s="90"/>
      <c r="D2211" s="89" t="s">
        <v>161</v>
      </c>
      <c r="E2211" s="91">
        <v>44.0</v>
      </c>
      <c r="F2211" s="92">
        <v>4.93</v>
      </c>
      <c r="G2211" s="92">
        <v>216.92</v>
      </c>
      <c r="H2211" s="93"/>
      <c r="I2211" s="92"/>
      <c r="J2211" s="92"/>
      <c r="K2211" s="92"/>
    </row>
    <row r="2212" ht="12.75" customHeight="1">
      <c r="B2212" s="90"/>
      <c r="E2212" s="79"/>
      <c r="F2212" s="80"/>
      <c r="G2212" s="80"/>
      <c r="H2212" s="81"/>
      <c r="I2212" s="80"/>
      <c r="J2212" s="80"/>
      <c r="K2212" s="80"/>
    </row>
    <row r="2213" ht="12.75" customHeight="1">
      <c r="B2213" s="96" t="s">
        <v>1529</v>
      </c>
      <c r="C2213" s="90"/>
      <c r="D2213" s="89" t="s">
        <v>161</v>
      </c>
      <c r="E2213" s="91">
        <v>10.0</v>
      </c>
      <c r="F2213" s="92">
        <v>8.7</v>
      </c>
      <c r="G2213" s="92">
        <v>87.0</v>
      </c>
      <c r="H2213" s="93"/>
      <c r="I2213" s="92"/>
      <c r="J2213" s="92"/>
      <c r="K2213" s="92"/>
    </row>
    <row r="2214" ht="12.75" customHeight="1">
      <c r="B2214" s="90"/>
      <c r="E2214" s="79"/>
      <c r="F2214" s="80"/>
      <c r="G2214" s="80"/>
      <c r="H2214" s="81"/>
      <c r="I2214" s="80"/>
      <c r="J2214" s="80"/>
      <c r="K2214" s="80"/>
    </row>
    <row r="2215" ht="12.75" customHeight="1">
      <c r="A2215" s="89" t="s">
        <v>1530</v>
      </c>
      <c r="B2215" s="96" t="s">
        <v>5405</v>
      </c>
      <c r="C2215" s="90"/>
      <c r="E2215" s="79"/>
      <c r="F2215" s="80"/>
      <c r="G2215" s="80"/>
      <c r="H2215" s="81"/>
      <c r="I2215" s="80"/>
      <c r="J2215" s="80"/>
      <c r="K2215" s="80"/>
    </row>
    <row r="2216" ht="12.75" customHeight="1">
      <c r="B2216" s="90"/>
      <c r="E2216" s="79"/>
      <c r="F2216" s="80"/>
      <c r="G2216" s="80"/>
      <c r="H2216" s="81"/>
      <c r="I2216" s="80"/>
      <c r="J2216" s="80"/>
      <c r="K2216" s="80"/>
    </row>
    <row r="2217" ht="12.75" customHeight="1">
      <c r="B2217" s="96" t="s">
        <v>1532</v>
      </c>
      <c r="C2217" s="90"/>
      <c r="D2217" s="89" t="s">
        <v>75</v>
      </c>
      <c r="E2217" s="91">
        <v>1.0</v>
      </c>
      <c r="F2217" s="92">
        <v>193.97</v>
      </c>
      <c r="G2217" s="92">
        <v>193.97</v>
      </c>
      <c r="H2217" s="93"/>
      <c r="I2217" s="92"/>
      <c r="J2217" s="92"/>
      <c r="K2217" s="92"/>
    </row>
    <row r="2218" ht="12.75" customHeight="1">
      <c r="B2218" s="90"/>
      <c r="E2218" s="79"/>
      <c r="F2218" s="80"/>
      <c r="G2218" s="80"/>
      <c r="H2218" s="81"/>
      <c r="I2218" s="80"/>
      <c r="J2218" s="80"/>
      <c r="K2218" s="80"/>
    </row>
    <row r="2219" ht="12.75" customHeight="1">
      <c r="B2219" s="96" t="s">
        <v>5406</v>
      </c>
      <c r="C2219" s="90"/>
      <c r="D2219" s="89" t="s">
        <v>75</v>
      </c>
      <c r="E2219" s="91">
        <v>1.0</v>
      </c>
      <c r="F2219" s="92">
        <v>258.62</v>
      </c>
      <c r="G2219" s="92">
        <v>258.62</v>
      </c>
      <c r="H2219" s="93"/>
      <c r="I2219" s="92"/>
      <c r="J2219" s="92"/>
      <c r="K2219" s="92"/>
    </row>
    <row r="2220" ht="12.75" customHeight="1">
      <c r="B2220" s="90"/>
      <c r="E2220" s="79"/>
      <c r="F2220" s="80"/>
      <c r="G2220" s="80"/>
      <c r="H2220" s="81"/>
      <c r="I2220" s="80"/>
      <c r="J2220" s="80"/>
      <c r="K2220" s="80"/>
    </row>
    <row r="2221" ht="12.75" customHeight="1">
      <c r="A2221" s="89" t="s">
        <v>1534</v>
      </c>
      <c r="B2221" s="96" t="s">
        <v>5407</v>
      </c>
      <c r="C2221" s="90"/>
      <c r="E2221" s="79"/>
      <c r="F2221" s="80"/>
      <c r="G2221" s="80"/>
      <c r="H2221" s="81"/>
      <c r="I2221" s="80"/>
      <c r="J2221" s="80"/>
      <c r="K2221" s="80"/>
    </row>
    <row r="2222" ht="12.75" customHeight="1">
      <c r="B2222" s="90"/>
      <c r="E2222" s="79"/>
      <c r="F2222" s="80"/>
      <c r="G2222" s="80"/>
      <c r="H2222" s="81"/>
      <c r="I2222" s="80"/>
      <c r="J2222" s="80"/>
      <c r="K2222" s="80"/>
    </row>
    <row r="2223" ht="12.75" customHeight="1">
      <c r="B2223" s="96" t="s">
        <v>5408</v>
      </c>
      <c r="C2223" s="90"/>
      <c r="D2223" s="89" t="s">
        <v>33</v>
      </c>
      <c r="E2223" s="91">
        <v>1.0</v>
      </c>
      <c r="F2223" s="92">
        <v>6465.16</v>
      </c>
      <c r="G2223" s="92">
        <v>6465.16</v>
      </c>
      <c r="H2223" s="93"/>
      <c r="I2223" s="92"/>
      <c r="J2223" s="92"/>
      <c r="K2223" s="92"/>
    </row>
    <row r="2224" ht="12.75" customHeight="1">
      <c r="B2224" s="90"/>
      <c r="E2224" s="79"/>
      <c r="F2224" s="80"/>
      <c r="G2224" s="80"/>
      <c r="H2224" s="81"/>
      <c r="I2224" s="80"/>
      <c r="J2224" s="80"/>
      <c r="K2224" s="80"/>
    </row>
    <row r="2225" ht="12.75" customHeight="1">
      <c r="A2225" s="89" t="s">
        <v>1537</v>
      </c>
      <c r="B2225" s="96" t="s">
        <v>5409</v>
      </c>
      <c r="C2225" s="90"/>
      <c r="E2225" s="79"/>
      <c r="F2225" s="80"/>
      <c r="G2225" s="80"/>
      <c r="H2225" s="81"/>
      <c r="I2225" s="80"/>
      <c r="J2225" s="80"/>
      <c r="K2225" s="80"/>
    </row>
    <row r="2226" ht="12.75" customHeight="1">
      <c r="B2226" s="90"/>
      <c r="E2226" s="79"/>
      <c r="F2226" s="80"/>
      <c r="G2226" s="80"/>
      <c r="H2226" s="81"/>
      <c r="I2226" s="80"/>
      <c r="J2226" s="80"/>
      <c r="K2226" s="80"/>
    </row>
    <row r="2227" ht="12.75" customHeight="1">
      <c r="B2227" s="96" t="s">
        <v>5410</v>
      </c>
      <c r="C2227" s="90"/>
      <c r="D2227" s="89" t="s">
        <v>75</v>
      </c>
      <c r="E2227" s="91">
        <v>23.0</v>
      </c>
      <c r="F2227" s="92">
        <v>2.3</v>
      </c>
      <c r="G2227" s="92">
        <v>52.9</v>
      </c>
      <c r="H2227" s="93"/>
      <c r="I2227" s="92"/>
      <c r="J2227" s="92"/>
      <c r="K2227" s="92"/>
    </row>
    <row r="2228" ht="12.75" customHeight="1">
      <c r="B2228" s="90"/>
      <c r="E2228" s="79"/>
      <c r="F2228" s="80"/>
      <c r="G2228" s="80"/>
      <c r="H2228" s="81"/>
      <c r="I2228" s="80"/>
      <c r="J2228" s="80"/>
      <c r="K2228" s="80"/>
    </row>
    <row r="2229" ht="12.75" customHeight="1">
      <c r="B2229" s="96" t="s">
        <v>5411</v>
      </c>
      <c r="C2229" s="90"/>
      <c r="D2229" s="89" t="s">
        <v>75</v>
      </c>
      <c r="E2229" s="91">
        <v>3.0</v>
      </c>
      <c r="F2229" s="92">
        <v>61.67</v>
      </c>
      <c r="G2229" s="92">
        <v>185.01</v>
      </c>
      <c r="H2229" s="93"/>
      <c r="I2229" s="92"/>
      <c r="J2229" s="92"/>
      <c r="K2229" s="92"/>
    </row>
    <row r="2230" ht="12.75" customHeight="1">
      <c r="B2230" s="90"/>
      <c r="E2230" s="79"/>
      <c r="F2230" s="80"/>
      <c r="G2230" s="80"/>
      <c r="H2230" s="81"/>
      <c r="I2230" s="80"/>
      <c r="J2230" s="80"/>
      <c r="K2230" s="80"/>
    </row>
    <row r="2231" ht="12.75" customHeight="1">
      <c r="A2231" s="89" t="s">
        <v>1541</v>
      </c>
      <c r="B2231" s="96" t="s">
        <v>5412</v>
      </c>
      <c r="C2231" s="90"/>
      <c r="E2231" s="79"/>
      <c r="F2231" s="80"/>
      <c r="G2231" s="80"/>
      <c r="H2231" s="81"/>
      <c r="I2231" s="80"/>
      <c r="J2231" s="80"/>
      <c r="K2231" s="80"/>
    </row>
    <row r="2232" ht="12.75" customHeight="1">
      <c r="B2232" s="90"/>
      <c r="E2232" s="79"/>
      <c r="F2232" s="80"/>
      <c r="G2232" s="80"/>
      <c r="H2232" s="81"/>
      <c r="I2232" s="80"/>
      <c r="J2232" s="80"/>
      <c r="K2232" s="80"/>
    </row>
    <row r="2233" ht="12.75" customHeight="1">
      <c r="B2233" s="96" t="s">
        <v>5413</v>
      </c>
      <c r="C2233" s="90"/>
      <c r="D2233" s="89" t="s">
        <v>75</v>
      </c>
      <c r="E2233" s="91">
        <v>10.0</v>
      </c>
      <c r="F2233" s="92">
        <v>37.82</v>
      </c>
      <c r="G2233" s="92">
        <v>378.2</v>
      </c>
      <c r="H2233" s="93"/>
      <c r="I2233" s="92"/>
      <c r="J2233" s="92"/>
      <c r="K2233" s="92"/>
    </row>
    <row r="2234" ht="12.75" customHeight="1">
      <c r="B2234" s="90"/>
      <c r="E2234" s="79"/>
      <c r="F2234" s="80"/>
      <c r="G2234" s="80"/>
      <c r="H2234" s="81"/>
      <c r="I2234" s="80"/>
      <c r="J2234" s="80"/>
      <c r="K2234" s="80"/>
    </row>
    <row r="2235" ht="12.75" customHeight="1">
      <c r="B2235" s="96" t="s">
        <v>5414</v>
      </c>
      <c r="C2235" s="90"/>
      <c r="D2235" s="89" t="s">
        <v>75</v>
      </c>
      <c r="E2235" s="91">
        <v>12.0</v>
      </c>
      <c r="F2235" s="92">
        <v>34.59</v>
      </c>
      <c r="G2235" s="92">
        <v>415.08</v>
      </c>
      <c r="H2235" s="93"/>
      <c r="I2235" s="92"/>
      <c r="J2235" s="92"/>
      <c r="K2235" s="92"/>
    </row>
    <row r="2236" ht="12.75" customHeight="1">
      <c r="B2236" s="96"/>
      <c r="E2236" s="79"/>
      <c r="F2236" s="80"/>
      <c r="G2236" s="80"/>
      <c r="H2236" s="81"/>
      <c r="I2236" s="80"/>
      <c r="J2236" s="80"/>
      <c r="K2236" s="80"/>
    </row>
    <row r="2237" ht="12.75" customHeight="1">
      <c r="B2237" s="96" t="s">
        <v>5415</v>
      </c>
      <c r="C2237" s="90"/>
      <c r="D2237" s="89" t="s">
        <v>75</v>
      </c>
      <c r="E2237" s="91">
        <v>1.0</v>
      </c>
      <c r="F2237" s="92">
        <v>57.87</v>
      </c>
      <c r="G2237" s="92">
        <v>57.87</v>
      </c>
      <c r="H2237" s="93"/>
      <c r="I2237" s="92"/>
      <c r="J2237" s="92"/>
      <c r="K2237" s="92"/>
    </row>
    <row r="2238" ht="12.75" customHeight="1">
      <c r="B2238" s="90"/>
      <c r="E2238" s="79"/>
      <c r="F2238" s="80"/>
      <c r="G2238" s="80"/>
      <c r="H2238" s="81"/>
      <c r="I2238" s="80"/>
      <c r="J2238" s="80"/>
      <c r="K2238" s="80"/>
    </row>
    <row r="2239" ht="12.75" customHeight="1">
      <c r="A2239" s="89" t="s">
        <v>1546</v>
      </c>
      <c r="B2239" s="96" t="s">
        <v>5416</v>
      </c>
      <c r="C2239" s="90"/>
      <c r="E2239" s="79"/>
      <c r="F2239" s="80"/>
      <c r="G2239" s="80"/>
      <c r="H2239" s="81"/>
      <c r="I2239" s="80"/>
      <c r="J2239" s="80"/>
      <c r="K2239" s="80"/>
    </row>
    <row r="2240" ht="12.75" customHeight="1">
      <c r="B2240" s="90"/>
      <c r="E2240" s="79"/>
      <c r="F2240" s="80"/>
      <c r="G2240" s="80"/>
      <c r="H2240" s="81"/>
      <c r="I2240" s="80"/>
      <c r="J2240" s="80"/>
      <c r="K2240" s="80"/>
    </row>
    <row r="2241" ht="12.75" customHeight="1">
      <c r="B2241" s="96" t="s">
        <v>5417</v>
      </c>
      <c r="C2241" s="90"/>
      <c r="D2241" s="89" t="s">
        <v>75</v>
      </c>
      <c r="E2241" s="91">
        <v>1.0</v>
      </c>
      <c r="F2241" s="92">
        <v>775.21</v>
      </c>
      <c r="G2241" s="92">
        <v>775.21</v>
      </c>
      <c r="H2241" s="93"/>
      <c r="I2241" s="92"/>
      <c r="J2241" s="92"/>
      <c r="K2241" s="92"/>
    </row>
    <row r="2242" ht="12.75" customHeight="1">
      <c r="B2242" s="90"/>
      <c r="E2242" s="79"/>
      <c r="F2242" s="80"/>
      <c r="G2242" s="80"/>
      <c r="H2242" s="81"/>
      <c r="I2242" s="80"/>
      <c r="J2242" s="80"/>
      <c r="K2242" s="80"/>
    </row>
    <row r="2243" ht="12.75" customHeight="1">
      <c r="B2243" s="96" t="s">
        <v>5418</v>
      </c>
      <c r="C2243" s="90"/>
      <c r="D2243" s="89" t="s">
        <v>75</v>
      </c>
      <c r="E2243" s="91">
        <v>1.0</v>
      </c>
      <c r="F2243" s="92">
        <v>110.08</v>
      </c>
      <c r="G2243" s="92">
        <v>110.08</v>
      </c>
      <c r="H2243" s="93"/>
      <c r="I2243" s="92"/>
      <c r="J2243" s="92"/>
      <c r="K2243" s="92"/>
    </row>
    <row r="2244" ht="12.75" customHeight="1">
      <c r="B2244" s="90"/>
      <c r="E2244" s="79"/>
      <c r="F2244" s="80"/>
      <c r="G2244" s="80"/>
      <c r="H2244" s="81"/>
      <c r="I2244" s="80"/>
      <c r="J2244" s="80"/>
      <c r="K2244" s="80"/>
    </row>
    <row r="2245" ht="12.75" customHeight="1">
      <c r="A2245" s="89" t="s">
        <v>1550</v>
      </c>
      <c r="B2245" s="96" t="s">
        <v>5419</v>
      </c>
      <c r="C2245" s="90"/>
      <c r="E2245" s="79"/>
      <c r="F2245" s="80"/>
      <c r="G2245" s="80"/>
      <c r="H2245" s="81"/>
      <c r="I2245" s="80"/>
      <c r="J2245" s="80"/>
      <c r="K2245" s="80"/>
    </row>
    <row r="2246" ht="12.75" customHeight="1">
      <c r="B2246" s="90"/>
      <c r="E2246" s="79"/>
      <c r="F2246" s="80"/>
      <c r="G2246" s="80"/>
      <c r="H2246" s="81"/>
      <c r="I2246" s="80"/>
      <c r="J2246" s="80"/>
      <c r="K2246" s="80"/>
    </row>
    <row r="2247" ht="12.75" customHeight="1">
      <c r="B2247" s="96" t="s">
        <v>5420</v>
      </c>
      <c r="C2247" s="90"/>
      <c r="D2247" s="89" t="s">
        <v>161</v>
      </c>
      <c r="E2247" s="91">
        <v>532.0</v>
      </c>
      <c r="F2247" s="92">
        <v>2.39</v>
      </c>
      <c r="G2247" s="92">
        <v>1271.48</v>
      </c>
      <c r="H2247" s="93"/>
      <c r="I2247" s="92"/>
      <c r="J2247" s="92"/>
      <c r="K2247" s="92"/>
    </row>
    <row r="2248" ht="12.75" customHeight="1">
      <c r="B2248" s="90"/>
      <c r="E2248" s="79"/>
      <c r="F2248" s="80"/>
      <c r="G2248" s="80"/>
      <c r="H2248" s="81"/>
      <c r="I2248" s="80"/>
      <c r="J2248" s="80"/>
      <c r="K2248" s="80"/>
    </row>
    <row r="2249" ht="12.75" customHeight="1">
      <c r="B2249" s="96" t="s">
        <v>5421</v>
      </c>
      <c r="C2249" s="90"/>
      <c r="D2249" s="89" t="s">
        <v>161</v>
      </c>
      <c r="E2249" s="91">
        <v>557.0</v>
      </c>
      <c r="F2249" s="92">
        <v>2.33</v>
      </c>
      <c r="G2249" s="92">
        <v>1297.81</v>
      </c>
      <c r="H2249" s="93"/>
      <c r="I2249" s="92"/>
      <c r="J2249" s="92"/>
      <c r="K2249" s="92"/>
    </row>
    <row r="2250" ht="12.75" customHeight="1">
      <c r="B2250" s="90"/>
      <c r="E2250" s="79"/>
      <c r="F2250" s="80"/>
      <c r="G2250" s="80"/>
      <c r="H2250" s="81"/>
      <c r="I2250" s="80"/>
      <c r="J2250" s="80"/>
      <c r="K2250" s="80"/>
    </row>
    <row r="2251" ht="12.75" customHeight="1">
      <c r="B2251" s="96" t="s">
        <v>5422</v>
      </c>
      <c r="C2251" s="90"/>
      <c r="D2251" s="89" t="s">
        <v>161</v>
      </c>
      <c r="E2251" s="91">
        <v>25.0</v>
      </c>
      <c r="F2251" s="92">
        <v>5.09</v>
      </c>
      <c r="G2251" s="92">
        <v>127.25</v>
      </c>
      <c r="H2251" s="93"/>
      <c r="I2251" s="92"/>
      <c r="J2251" s="92"/>
      <c r="K2251" s="92"/>
    </row>
    <row r="2252" ht="12.75" customHeight="1">
      <c r="B2252" s="90"/>
      <c r="E2252" s="79"/>
      <c r="F2252" s="80"/>
      <c r="G2252" s="80"/>
      <c r="H2252" s="81"/>
      <c r="I2252" s="80"/>
      <c r="J2252" s="80"/>
      <c r="K2252" s="80"/>
    </row>
    <row r="2253" ht="12.75" customHeight="1">
      <c r="A2253" s="89" t="s">
        <v>1555</v>
      </c>
      <c r="B2253" s="96" t="s">
        <v>5423</v>
      </c>
      <c r="C2253" s="90"/>
      <c r="E2253" s="79"/>
      <c r="F2253" s="80"/>
      <c r="G2253" s="80"/>
      <c r="H2253" s="81"/>
      <c r="I2253" s="80"/>
      <c r="J2253" s="80"/>
      <c r="K2253" s="80"/>
    </row>
    <row r="2254" ht="12.75" customHeight="1">
      <c r="B2254" s="90"/>
      <c r="E2254" s="79"/>
      <c r="F2254" s="80"/>
      <c r="G2254" s="80"/>
      <c r="H2254" s="81"/>
      <c r="I2254" s="80"/>
      <c r="J2254" s="80"/>
      <c r="K2254" s="80"/>
    </row>
    <row r="2255" ht="12.75" customHeight="1">
      <c r="B2255" s="96" t="s">
        <v>1556</v>
      </c>
      <c r="C2255" s="90"/>
      <c r="D2255" s="89" t="s">
        <v>161</v>
      </c>
      <c r="E2255" s="91">
        <v>13.0</v>
      </c>
      <c r="F2255" s="92">
        <v>2.04</v>
      </c>
      <c r="G2255" s="92">
        <v>26.52</v>
      </c>
      <c r="H2255" s="93"/>
      <c r="I2255" s="92"/>
      <c r="J2255" s="92"/>
      <c r="K2255" s="92"/>
    </row>
    <row r="2256" ht="12.75" customHeight="1">
      <c r="B2256" s="90"/>
      <c r="E2256" s="79"/>
      <c r="F2256" s="80"/>
      <c r="G2256" s="80"/>
      <c r="H2256" s="81"/>
      <c r="I2256" s="80"/>
      <c r="J2256" s="80"/>
      <c r="K2256" s="80"/>
    </row>
    <row r="2257" ht="12.75" customHeight="1">
      <c r="B2257" s="96" t="s">
        <v>1557</v>
      </c>
      <c r="C2257" s="90"/>
      <c r="D2257" s="89" t="s">
        <v>161</v>
      </c>
      <c r="E2257" s="91">
        <v>19.0</v>
      </c>
      <c r="F2257" s="92">
        <v>4.12</v>
      </c>
      <c r="G2257" s="92">
        <v>78.28</v>
      </c>
      <c r="H2257" s="93"/>
      <c r="I2257" s="92"/>
      <c r="J2257" s="92"/>
      <c r="K2257" s="92"/>
    </row>
    <row r="2258" ht="12.75" customHeight="1">
      <c r="B2258" s="90"/>
      <c r="E2258" s="79"/>
      <c r="F2258" s="80"/>
      <c r="G2258" s="80"/>
      <c r="H2258" s="81"/>
      <c r="I2258" s="80"/>
      <c r="J2258" s="80"/>
      <c r="K2258" s="80"/>
    </row>
    <row r="2259" ht="12.75" customHeight="1">
      <c r="A2259" s="89" t="s">
        <v>1558</v>
      </c>
      <c r="B2259" s="96" t="s">
        <v>4897</v>
      </c>
      <c r="C2259" s="90"/>
      <c r="E2259" s="79"/>
      <c r="F2259" s="80"/>
      <c r="G2259" s="80"/>
      <c r="H2259" s="81"/>
      <c r="I2259" s="80"/>
      <c r="J2259" s="80"/>
      <c r="K2259" s="80"/>
    </row>
    <row r="2260" ht="12.75" customHeight="1">
      <c r="B2260" s="90"/>
      <c r="E2260" s="79"/>
      <c r="F2260" s="80"/>
      <c r="G2260" s="80"/>
      <c r="H2260" s="81"/>
      <c r="I2260" s="80"/>
      <c r="J2260" s="80"/>
      <c r="K2260" s="80"/>
    </row>
    <row r="2261" ht="12.75" customHeight="1">
      <c r="B2261" s="96" t="s">
        <v>5126</v>
      </c>
      <c r="C2261" s="90"/>
      <c r="D2261" s="89" t="s">
        <v>33</v>
      </c>
      <c r="E2261" s="91">
        <v>1.0</v>
      </c>
      <c r="F2261" s="92">
        <v>581.25</v>
      </c>
      <c r="G2261" s="92">
        <v>581.25</v>
      </c>
      <c r="H2261" s="93"/>
      <c r="I2261" s="92"/>
      <c r="J2261" s="92"/>
      <c r="K2261" s="92"/>
    </row>
    <row r="2262" ht="12.75" customHeight="1">
      <c r="B2262" s="90"/>
      <c r="E2262" s="79"/>
      <c r="F2262" s="80"/>
      <c r="G2262" s="80"/>
      <c r="H2262" s="81"/>
      <c r="I2262" s="80"/>
      <c r="J2262" s="80"/>
      <c r="K2262" s="80"/>
    </row>
    <row r="2263" ht="12.75" customHeight="1">
      <c r="B2263" s="96" t="s">
        <v>5333</v>
      </c>
      <c r="C2263" s="90"/>
      <c r="D2263" s="89" t="s">
        <v>33</v>
      </c>
      <c r="E2263" s="91">
        <v>1.0</v>
      </c>
      <c r="F2263" s="92">
        <v>499.78</v>
      </c>
      <c r="G2263" s="92">
        <v>499.78</v>
      </c>
      <c r="H2263" s="93"/>
      <c r="I2263" s="92"/>
      <c r="J2263" s="92"/>
      <c r="K2263" s="92"/>
    </row>
    <row r="2264" ht="12.75" customHeight="1">
      <c r="B2264" s="90"/>
      <c r="E2264" s="79"/>
      <c r="F2264" s="80"/>
      <c r="G2264" s="80"/>
      <c r="H2264" s="81"/>
      <c r="I2264" s="80"/>
      <c r="J2264" s="80"/>
      <c r="K2264" s="80"/>
    </row>
    <row r="2265" ht="12.75" customHeight="1">
      <c r="A2265" s="89" t="s">
        <v>1522</v>
      </c>
      <c r="B2265" s="96" t="s">
        <v>5402</v>
      </c>
      <c r="C2265" s="90"/>
      <c r="E2265" s="79"/>
      <c r="F2265" s="80"/>
      <c r="G2265" s="92">
        <v>14218.6</v>
      </c>
      <c r="H2265" s="93">
        <f>G2265</f>
        <v>14218.6</v>
      </c>
      <c r="I2265" s="92"/>
      <c r="J2265" s="92"/>
      <c r="K2265" s="92"/>
    </row>
    <row r="2266" ht="12.75" customHeight="1">
      <c r="B2266" s="90"/>
      <c r="E2266" s="79"/>
      <c r="F2266" s="80"/>
      <c r="G2266" s="80"/>
      <c r="H2266" s="81"/>
      <c r="I2266" s="80"/>
      <c r="J2266" s="80"/>
      <c r="K2266" s="80"/>
    </row>
    <row r="2267" ht="12.75" customHeight="1">
      <c r="B2267" s="96" t="s">
        <v>4946</v>
      </c>
      <c r="C2267" s="90"/>
      <c r="E2267" s="79"/>
      <c r="F2267" s="80"/>
      <c r="G2267" s="92">
        <v>1136262.47</v>
      </c>
      <c r="H2267" s="93"/>
      <c r="I2267" s="92"/>
      <c r="J2267" s="92"/>
      <c r="K2267" s="92"/>
    </row>
    <row r="2268" ht="12.75" customHeight="1">
      <c r="B2268" s="90"/>
      <c r="E2268" s="79"/>
      <c r="F2268" s="80"/>
      <c r="G2268" s="80"/>
      <c r="H2268" s="81"/>
      <c r="I2268" s="80"/>
      <c r="J2268" s="80"/>
      <c r="K2268" s="80"/>
    </row>
    <row r="2269" ht="12.75" customHeight="1">
      <c r="B2269" s="90"/>
      <c r="E2269" s="79"/>
      <c r="F2269" s="80"/>
      <c r="G2269" s="80"/>
      <c r="H2269" s="81"/>
      <c r="I2269" s="80"/>
      <c r="J2269" s="80"/>
      <c r="K2269" s="80"/>
    </row>
    <row r="2270" ht="12.75" customHeight="1">
      <c r="B2270" s="96" t="s">
        <v>4925</v>
      </c>
      <c r="C2270" s="90"/>
      <c r="E2270" s="79"/>
      <c r="F2270" s="80"/>
      <c r="G2270" s="80"/>
      <c r="H2270" s="81"/>
      <c r="I2270" s="80"/>
      <c r="J2270" s="80"/>
      <c r="K2270" s="80"/>
    </row>
    <row r="2271" ht="12.75" customHeight="1">
      <c r="B2271" s="90"/>
      <c r="E2271" s="79"/>
      <c r="F2271" s="80"/>
      <c r="G2271" s="80"/>
      <c r="H2271" s="81"/>
      <c r="I2271" s="80"/>
      <c r="J2271" s="80"/>
      <c r="K2271" s="80"/>
    </row>
    <row r="2272" ht="12.75" customHeight="1">
      <c r="B2272" s="96" t="s">
        <v>5424</v>
      </c>
      <c r="C2272" s="90"/>
      <c r="E2272" s="79"/>
      <c r="F2272" s="80"/>
      <c r="G2272" s="80"/>
      <c r="H2272" s="81"/>
      <c r="I2272" s="80"/>
      <c r="J2272" s="80"/>
      <c r="K2272" s="80"/>
    </row>
    <row r="2273" ht="12.75" customHeight="1">
      <c r="B2273" s="96"/>
      <c r="E2273" s="79"/>
      <c r="F2273" s="80"/>
      <c r="G2273" s="80"/>
      <c r="H2273" s="81"/>
      <c r="I2273" s="80"/>
      <c r="J2273" s="80"/>
      <c r="K2273" s="80"/>
    </row>
    <row r="2274" ht="12.75" customHeight="1">
      <c r="B2274" s="96" t="s">
        <v>5425</v>
      </c>
      <c r="C2274" s="90"/>
      <c r="E2274" s="79"/>
      <c r="F2274" s="80"/>
      <c r="G2274" s="80"/>
      <c r="H2274" s="81"/>
      <c r="I2274" s="80"/>
      <c r="J2274" s="80"/>
      <c r="K2274" s="80"/>
    </row>
    <row r="2275" ht="12.75" customHeight="1">
      <c r="B2275" s="90"/>
      <c r="E2275" s="79"/>
      <c r="F2275" s="80"/>
      <c r="G2275" s="80"/>
      <c r="H2275" s="81"/>
      <c r="I2275" s="80"/>
      <c r="J2275" s="80"/>
      <c r="K2275" s="80"/>
    </row>
    <row r="2276" ht="12.75" customHeight="1">
      <c r="B2276" s="96" t="s">
        <v>5426</v>
      </c>
      <c r="C2276" s="90"/>
      <c r="E2276" s="79"/>
      <c r="F2276" s="80"/>
      <c r="G2276" s="80"/>
      <c r="H2276" s="81"/>
      <c r="I2276" s="80"/>
      <c r="J2276" s="80"/>
      <c r="K2276" s="80"/>
    </row>
    <row r="2277" ht="12.75" customHeight="1">
      <c r="B2277" s="90"/>
      <c r="E2277" s="79"/>
      <c r="F2277" s="80"/>
      <c r="G2277" s="80"/>
      <c r="H2277" s="81"/>
      <c r="I2277" s="80"/>
      <c r="J2277" s="80"/>
      <c r="K2277" s="80"/>
    </row>
    <row r="2278" ht="12.75" customHeight="1">
      <c r="B2278" s="96" t="s">
        <v>5427</v>
      </c>
      <c r="C2278" s="90"/>
      <c r="E2278" s="79"/>
      <c r="F2278" s="80"/>
      <c r="G2278" s="80"/>
      <c r="H2278" s="81"/>
      <c r="I2278" s="80"/>
      <c r="J2278" s="80"/>
      <c r="K2278" s="80"/>
    </row>
    <row r="2279" ht="12.75" customHeight="1">
      <c r="B2279" s="90"/>
      <c r="E2279" s="79"/>
      <c r="F2279" s="80"/>
      <c r="G2279" s="80"/>
      <c r="H2279" s="81"/>
      <c r="I2279" s="80"/>
      <c r="J2279" s="80"/>
      <c r="K2279" s="80"/>
    </row>
    <row r="2280" ht="12.75" customHeight="1">
      <c r="B2280" s="96" t="s">
        <v>5428</v>
      </c>
      <c r="C2280" s="90"/>
      <c r="E2280" s="79"/>
      <c r="F2280" s="80"/>
      <c r="G2280" s="80"/>
      <c r="H2280" s="81"/>
      <c r="I2280" s="80"/>
      <c r="J2280" s="80"/>
      <c r="K2280" s="80"/>
    </row>
    <row r="2281" ht="12.75" customHeight="1">
      <c r="B2281" s="90"/>
      <c r="E2281" s="79"/>
      <c r="F2281" s="80"/>
      <c r="G2281" s="80"/>
      <c r="H2281" s="81"/>
      <c r="I2281" s="80"/>
      <c r="J2281" s="80"/>
      <c r="K2281" s="80"/>
    </row>
    <row r="2282" ht="12.75" customHeight="1">
      <c r="A2282" s="89" t="s">
        <v>1565</v>
      </c>
      <c r="B2282" s="96" t="s">
        <v>5429</v>
      </c>
      <c r="C2282" s="90"/>
      <c r="E2282" s="79"/>
      <c r="F2282" s="80"/>
      <c r="G2282" s="80"/>
      <c r="H2282" s="81"/>
      <c r="I2282" s="80"/>
      <c r="J2282" s="80"/>
      <c r="K2282" s="80"/>
    </row>
    <row r="2283" ht="12.75" customHeight="1">
      <c r="B2283" s="90"/>
      <c r="E2283" s="79"/>
      <c r="F2283" s="80"/>
      <c r="G2283" s="80"/>
      <c r="H2283" s="81"/>
      <c r="I2283" s="80"/>
      <c r="J2283" s="80"/>
      <c r="K2283" s="80"/>
    </row>
    <row r="2284" ht="12.75" customHeight="1">
      <c r="A2284" s="136" t="s">
        <v>29</v>
      </c>
      <c r="B2284" s="137" t="s">
        <v>5430</v>
      </c>
      <c r="C2284" s="137"/>
      <c r="D2284" s="138"/>
      <c r="E2284" s="139"/>
      <c r="F2284" s="106"/>
      <c r="G2284" s="106"/>
      <c r="H2284" s="105"/>
      <c r="I2284" s="106"/>
      <c r="J2284" s="106"/>
      <c r="K2284" s="106"/>
    </row>
    <row r="2285" ht="12.75" customHeight="1">
      <c r="A2285" s="138"/>
      <c r="B2285" s="137"/>
      <c r="C2285" s="138"/>
      <c r="D2285" s="138"/>
      <c r="E2285" s="139"/>
      <c r="F2285" s="106"/>
      <c r="G2285" s="106"/>
      <c r="H2285" s="105"/>
      <c r="I2285" s="106"/>
      <c r="J2285" s="106"/>
      <c r="K2285" s="106"/>
    </row>
    <row r="2286" ht="12.75" customHeight="1">
      <c r="A2286" s="136" t="s">
        <v>31</v>
      </c>
      <c r="B2286" s="137" t="s">
        <v>5431</v>
      </c>
      <c r="C2286" s="137"/>
      <c r="D2286" s="138"/>
      <c r="E2286" s="139"/>
      <c r="F2286" s="106"/>
      <c r="G2286" s="106"/>
      <c r="H2286" s="105"/>
      <c r="I2286" s="106"/>
      <c r="J2286" s="106"/>
      <c r="K2286" s="106"/>
    </row>
    <row r="2287" ht="12.75" customHeight="1">
      <c r="A2287" s="138"/>
      <c r="B2287" s="137"/>
      <c r="C2287" s="138"/>
      <c r="D2287" s="138"/>
      <c r="E2287" s="139"/>
      <c r="F2287" s="106"/>
      <c r="G2287" s="106"/>
      <c r="H2287" s="105"/>
      <c r="I2287" s="106"/>
      <c r="J2287" s="106"/>
      <c r="K2287" s="106"/>
    </row>
    <row r="2288" ht="12.75" customHeight="1">
      <c r="A2288" s="136" t="s">
        <v>1569</v>
      </c>
      <c r="B2288" s="137" t="s">
        <v>5432</v>
      </c>
      <c r="C2288" s="137"/>
      <c r="D2288" s="136" t="s">
        <v>33</v>
      </c>
      <c r="E2288" s="140">
        <v>1.0</v>
      </c>
      <c r="F2288" s="106"/>
      <c r="G2288" s="181" t="s">
        <v>1571</v>
      </c>
      <c r="H2288" s="182"/>
      <c r="I2288" s="181"/>
      <c r="J2288" s="181"/>
      <c r="K2288" s="181"/>
    </row>
    <row r="2289" ht="12.75" customHeight="1">
      <c r="A2289" s="138"/>
      <c r="B2289" s="137"/>
      <c r="C2289" s="138"/>
      <c r="D2289" s="138"/>
      <c r="E2289" s="139"/>
      <c r="F2289" s="106"/>
      <c r="G2289" s="106"/>
      <c r="H2289" s="105"/>
      <c r="I2289" s="106"/>
      <c r="J2289" s="106"/>
      <c r="K2289" s="106"/>
    </row>
    <row r="2290" ht="12.75" customHeight="1">
      <c r="A2290" s="136" t="s">
        <v>1572</v>
      </c>
      <c r="B2290" s="137" t="s">
        <v>5433</v>
      </c>
      <c r="C2290" s="137"/>
      <c r="D2290" s="138"/>
      <c r="E2290" s="139"/>
      <c r="F2290" s="106"/>
      <c r="G2290" s="106"/>
      <c r="H2290" s="105"/>
      <c r="I2290" s="106"/>
      <c r="J2290" s="106"/>
      <c r="K2290" s="106"/>
    </row>
    <row r="2291" ht="12.75" customHeight="1">
      <c r="A2291" s="138"/>
      <c r="B2291" s="137"/>
      <c r="C2291" s="138"/>
      <c r="D2291" s="138"/>
      <c r="E2291" s="139"/>
      <c r="F2291" s="106"/>
      <c r="G2291" s="106"/>
      <c r="H2291" s="105"/>
      <c r="I2291" s="106"/>
      <c r="J2291" s="106"/>
      <c r="K2291" s="106"/>
    </row>
    <row r="2292" ht="12.75" customHeight="1">
      <c r="A2292" s="136" t="s">
        <v>1574</v>
      </c>
      <c r="B2292" s="137" t="s">
        <v>5434</v>
      </c>
      <c r="C2292" s="137"/>
      <c r="D2292" s="136" t="s">
        <v>40</v>
      </c>
      <c r="E2292" s="140">
        <v>2000.0</v>
      </c>
      <c r="F2292" s="100">
        <v>2.3</v>
      </c>
      <c r="G2292" s="100">
        <v>4600.0</v>
      </c>
      <c r="H2292" s="99"/>
      <c r="I2292" s="100"/>
      <c r="J2292" s="100"/>
      <c r="K2292" s="100"/>
    </row>
    <row r="2293" ht="12.75" customHeight="1">
      <c r="A2293" s="138"/>
      <c r="B2293" s="137"/>
      <c r="C2293" s="138"/>
      <c r="D2293" s="138"/>
      <c r="E2293" s="139"/>
      <c r="F2293" s="106"/>
      <c r="G2293" s="106"/>
      <c r="H2293" s="105"/>
      <c r="I2293" s="106"/>
      <c r="J2293" s="106"/>
      <c r="K2293" s="106"/>
    </row>
    <row r="2294" ht="12.75" customHeight="1">
      <c r="A2294" s="136" t="s">
        <v>29</v>
      </c>
      <c r="B2294" s="137" t="s">
        <v>5430</v>
      </c>
      <c r="C2294" s="137"/>
      <c r="D2294" s="138"/>
      <c r="E2294" s="139"/>
      <c r="F2294" s="106"/>
      <c r="G2294" s="100">
        <v>4600.0</v>
      </c>
      <c r="H2294" s="99"/>
      <c r="I2294" s="100"/>
      <c r="J2294" s="100"/>
      <c r="K2294" s="100"/>
    </row>
    <row r="2295" ht="12.75" customHeight="1">
      <c r="A2295" s="138"/>
      <c r="B2295" s="137"/>
      <c r="C2295" s="138"/>
      <c r="D2295" s="138"/>
      <c r="E2295" s="139"/>
      <c r="F2295" s="106"/>
      <c r="G2295" s="106"/>
      <c r="H2295" s="105"/>
      <c r="I2295" s="106"/>
      <c r="J2295" s="106"/>
      <c r="K2295" s="106"/>
    </row>
    <row r="2296" ht="12.75" customHeight="1">
      <c r="A2296" s="138"/>
      <c r="B2296" s="137"/>
      <c r="C2296" s="138"/>
      <c r="D2296" s="138"/>
      <c r="E2296" s="139"/>
      <c r="F2296" s="106"/>
      <c r="G2296" s="106"/>
      <c r="H2296" s="105"/>
      <c r="I2296" s="106"/>
      <c r="J2296" s="106"/>
      <c r="K2296" s="106"/>
    </row>
    <row r="2297" ht="12.75" customHeight="1">
      <c r="A2297" s="136" t="s">
        <v>1576</v>
      </c>
      <c r="B2297" s="137" t="s">
        <v>5435</v>
      </c>
      <c r="C2297" s="137"/>
      <c r="D2297" s="138"/>
      <c r="E2297" s="139"/>
      <c r="F2297" s="106"/>
      <c r="G2297" s="106"/>
      <c r="H2297" s="105"/>
      <c r="I2297" s="106"/>
      <c r="J2297" s="106"/>
      <c r="K2297" s="106"/>
    </row>
    <row r="2298" ht="12.75" customHeight="1">
      <c r="B2298" s="90"/>
      <c r="E2298" s="79"/>
      <c r="F2298" s="80"/>
      <c r="G2298" s="80"/>
      <c r="H2298" s="81"/>
      <c r="I2298" s="80"/>
      <c r="J2298" s="80"/>
      <c r="K2298" s="80"/>
    </row>
    <row r="2299" ht="12.75" customHeight="1">
      <c r="A2299" s="89" t="s">
        <v>1577</v>
      </c>
      <c r="B2299" s="96" t="s">
        <v>5436</v>
      </c>
      <c r="C2299" s="90"/>
      <c r="E2299" s="79"/>
      <c r="F2299" s="80"/>
      <c r="G2299" s="80"/>
      <c r="H2299" s="81"/>
      <c r="I2299" s="80"/>
      <c r="J2299" s="80"/>
      <c r="K2299" s="80"/>
    </row>
    <row r="2300" ht="12.75" customHeight="1">
      <c r="B2300" s="90"/>
      <c r="E2300" s="79"/>
      <c r="F2300" s="80"/>
      <c r="G2300" s="80"/>
      <c r="H2300" s="81"/>
      <c r="I2300" s="80"/>
      <c r="J2300" s="80"/>
      <c r="K2300" s="80"/>
    </row>
    <row r="2301" ht="12.75" customHeight="1">
      <c r="A2301" s="136" t="s">
        <v>1579</v>
      </c>
      <c r="B2301" s="137" t="s">
        <v>5437</v>
      </c>
      <c r="C2301" s="137"/>
      <c r="D2301" s="136" t="s">
        <v>933</v>
      </c>
      <c r="E2301" s="140">
        <v>68.0</v>
      </c>
      <c r="F2301" s="100">
        <v>15.83</v>
      </c>
      <c r="G2301" s="100">
        <v>1076.44</v>
      </c>
      <c r="H2301" s="99"/>
      <c r="I2301" s="100"/>
      <c r="J2301" s="100"/>
      <c r="K2301" s="100"/>
    </row>
    <row r="2302" ht="12.75" customHeight="1">
      <c r="A2302" s="138"/>
      <c r="B2302" s="137"/>
      <c r="C2302" s="138"/>
      <c r="D2302" s="138"/>
      <c r="E2302" s="139"/>
      <c r="F2302" s="106"/>
      <c r="G2302" s="106"/>
      <c r="H2302" s="105"/>
      <c r="I2302" s="106"/>
      <c r="J2302" s="106"/>
      <c r="K2302" s="106"/>
    </row>
    <row r="2303" ht="12.75" customHeight="1">
      <c r="A2303" s="136" t="s">
        <v>1581</v>
      </c>
      <c r="B2303" s="137" t="s">
        <v>5438</v>
      </c>
      <c r="C2303" s="137"/>
      <c r="D2303" s="138"/>
      <c r="E2303" s="139"/>
      <c r="F2303" s="106"/>
      <c r="G2303" s="106"/>
      <c r="H2303" s="105"/>
      <c r="I2303" s="106"/>
      <c r="J2303" s="106"/>
      <c r="K2303" s="106"/>
    </row>
    <row r="2304" ht="12.75" customHeight="1">
      <c r="A2304" s="138"/>
      <c r="B2304" s="137"/>
      <c r="C2304" s="138"/>
      <c r="D2304" s="138"/>
      <c r="E2304" s="139"/>
      <c r="F2304" s="106"/>
      <c r="G2304" s="106"/>
      <c r="H2304" s="105"/>
      <c r="I2304" s="106"/>
      <c r="J2304" s="106"/>
      <c r="K2304" s="106"/>
    </row>
    <row r="2305" ht="12.75" customHeight="1">
      <c r="A2305" s="136" t="s">
        <v>1583</v>
      </c>
      <c r="B2305" s="137" t="s">
        <v>5439</v>
      </c>
      <c r="C2305" s="137"/>
      <c r="D2305" s="136" t="s">
        <v>933</v>
      </c>
      <c r="E2305" s="140">
        <v>386.0</v>
      </c>
      <c r="F2305" s="100">
        <v>8.04</v>
      </c>
      <c r="G2305" s="100">
        <v>3103.44</v>
      </c>
      <c r="H2305" s="99"/>
      <c r="I2305" s="100"/>
      <c r="J2305" s="100"/>
      <c r="K2305" s="100"/>
    </row>
    <row r="2306" ht="12.75" customHeight="1">
      <c r="A2306" s="138"/>
      <c r="B2306" s="137"/>
      <c r="C2306" s="138"/>
      <c r="D2306" s="138"/>
      <c r="E2306" s="139"/>
      <c r="F2306" s="106"/>
      <c r="G2306" s="106"/>
      <c r="H2306" s="105"/>
      <c r="I2306" s="106"/>
      <c r="J2306" s="106"/>
      <c r="K2306" s="106"/>
    </row>
    <row r="2307" ht="12.75" customHeight="1">
      <c r="A2307" s="136" t="s">
        <v>1585</v>
      </c>
      <c r="B2307" s="137" t="s">
        <v>5440</v>
      </c>
      <c r="C2307" s="137"/>
      <c r="D2307" s="138"/>
      <c r="E2307" s="139"/>
      <c r="F2307" s="106"/>
      <c r="G2307" s="106"/>
      <c r="H2307" s="105"/>
      <c r="I2307" s="106"/>
      <c r="J2307" s="106"/>
      <c r="K2307" s="106"/>
    </row>
    <row r="2308" ht="12.75" customHeight="1">
      <c r="A2308" s="138"/>
      <c r="B2308" s="137"/>
      <c r="C2308" s="138"/>
      <c r="D2308" s="138"/>
      <c r="E2308" s="139"/>
      <c r="F2308" s="106"/>
      <c r="G2308" s="106"/>
      <c r="H2308" s="105"/>
      <c r="I2308" s="106"/>
      <c r="J2308" s="106"/>
      <c r="K2308" s="106"/>
    </row>
    <row r="2309" ht="12.75" customHeight="1">
      <c r="A2309" s="136" t="s">
        <v>1587</v>
      </c>
      <c r="B2309" s="137" t="s">
        <v>5441</v>
      </c>
      <c r="C2309" s="137"/>
      <c r="D2309" s="136" t="s">
        <v>933</v>
      </c>
      <c r="E2309" s="140">
        <v>318.0</v>
      </c>
      <c r="F2309" s="100">
        <v>57.23</v>
      </c>
      <c r="G2309" s="100">
        <v>18199.14</v>
      </c>
      <c r="H2309" s="99"/>
      <c r="I2309" s="100"/>
      <c r="J2309" s="100"/>
      <c r="K2309" s="100"/>
    </row>
    <row r="2310" ht="12.75" customHeight="1">
      <c r="A2310" s="138"/>
      <c r="B2310" s="137"/>
      <c r="C2310" s="138"/>
      <c r="D2310" s="138"/>
      <c r="E2310" s="139"/>
      <c r="F2310" s="106"/>
      <c r="G2310" s="106"/>
      <c r="H2310" s="105"/>
      <c r="I2310" s="106"/>
      <c r="J2310" s="106"/>
      <c r="K2310" s="106"/>
    </row>
    <row r="2311" ht="12.75" customHeight="1">
      <c r="A2311" s="136" t="s">
        <v>1576</v>
      </c>
      <c r="B2311" s="137" t="s">
        <v>5435</v>
      </c>
      <c r="C2311" s="137"/>
      <c r="D2311" s="138"/>
      <c r="E2311" s="139"/>
      <c r="F2311" s="106"/>
      <c r="G2311" s="100">
        <v>22379.02</v>
      </c>
      <c r="H2311" s="99">
        <f>G2311</f>
        <v>22379.02</v>
      </c>
      <c r="I2311" s="100"/>
      <c r="J2311" s="100"/>
      <c r="K2311" s="100"/>
    </row>
    <row r="2312" ht="12.75" customHeight="1">
      <c r="B2312" s="90"/>
      <c r="E2312" s="79"/>
      <c r="F2312" s="80"/>
      <c r="G2312" s="80"/>
      <c r="H2312" s="81"/>
      <c r="I2312" s="80"/>
      <c r="J2312" s="80"/>
      <c r="K2312" s="80"/>
    </row>
    <row r="2313" ht="12.75" customHeight="1">
      <c r="B2313" s="90"/>
      <c r="E2313" s="79"/>
      <c r="F2313" s="80"/>
      <c r="G2313" s="80"/>
      <c r="H2313" s="81"/>
      <c r="I2313" s="80"/>
      <c r="J2313" s="80"/>
      <c r="K2313" s="80"/>
    </row>
    <row r="2314" ht="12.75" customHeight="1">
      <c r="A2314" s="89" t="s">
        <v>4467</v>
      </c>
      <c r="B2314" s="96" t="s">
        <v>5442</v>
      </c>
      <c r="C2314" s="90"/>
      <c r="E2314" s="79"/>
      <c r="F2314" s="80"/>
      <c r="G2314" s="80"/>
      <c r="H2314" s="81"/>
      <c r="I2314" s="80"/>
      <c r="J2314" s="80"/>
      <c r="K2314" s="80"/>
    </row>
    <row r="2315" ht="12.75" customHeight="1">
      <c r="B2315" s="90"/>
      <c r="E2315" s="79"/>
      <c r="F2315" s="80"/>
      <c r="G2315" s="80"/>
      <c r="H2315" s="81"/>
      <c r="I2315" s="80"/>
      <c r="J2315" s="80"/>
      <c r="K2315" s="80"/>
    </row>
    <row r="2316" ht="12.75" customHeight="1">
      <c r="B2316" s="96" t="s">
        <v>5443</v>
      </c>
      <c r="C2316" s="90"/>
      <c r="E2316" s="79"/>
      <c r="F2316" s="80"/>
      <c r="G2316" s="80"/>
      <c r="H2316" s="81"/>
      <c r="I2316" s="80"/>
      <c r="J2316" s="80"/>
      <c r="K2316" s="80"/>
    </row>
    <row r="2317" ht="12.75" customHeight="1">
      <c r="B2317" s="90"/>
      <c r="E2317" s="79"/>
      <c r="F2317" s="80"/>
      <c r="G2317" s="80"/>
      <c r="H2317" s="81"/>
      <c r="I2317" s="80"/>
      <c r="J2317" s="80"/>
      <c r="K2317" s="80"/>
    </row>
    <row r="2318" ht="12.75" customHeight="1">
      <c r="A2318" s="89" t="s">
        <v>1591</v>
      </c>
      <c r="B2318" s="96" t="s">
        <v>5444</v>
      </c>
      <c r="C2318" s="90"/>
      <c r="E2318" s="79"/>
      <c r="F2318" s="80"/>
      <c r="G2318" s="80"/>
      <c r="H2318" s="81"/>
      <c r="I2318" s="80"/>
      <c r="J2318" s="80"/>
      <c r="K2318" s="80"/>
    </row>
    <row r="2319" ht="12.75" customHeight="1">
      <c r="B2319" s="90"/>
      <c r="E2319" s="79"/>
      <c r="F2319" s="80"/>
      <c r="G2319" s="80"/>
      <c r="H2319" s="81"/>
      <c r="I2319" s="80"/>
      <c r="J2319" s="80"/>
      <c r="K2319" s="80"/>
    </row>
    <row r="2320" ht="12.75" customHeight="1">
      <c r="A2320" s="89" t="s">
        <v>1593</v>
      </c>
      <c r="B2320" s="96" t="s">
        <v>5445</v>
      </c>
      <c r="C2320" s="90"/>
      <c r="D2320" s="89" t="s">
        <v>40</v>
      </c>
      <c r="E2320" s="91">
        <v>180.0</v>
      </c>
      <c r="F2320" s="92">
        <v>62.28</v>
      </c>
      <c r="G2320" s="92">
        <v>11210.4</v>
      </c>
      <c r="H2320" s="93"/>
      <c r="I2320" s="92"/>
      <c r="J2320" s="92"/>
      <c r="K2320" s="92"/>
    </row>
    <row r="2321" ht="12.75" customHeight="1">
      <c r="B2321" s="90"/>
      <c r="E2321" s="79"/>
      <c r="F2321" s="80"/>
      <c r="G2321" s="80"/>
      <c r="H2321" s="81"/>
      <c r="I2321" s="80"/>
      <c r="J2321" s="80"/>
      <c r="K2321" s="80"/>
    </row>
    <row r="2322" ht="12.75" customHeight="1">
      <c r="A2322" s="89" t="s">
        <v>1595</v>
      </c>
      <c r="B2322" s="96" t="s">
        <v>5446</v>
      </c>
      <c r="C2322" s="90"/>
      <c r="D2322" s="89" t="s">
        <v>933</v>
      </c>
      <c r="E2322" s="91">
        <v>10.0</v>
      </c>
      <c r="F2322" s="92">
        <v>108.91</v>
      </c>
      <c r="G2322" s="92">
        <v>1089.1</v>
      </c>
      <c r="H2322" s="93"/>
      <c r="I2322" s="92"/>
      <c r="J2322" s="92"/>
      <c r="K2322" s="92"/>
    </row>
    <row r="2323" ht="12.75" customHeight="1">
      <c r="B2323" s="96"/>
      <c r="E2323" s="79"/>
      <c r="F2323" s="80"/>
      <c r="G2323" s="80"/>
      <c r="H2323" s="81"/>
      <c r="I2323" s="80"/>
      <c r="J2323" s="80"/>
      <c r="K2323" s="80"/>
    </row>
    <row r="2324" ht="12.75" customHeight="1">
      <c r="A2324" s="89" t="s">
        <v>1597</v>
      </c>
      <c r="B2324" s="96" t="s">
        <v>5447</v>
      </c>
      <c r="C2324" s="90"/>
      <c r="E2324" s="79"/>
      <c r="F2324" s="80"/>
      <c r="G2324" s="80"/>
      <c r="H2324" s="81"/>
      <c r="I2324" s="80"/>
      <c r="J2324" s="80"/>
      <c r="K2324" s="80"/>
    </row>
    <row r="2325" ht="12.75" customHeight="1">
      <c r="B2325" s="90"/>
      <c r="E2325" s="79"/>
      <c r="F2325" s="80"/>
      <c r="G2325" s="80"/>
      <c r="H2325" s="81"/>
      <c r="I2325" s="80"/>
      <c r="J2325" s="80"/>
      <c r="K2325" s="80"/>
    </row>
    <row r="2326" ht="12.75" customHeight="1">
      <c r="A2326" s="89" t="s">
        <v>1599</v>
      </c>
      <c r="B2326" s="96" t="s">
        <v>5448</v>
      </c>
      <c r="C2326" s="90"/>
      <c r="D2326" s="89" t="s">
        <v>40</v>
      </c>
      <c r="E2326" s="91">
        <v>20.0</v>
      </c>
      <c r="F2326" s="92">
        <v>30.49</v>
      </c>
      <c r="G2326" s="92">
        <v>609.8</v>
      </c>
      <c r="H2326" s="93"/>
      <c r="I2326" s="92"/>
      <c r="J2326" s="92"/>
      <c r="K2326" s="92"/>
    </row>
    <row r="2327" ht="12.75" customHeight="1">
      <c r="B2327" s="90"/>
      <c r="E2327" s="79"/>
      <c r="F2327" s="80"/>
      <c r="G2327" s="80"/>
      <c r="H2327" s="81"/>
      <c r="I2327" s="80"/>
      <c r="J2327" s="80"/>
      <c r="K2327" s="80"/>
    </row>
    <row r="2328" ht="12.75" customHeight="1">
      <c r="A2328" s="89" t="s">
        <v>1601</v>
      </c>
      <c r="B2328" s="96" t="s">
        <v>5449</v>
      </c>
      <c r="C2328" s="90"/>
      <c r="E2328" s="79"/>
      <c r="F2328" s="80"/>
      <c r="G2328" s="80"/>
      <c r="H2328" s="81"/>
      <c r="I2328" s="80"/>
      <c r="J2328" s="80"/>
      <c r="K2328" s="80"/>
    </row>
    <row r="2329" ht="12.75" customHeight="1">
      <c r="B2329" s="90"/>
      <c r="E2329" s="79"/>
      <c r="F2329" s="80"/>
      <c r="G2329" s="80"/>
      <c r="H2329" s="81"/>
      <c r="I2329" s="80"/>
      <c r="J2329" s="80"/>
      <c r="K2329" s="80"/>
    </row>
    <row r="2330" ht="12.75" customHeight="1">
      <c r="A2330" s="89" t="s">
        <v>1603</v>
      </c>
      <c r="B2330" s="96" t="s">
        <v>5450</v>
      </c>
      <c r="C2330" s="90"/>
      <c r="D2330" s="89" t="s">
        <v>40</v>
      </c>
      <c r="E2330" s="91">
        <v>6.0</v>
      </c>
      <c r="F2330" s="92">
        <v>225.0</v>
      </c>
      <c r="G2330" s="92">
        <v>1350.0</v>
      </c>
      <c r="H2330" s="93"/>
      <c r="I2330" s="92"/>
      <c r="J2330" s="92"/>
      <c r="K2330" s="92"/>
    </row>
    <row r="2331" ht="12.75" customHeight="1">
      <c r="B2331" s="90"/>
      <c r="E2331" s="79"/>
      <c r="F2331" s="80"/>
      <c r="G2331" s="80"/>
      <c r="H2331" s="81"/>
      <c r="I2331" s="80"/>
      <c r="J2331" s="80"/>
      <c r="K2331" s="80"/>
    </row>
    <row r="2332" ht="12.75" customHeight="1">
      <c r="A2332" s="89" t="s">
        <v>1605</v>
      </c>
      <c r="B2332" s="96" t="s">
        <v>5451</v>
      </c>
      <c r="C2332" s="90"/>
      <c r="E2332" s="79"/>
      <c r="F2332" s="80"/>
      <c r="G2332" s="80"/>
      <c r="H2332" s="81"/>
      <c r="I2332" s="80"/>
      <c r="J2332" s="80"/>
      <c r="K2332" s="80"/>
    </row>
    <row r="2333" ht="12.75" customHeight="1">
      <c r="B2333" s="90"/>
      <c r="E2333" s="79"/>
      <c r="F2333" s="80"/>
      <c r="G2333" s="80"/>
      <c r="H2333" s="81"/>
      <c r="I2333" s="80"/>
      <c r="J2333" s="80"/>
      <c r="K2333" s="80"/>
    </row>
    <row r="2334" ht="12.75" customHeight="1">
      <c r="A2334" s="89" t="s">
        <v>1607</v>
      </c>
      <c r="B2334" s="96" t="s">
        <v>5452</v>
      </c>
      <c r="C2334" s="90"/>
      <c r="D2334" s="89" t="s">
        <v>40</v>
      </c>
      <c r="E2334" s="91">
        <v>45.0</v>
      </c>
      <c r="F2334" s="92">
        <v>185.0</v>
      </c>
      <c r="G2334" s="92">
        <v>8325.0</v>
      </c>
      <c r="H2334" s="93"/>
      <c r="I2334" s="92"/>
      <c r="J2334" s="92"/>
      <c r="K2334" s="92"/>
    </row>
    <row r="2335" ht="12.75" customHeight="1">
      <c r="B2335" s="90"/>
      <c r="E2335" s="79"/>
      <c r="F2335" s="80"/>
      <c r="G2335" s="80"/>
      <c r="H2335" s="81"/>
      <c r="I2335" s="80"/>
      <c r="J2335" s="80"/>
      <c r="K2335" s="80"/>
    </row>
    <row r="2336" ht="12.75" customHeight="1">
      <c r="A2336" s="89" t="s">
        <v>1609</v>
      </c>
      <c r="B2336" s="96" t="s">
        <v>5453</v>
      </c>
      <c r="C2336" s="90"/>
      <c r="E2336" s="79"/>
      <c r="F2336" s="80"/>
      <c r="G2336" s="80"/>
      <c r="H2336" s="81"/>
      <c r="I2336" s="80"/>
      <c r="J2336" s="80"/>
      <c r="K2336" s="80"/>
    </row>
    <row r="2337" ht="12.75" customHeight="1">
      <c r="B2337" s="90"/>
      <c r="E2337" s="79"/>
      <c r="F2337" s="80"/>
      <c r="G2337" s="80"/>
      <c r="H2337" s="81"/>
      <c r="I2337" s="80"/>
      <c r="J2337" s="80"/>
      <c r="K2337" s="80"/>
    </row>
    <row r="2338" ht="12.75" customHeight="1">
      <c r="A2338" s="89" t="s">
        <v>1611</v>
      </c>
      <c r="B2338" s="96" t="s">
        <v>5454</v>
      </c>
      <c r="C2338" s="90"/>
      <c r="D2338" s="89" t="s">
        <v>40</v>
      </c>
      <c r="E2338" s="91">
        <v>140.0</v>
      </c>
      <c r="F2338" s="92">
        <v>70.86</v>
      </c>
      <c r="G2338" s="92">
        <v>9920.4</v>
      </c>
      <c r="H2338" s="93"/>
      <c r="I2338" s="92"/>
      <c r="J2338" s="92"/>
      <c r="K2338" s="92"/>
    </row>
    <row r="2339" ht="12.75" customHeight="1">
      <c r="B2339" s="96"/>
      <c r="E2339" s="79"/>
      <c r="F2339" s="80"/>
      <c r="G2339" s="80"/>
      <c r="H2339" s="81"/>
      <c r="I2339" s="80"/>
      <c r="J2339" s="80"/>
      <c r="K2339" s="80"/>
    </row>
    <row r="2340" ht="12.75" customHeight="1">
      <c r="A2340" s="89" t="s">
        <v>1613</v>
      </c>
      <c r="B2340" s="96" t="s">
        <v>5455</v>
      </c>
      <c r="C2340" s="90"/>
      <c r="E2340" s="79"/>
      <c r="F2340" s="80"/>
      <c r="G2340" s="80"/>
      <c r="H2340" s="81"/>
      <c r="I2340" s="80"/>
      <c r="J2340" s="80"/>
      <c r="K2340" s="80"/>
    </row>
    <row r="2341" ht="12.75" customHeight="1">
      <c r="B2341" s="90"/>
      <c r="E2341" s="79"/>
      <c r="F2341" s="80"/>
      <c r="G2341" s="80"/>
      <c r="H2341" s="81"/>
      <c r="I2341" s="80"/>
      <c r="J2341" s="80"/>
      <c r="K2341" s="80"/>
    </row>
    <row r="2342" ht="12.75" customHeight="1">
      <c r="A2342" s="89" t="s">
        <v>1615</v>
      </c>
      <c r="B2342" s="96" t="s">
        <v>5456</v>
      </c>
      <c r="C2342" s="90"/>
      <c r="D2342" s="89" t="s">
        <v>161</v>
      </c>
      <c r="E2342" s="91">
        <v>32.0</v>
      </c>
      <c r="F2342" s="92">
        <v>175.0</v>
      </c>
      <c r="G2342" s="92">
        <v>5600.0</v>
      </c>
      <c r="H2342" s="93"/>
      <c r="I2342" s="92"/>
      <c r="J2342" s="92"/>
      <c r="K2342" s="92"/>
    </row>
    <row r="2343" ht="12.75" customHeight="1">
      <c r="B2343" s="90"/>
      <c r="E2343" s="79"/>
      <c r="F2343" s="80"/>
      <c r="G2343" s="80"/>
      <c r="H2343" s="81"/>
      <c r="I2343" s="80"/>
      <c r="J2343" s="80"/>
      <c r="K2343" s="80"/>
    </row>
    <row r="2344" ht="12.75" customHeight="1">
      <c r="A2344" s="89" t="s">
        <v>4482</v>
      </c>
      <c r="B2344" s="96" t="s">
        <v>5457</v>
      </c>
      <c r="C2344" s="90"/>
      <c r="E2344" s="79"/>
      <c r="F2344" s="80"/>
      <c r="G2344" s="80"/>
      <c r="H2344" s="81"/>
      <c r="I2344" s="80"/>
      <c r="J2344" s="80"/>
      <c r="K2344" s="80"/>
    </row>
    <row r="2345" ht="12.75" customHeight="1">
      <c r="B2345" s="90"/>
      <c r="E2345" s="79"/>
      <c r="F2345" s="80"/>
      <c r="G2345" s="80"/>
      <c r="H2345" s="81"/>
      <c r="I2345" s="80"/>
      <c r="J2345" s="80"/>
      <c r="K2345" s="80"/>
    </row>
    <row r="2346" ht="12.75" customHeight="1">
      <c r="B2346" s="96" t="s">
        <v>5458</v>
      </c>
      <c r="C2346" s="90"/>
      <c r="E2346" s="79"/>
      <c r="F2346" s="80"/>
      <c r="G2346" s="80"/>
      <c r="H2346" s="81"/>
      <c r="I2346" s="80"/>
      <c r="J2346" s="80"/>
      <c r="K2346" s="80"/>
    </row>
    <row r="2347" ht="12.75" customHeight="1">
      <c r="B2347" s="90"/>
      <c r="E2347" s="79"/>
      <c r="F2347" s="80"/>
      <c r="G2347" s="80"/>
      <c r="H2347" s="81"/>
      <c r="I2347" s="80"/>
      <c r="J2347" s="80"/>
      <c r="K2347" s="80"/>
    </row>
    <row r="2348" ht="12.75" customHeight="1">
      <c r="A2348" s="89" t="s">
        <v>781</v>
      </c>
      <c r="B2348" s="96" t="s">
        <v>5459</v>
      </c>
      <c r="C2348" s="90"/>
      <c r="E2348" s="79"/>
      <c r="F2348" s="80"/>
      <c r="G2348" s="80"/>
      <c r="H2348" s="81"/>
      <c r="I2348" s="80"/>
      <c r="J2348" s="80"/>
      <c r="K2348" s="80"/>
    </row>
    <row r="2349" ht="12.75" customHeight="1">
      <c r="B2349" s="90"/>
      <c r="E2349" s="79"/>
      <c r="F2349" s="80"/>
      <c r="G2349" s="80"/>
      <c r="H2349" s="81"/>
      <c r="I2349" s="80"/>
      <c r="J2349" s="80"/>
      <c r="K2349" s="80"/>
    </row>
    <row r="2350" ht="12.75" customHeight="1">
      <c r="A2350" s="89" t="s">
        <v>1620</v>
      </c>
      <c r="B2350" s="96" t="s">
        <v>5460</v>
      </c>
      <c r="C2350" s="90"/>
      <c r="D2350" s="89" t="s">
        <v>75</v>
      </c>
      <c r="E2350" s="91">
        <v>8.0</v>
      </c>
      <c r="F2350" s="80"/>
      <c r="G2350" s="135" t="s">
        <v>1428</v>
      </c>
      <c r="H2350" s="159"/>
      <c r="I2350" s="135"/>
      <c r="J2350" s="135"/>
      <c r="K2350" s="135"/>
    </row>
    <row r="2351" ht="12.75" customHeight="1">
      <c r="B2351" s="96"/>
      <c r="E2351" s="79"/>
      <c r="F2351" s="80"/>
      <c r="G2351" s="80"/>
      <c r="H2351" s="81"/>
      <c r="I2351" s="80"/>
      <c r="J2351" s="80"/>
      <c r="K2351" s="80"/>
    </row>
    <row r="2352" ht="12.75" customHeight="1">
      <c r="A2352" s="89" t="s">
        <v>1622</v>
      </c>
      <c r="B2352" s="96" t="s">
        <v>5461</v>
      </c>
      <c r="C2352" s="90"/>
      <c r="D2352" s="89" t="s">
        <v>75</v>
      </c>
      <c r="E2352" s="91">
        <v>10.0</v>
      </c>
      <c r="F2352" s="80"/>
      <c r="G2352" s="135" t="s">
        <v>1428</v>
      </c>
      <c r="H2352" s="159"/>
      <c r="I2352" s="135"/>
      <c r="J2352" s="135"/>
      <c r="K2352" s="135"/>
    </row>
    <row r="2353" ht="12.75" customHeight="1">
      <c r="B2353" s="90"/>
      <c r="E2353" s="79"/>
      <c r="F2353" s="80"/>
      <c r="G2353" s="80"/>
      <c r="H2353" s="81"/>
      <c r="I2353" s="80"/>
      <c r="J2353" s="80"/>
      <c r="K2353" s="80"/>
    </row>
    <row r="2354" ht="12.75" customHeight="1">
      <c r="A2354" s="89" t="s">
        <v>1624</v>
      </c>
      <c r="B2354" s="96" t="s">
        <v>5462</v>
      </c>
      <c r="C2354" s="90"/>
      <c r="E2354" s="79"/>
      <c r="F2354" s="80"/>
      <c r="G2354" s="80"/>
      <c r="H2354" s="81"/>
      <c r="I2354" s="80"/>
      <c r="J2354" s="80"/>
      <c r="K2354" s="80"/>
    </row>
    <row r="2355" ht="12.75" customHeight="1">
      <c r="B2355" s="90"/>
      <c r="E2355" s="79"/>
      <c r="F2355" s="80"/>
      <c r="G2355" s="80"/>
      <c r="H2355" s="81"/>
      <c r="I2355" s="80"/>
      <c r="J2355" s="80"/>
      <c r="K2355" s="80"/>
    </row>
    <row r="2356" ht="12.75" customHeight="1">
      <c r="A2356" s="89" t="s">
        <v>1626</v>
      </c>
      <c r="B2356" s="96" t="s">
        <v>5463</v>
      </c>
      <c r="C2356" s="90"/>
      <c r="D2356" s="89" t="s">
        <v>75</v>
      </c>
      <c r="E2356" s="91">
        <v>4.0</v>
      </c>
      <c r="F2356" s="80"/>
      <c r="G2356" s="135" t="s">
        <v>1428</v>
      </c>
      <c r="H2356" s="159"/>
      <c r="I2356" s="135"/>
      <c r="J2356" s="135"/>
      <c r="K2356" s="135"/>
    </row>
    <row r="2357" ht="12.75" customHeight="1">
      <c r="B2357" s="96"/>
      <c r="E2357" s="79"/>
      <c r="F2357" s="80"/>
      <c r="G2357" s="80"/>
      <c r="H2357" s="81"/>
      <c r="I2357" s="80"/>
      <c r="J2357" s="80"/>
      <c r="K2357" s="80"/>
    </row>
    <row r="2358" ht="12.75" customHeight="1">
      <c r="A2358" s="89" t="s">
        <v>1628</v>
      </c>
      <c r="B2358" s="96" t="s">
        <v>5464</v>
      </c>
      <c r="C2358" s="90"/>
      <c r="E2358" s="79"/>
      <c r="F2358" s="80"/>
      <c r="G2358" s="80"/>
      <c r="H2358" s="81"/>
      <c r="I2358" s="80"/>
      <c r="J2358" s="80"/>
      <c r="K2358" s="80"/>
    </row>
    <row r="2359" ht="12.75" customHeight="1">
      <c r="B2359" s="90"/>
      <c r="E2359" s="79"/>
      <c r="F2359" s="80"/>
      <c r="G2359" s="80"/>
      <c r="H2359" s="81"/>
      <c r="I2359" s="80"/>
      <c r="J2359" s="80"/>
      <c r="K2359" s="80"/>
    </row>
    <row r="2360" ht="12.75" customHeight="1">
      <c r="A2360" s="89" t="s">
        <v>1630</v>
      </c>
      <c r="B2360" s="96" t="s">
        <v>5465</v>
      </c>
      <c r="C2360" s="90"/>
      <c r="E2360" s="79"/>
      <c r="F2360" s="80"/>
      <c r="G2360" s="80"/>
      <c r="H2360" s="81"/>
      <c r="I2360" s="80"/>
      <c r="J2360" s="80"/>
      <c r="K2360" s="80"/>
    </row>
    <row r="2361" ht="12.75" customHeight="1">
      <c r="B2361" s="96"/>
      <c r="E2361" s="79"/>
      <c r="F2361" s="80"/>
      <c r="G2361" s="80"/>
      <c r="H2361" s="81"/>
      <c r="I2361" s="80"/>
      <c r="J2361" s="80"/>
      <c r="K2361" s="80"/>
    </row>
    <row r="2362" ht="12.75" customHeight="1">
      <c r="A2362" s="89" t="s">
        <v>1632</v>
      </c>
      <c r="B2362" s="96" t="s">
        <v>5466</v>
      </c>
      <c r="C2362" s="90"/>
      <c r="D2362" s="89" t="s">
        <v>75</v>
      </c>
      <c r="E2362" s="91">
        <v>4.0</v>
      </c>
      <c r="F2362" s="80"/>
      <c r="G2362" s="135" t="s">
        <v>1428</v>
      </c>
      <c r="H2362" s="159"/>
      <c r="I2362" s="135"/>
      <c r="J2362" s="135"/>
      <c r="K2362" s="135"/>
    </row>
    <row r="2363" ht="12.75" customHeight="1">
      <c r="B2363" s="90"/>
      <c r="E2363" s="79"/>
      <c r="F2363" s="80"/>
      <c r="G2363" s="80"/>
      <c r="H2363" s="81"/>
      <c r="I2363" s="80"/>
      <c r="J2363" s="80"/>
      <c r="K2363" s="80"/>
    </row>
    <row r="2364" ht="12.75" customHeight="1">
      <c r="A2364" s="89" t="s">
        <v>1634</v>
      </c>
      <c r="B2364" s="96" t="s">
        <v>5467</v>
      </c>
      <c r="C2364" s="90"/>
      <c r="D2364" s="89" t="s">
        <v>75</v>
      </c>
      <c r="E2364" s="91">
        <v>2.0</v>
      </c>
      <c r="F2364" s="80"/>
      <c r="G2364" s="135" t="s">
        <v>1428</v>
      </c>
      <c r="H2364" s="159"/>
      <c r="I2364" s="135"/>
      <c r="J2364" s="135"/>
      <c r="K2364" s="135"/>
    </row>
    <row r="2365" ht="12.75" customHeight="1">
      <c r="B2365" s="90"/>
      <c r="E2365" s="79"/>
      <c r="F2365" s="80"/>
      <c r="G2365" s="80"/>
      <c r="H2365" s="81"/>
      <c r="I2365" s="80"/>
      <c r="J2365" s="80"/>
      <c r="K2365" s="80"/>
    </row>
    <row r="2366" ht="12.75" customHeight="1">
      <c r="A2366" s="89" t="s">
        <v>4493</v>
      </c>
      <c r="B2366" s="96" t="s">
        <v>4864</v>
      </c>
      <c r="C2366" s="90"/>
      <c r="E2366" s="79"/>
      <c r="F2366" s="80"/>
      <c r="G2366" s="80"/>
      <c r="H2366" s="81"/>
      <c r="I2366" s="80"/>
      <c r="J2366" s="80"/>
      <c r="K2366" s="80"/>
    </row>
    <row r="2367" ht="12.75" customHeight="1">
      <c r="B2367" s="90"/>
      <c r="E2367" s="79"/>
      <c r="F2367" s="80"/>
      <c r="G2367" s="80"/>
      <c r="H2367" s="81"/>
      <c r="I2367" s="80"/>
      <c r="J2367" s="80"/>
      <c r="K2367" s="80"/>
    </row>
    <row r="2368" ht="12.75" customHeight="1">
      <c r="A2368" s="89" t="s">
        <v>1636</v>
      </c>
      <c r="B2368" s="96" t="s">
        <v>5468</v>
      </c>
      <c r="C2368" s="90"/>
      <c r="E2368" s="79"/>
      <c r="F2368" s="80"/>
      <c r="G2368" s="80"/>
      <c r="H2368" s="81"/>
      <c r="I2368" s="80"/>
      <c r="J2368" s="80"/>
      <c r="K2368" s="80"/>
    </row>
    <row r="2369" ht="12.75" customHeight="1">
      <c r="B2369" s="90"/>
      <c r="E2369" s="79"/>
      <c r="F2369" s="80"/>
      <c r="G2369" s="80"/>
      <c r="H2369" s="81"/>
      <c r="I2369" s="80"/>
      <c r="J2369" s="80"/>
      <c r="K2369" s="80"/>
    </row>
    <row r="2370" ht="12.75" customHeight="1">
      <c r="A2370" s="89" t="s">
        <v>1638</v>
      </c>
      <c r="B2370" s="96" t="s">
        <v>5469</v>
      </c>
      <c r="C2370" s="90"/>
      <c r="D2370" s="89" t="s">
        <v>75</v>
      </c>
      <c r="E2370" s="91">
        <v>1.0</v>
      </c>
      <c r="F2370" s="92">
        <v>1500.0</v>
      </c>
      <c r="G2370" s="92">
        <v>1500.0</v>
      </c>
      <c r="H2370" s="93"/>
      <c r="I2370" s="92"/>
      <c r="J2370" s="92"/>
      <c r="K2370" s="92"/>
    </row>
    <row r="2371" ht="12.75" customHeight="1">
      <c r="B2371" s="96"/>
      <c r="E2371" s="79"/>
      <c r="F2371" s="80"/>
      <c r="G2371" s="80"/>
      <c r="H2371" s="81"/>
      <c r="I2371" s="80"/>
      <c r="J2371" s="80"/>
      <c r="K2371" s="80"/>
    </row>
    <row r="2372" ht="12.75" customHeight="1">
      <c r="A2372" s="89" t="s">
        <v>1640</v>
      </c>
      <c r="B2372" s="96" t="s">
        <v>5470</v>
      </c>
      <c r="C2372" s="90"/>
      <c r="D2372" s="89" t="s">
        <v>75</v>
      </c>
      <c r="E2372" s="91">
        <v>1.0</v>
      </c>
      <c r="F2372" s="92">
        <v>1098.0</v>
      </c>
      <c r="G2372" s="92">
        <v>1098.0</v>
      </c>
      <c r="H2372" s="93"/>
      <c r="I2372" s="92"/>
      <c r="J2372" s="92"/>
      <c r="K2372" s="92"/>
    </row>
    <row r="2373" ht="12.75" customHeight="1">
      <c r="B2373" s="90"/>
      <c r="E2373" s="79"/>
      <c r="F2373" s="80"/>
      <c r="G2373" s="80"/>
      <c r="H2373" s="81"/>
      <c r="I2373" s="80"/>
      <c r="J2373" s="80"/>
      <c r="K2373" s="80"/>
    </row>
    <row r="2374" ht="12.75" customHeight="1">
      <c r="A2374" s="89" t="s">
        <v>1642</v>
      </c>
      <c r="B2374" s="96" t="s">
        <v>5471</v>
      </c>
      <c r="C2374" s="90"/>
      <c r="D2374" s="89" t="s">
        <v>75</v>
      </c>
      <c r="E2374" s="91">
        <v>1.0</v>
      </c>
      <c r="F2374" s="92">
        <v>750.0</v>
      </c>
      <c r="G2374" s="92">
        <v>750.0</v>
      </c>
      <c r="H2374" s="93"/>
      <c r="I2374" s="92"/>
      <c r="J2374" s="92"/>
      <c r="K2374" s="92"/>
    </row>
    <row r="2375" ht="12.75" customHeight="1">
      <c r="B2375" s="90"/>
      <c r="E2375" s="79"/>
      <c r="F2375" s="80"/>
      <c r="G2375" s="80"/>
      <c r="H2375" s="81"/>
      <c r="I2375" s="80"/>
      <c r="J2375" s="80"/>
      <c r="K2375" s="80"/>
    </row>
    <row r="2376" ht="12.75" customHeight="1">
      <c r="A2376" s="89" t="s">
        <v>1644</v>
      </c>
      <c r="B2376" s="96" t="s">
        <v>5472</v>
      </c>
      <c r="C2376" s="90"/>
      <c r="D2376" s="89" t="s">
        <v>75</v>
      </c>
      <c r="E2376" s="91">
        <v>1.0</v>
      </c>
      <c r="F2376" s="92">
        <v>7200.0</v>
      </c>
      <c r="G2376" s="92">
        <v>7200.0</v>
      </c>
      <c r="H2376" s="93"/>
      <c r="I2376" s="92"/>
      <c r="J2376" s="92"/>
      <c r="K2376" s="92"/>
    </row>
    <row r="2377" ht="12.75" customHeight="1">
      <c r="B2377" s="96"/>
      <c r="E2377" s="79"/>
      <c r="F2377" s="80"/>
      <c r="G2377" s="80"/>
      <c r="H2377" s="81"/>
      <c r="I2377" s="80"/>
      <c r="J2377" s="80"/>
      <c r="K2377" s="80"/>
    </row>
    <row r="2378" ht="12.75" customHeight="1">
      <c r="A2378" s="89" t="s">
        <v>4467</v>
      </c>
      <c r="B2378" s="96" t="s">
        <v>5442</v>
      </c>
      <c r="C2378" s="90"/>
      <c r="E2378" s="79"/>
      <c r="F2378" s="80"/>
      <c r="G2378" s="92">
        <v>48652.7</v>
      </c>
      <c r="H2378" s="93"/>
      <c r="I2378" s="92"/>
      <c r="J2378" s="92"/>
      <c r="K2378" s="92"/>
    </row>
    <row r="2379" ht="12.75" customHeight="1">
      <c r="B2379" s="90"/>
      <c r="E2379" s="79"/>
      <c r="F2379" s="80"/>
      <c r="G2379" s="80"/>
      <c r="H2379" s="81"/>
      <c r="I2379" s="80"/>
      <c r="J2379" s="80"/>
      <c r="K2379" s="80"/>
    </row>
    <row r="2380" ht="12.75" customHeight="1">
      <c r="A2380" s="89" t="s">
        <v>1565</v>
      </c>
      <c r="B2380" s="96" t="s">
        <v>5429</v>
      </c>
      <c r="C2380" s="90"/>
      <c r="E2380" s="79"/>
      <c r="F2380" s="80"/>
      <c r="G2380" s="92">
        <v>75631.72</v>
      </c>
      <c r="H2380" s="93">
        <f>G2380</f>
        <v>75631.72</v>
      </c>
      <c r="I2380" s="92"/>
      <c r="J2380" s="92"/>
      <c r="K2380" s="92"/>
    </row>
    <row r="2381" ht="12.75" customHeight="1">
      <c r="B2381" s="90"/>
      <c r="E2381" s="79"/>
      <c r="F2381" s="80"/>
      <c r="G2381" s="80"/>
      <c r="H2381" s="81"/>
      <c r="I2381" s="80"/>
      <c r="J2381" s="80"/>
      <c r="K2381" s="80"/>
    </row>
    <row r="2382" ht="12.75" customHeight="1">
      <c r="B2382" s="90"/>
      <c r="E2382" s="79"/>
      <c r="F2382" s="80"/>
      <c r="G2382" s="80"/>
      <c r="H2382" s="81"/>
      <c r="I2382" s="80"/>
      <c r="J2382" s="80"/>
      <c r="K2382" s="80"/>
    </row>
    <row r="2383" ht="12.75" customHeight="1">
      <c r="A2383" s="89" t="s">
        <v>1646</v>
      </c>
      <c r="B2383" s="96" t="s">
        <v>5473</v>
      </c>
      <c r="C2383" s="90"/>
      <c r="E2383" s="79"/>
      <c r="F2383" s="80"/>
      <c r="G2383" s="80"/>
      <c r="H2383" s="81"/>
      <c r="I2383" s="80"/>
      <c r="J2383" s="80"/>
      <c r="K2383" s="80"/>
    </row>
    <row r="2384" ht="12.75" customHeight="1">
      <c r="B2384" s="90"/>
      <c r="E2384" s="79"/>
      <c r="F2384" s="80"/>
      <c r="G2384" s="80"/>
      <c r="H2384" s="81"/>
      <c r="I2384" s="80"/>
      <c r="J2384" s="80"/>
      <c r="K2384" s="80"/>
    </row>
    <row r="2385" ht="12.75" customHeight="1">
      <c r="A2385" s="89" t="s">
        <v>1648</v>
      </c>
      <c r="B2385" s="96" t="s">
        <v>5474</v>
      </c>
      <c r="C2385" s="90"/>
      <c r="E2385" s="79"/>
      <c r="F2385" s="80"/>
      <c r="G2385" s="80"/>
      <c r="H2385" s="81"/>
      <c r="I2385" s="80"/>
      <c r="J2385" s="80"/>
      <c r="K2385" s="80"/>
    </row>
    <row r="2386" ht="12.75" customHeight="1">
      <c r="B2386" s="90"/>
      <c r="E2386" s="79"/>
      <c r="F2386" s="80"/>
      <c r="G2386" s="80"/>
      <c r="H2386" s="81"/>
      <c r="I2386" s="80"/>
      <c r="J2386" s="80"/>
      <c r="K2386" s="80"/>
    </row>
    <row r="2387" ht="12.75" customHeight="1">
      <c r="A2387" s="89" t="s">
        <v>1650</v>
      </c>
      <c r="B2387" s="96" t="s">
        <v>5475</v>
      </c>
      <c r="C2387" s="90"/>
      <c r="E2387" s="79"/>
      <c r="F2387" s="80"/>
      <c r="G2387" s="80"/>
      <c r="H2387" s="81"/>
      <c r="I2387" s="80"/>
      <c r="J2387" s="80"/>
      <c r="K2387" s="80"/>
    </row>
    <row r="2388" ht="12.75" customHeight="1">
      <c r="B2388" s="90"/>
      <c r="E2388" s="79"/>
      <c r="F2388" s="80"/>
      <c r="G2388" s="80"/>
      <c r="H2388" s="81"/>
      <c r="I2388" s="80"/>
      <c r="J2388" s="80"/>
      <c r="K2388" s="80"/>
    </row>
    <row r="2389" ht="12.75" customHeight="1">
      <c r="A2389" s="89" t="s">
        <v>1652</v>
      </c>
      <c r="B2389" s="96" t="s">
        <v>5476</v>
      </c>
      <c r="C2389" s="90"/>
      <c r="D2389" s="89" t="s">
        <v>40</v>
      </c>
      <c r="E2389" s="91">
        <v>2000.0</v>
      </c>
      <c r="F2389" s="92">
        <v>2.5</v>
      </c>
      <c r="G2389" s="92">
        <v>5000.0</v>
      </c>
      <c r="H2389" s="93"/>
      <c r="I2389" s="92"/>
      <c r="J2389" s="92"/>
      <c r="K2389" s="92"/>
    </row>
    <row r="2390" ht="12.75" customHeight="1">
      <c r="B2390" s="90"/>
      <c r="E2390" s="79"/>
      <c r="F2390" s="80"/>
      <c r="G2390" s="80"/>
      <c r="H2390" s="81"/>
      <c r="I2390" s="80"/>
      <c r="J2390" s="80"/>
      <c r="K2390" s="80"/>
    </row>
    <row r="2391" ht="12.75" customHeight="1">
      <c r="A2391" s="89" t="s">
        <v>1654</v>
      </c>
      <c r="B2391" s="96" t="s">
        <v>5477</v>
      </c>
      <c r="C2391" s="90"/>
      <c r="E2391" s="79"/>
      <c r="F2391" s="80"/>
      <c r="G2391" s="80"/>
      <c r="H2391" s="81"/>
      <c r="I2391" s="80"/>
      <c r="J2391" s="80"/>
      <c r="K2391" s="80"/>
    </row>
    <row r="2392" ht="12.75" customHeight="1">
      <c r="B2392" s="90"/>
      <c r="E2392" s="79"/>
      <c r="F2392" s="80"/>
      <c r="G2392" s="80"/>
      <c r="H2392" s="81"/>
      <c r="I2392" s="80"/>
      <c r="J2392" s="80"/>
      <c r="K2392" s="80"/>
    </row>
    <row r="2393" ht="12.75" customHeight="1">
      <c r="A2393" s="89" t="s">
        <v>1656</v>
      </c>
      <c r="B2393" s="96" t="s">
        <v>5478</v>
      </c>
      <c r="C2393" s="90"/>
      <c r="D2393" s="89" t="s">
        <v>933</v>
      </c>
      <c r="E2393" s="91">
        <v>70.0</v>
      </c>
      <c r="F2393" s="92">
        <v>10.76</v>
      </c>
      <c r="G2393" s="92">
        <v>753.2</v>
      </c>
      <c r="H2393" s="93"/>
      <c r="I2393" s="92"/>
      <c r="J2393" s="92"/>
      <c r="K2393" s="92"/>
    </row>
    <row r="2394" ht="12.75" customHeight="1">
      <c r="B2394" s="90"/>
      <c r="E2394" s="79"/>
      <c r="F2394" s="80"/>
      <c r="G2394" s="80"/>
      <c r="H2394" s="81"/>
      <c r="I2394" s="80"/>
      <c r="J2394" s="80"/>
      <c r="K2394" s="80"/>
    </row>
    <row r="2395" ht="12.75" customHeight="1">
      <c r="A2395" s="89" t="s">
        <v>1658</v>
      </c>
      <c r="B2395" s="96" t="s">
        <v>5479</v>
      </c>
      <c r="C2395" s="90"/>
      <c r="D2395" s="89" t="s">
        <v>933</v>
      </c>
      <c r="E2395" s="91">
        <v>177.0</v>
      </c>
      <c r="F2395" s="92">
        <v>10.76</v>
      </c>
      <c r="G2395" s="92">
        <v>1904.52</v>
      </c>
      <c r="H2395" s="93"/>
      <c r="I2395" s="92"/>
      <c r="J2395" s="92"/>
      <c r="K2395" s="92"/>
    </row>
    <row r="2396" ht="12.75" customHeight="1">
      <c r="B2396" s="90"/>
      <c r="E2396" s="79"/>
      <c r="F2396" s="80"/>
      <c r="G2396" s="80"/>
      <c r="H2396" s="81"/>
      <c r="I2396" s="80"/>
      <c r="J2396" s="80"/>
      <c r="K2396" s="80"/>
    </row>
    <row r="2397" ht="12.75" customHeight="1">
      <c r="A2397" s="89" t="s">
        <v>1660</v>
      </c>
      <c r="B2397" s="96" t="s">
        <v>5480</v>
      </c>
      <c r="C2397" s="90"/>
      <c r="D2397" s="89" t="s">
        <v>933</v>
      </c>
      <c r="E2397" s="91">
        <v>134.0</v>
      </c>
      <c r="F2397" s="92">
        <v>10.76</v>
      </c>
      <c r="G2397" s="92">
        <v>1441.84</v>
      </c>
      <c r="H2397" s="93"/>
      <c r="I2397" s="92"/>
      <c r="J2397" s="92"/>
      <c r="K2397" s="92"/>
    </row>
    <row r="2398" ht="12.75" customHeight="1">
      <c r="B2398" s="90"/>
      <c r="E2398" s="79"/>
      <c r="F2398" s="80"/>
      <c r="G2398" s="80"/>
      <c r="H2398" s="81"/>
      <c r="I2398" s="80"/>
      <c r="J2398" s="80"/>
      <c r="K2398" s="80"/>
    </row>
    <row r="2399" ht="12.75" customHeight="1">
      <c r="A2399" s="89" t="s">
        <v>1662</v>
      </c>
      <c r="B2399" s="96" t="s">
        <v>5481</v>
      </c>
      <c r="C2399" s="90"/>
      <c r="E2399" s="79"/>
      <c r="F2399" s="80"/>
      <c r="G2399" s="80"/>
      <c r="H2399" s="81"/>
      <c r="I2399" s="80"/>
      <c r="J2399" s="80"/>
      <c r="K2399" s="80"/>
    </row>
    <row r="2400" ht="12.75" customHeight="1">
      <c r="B2400" s="90"/>
      <c r="E2400" s="79"/>
      <c r="F2400" s="80"/>
      <c r="G2400" s="80"/>
      <c r="H2400" s="81"/>
      <c r="I2400" s="80"/>
      <c r="J2400" s="80"/>
      <c r="K2400" s="80"/>
    </row>
    <row r="2401" ht="12.75" customHeight="1">
      <c r="A2401" s="89" t="s">
        <v>1664</v>
      </c>
      <c r="B2401" s="96" t="s">
        <v>5482</v>
      </c>
      <c r="C2401" s="90"/>
      <c r="E2401" s="79"/>
      <c r="F2401" s="80"/>
      <c r="G2401" s="80"/>
      <c r="H2401" s="81"/>
      <c r="I2401" s="80"/>
      <c r="J2401" s="80"/>
      <c r="K2401" s="80"/>
    </row>
    <row r="2402" ht="12.75" customHeight="1">
      <c r="B2402" s="90"/>
      <c r="E2402" s="79"/>
      <c r="F2402" s="80"/>
      <c r="G2402" s="80"/>
      <c r="H2402" s="81"/>
      <c r="I2402" s="80"/>
      <c r="J2402" s="80"/>
      <c r="K2402" s="80"/>
    </row>
    <row r="2403" ht="12.75" customHeight="1">
      <c r="A2403" s="89" t="s">
        <v>1666</v>
      </c>
      <c r="B2403" s="96" t="s">
        <v>5483</v>
      </c>
      <c r="C2403" s="90"/>
      <c r="D2403" s="89" t="s">
        <v>933</v>
      </c>
      <c r="E2403" s="91">
        <v>72.5</v>
      </c>
      <c r="F2403" s="92">
        <v>57.17</v>
      </c>
      <c r="G2403" s="92">
        <v>4144.83</v>
      </c>
      <c r="H2403" s="93"/>
      <c r="I2403" s="92"/>
      <c r="J2403" s="92"/>
      <c r="K2403" s="92"/>
    </row>
    <row r="2404" ht="12.75" customHeight="1">
      <c r="B2404" s="90"/>
      <c r="E2404" s="79"/>
      <c r="F2404" s="80"/>
      <c r="G2404" s="80"/>
      <c r="H2404" s="81"/>
      <c r="I2404" s="80"/>
      <c r="J2404" s="80"/>
      <c r="K2404" s="80"/>
    </row>
    <row r="2405" ht="12.75" customHeight="1">
      <c r="A2405" s="89" t="s">
        <v>1668</v>
      </c>
      <c r="B2405" s="96" t="s">
        <v>5484</v>
      </c>
      <c r="C2405" s="90"/>
      <c r="D2405" s="89" t="s">
        <v>933</v>
      </c>
      <c r="E2405" s="91">
        <v>177.0</v>
      </c>
      <c r="F2405" s="92">
        <v>57.17</v>
      </c>
      <c r="G2405" s="92">
        <v>10119.09</v>
      </c>
      <c r="H2405" s="93"/>
      <c r="I2405" s="92"/>
      <c r="J2405" s="92"/>
      <c r="K2405" s="92"/>
    </row>
    <row r="2406" ht="12.75" customHeight="1">
      <c r="B2406" s="90"/>
      <c r="E2406" s="79"/>
      <c r="F2406" s="80"/>
      <c r="G2406" s="80"/>
      <c r="H2406" s="81"/>
      <c r="I2406" s="80"/>
      <c r="J2406" s="80"/>
      <c r="K2406" s="80"/>
    </row>
    <row r="2407" ht="12.75" customHeight="1">
      <c r="A2407" s="89" t="s">
        <v>1670</v>
      </c>
      <c r="B2407" s="96" t="s">
        <v>5485</v>
      </c>
      <c r="C2407" s="90"/>
      <c r="D2407" s="89" t="s">
        <v>933</v>
      </c>
      <c r="E2407" s="91">
        <v>134.0</v>
      </c>
      <c r="F2407" s="92">
        <v>57.17</v>
      </c>
      <c r="G2407" s="92">
        <v>7660.78</v>
      </c>
      <c r="H2407" s="93"/>
      <c r="I2407" s="92"/>
      <c r="J2407" s="92"/>
      <c r="K2407" s="92"/>
    </row>
    <row r="2408" ht="12.75" customHeight="1">
      <c r="B2408" s="90"/>
      <c r="E2408" s="79"/>
      <c r="F2408" s="80"/>
      <c r="G2408" s="80"/>
      <c r="H2408" s="81"/>
      <c r="I2408" s="80"/>
      <c r="J2408" s="80"/>
      <c r="K2408" s="80"/>
    </row>
    <row r="2409" ht="12.75" customHeight="1">
      <c r="A2409" s="89" t="s">
        <v>1672</v>
      </c>
      <c r="B2409" s="96" t="s">
        <v>5486</v>
      </c>
      <c r="C2409" s="90"/>
      <c r="D2409" s="89" t="s">
        <v>933</v>
      </c>
      <c r="E2409" s="91">
        <v>70.0</v>
      </c>
      <c r="F2409" s="92">
        <v>57.17</v>
      </c>
      <c r="G2409" s="92">
        <v>4001.9</v>
      </c>
      <c r="H2409" s="93"/>
      <c r="I2409" s="92"/>
      <c r="J2409" s="92"/>
      <c r="K2409" s="92"/>
    </row>
    <row r="2410" ht="12.75" customHeight="1">
      <c r="B2410" s="90"/>
      <c r="E2410" s="79"/>
      <c r="F2410" s="80"/>
      <c r="G2410" s="80"/>
      <c r="H2410" s="81"/>
      <c r="I2410" s="80"/>
      <c r="J2410" s="80"/>
      <c r="K2410" s="80"/>
    </row>
    <row r="2411" ht="12.75" customHeight="1">
      <c r="A2411" s="89" t="s">
        <v>1648</v>
      </c>
      <c r="B2411" s="96" t="s">
        <v>5474</v>
      </c>
      <c r="C2411" s="90"/>
      <c r="E2411" s="79"/>
      <c r="F2411" s="80"/>
      <c r="G2411" s="92">
        <v>35026.16</v>
      </c>
      <c r="H2411" s="93"/>
      <c r="I2411" s="92"/>
      <c r="J2411" s="92"/>
      <c r="K2411" s="92"/>
    </row>
    <row r="2412" ht="12.75" customHeight="1">
      <c r="B2412" s="90"/>
      <c r="E2412" s="79"/>
      <c r="F2412" s="80"/>
      <c r="G2412" s="80"/>
      <c r="H2412" s="81"/>
      <c r="I2412" s="80"/>
      <c r="J2412" s="80"/>
      <c r="K2412" s="80"/>
    </row>
    <row r="2413" ht="12.75" customHeight="1">
      <c r="B2413" s="90"/>
      <c r="E2413" s="79"/>
      <c r="F2413" s="80"/>
      <c r="G2413" s="80"/>
      <c r="H2413" s="81"/>
      <c r="I2413" s="80"/>
      <c r="J2413" s="80"/>
      <c r="K2413" s="80"/>
    </row>
    <row r="2414" ht="12.75" customHeight="1">
      <c r="A2414" s="89" t="s">
        <v>1674</v>
      </c>
      <c r="B2414" s="96" t="s">
        <v>5487</v>
      </c>
      <c r="C2414" s="90"/>
      <c r="E2414" s="79"/>
      <c r="F2414" s="80"/>
      <c r="G2414" s="80"/>
      <c r="H2414" s="81"/>
      <c r="I2414" s="80"/>
      <c r="J2414" s="80"/>
      <c r="K2414" s="80"/>
    </row>
    <row r="2415" ht="12.75" customHeight="1">
      <c r="B2415" s="90"/>
      <c r="E2415" s="79"/>
      <c r="F2415" s="80"/>
      <c r="G2415" s="80"/>
      <c r="H2415" s="81"/>
      <c r="I2415" s="80"/>
      <c r="J2415" s="80"/>
      <c r="K2415" s="80"/>
    </row>
    <row r="2416" ht="12.75" customHeight="1">
      <c r="A2416" s="89" t="s">
        <v>1676</v>
      </c>
      <c r="B2416" s="96" t="s">
        <v>5488</v>
      </c>
      <c r="C2416" s="90"/>
      <c r="E2416" s="79"/>
      <c r="F2416" s="80"/>
      <c r="G2416" s="80"/>
      <c r="H2416" s="81"/>
      <c r="I2416" s="80"/>
      <c r="J2416" s="80"/>
      <c r="K2416" s="80"/>
    </row>
    <row r="2417" ht="12.75" customHeight="1">
      <c r="B2417" s="90"/>
      <c r="E2417" s="79"/>
      <c r="F2417" s="80"/>
      <c r="G2417" s="80"/>
      <c r="H2417" s="81"/>
      <c r="I2417" s="80"/>
      <c r="J2417" s="80"/>
      <c r="K2417" s="80"/>
    </row>
    <row r="2418" ht="12.75" customHeight="1">
      <c r="A2418" s="89" t="s">
        <v>1678</v>
      </c>
      <c r="B2418" s="96" t="s">
        <v>5489</v>
      </c>
      <c r="C2418" s="90"/>
      <c r="E2418" s="79"/>
      <c r="F2418" s="80"/>
      <c r="G2418" s="80"/>
      <c r="H2418" s="81"/>
      <c r="I2418" s="80"/>
      <c r="J2418" s="80"/>
      <c r="K2418" s="80"/>
    </row>
    <row r="2419" ht="12.75" customHeight="1">
      <c r="B2419" s="90"/>
      <c r="E2419" s="79"/>
      <c r="F2419" s="80"/>
      <c r="G2419" s="80"/>
      <c r="H2419" s="81"/>
      <c r="I2419" s="80"/>
      <c r="J2419" s="80"/>
      <c r="K2419" s="80"/>
    </row>
    <row r="2420" ht="12.75" customHeight="1">
      <c r="A2420" s="89" t="s">
        <v>1680</v>
      </c>
      <c r="B2420" s="96" t="s">
        <v>5490</v>
      </c>
      <c r="C2420" s="90"/>
      <c r="D2420" s="89" t="s">
        <v>75</v>
      </c>
      <c r="E2420" s="91">
        <v>3.0</v>
      </c>
      <c r="F2420" s="92">
        <v>70.12</v>
      </c>
      <c r="G2420" s="92">
        <v>210.36</v>
      </c>
      <c r="H2420" s="93"/>
      <c r="I2420" s="92"/>
      <c r="J2420" s="92"/>
      <c r="K2420" s="92"/>
    </row>
    <row r="2421" ht="12.75" customHeight="1">
      <c r="B2421" s="90"/>
      <c r="E2421" s="79"/>
      <c r="F2421" s="80"/>
      <c r="G2421" s="80"/>
      <c r="H2421" s="81"/>
      <c r="I2421" s="80"/>
      <c r="J2421" s="80"/>
      <c r="K2421" s="80"/>
    </row>
    <row r="2422" ht="12.75" customHeight="1">
      <c r="A2422" s="89" t="s">
        <v>1682</v>
      </c>
      <c r="B2422" s="96" t="s">
        <v>5491</v>
      </c>
      <c r="C2422" s="90"/>
      <c r="D2422" s="89" t="s">
        <v>75</v>
      </c>
      <c r="E2422" s="91">
        <v>3.0</v>
      </c>
      <c r="F2422" s="92">
        <v>70.12</v>
      </c>
      <c r="G2422" s="92">
        <v>210.36</v>
      </c>
      <c r="H2422" s="93"/>
      <c r="I2422" s="92"/>
      <c r="J2422" s="92"/>
      <c r="K2422" s="92"/>
    </row>
    <row r="2423" ht="12.75" customHeight="1">
      <c r="B2423" s="90"/>
      <c r="E2423" s="79"/>
      <c r="F2423" s="80"/>
      <c r="G2423" s="80"/>
      <c r="H2423" s="81"/>
      <c r="I2423" s="80"/>
      <c r="J2423" s="80"/>
      <c r="K2423" s="80"/>
    </row>
    <row r="2424" ht="12.75" customHeight="1">
      <c r="A2424" s="89" t="s">
        <v>1684</v>
      </c>
      <c r="B2424" s="96" t="s">
        <v>4511</v>
      </c>
      <c r="C2424" s="90"/>
      <c r="D2424" s="89" t="s">
        <v>75</v>
      </c>
      <c r="E2424" s="91">
        <v>5.0</v>
      </c>
      <c r="F2424" s="92">
        <v>197.23</v>
      </c>
      <c r="G2424" s="92">
        <v>986.15</v>
      </c>
      <c r="H2424" s="93"/>
      <c r="I2424" s="92"/>
      <c r="J2424" s="92"/>
      <c r="K2424" s="92"/>
    </row>
    <row r="2425" ht="12.75" customHeight="1">
      <c r="B2425" s="90"/>
      <c r="E2425" s="79"/>
      <c r="F2425" s="80"/>
      <c r="G2425" s="80"/>
      <c r="H2425" s="81"/>
      <c r="I2425" s="80"/>
      <c r="J2425" s="80"/>
      <c r="K2425" s="80"/>
    </row>
    <row r="2426" ht="12.75" customHeight="1">
      <c r="A2426" s="89" t="s">
        <v>1686</v>
      </c>
      <c r="B2426" s="96" t="s">
        <v>4512</v>
      </c>
      <c r="C2426" s="90"/>
      <c r="D2426" s="89" t="s">
        <v>75</v>
      </c>
      <c r="E2426" s="91">
        <v>6.0</v>
      </c>
      <c r="F2426" s="92">
        <v>161.92</v>
      </c>
      <c r="G2426" s="92">
        <v>971.52</v>
      </c>
      <c r="H2426" s="93"/>
      <c r="I2426" s="92"/>
      <c r="J2426" s="92"/>
      <c r="K2426" s="92"/>
    </row>
    <row r="2427" ht="12.75" customHeight="1">
      <c r="B2427" s="90"/>
      <c r="E2427" s="79"/>
      <c r="F2427" s="80"/>
      <c r="G2427" s="80"/>
      <c r="H2427" s="81"/>
      <c r="I2427" s="80"/>
      <c r="J2427" s="80"/>
      <c r="K2427" s="80"/>
    </row>
    <row r="2428" ht="12.75" customHeight="1">
      <c r="A2428" s="89" t="s">
        <v>1688</v>
      </c>
      <c r="B2428" s="96" t="s">
        <v>5492</v>
      </c>
      <c r="C2428" s="90"/>
      <c r="D2428" s="89" t="s">
        <v>75</v>
      </c>
      <c r="E2428" s="91">
        <v>6.0</v>
      </c>
      <c r="F2428" s="92">
        <v>125.24</v>
      </c>
      <c r="G2428" s="92">
        <v>751.44</v>
      </c>
      <c r="H2428" s="93"/>
      <c r="I2428" s="92"/>
      <c r="J2428" s="92"/>
      <c r="K2428" s="92"/>
    </row>
    <row r="2429" ht="12.75" customHeight="1">
      <c r="B2429" s="90"/>
      <c r="E2429" s="79"/>
      <c r="F2429" s="80"/>
      <c r="G2429" s="80"/>
      <c r="H2429" s="81"/>
      <c r="I2429" s="80"/>
      <c r="J2429" s="80"/>
      <c r="K2429" s="80"/>
    </row>
    <row r="2430" ht="12.75" customHeight="1">
      <c r="A2430" s="89" t="s">
        <v>1690</v>
      </c>
      <c r="B2430" s="96" t="s">
        <v>5493</v>
      </c>
      <c r="C2430" s="90"/>
      <c r="D2430" s="89" t="s">
        <v>75</v>
      </c>
      <c r="E2430" s="91">
        <v>2.0</v>
      </c>
      <c r="F2430" s="92">
        <v>73.57</v>
      </c>
      <c r="G2430" s="92">
        <v>147.14</v>
      </c>
      <c r="H2430" s="93"/>
      <c r="I2430" s="92"/>
      <c r="J2430" s="92"/>
      <c r="K2430" s="92"/>
    </row>
    <row r="2431" ht="12.75" customHeight="1">
      <c r="B2431" s="90"/>
      <c r="E2431" s="79"/>
      <c r="F2431" s="80"/>
      <c r="G2431" s="80"/>
      <c r="H2431" s="81"/>
      <c r="I2431" s="80"/>
      <c r="J2431" s="80"/>
      <c r="K2431" s="80"/>
    </row>
    <row r="2432" ht="12.75" customHeight="1">
      <c r="A2432" s="89" t="s">
        <v>1692</v>
      </c>
      <c r="B2432" s="96" t="s">
        <v>4515</v>
      </c>
      <c r="C2432" s="90"/>
      <c r="D2432" s="89" t="s">
        <v>75</v>
      </c>
      <c r="E2432" s="91">
        <v>4.0</v>
      </c>
      <c r="F2432" s="92">
        <v>295.6</v>
      </c>
      <c r="G2432" s="92">
        <v>1182.4</v>
      </c>
      <c r="H2432" s="93"/>
      <c r="I2432" s="92"/>
      <c r="J2432" s="92"/>
      <c r="K2432" s="92"/>
    </row>
    <row r="2433" ht="12.75" customHeight="1">
      <c r="B2433" s="90"/>
      <c r="E2433" s="79"/>
      <c r="F2433" s="80"/>
      <c r="G2433" s="80"/>
      <c r="H2433" s="81"/>
      <c r="I2433" s="80"/>
      <c r="J2433" s="80"/>
      <c r="K2433" s="80"/>
    </row>
    <row r="2434" ht="12.75" customHeight="1">
      <c r="A2434" s="89" t="s">
        <v>1694</v>
      </c>
      <c r="B2434" s="96" t="s">
        <v>4516</v>
      </c>
      <c r="C2434" s="90"/>
      <c r="D2434" s="89" t="s">
        <v>75</v>
      </c>
      <c r="E2434" s="91">
        <v>5.0</v>
      </c>
      <c r="F2434" s="92">
        <v>243.93</v>
      </c>
      <c r="G2434" s="92">
        <v>1219.65</v>
      </c>
      <c r="H2434" s="93"/>
      <c r="I2434" s="92"/>
      <c r="J2434" s="92"/>
      <c r="K2434" s="92"/>
    </row>
    <row r="2435" ht="12.75" customHeight="1">
      <c r="B2435" s="90"/>
      <c r="E2435" s="79"/>
      <c r="F2435" s="80"/>
      <c r="G2435" s="80"/>
      <c r="H2435" s="81"/>
      <c r="I2435" s="80"/>
      <c r="J2435" s="80"/>
      <c r="K2435" s="80"/>
    </row>
    <row r="2436" ht="12.75" customHeight="1">
      <c r="A2436" s="89" t="s">
        <v>1696</v>
      </c>
      <c r="B2436" s="96" t="s">
        <v>4517</v>
      </c>
      <c r="C2436" s="90"/>
      <c r="D2436" s="89" t="s">
        <v>75</v>
      </c>
      <c r="E2436" s="91">
        <v>6.0</v>
      </c>
      <c r="F2436" s="92">
        <v>350.72</v>
      </c>
      <c r="G2436" s="92">
        <v>2104.32</v>
      </c>
      <c r="H2436" s="93"/>
      <c r="I2436" s="92"/>
      <c r="J2436" s="92"/>
      <c r="K2436" s="92"/>
    </row>
    <row r="2437" ht="12.75" customHeight="1">
      <c r="B2437" s="90"/>
      <c r="E2437" s="79"/>
      <c r="F2437" s="80"/>
      <c r="G2437" s="80"/>
      <c r="H2437" s="81"/>
      <c r="I2437" s="80"/>
      <c r="J2437" s="80"/>
      <c r="K2437" s="80"/>
    </row>
    <row r="2438" ht="12.75" customHeight="1">
      <c r="A2438" s="89" t="s">
        <v>1698</v>
      </c>
      <c r="B2438" s="96" t="s">
        <v>5494</v>
      </c>
      <c r="C2438" s="90"/>
      <c r="D2438" s="89" t="s">
        <v>75</v>
      </c>
      <c r="E2438" s="91">
        <v>12.0</v>
      </c>
      <c r="F2438" s="92">
        <v>88.9</v>
      </c>
      <c r="G2438" s="92">
        <v>1066.8</v>
      </c>
      <c r="H2438" s="93"/>
      <c r="I2438" s="92"/>
      <c r="J2438" s="92"/>
      <c r="K2438" s="92"/>
    </row>
    <row r="2439" ht="12.75" customHeight="1">
      <c r="B2439" s="90"/>
      <c r="E2439" s="79"/>
      <c r="F2439" s="80"/>
      <c r="G2439" s="80"/>
      <c r="H2439" s="81"/>
      <c r="I2439" s="80"/>
      <c r="J2439" s="80"/>
      <c r="K2439" s="80"/>
    </row>
    <row r="2440" ht="12.75" customHeight="1">
      <c r="A2440" s="89" t="s">
        <v>1700</v>
      </c>
      <c r="B2440" s="96" t="s">
        <v>5495</v>
      </c>
      <c r="C2440" s="90"/>
      <c r="E2440" s="79"/>
      <c r="F2440" s="80"/>
      <c r="G2440" s="80"/>
      <c r="H2440" s="81"/>
      <c r="I2440" s="80"/>
      <c r="J2440" s="80"/>
      <c r="K2440" s="80"/>
    </row>
    <row r="2441" ht="12.75" customHeight="1">
      <c r="B2441" s="90"/>
      <c r="E2441" s="79"/>
      <c r="F2441" s="80"/>
      <c r="G2441" s="80"/>
      <c r="H2441" s="81"/>
      <c r="I2441" s="80"/>
      <c r="J2441" s="80"/>
      <c r="K2441" s="80"/>
    </row>
    <row r="2442" ht="12.75" customHeight="1">
      <c r="A2442" s="89" t="s">
        <v>1702</v>
      </c>
      <c r="B2442" s="96" t="s">
        <v>5496</v>
      </c>
      <c r="C2442" s="90"/>
      <c r="E2442" s="79"/>
      <c r="F2442" s="80"/>
      <c r="G2442" s="80"/>
      <c r="H2442" s="81"/>
      <c r="I2442" s="80"/>
      <c r="J2442" s="80"/>
      <c r="K2442" s="80"/>
    </row>
    <row r="2443" ht="12.75" customHeight="1">
      <c r="B2443" s="90"/>
      <c r="E2443" s="79"/>
      <c r="F2443" s="80"/>
      <c r="G2443" s="80"/>
      <c r="H2443" s="81"/>
      <c r="I2443" s="80"/>
      <c r="J2443" s="80"/>
      <c r="K2443" s="80"/>
    </row>
    <row r="2444" ht="12.75" customHeight="1">
      <c r="A2444" s="89" t="s">
        <v>1704</v>
      </c>
      <c r="B2444" s="96" t="s">
        <v>5497</v>
      </c>
      <c r="C2444" s="90"/>
      <c r="D2444" s="89" t="s">
        <v>75</v>
      </c>
      <c r="E2444" s="91">
        <v>9.0</v>
      </c>
      <c r="F2444" s="92">
        <v>21.95</v>
      </c>
      <c r="G2444" s="92">
        <v>197.55</v>
      </c>
      <c r="H2444" s="93"/>
      <c r="I2444" s="92"/>
      <c r="J2444" s="92"/>
      <c r="K2444" s="92"/>
    </row>
    <row r="2445" ht="12.75" customHeight="1">
      <c r="B2445" s="90"/>
      <c r="E2445" s="79"/>
      <c r="F2445" s="80"/>
      <c r="G2445" s="80"/>
      <c r="H2445" s="81"/>
      <c r="I2445" s="80"/>
      <c r="J2445" s="80"/>
      <c r="K2445" s="80"/>
    </row>
    <row r="2446" ht="12.75" customHeight="1">
      <c r="A2446" s="89" t="s">
        <v>1706</v>
      </c>
      <c r="B2446" s="96" t="s">
        <v>4522</v>
      </c>
      <c r="C2446" s="90"/>
      <c r="D2446" s="89" t="s">
        <v>75</v>
      </c>
      <c r="E2446" s="91">
        <v>8.0</v>
      </c>
      <c r="F2446" s="92">
        <v>44.69</v>
      </c>
      <c r="G2446" s="92">
        <v>357.52</v>
      </c>
      <c r="H2446" s="93"/>
      <c r="I2446" s="92"/>
      <c r="J2446" s="92"/>
      <c r="K2446" s="92"/>
    </row>
    <row r="2447" ht="12.75" customHeight="1">
      <c r="B2447" s="90"/>
      <c r="E2447" s="79"/>
      <c r="F2447" s="80"/>
      <c r="G2447" s="80"/>
      <c r="H2447" s="81"/>
      <c r="I2447" s="80"/>
      <c r="J2447" s="80"/>
      <c r="K2447" s="80"/>
    </row>
    <row r="2448" ht="12.75" customHeight="1">
      <c r="A2448" s="89" t="s">
        <v>1708</v>
      </c>
      <c r="B2448" s="96" t="s">
        <v>4523</v>
      </c>
      <c r="C2448" s="90"/>
      <c r="D2448" s="89" t="s">
        <v>75</v>
      </c>
      <c r="E2448" s="91">
        <v>42.0</v>
      </c>
      <c r="F2448" s="92">
        <v>8.58</v>
      </c>
      <c r="G2448" s="92">
        <v>360.36</v>
      </c>
      <c r="H2448" s="93"/>
      <c r="I2448" s="92"/>
      <c r="J2448" s="92"/>
      <c r="K2448" s="92"/>
    </row>
    <row r="2449" ht="12.75" customHeight="1">
      <c r="B2449" s="90"/>
      <c r="E2449" s="79"/>
      <c r="F2449" s="80"/>
      <c r="G2449" s="80"/>
      <c r="H2449" s="81"/>
      <c r="I2449" s="80"/>
      <c r="J2449" s="80"/>
      <c r="K2449" s="80"/>
    </row>
    <row r="2450" ht="12.75" customHeight="1">
      <c r="A2450" s="89" t="s">
        <v>1710</v>
      </c>
      <c r="B2450" s="96" t="s">
        <v>4524</v>
      </c>
      <c r="C2450" s="90"/>
      <c r="D2450" s="89" t="s">
        <v>75</v>
      </c>
      <c r="E2450" s="91">
        <v>76.0</v>
      </c>
      <c r="F2450" s="92">
        <v>25.05</v>
      </c>
      <c r="G2450" s="92">
        <v>1903.8</v>
      </c>
      <c r="H2450" s="93"/>
      <c r="I2450" s="92"/>
      <c r="J2450" s="92"/>
      <c r="K2450" s="92"/>
    </row>
    <row r="2451" ht="12.75" customHeight="1">
      <c r="B2451" s="90"/>
      <c r="E2451" s="79"/>
      <c r="F2451" s="80"/>
      <c r="G2451" s="80"/>
      <c r="H2451" s="81"/>
      <c r="I2451" s="80"/>
      <c r="J2451" s="80"/>
      <c r="K2451" s="80"/>
    </row>
    <row r="2452" ht="12.75" customHeight="1">
      <c r="A2452" s="89" t="s">
        <v>1712</v>
      </c>
      <c r="B2452" s="96" t="s">
        <v>5498</v>
      </c>
      <c r="C2452" s="90"/>
      <c r="D2452" s="89" t="s">
        <v>75</v>
      </c>
      <c r="E2452" s="91">
        <v>62.0</v>
      </c>
      <c r="F2452" s="92">
        <v>32.63</v>
      </c>
      <c r="G2452" s="92">
        <v>2023.06</v>
      </c>
      <c r="H2452" s="93"/>
      <c r="I2452" s="92"/>
      <c r="J2452" s="92"/>
      <c r="K2452" s="92"/>
    </row>
    <row r="2453" ht="12.75" customHeight="1">
      <c r="B2453" s="90"/>
      <c r="E2453" s="79"/>
      <c r="F2453" s="80"/>
      <c r="G2453" s="80"/>
      <c r="H2453" s="81"/>
      <c r="I2453" s="80"/>
      <c r="J2453" s="80"/>
      <c r="K2453" s="80"/>
    </row>
    <row r="2454" ht="12.75" customHeight="1">
      <c r="A2454" s="89" t="s">
        <v>1714</v>
      </c>
      <c r="B2454" s="96" t="s">
        <v>5499</v>
      </c>
      <c r="C2454" s="90"/>
      <c r="D2454" s="89" t="s">
        <v>75</v>
      </c>
      <c r="E2454" s="91">
        <v>20.0</v>
      </c>
      <c r="F2454" s="92">
        <v>14.65</v>
      </c>
      <c r="G2454" s="92">
        <v>293.0</v>
      </c>
      <c r="H2454" s="93"/>
      <c r="I2454" s="92"/>
      <c r="J2454" s="92"/>
      <c r="K2454" s="92"/>
    </row>
    <row r="2455" ht="12.75" customHeight="1">
      <c r="B2455" s="90"/>
      <c r="E2455" s="79"/>
      <c r="F2455" s="80"/>
      <c r="G2455" s="80"/>
      <c r="H2455" s="81"/>
      <c r="I2455" s="80"/>
      <c r="J2455" s="80"/>
      <c r="K2455" s="80"/>
    </row>
    <row r="2456" ht="12.75" customHeight="1">
      <c r="A2456" s="89" t="s">
        <v>1716</v>
      </c>
      <c r="B2456" s="96" t="s">
        <v>5500</v>
      </c>
      <c r="C2456" s="90"/>
      <c r="D2456" s="89" t="s">
        <v>75</v>
      </c>
      <c r="E2456" s="91">
        <v>118.0</v>
      </c>
      <c r="F2456" s="92">
        <v>7.55</v>
      </c>
      <c r="G2456" s="92">
        <v>890.9</v>
      </c>
      <c r="H2456" s="93"/>
      <c r="I2456" s="92"/>
      <c r="J2456" s="92"/>
      <c r="K2456" s="92"/>
    </row>
    <row r="2457" ht="12.75" customHeight="1">
      <c r="B2457" s="90"/>
      <c r="E2457" s="79"/>
      <c r="F2457" s="80"/>
      <c r="G2457" s="80"/>
      <c r="H2457" s="81"/>
      <c r="I2457" s="80"/>
      <c r="J2457" s="80"/>
      <c r="K2457" s="80"/>
    </row>
    <row r="2458" ht="12.75" customHeight="1">
      <c r="A2458" s="89" t="s">
        <v>1718</v>
      </c>
      <c r="B2458" s="96" t="s">
        <v>4528</v>
      </c>
      <c r="C2458" s="90"/>
      <c r="D2458" s="89" t="s">
        <v>75</v>
      </c>
      <c r="E2458" s="91">
        <v>14.0</v>
      </c>
      <c r="F2458" s="92">
        <v>14.38</v>
      </c>
      <c r="G2458" s="92">
        <v>201.32</v>
      </c>
      <c r="H2458" s="93"/>
      <c r="I2458" s="92"/>
      <c r="J2458" s="92"/>
      <c r="K2458" s="92"/>
    </row>
    <row r="2459" ht="12.75" customHeight="1">
      <c r="B2459" s="90"/>
      <c r="E2459" s="79"/>
      <c r="F2459" s="80"/>
      <c r="G2459" s="80"/>
      <c r="H2459" s="81"/>
      <c r="I2459" s="80"/>
      <c r="J2459" s="80"/>
      <c r="K2459" s="80"/>
    </row>
    <row r="2460" ht="12.75" customHeight="1">
      <c r="A2460" s="89" t="s">
        <v>1720</v>
      </c>
      <c r="B2460" s="96" t="s">
        <v>5501</v>
      </c>
      <c r="C2460" s="90"/>
      <c r="D2460" s="89" t="s">
        <v>75</v>
      </c>
      <c r="E2460" s="91">
        <v>17.0</v>
      </c>
      <c r="F2460" s="92">
        <v>10.15</v>
      </c>
      <c r="G2460" s="92">
        <v>172.55</v>
      </c>
      <c r="H2460" s="93"/>
      <c r="I2460" s="92"/>
      <c r="J2460" s="92"/>
      <c r="K2460" s="92"/>
    </row>
    <row r="2461" ht="12.75" customHeight="1">
      <c r="B2461" s="90"/>
      <c r="E2461" s="79"/>
      <c r="F2461" s="80"/>
      <c r="G2461" s="80"/>
      <c r="H2461" s="81"/>
      <c r="I2461" s="80"/>
      <c r="J2461" s="80"/>
      <c r="K2461" s="80"/>
    </row>
    <row r="2462" ht="12.75" customHeight="1">
      <c r="A2462" s="89" t="s">
        <v>1722</v>
      </c>
      <c r="B2462" s="96" t="s">
        <v>5502</v>
      </c>
      <c r="C2462" s="90"/>
      <c r="D2462" s="89" t="s">
        <v>75</v>
      </c>
      <c r="E2462" s="91">
        <v>40.0</v>
      </c>
      <c r="F2462" s="92">
        <v>8.66</v>
      </c>
      <c r="G2462" s="92">
        <v>346.4</v>
      </c>
      <c r="H2462" s="93"/>
      <c r="I2462" s="92"/>
      <c r="J2462" s="92"/>
      <c r="K2462" s="92"/>
    </row>
    <row r="2463" ht="12.75" customHeight="1">
      <c r="B2463" s="90"/>
      <c r="E2463" s="79"/>
      <c r="F2463" s="80"/>
      <c r="G2463" s="80"/>
      <c r="H2463" s="81"/>
      <c r="I2463" s="80"/>
      <c r="J2463" s="80"/>
      <c r="K2463" s="80"/>
    </row>
    <row r="2464" ht="12.75" customHeight="1">
      <c r="A2464" s="89" t="s">
        <v>1724</v>
      </c>
      <c r="B2464" s="96" t="s">
        <v>5503</v>
      </c>
      <c r="C2464" s="90"/>
      <c r="E2464" s="79"/>
      <c r="F2464" s="80"/>
      <c r="G2464" s="80"/>
      <c r="H2464" s="81"/>
      <c r="I2464" s="80"/>
      <c r="J2464" s="80"/>
      <c r="K2464" s="80"/>
    </row>
    <row r="2465" ht="12.75" customHeight="1">
      <c r="B2465" s="90"/>
      <c r="E2465" s="79"/>
      <c r="F2465" s="80"/>
      <c r="G2465" s="80"/>
      <c r="H2465" s="81"/>
      <c r="I2465" s="80"/>
      <c r="J2465" s="80"/>
      <c r="K2465" s="80"/>
    </row>
    <row r="2466" ht="12.75" customHeight="1">
      <c r="A2466" s="89" t="s">
        <v>1726</v>
      </c>
      <c r="B2466" s="96" t="s">
        <v>5504</v>
      </c>
      <c r="C2466" s="90"/>
      <c r="E2466" s="79"/>
      <c r="F2466" s="80"/>
      <c r="G2466" s="80"/>
      <c r="H2466" s="81"/>
      <c r="I2466" s="80"/>
      <c r="J2466" s="80"/>
      <c r="K2466" s="80"/>
    </row>
    <row r="2467" ht="12.75" customHeight="1">
      <c r="B2467" s="90"/>
      <c r="E2467" s="79"/>
      <c r="F2467" s="80"/>
      <c r="G2467" s="80"/>
      <c r="H2467" s="81"/>
      <c r="I2467" s="80"/>
      <c r="J2467" s="80"/>
      <c r="K2467" s="80"/>
    </row>
    <row r="2468" ht="12.75" customHeight="1">
      <c r="A2468" s="89" t="s">
        <v>1728</v>
      </c>
      <c r="B2468" s="96" t="s">
        <v>5505</v>
      </c>
      <c r="C2468" s="90"/>
      <c r="D2468" s="89" t="s">
        <v>75</v>
      </c>
      <c r="E2468" s="91">
        <v>5.0</v>
      </c>
      <c r="F2468" s="92">
        <v>116.69</v>
      </c>
      <c r="G2468" s="92">
        <v>583.45</v>
      </c>
      <c r="H2468" s="93"/>
      <c r="I2468" s="92"/>
      <c r="J2468" s="92"/>
      <c r="K2468" s="92"/>
    </row>
    <row r="2469" ht="12.75" customHeight="1">
      <c r="B2469" s="90"/>
      <c r="E2469" s="79"/>
      <c r="F2469" s="80"/>
      <c r="G2469" s="80"/>
      <c r="H2469" s="81"/>
      <c r="I2469" s="80"/>
      <c r="J2469" s="80"/>
      <c r="K2469" s="80"/>
    </row>
    <row r="2470" ht="12.75" customHeight="1">
      <c r="A2470" s="89" t="s">
        <v>1730</v>
      </c>
      <c r="B2470" s="96" t="s">
        <v>5506</v>
      </c>
      <c r="C2470" s="90"/>
      <c r="D2470" s="89" t="s">
        <v>75</v>
      </c>
      <c r="E2470" s="91">
        <v>3.0</v>
      </c>
      <c r="F2470" s="92">
        <v>111.46</v>
      </c>
      <c r="G2470" s="92">
        <v>334.38</v>
      </c>
      <c r="H2470" s="93"/>
      <c r="I2470" s="92"/>
      <c r="J2470" s="92"/>
      <c r="K2470" s="92"/>
    </row>
    <row r="2471" ht="12.75" customHeight="1">
      <c r="B2471" s="90"/>
      <c r="E2471" s="79"/>
      <c r="F2471" s="80"/>
      <c r="G2471" s="80"/>
      <c r="H2471" s="81"/>
      <c r="I2471" s="80"/>
      <c r="J2471" s="80"/>
      <c r="K2471" s="80"/>
    </row>
    <row r="2472" ht="12.75" customHeight="1">
      <c r="A2472" s="89" t="s">
        <v>1732</v>
      </c>
      <c r="B2472" s="96" t="s">
        <v>5507</v>
      </c>
      <c r="C2472" s="90"/>
      <c r="E2472" s="79"/>
      <c r="F2472" s="80"/>
      <c r="G2472" s="80"/>
      <c r="H2472" s="81"/>
      <c r="I2472" s="80"/>
      <c r="J2472" s="80"/>
      <c r="K2472" s="80"/>
    </row>
    <row r="2473" ht="12.75" customHeight="1">
      <c r="B2473" s="90"/>
      <c r="E2473" s="79"/>
      <c r="F2473" s="80"/>
      <c r="G2473" s="80"/>
      <c r="H2473" s="81"/>
      <c r="I2473" s="80"/>
      <c r="J2473" s="80"/>
      <c r="K2473" s="80"/>
    </row>
    <row r="2474" ht="12.75" customHeight="1">
      <c r="A2474" s="89" t="s">
        <v>1734</v>
      </c>
      <c r="B2474" s="96" t="s">
        <v>5508</v>
      </c>
      <c r="C2474" s="90"/>
      <c r="E2474" s="79"/>
      <c r="F2474" s="80"/>
      <c r="G2474" s="80"/>
      <c r="H2474" s="81"/>
      <c r="I2474" s="80"/>
      <c r="J2474" s="80"/>
      <c r="K2474" s="80"/>
    </row>
    <row r="2475" ht="12.75" customHeight="1">
      <c r="B2475" s="90"/>
      <c r="E2475" s="79"/>
      <c r="F2475" s="80"/>
      <c r="G2475" s="80"/>
      <c r="H2475" s="81"/>
      <c r="I2475" s="80"/>
      <c r="J2475" s="80"/>
      <c r="K2475" s="80"/>
    </row>
    <row r="2476" ht="12.75" customHeight="1">
      <c r="A2476" s="89" t="s">
        <v>1736</v>
      </c>
      <c r="B2476" s="96" t="s">
        <v>4537</v>
      </c>
      <c r="C2476" s="90"/>
      <c r="D2476" s="89" t="s">
        <v>75</v>
      </c>
      <c r="E2476" s="91">
        <v>170.0</v>
      </c>
      <c r="F2476" s="92">
        <v>3.28</v>
      </c>
      <c r="G2476" s="92">
        <v>557.6</v>
      </c>
      <c r="H2476" s="93"/>
      <c r="I2476" s="92"/>
      <c r="J2476" s="92"/>
      <c r="K2476" s="92"/>
    </row>
    <row r="2477" ht="12.75" customHeight="1">
      <c r="B2477" s="90"/>
      <c r="E2477" s="79"/>
      <c r="F2477" s="80"/>
      <c r="G2477" s="80"/>
      <c r="H2477" s="81"/>
      <c r="I2477" s="80"/>
      <c r="J2477" s="80"/>
      <c r="K2477" s="80"/>
    </row>
    <row r="2478" ht="12.75" customHeight="1">
      <c r="A2478" s="89" t="s">
        <v>1738</v>
      </c>
      <c r="B2478" s="96" t="s">
        <v>5509</v>
      </c>
      <c r="C2478" s="90"/>
      <c r="D2478" s="89" t="s">
        <v>75</v>
      </c>
      <c r="E2478" s="91">
        <v>250.0</v>
      </c>
      <c r="F2478" s="92">
        <v>3.69</v>
      </c>
      <c r="G2478" s="92">
        <v>922.5</v>
      </c>
      <c r="H2478" s="93"/>
      <c r="I2478" s="92"/>
      <c r="J2478" s="92"/>
      <c r="K2478" s="92"/>
    </row>
    <row r="2479" ht="12.75" customHeight="1">
      <c r="B2479" s="90"/>
      <c r="E2479" s="79"/>
      <c r="F2479" s="80"/>
      <c r="G2479" s="80"/>
      <c r="H2479" s="81"/>
      <c r="I2479" s="80"/>
      <c r="J2479" s="80"/>
      <c r="K2479" s="80"/>
    </row>
    <row r="2480" ht="12.75" customHeight="1">
      <c r="A2480" s="89" t="s">
        <v>1740</v>
      </c>
      <c r="B2480" s="96" t="s">
        <v>5510</v>
      </c>
      <c r="C2480" s="90"/>
      <c r="D2480" s="89" t="s">
        <v>75</v>
      </c>
      <c r="E2480" s="91">
        <v>250.0</v>
      </c>
      <c r="F2480" s="92">
        <v>6.37</v>
      </c>
      <c r="G2480" s="92">
        <v>1592.5</v>
      </c>
      <c r="H2480" s="93"/>
      <c r="I2480" s="92"/>
      <c r="J2480" s="92"/>
      <c r="K2480" s="92"/>
    </row>
    <row r="2481" ht="12.75" customHeight="1">
      <c r="B2481" s="90"/>
      <c r="E2481" s="79"/>
      <c r="F2481" s="80"/>
      <c r="G2481" s="80"/>
      <c r="H2481" s="81"/>
      <c r="I2481" s="80"/>
      <c r="J2481" s="80"/>
      <c r="K2481" s="80"/>
    </row>
    <row r="2482" ht="12.75" customHeight="1">
      <c r="A2482" s="89" t="s">
        <v>1742</v>
      </c>
      <c r="B2482" s="96" t="s">
        <v>5511</v>
      </c>
      <c r="C2482" s="90"/>
      <c r="D2482" s="89" t="s">
        <v>75</v>
      </c>
      <c r="E2482" s="91">
        <v>250.0</v>
      </c>
      <c r="F2482" s="92">
        <v>6.37</v>
      </c>
      <c r="G2482" s="92">
        <v>1592.5</v>
      </c>
      <c r="H2482" s="93"/>
      <c r="I2482" s="92"/>
      <c r="J2482" s="92"/>
      <c r="K2482" s="92"/>
    </row>
    <row r="2483" ht="12.75" customHeight="1">
      <c r="B2483" s="90"/>
      <c r="E2483" s="79"/>
      <c r="F2483" s="80"/>
      <c r="G2483" s="80"/>
      <c r="H2483" s="81"/>
      <c r="I2483" s="80"/>
      <c r="J2483" s="80"/>
      <c r="K2483" s="80"/>
    </row>
    <row r="2484" ht="12.75" customHeight="1">
      <c r="A2484" s="89" t="s">
        <v>1744</v>
      </c>
      <c r="B2484" s="96" t="s">
        <v>5512</v>
      </c>
      <c r="C2484" s="90"/>
      <c r="D2484" s="89" t="s">
        <v>75</v>
      </c>
      <c r="E2484" s="91">
        <v>250.0</v>
      </c>
      <c r="F2484" s="92">
        <v>5.13</v>
      </c>
      <c r="G2484" s="92">
        <v>1282.5</v>
      </c>
      <c r="H2484" s="93"/>
      <c r="I2484" s="92"/>
      <c r="J2484" s="92"/>
      <c r="K2484" s="92"/>
    </row>
    <row r="2485" ht="12.75" customHeight="1">
      <c r="B2485" s="90"/>
      <c r="E2485" s="79"/>
      <c r="F2485" s="80"/>
      <c r="G2485" s="80"/>
      <c r="H2485" s="81"/>
      <c r="I2485" s="80"/>
      <c r="J2485" s="80"/>
      <c r="K2485" s="80"/>
    </row>
    <row r="2486" ht="12.75" customHeight="1">
      <c r="A2486" s="89" t="s">
        <v>1746</v>
      </c>
      <c r="B2486" s="96" t="s">
        <v>5513</v>
      </c>
      <c r="C2486" s="90"/>
      <c r="D2486" s="89" t="s">
        <v>75</v>
      </c>
      <c r="E2486" s="91">
        <v>300.0</v>
      </c>
      <c r="F2486" s="92">
        <v>5.55</v>
      </c>
      <c r="G2486" s="92">
        <v>1665.0</v>
      </c>
      <c r="H2486" s="93"/>
      <c r="I2486" s="92"/>
      <c r="J2486" s="92"/>
      <c r="K2486" s="92"/>
    </row>
    <row r="2487" ht="12.75" customHeight="1">
      <c r="B2487" s="90"/>
      <c r="E2487" s="79"/>
      <c r="F2487" s="80"/>
      <c r="G2487" s="80"/>
      <c r="H2487" s="81"/>
      <c r="I2487" s="80"/>
      <c r="J2487" s="80"/>
      <c r="K2487" s="80"/>
    </row>
    <row r="2488" ht="12.75" customHeight="1">
      <c r="A2488" s="89" t="s">
        <v>1748</v>
      </c>
      <c r="B2488" s="96" t="s">
        <v>4543</v>
      </c>
      <c r="C2488" s="90"/>
      <c r="D2488" s="89" t="s">
        <v>75</v>
      </c>
      <c r="E2488" s="91">
        <v>150.0</v>
      </c>
      <c r="F2488" s="92">
        <v>3.07</v>
      </c>
      <c r="G2488" s="92">
        <v>460.5</v>
      </c>
      <c r="H2488" s="93"/>
      <c r="I2488" s="92"/>
      <c r="J2488" s="92"/>
      <c r="K2488" s="92"/>
    </row>
    <row r="2489" ht="12.75" customHeight="1">
      <c r="B2489" s="90"/>
      <c r="E2489" s="79"/>
      <c r="F2489" s="80"/>
      <c r="G2489" s="80"/>
      <c r="H2489" s="81"/>
      <c r="I2489" s="80"/>
      <c r="J2489" s="80"/>
      <c r="K2489" s="80"/>
    </row>
    <row r="2490" ht="12.75" customHeight="1">
      <c r="A2490" s="89" t="s">
        <v>1750</v>
      </c>
      <c r="B2490" s="96" t="s">
        <v>5514</v>
      </c>
      <c r="C2490" s="90"/>
      <c r="E2490" s="79"/>
      <c r="F2490" s="80"/>
      <c r="G2490" s="80"/>
      <c r="H2490" s="81"/>
      <c r="I2490" s="80"/>
      <c r="J2490" s="80"/>
      <c r="K2490" s="80"/>
    </row>
    <row r="2491" ht="12.75" customHeight="1">
      <c r="B2491" s="90"/>
      <c r="E2491" s="79"/>
      <c r="F2491" s="80"/>
      <c r="G2491" s="80"/>
      <c r="H2491" s="81"/>
      <c r="I2491" s="80"/>
      <c r="J2491" s="80"/>
      <c r="K2491" s="80"/>
    </row>
    <row r="2492" ht="12.75" customHeight="1">
      <c r="A2492" s="89" t="s">
        <v>1752</v>
      </c>
      <c r="B2492" s="96" t="s">
        <v>5515</v>
      </c>
      <c r="C2492" s="90"/>
      <c r="D2492" s="89" t="s">
        <v>40</v>
      </c>
      <c r="E2492" s="91">
        <v>725.0</v>
      </c>
      <c r="F2492" s="92">
        <v>4.52</v>
      </c>
      <c r="G2492" s="92">
        <v>3277.0</v>
      </c>
      <c r="H2492" s="93"/>
      <c r="I2492" s="92"/>
      <c r="J2492" s="92"/>
      <c r="K2492" s="92"/>
    </row>
    <row r="2493" ht="12.75" customHeight="1">
      <c r="B2493" s="90"/>
      <c r="E2493" s="79"/>
      <c r="F2493" s="80"/>
      <c r="G2493" s="80"/>
      <c r="H2493" s="81"/>
      <c r="I2493" s="80"/>
      <c r="J2493" s="80"/>
      <c r="K2493" s="80"/>
    </row>
    <row r="2494" ht="12.75" customHeight="1">
      <c r="B2494" s="96" t="s">
        <v>5516</v>
      </c>
      <c r="C2494" s="90"/>
      <c r="E2494" s="79"/>
      <c r="F2494" s="80"/>
      <c r="G2494" s="80"/>
      <c r="H2494" s="81"/>
      <c r="I2494" s="80"/>
      <c r="J2494" s="80"/>
      <c r="K2494" s="80"/>
    </row>
    <row r="2495" ht="12.75" customHeight="1">
      <c r="B2495" s="90"/>
      <c r="E2495" s="79"/>
      <c r="F2495" s="80"/>
      <c r="G2495" s="80"/>
      <c r="H2495" s="81"/>
      <c r="I2495" s="80"/>
      <c r="J2495" s="80"/>
      <c r="K2495" s="80"/>
    </row>
    <row r="2496" ht="12.75" customHeight="1">
      <c r="A2496" s="89" t="s">
        <v>1755</v>
      </c>
      <c r="B2496" s="96" t="s">
        <v>5517</v>
      </c>
      <c r="C2496" s="90"/>
      <c r="E2496" s="79"/>
      <c r="F2496" s="80"/>
      <c r="G2496" s="80"/>
      <c r="H2496" s="81"/>
      <c r="I2496" s="80"/>
      <c r="J2496" s="80"/>
      <c r="K2496" s="80"/>
    </row>
    <row r="2497" ht="12.75" customHeight="1">
      <c r="B2497" s="90"/>
      <c r="E2497" s="79"/>
      <c r="F2497" s="80"/>
      <c r="G2497" s="80"/>
      <c r="H2497" s="81"/>
      <c r="I2497" s="80"/>
      <c r="J2497" s="80"/>
      <c r="K2497" s="80"/>
    </row>
    <row r="2498" ht="12.75" customHeight="1">
      <c r="A2498" s="89" t="s">
        <v>1757</v>
      </c>
      <c r="B2498" s="96" t="s">
        <v>5518</v>
      </c>
      <c r="C2498" s="90"/>
      <c r="D2498" s="89" t="s">
        <v>40</v>
      </c>
      <c r="E2498" s="91">
        <v>886.0</v>
      </c>
      <c r="F2498" s="92">
        <v>4.07</v>
      </c>
      <c r="G2498" s="92">
        <v>3606.02</v>
      </c>
      <c r="H2498" s="93"/>
      <c r="I2498" s="92"/>
      <c r="J2498" s="92"/>
      <c r="K2498" s="92"/>
    </row>
    <row r="2499" ht="12.75" customHeight="1">
      <c r="B2499" s="90"/>
      <c r="E2499" s="79"/>
      <c r="F2499" s="80"/>
      <c r="G2499" s="80"/>
      <c r="H2499" s="81"/>
      <c r="I2499" s="80"/>
      <c r="J2499" s="80"/>
      <c r="K2499" s="80"/>
    </row>
    <row r="2500" ht="12.75" customHeight="1">
      <c r="B2500" s="96" t="s">
        <v>5519</v>
      </c>
      <c r="C2500" s="90"/>
      <c r="E2500" s="79"/>
      <c r="F2500" s="80"/>
      <c r="G2500" s="80"/>
      <c r="H2500" s="81"/>
      <c r="I2500" s="80"/>
      <c r="J2500" s="80"/>
      <c r="K2500" s="80"/>
    </row>
    <row r="2501" ht="12.75" customHeight="1">
      <c r="B2501" s="90"/>
      <c r="E2501" s="79"/>
      <c r="F2501" s="80"/>
      <c r="G2501" s="80"/>
      <c r="H2501" s="81"/>
      <c r="I2501" s="80"/>
      <c r="J2501" s="80"/>
      <c r="K2501" s="80"/>
    </row>
    <row r="2502" ht="12.75" customHeight="1">
      <c r="A2502" s="89" t="s">
        <v>1760</v>
      </c>
      <c r="B2502" s="96" t="s">
        <v>5520</v>
      </c>
      <c r="C2502" s="90"/>
      <c r="E2502" s="79"/>
      <c r="F2502" s="80"/>
      <c r="G2502" s="80"/>
      <c r="H2502" s="81"/>
      <c r="I2502" s="80"/>
      <c r="J2502" s="80"/>
      <c r="K2502" s="80"/>
    </row>
    <row r="2503" ht="12.75" customHeight="1">
      <c r="B2503" s="90"/>
      <c r="E2503" s="79"/>
      <c r="F2503" s="80"/>
      <c r="G2503" s="80"/>
      <c r="H2503" s="81"/>
      <c r="I2503" s="80"/>
      <c r="J2503" s="80"/>
      <c r="K2503" s="80"/>
    </row>
    <row r="2504" ht="12.75" customHeight="1">
      <c r="A2504" s="89" t="s">
        <v>1762</v>
      </c>
      <c r="B2504" s="96" t="s">
        <v>5521</v>
      </c>
      <c r="C2504" s="90"/>
      <c r="D2504" s="89" t="s">
        <v>75</v>
      </c>
      <c r="E2504" s="91">
        <v>52.0</v>
      </c>
      <c r="F2504" s="92">
        <v>26.99</v>
      </c>
      <c r="G2504" s="92">
        <v>1403.48</v>
      </c>
      <c r="H2504" s="93"/>
      <c r="I2504" s="92"/>
      <c r="J2504" s="92"/>
      <c r="K2504" s="92"/>
    </row>
    <row r="2505" ht="12.75" customHeight="1">
      <c r="B2505" s="90"/>
      <c r="E2505" s="79"/>
      <c r="F2505" s="80"/>
      <c r="G2505" s="80"/>
      <c r="H2505" s="81"/>
      <c r="I2505" s="80"/>
      <c r="J2505" s="80"/>
      <c r="K2505" s="80"/>
    </row>
    <row r="2506" ht="12.75" customHeight="1">
      <c r="A2506" s="89" t="s">
        <v>1764</v>
      </c>
      <c r="B2506" s="96" t="s">
        <v>5522</v>
      </c>
      <c r="C2506" s="90"/>
      <c r="E2506" s="79"/>
      <c r="F2506" s="80"/>
      <c r="G2506" s="80"/>
      <c r="H2506" s="81"/>
      <c r="I2506" s="80"/>
      <c r="J2506" s="80"/>
      <c r="K2506" s="80"/>
    </row>
    <row r="2507" ht="12.75" customHeight="1">
      <c r="B2507" s="90"/>
      <c r="E2507" s="79"/>
      <c r="F2507" s="80"/>
      <c r="G2507" s="80"/>
      <c r="H2507" s="81"/>
      <c r="I2507" s="80"/>
      <c r="J2507" s="80"/>
      <c r="K2507" s="80"/>
    </row>
    <row r="2508" ht="12.75" customHeight="1">
      <c r="A2508" s="89" t="s">
        <v>1766</v>
      </c>
      <c r="B2508" s="96" t="s">
        <v>5523</v>
      </c>
      <c r="C2508" s="90"/>
      <c r="D2508" s="89" t="s">
        <v>40</v>
      </c>
      <c r="E2508" s="91">
        <v>335.0</v>
      </c>
      <c r="F2508" s="92">
        <v>16.3</v>
      </c>
      <c r="G2508" s="92">
        <v>5460.5</v>
      </c>
      <c r="H2508" s="93"/>
      <c r="I2508" s="92"/>
      <c r="J2508" s="92"/>
      <c r="K2508" s="92"/>
    </row>
    <row r="2509" ht="12.75" customHeight="1">
      <c r="B2509" s="90"/>
      <c r="E2509" s="79"/>
      <c r="F2509" s="80"/>
      <c r="G2509" s="80"/>
      <c r="H2509" s="81"/>
      <c r="I2509" s="80"/>
      <c r="J2509" s="80"/>
      <c r="K2509" s="80"/>
    </row>
    <row r="2510" ht="12.75" customHeight="1">
      <c r="A2510" s="89" t="s">
        <v>1674</v>
      </c>
      <c r="B2510" s="96" t="s">
        <v>5487</v>
      </c>
      <c r="C2510" s="90"/>
      <c r="E2510" s="79"/>
      <c r="F2510" s="80"/>
      <c r="G2510" s="92">
        <v>38334.53</v>
      </c>
      <c r="H2510" s="93"/>
      <c r="I2510" s="92"/>
      <c r="J2510" s="92"/>
      <c r="K2510" s="92"/>
    </row>
    <row r="2511" ht="12.75" customHeight="1">
      <c r="B2511" s="90"/>
      <c r="E2511" s="79"/>
      <c r="F2511" s="80"/>
      <c r="G2511" s="80"/>
      <c r="H2511" s="81"/>
      <c r="I2511" s="80"/>
      <c r="J2511" s="80"/>
      <c r="K2511" s="80"/>
    </row>
    <row r="2512" ht="12.75" customHeight="1">
      <c r="A2512" s="89" t="s">
        <v>1646</v>
      </c>
      <c r="B2512" s="96" t="s">
        <v>5473</v>
      </c>
      <c r="C2512" s="90"/>
      <c r="E2512" s="79"/>
      <c r="F2512" s="80"/>
      <c r="G2512" s="92">
        <v>73360.69</v>
      </c>
      <c r="H2512" s="93"/>
      <c r="I2512" s="92"/>
      <c r="J2512" s="92"/>
      <c r="K2512" s="92"/>
    </row>
    <row r="2513" ht="12.75" customHeight="1">
      <c r="B2513" s="90"/>
      <c r="E2513" s="79"/>
      <c r="F2513" s="80"/>
      <c r="G2513" s="80"/>
      <c r="H2513" s="81"/>
      <c r="I2513" s="80"/>
      <c r="J2513" s="80"/>
      <c r="K2513" s="80"/>
    </row>
    <row r="2514" ht="12.75" customHeight="1">
      <c r="B2514" s="90"/>
      <c r="E2514" s="79"/>
      <c r="F2514" s="80"/>
      <c r="G2514" s="80"/>
      <c r="H2514" s="81"/>
      <c r="I2514" s="80"/>
      <c r="J2514" s="80"/>
      <c r="K2514" s="80"/>
    </row>
    <row r="2515" ht="12.75" customHeight="1">
      <c r="A2515" s="89" t="s">
        <v>1768</v>
      </c>
      <c r="B2515" s="96" t="s">
        <v>5524</v>
      </c>
      <c r="C2515" s="90"/>
      <c r="E2515" s="79"/>
      <c r="F2515" s="80"/>
      <c r="G2515" s="80"/>
      <c r="H2515" s="81"/>
      <c r="I2515" s="80"/>
      <c r="J2515" s="80"/>
      <c r="K2515" s="80"/>
    </row>
    <row r="2516" ht="12.75" customHeight="1">
      <c r="B2516" s="90"/>
      <c r="E2516" s="79"/>
      <c r="F2516" s="80"/>
      <c r="G2516" s="80"/>
      <c r="H2516" s="81"/>
      <c r="I2516" s="80"/>
      <c r="J2516" s="80"/>
      <c r="K2516" s="80"/>
    </row>
    <row r="2517" ht="12.75" customHeight="1">
      <c r="A2517" s="89" t="s">
        <v>1770</v>
      </c>
      <c r="B2517" s="96" t="s">
        <v>5525</v>
      </c>
      <c r="C2517" s="90"/>
      <c r="E2517" s="79"/>
      <c r="F2517" s="80"/>
      <c r="G2517" s="80"/>
      <c r="H2517" s="81"/>
      <c r="I2517" s="80"/>
      <c r="J2517" s="80"/>
      <c r="K2517" s="80"/>
    </row>
    <row r="2518" ht="12.75" customHeight="1">
      <c r="B2518" s="90"/>
      <c r="E2518" s="79"/>
      <c r="F2518" s="80"/>
      <c r="G2518" s="80"/>
      <c r="H2518" s="81"/>
      <c r="I2518" s="80"/>
      <c r="J2518" s="80"/>
      <c r="K2518" s="80"/>
    </row>
    <row r="2519" ht="12.75" customHeight="1">
      <c r="B2519" s="96" t="s">
        <v>5526</v>
      </c>
      <c r="C2519" s="90"/>
      <c r="E2519" s="79"/>
      <c r="F2519" s="80"/>
      <c r="G2519" s="80"/>
      <c r="H2519" s="81"/>
      <c r="I2519" s="80"/>
      <c r="J2519" s="80"/>
      <c r="K2519" s="80"/>
    </row>
    <row r="2520" ht="12.75" customHeight="1">
      <c r="B2520" s="90"/>
      <c r="E2520" s="79"/>
      <c r="F2520" s="80"/>
      <c r="G2520" s="80"/>
      <c r="H2520" s="81"/>
      <c r="I2520" s="80"/>
      <c r="J2520" s="80"/>
      <c r="K2520" s="80"/>
    </row>
    <row r="2521" ht="12.75" customHeight="1">
      <c r="A2521" s="89" t="s">
        <v>1773</v>
      </c>
      <c r="B2521" s="96" t="s">
        <v>5527</v>
      </c>
      <c r="C2521" s="90"/>
      <c r="E2521" s="79"/>
      <c r="F2521" s="80"/>
      <c r="G2521" s="80"/>
      <c r="H2521" s="81"/>
      <c r="I2521" s="80"/>
      <c r="J2521" s="80"/>
      <c r="K2521" s="80"/>
    </row>
    <row r="2522" ht="12.75" customHeight="1">
      <c r="B2522" s="90"/>
      <c r="E2522" s="79"/>
      <c r="F2522" s="80"/>
      <c r="G2522" s="80"/>
      <c r="H2522" s="81"/>
      <c r="I2522" s="80"/>
      <c r="J2522" s="80"/>
      <c r="K2522" s="80"/>
    </row>
    <row r="2523" ht="12.75" customHeight="1">
      <c r="A2523" s="89" t="s">
        <v>1775</v>
      </c>
      <c r="B2523" s="96" t="s">
        <v>5528</v>
      </c>
      <c r="C2523" s="90"/>
      <c r="D2523" s="89" t="s">
        <v>933</v>
      </c>
      <c r="E2523" s="91">
        <v>232.0</v>
      </c>
      <c r="F2523" s="92">
        <v>3.66</v>
      </c>
      <c r="G2523" s="92">
        <v>849.12</v>
      </c>
      <c r="H2523" s="93"/>
      <c r="I2523" s="92"/>
      <c r="J2523" s="92"/>
      <c r="K2523" s="92"/>
    </row>
    <row r="2524" ht="12.75" customHeight="1">
      <c r="B2524" s="90"/>
      <c r="E2524" s="79"/>
      <c r="F2524" s="80"/>
      <c r="G2524" s="80"/>
      <c r="H2524" s="81"/>
      <c r="I2524" s="80"/>
      <c r="J2524" s="80"/>
      <c r="K2524" s="80"/>
    </row>
    <row r="2525" ht="12.75" customHeight="1">
      <c r="A2525" s="89" t="s">
        <v>1777</v>
      </c>
      <c r="B2525" s="96" t="s">
        <v>5529</v>
      </c>
      <c r="C2525" s="90"/>
      <c r="D2525" s="89" t="s">
        <v>933</v>
      </c>
      <c r="E2525" s="91">
        <v>92.8</v>
      </c>
      <c r="F2525" s="92">
        <v>36.98</v>
      </c>
      <c r="G2525" s="92">
        <v>3431.74</v>
      </c>
      <c r="H2525" s="93"/>
      <c r="I2525" s="92"/>
      <c r="J2525" s="92"/>
      <c r="K2525" s="92"/>
    </row>
    <row r="2526" ht="12.75" customHeight="1">
      <c r="B2526" s="90"/>
      <c r="E2526" s="79"/>
      <c r="F2526" s="80"/>
      <c r="G2526" s="80"/>
      <c r="H2526" s="81"/>
      <c r="I2526" s="80"/>
      <c r="J2526" s="80"/>
      <c r="K2526" s="80"/>
    </row>
    <row r="2527" ht="12.75" customHeight="1">
      <c r="A2527" s="89" t="s">
        <v>1779</v>
      </c>
      <c r="B2527" s="96" t="s">
        <v>5530</v>
      </c>
      <c r="C2527" s="90"/>
      <c r="D2527" s="89" t="s">
        <v>933</v>
      </c>
      <c r="E2527" s="91">
        <v>111.36</v>
      </c>
      <c r="F2527" s="92">
        <v>17.23</v>
      </c>
      <c r="G2527" s="92">
        <v>1918.73</v>
      </c>
      <c r="H2527" s="93"/>
      <c r="I2527" s="92"/>
      <c r="J2527" s="92"/>
      <c r="K2527" s="92"/>
    </row>
    <row r="2528" ht="12.75" customHeight="1">
      <c r="B2528" s="90"/>
      <c r="E2528" s="79"/>
      <c r="F2528" s="80"/>
      <c r="G2528" s="80"/>
      <c r="H2528" s="81"/>
      <c r="I2528" s="80"/>
      <c r="J2528" s="80"/>
      <c r="K2528" s="80"/>
    </row>
    <row r="2529" ht="12.75" customHeight="1">
      <c r="A2529" s="89" t="s">
        <v>1781</v>
      </c>
      <c r="B2529" s="96" t="s">
        <v>5531</v>
      </c>
      <c r="C2529" s="90"/>
      <c r="E2529" s="79"/>
      <c r="F2529" s="80"/>
      <c r="G2529" s="80"/>
      <c r="H2529" s="81"/>
      <c r="I2529" s="80"/>
      <c r="J2529" s="80"/>
      <c r="K2529" s="80"/>
    </row>
    <row r="2530" ht="12.75" customHeight="1">
      <c r="B2530" s="90"/>
      <c r="E2530" s="79"/>
      <c r="F2530" s="80"/>
      <c r="G2530" s="80"/>
      <c r="H2530" s="81"/>
      <c r="I2530" s="80"/>
      <c r="J2530" s="80"/>
      <c r="K2530" s="80"/>
    </row>
    <row r="2531" ht="12.75" customHeight="1">
      <c r="A2531" s="89" t="s">
        <v>1783</v>
      </c>
      <c r="B2531" s="96" t="s">
        <v>5532</v>
      </c>
      <c r="C2531" s="90"/>
      <c r="E2531" s="79"/>
      <c r="F2531" s="80"/>
      <c r="G2531" s="80"/>
      <c r="H2531" s="81"/>
      <c r="I2531" s="80"/>
      <c r="J2531" s="80"/>
      <c r="K2531" s="80"/>
    </row>
    <row r="2532" ht="12.75" customHeight="1">
      <c r="B2532" s="90"/>
      <c r="E2532" s="79"/>
      <c r="F2532" s="80"/>
      <c r="G2532" s="80"/>
      <c r="H2532" s="81"/>
      <c r="I2532" s="80"/>
      <c r="J2532" s="80"/>
      <c r="K2532" s="80"/>
    </row>
    <row r="2533" ht="12.75" customHeight="1">
      <c r="A2533" s="89" t="s">
        <v>1785</v>
      </c>
      <c r="B2533" s="96" t="s">
        <v>5533</v>
      </c>
      <c r="C2533" s="90"/>
      <c r="D2533" s="89" t="s">
        <v>877</v>
      </c>
      <c r="E2533" s="91">
        <v>380.0</v>
      </c>
      <c r="F2533" s="92">
        <v>2.4</v>
      </c>
      <c r="G2533" s="92">
        <v>912.0</v>
      </c>
      <c r="H2533" s="93"/>
      <c r="I2533" s="92"/>
      <c r="J2533" s="92"/>
      <c r="K2533" s="92"/>
    </row>
    <row r="2534" ht="12.75" customHeight="1">
      <c r="B2534" s="90"/>
      <c r="E2534" s="79"/>
      <c r="F2534" s="80"/>
      <c r="G2534" s="80"/>
      <c r="H2534" s="81"/>
      <c r="I2534" s="80"/>
      <c r="J2534" s="80"/>
      <c r="K2534" s="80"/>
    </row>
    <row r="2535" ht="12.75" customHeight="1">
      <c r="A2535" s="89" t="s">
        <v>1787</v>
      </c>
      <c r="B2535" s="96" t="s">
        <v>5534</v>
      </c>
      <c r="C2535" s="90"/>
      <c r="D2535" s="89" t="s">
        <v>877</v>
      </c>
      <c r="E2535" s="91">
        <v>65.0</v>
      </c>
      <c r="F2535" s="92">
        <v>3.2</v>
      </c>
      <c r="G2535" s="92">
        <v>208.0</v>
      </c>
      <c r="H2535" s="93"/>
      <c r="I2535" s="92"/>
      <c r="J2535" s="92"/>
      <c r="K2535" s="92"/>
    </row>
    <row r="2536" ht="12.75" customHeight="1">
      <c r="B2536" s="90"/>
      <c r="E2536" s="79"/>
      <c r="F2536" s="80"/>
      <c r="G2536" s="80"/>
      <c r="H2536" s="81"/>
      <c r="I2536" s="80"/>
      <c r="J2536" s="80"/>
      <c r="K2536" s="80"/>
    </row>
    <row r="2537" ht="12.75" customHeight="1">
      <c r="A2537" s="89" t="s">
        <v>1789</v>
      </c>
      <c r="B2537" s="96" t="s">
        <v>5535</v>
      </c>
      <c r="C2537" s="90"/>
      <c r="D2537" s="89" t="s">
        <v>877</v>
      </c>
      <c r="E2537" s="91">
        <v>80.0</v>
      </c>
      <c r="F2537" s="92">
        <v>4.34</v>
      </c>
      <c r="G2537" s="92">
        <v>347.2</v>
      </c>
      <c r="H2537" s="93"/>
      <c r="I2537" s="92"/>
      <c r="J2537" s="92"/>
      <c r="K2537" s="92"/>
    </row>
    <row r="2538" ht="12.75" customHeight="1">
      <c r="B2538" s="90"/>
      <c r="E2538" s="79"/>
      <c r="F2538" s="80"/>
      <c r="G2538" s="80"/>
      <c r="H2538" s="81"/>
      <c r="I2538" s="80"/>
      <c r="J2538" s="80"/>
      <c r="K2538" s="80"/>
    </row>
    <row r="2539" ht="12.75" customHeight="1">
      <c r="A2539" s="89" t="s">
        <v>1791</v>
      </c>
      <c r="B2539" s="96" t="s">
        <v>5536</v>
      </c>
      <c r="C2539" s="90"/>
      <c r="E2539" s="79"/>
      <c r="F2539" s="80"/>
      <c r="G2539" s="80"/>
      <c r="H2539" s="81"/>
      <c r="I2539" s="80"/>
      <c r="J2539" s="80"/>
      <c r="K2539" s="80"/>
    </row>
    <row r="2540" ht="12.75" customHeight="1">
      <c r="B2540" s="90"/>
      <c r="E2540" s="79"/>
      <c r="F2540" s="80"/>
      <c r="G2540" s="80"/>
      <c r="H2540" s="81"/>
      <c r="I2540" s="80"/>
      <c r="J2540" s="80"/>
      <c r="K2540" s="80"/>
    </row>
    <row r="2541" ht="12.75" customHeight="1">
      <c r="A2541" s="89" t="s">
        <v>1793</v>
      </c>
      <c r="B2541" s="96" t="s">
        <v>5537</v>
      </c>
      <c r="C2541" s="90"/>
      <c r="D2541" s="89" t="s">
        <v>877</v>
      </c>
      <c r="E2541" s="91">
        <v>20.0</v>
      </c>
      <c r="F2541" s="92">
        <v>62.5</v>
      </c>
      <c r="G2541" s="92">
        <v>1250.0</v>
      </c>
      <c r="H2541" s="93"/>
      <c r="I2541" s="92"/>
      <c r="J2541" s="92"/>
      <c r="K2541" s="92"/>
    </row>
    <row r="2542" ht="12.75" customHeight="1">
      <c r="B2542" s="90"/>
      <c r="E2542" s="79"/>
      <c r="F2542" s="80"/>
      <c r="G2542" s="80"/>
      <c r="H2542" s="81"/>
      <c r="I2542" s="80"/>
      <c r="J2542" s="80"/>
      <c r="K2542" s="80"/>
    </row>
    <row r="2543" ht="12.75" customHeight="1">
      <c r="A2543" s="89" t="s">
        <v>1795</v>
      </c>
      <c r="B2543" s="96" t="s">
        <v>5538</v>
      </c>
      <c r="C2543" s="90"/>
      <c r="E2543" s="79"/>
      <c r="F2543" s="80"/>
      <c r="G2543" s="80"/>
      <c r="H2543" s="81"/>
      <c r="I2543" s="80"/>
      <c r="J2543" s="80"/>
      <c r="K2543" s="80"/>
    </row>
    <row r="2544" ht="12.75" customHeight="1">
      <c r="B2544" s="90"/>
      <c r="E2544" s="79"/>
      <c r="F2544" s="80"/>
      <c r="G2544" s="80"/>
      <c r="H2544" s="81"/>
      <c r="I2544" s="80"/>
      <c r="J2544" s="80"/>
      <c r="K2544" s="80"/>
    </row>
    <row r="2545" ht="12.75" customHeight="1">
      <c r="A2545" s="89" t="s">
        <v>1797</v>
      </c>
      <c r="B2545" s="96" t="s">
        <v>5539</v>
      </c>
      <c r="C2545" s="90"/>
      <c r="D2545" s="89" t="s">
        <v>40</v>
      </c>
      <c r="E2545" s="91">
        <v>335.0</v>
      </c>
      <c r="F2545" s="92">
        <v>25.0</v>
      </c>
      <c r="G2545" s="92">
        <v>8375.0</v>
      </c>
      <c r="H2545" s="93"/>
      <c r="I2545" s="92"/>
      <c r="J2545" s="92"/>
      <c r="K2545" s="92"/>
    </row>
    <row r="2546" ht="12.75" customHeight="1">
      <c r="B2546" s="96"/>
      <c r="E2546" s="79"/>
      <c r="F2546" s="80"/>
      <c r="G2546" s="80"/>
      <c r="H2546" s="81"/>
      <c r="I2546" s="80"/>
      <c r="J2546" s="80"/>
      <c r="K2546" s="80"/>
    </row>
    <row r="2547" ht="12.75" customHeight="1">
      <c r="A2547" s="89" t="s">
        <v>1799</v>
      </c>
      <c r="B2547" s="96" t="s">
        <v>5540</v>
      </c>
      <c r="C2547" s="90"/>
      <c r="E2547" s="79"/>
      <c r="F2547" s="80"/>
      <c r="G2547" s="80"/>
      <c r="H2547" s="81"/>
      <c r="I2547" s="80"/>
      <c r="J2547" s="80"/>
      <c r="K2547" s="80"/>
    </row>
    <row r="2548" ht="12.75" customHeight="1">
      <c r="B2548" s="90"/>
      <c r="E2548" s="79"/>
      <c r="F2548" s="80"/>
      <c r="G2548" s="80"/>
      <c r="H2548" s="81"/>
      <c r="I2548" s="80"/>
      <c r="J2548" s="80"/>
      <c r="K2548" s="80"/>
    </row>
    <row r="2549" ht="12.75" customHeight="1">
      <c r="A2549" s="89" t="s">
        <v>1801</v>
      </c>
      <c r="B2549" s="96" t="s">
        <v>5541</v>
      </c>
      <c r="C2549" s="90"/>
      <c r="D2549" s="89" t="s">
        <v>75</v>
      </c>
      <c r="E2549" s="91">
        <v>56.0</v>
      </c>
      <c r="F2549" s="92">
        <v>10.0</v>
      </c>
      <c r="G2549" s="92">
        <v>560.0</v>
      </c>
      <c r="H2549" s="93"/>
      <c r="I2549" s="92"/>
      <c r="J2549" s="92"/>
      <c r="K2549" s="92"/>
    </row>
    <row r="2550" ht="12.75" customHeight="1">
      <c r="B2550" s="90"/>
      <c r="E2550" s="79"/>
      <c r="F2550" s="80"/>
      <c r="G2550" s="80"/>
      <c r="H2550" s="81"/>
      <c r="I2550" s="80"/>
      <c r="J2550" s="80"/>
      <c r="K2550" s="80"/>
    </row>
    <row r="2551" ht="12.75" customHeight="1">
      <c r="A2551" s="89" t="s">
        <v>1799</v>
      </c>
      <c r="B2551" s="96" t="s">
        <v>5542</v>
      </c>
      <c r="C2551" s="90"/>
      <c r="D2551" s="89" t="s">
        <v>75</v>
      </c>
      <c r="E2551" s="91">
        <v>2.0</v>
      </c>
      <c r="F2551" s="92">
        <v>116.01</v>
      </c>
      <c r="G2551" s="92">
        <v>232.02</v>
      </c>
      <c r="H2551" s="93"/>
      <c r="I2551" s="92"/>
      <c r="J2551" s="92"/>
      <c r="K2551" s="92"/>
    </row>
    <row r="2552" ht="12.75" customHeight="1">
      <c r="B2552" s="90"/>
      <c r="E2552" s="79"/>
      <c r="F2552" s="80"/>
      <c r="G2552" s="80"/>
      <c r="H2552" s="81"/>
      <c r="I2552" s="80"/>
      <c r="J2552" s="80"/>
      <c r="K2552" s="80"/>
    </row>
    <row r="2553" ht="12.75" customHeight="1">
      <c r="A2553" s="89" t="s">
        <v>1804</v>
      </c>
      <c r="B2553" s="96" t="s">
        <v>5543</v>
      </c>
      <c r="C2553" s="90"/>
      <c r="E2553" s="79"/>
      <c r="F2553" s="80"/>
      <c r="G2553" s="80"/>
      <c r="H2553" s="81"/>
      <c r="I2553" s="80"/>
      <c r="J2553" s="80"/>
      <c r="K2553" s="80"/>
    </row>
    <row r="2554" ht="12.75" customHeight="1">
      <c r="B2554" s="90"/>
      <c r="E2554" s="79"/>
      <c r="F2554" s="80"/>
      <c r="G2554" s="80"/>
      <c r="H2554" s="81"/>
      <c r="I2554" s="80"/>
      <c r="J2554" s="80"/>
      <c r="K2554" s="80"/>
    </row>
    <row r="2555" ht="12.75" customHeight="1">
      <c r="A2555" s="89" t="s">
        <v>1806</v>
      </c>
      <c r="B2555" s="96" t="s">
        <v>5544</v>
      </c>
      <c r="C2555" s="90"/>
      <c r="E2555" s="79"/>
      <c r="F2555" s="80"/>
      <c r="G2555" s="80"/>
      <c r="H2555" s="81"/>
      <c r="I2555" s="80"/>
      <c r="J2555" s="80"/>
      <c r="K2555" s="80"/>
    </row>
    <row r="2556" ht="12.75" customHeight="1">
      <c r="B2556" s="90"/>
      <c r="E2556" s="79"/>
      <c r="F2556" s="80"/>
      <c r="G2556" s="80"/>
      <c r="H2556" s="81"/>
      <c r="I2556" s="80"/>
      <c r="J2556" s="80"/>
      <c r="K2556" s="80"/>
    </row>
    <row r="2557" ht="12.75" customHeight="1">
      <c r="A2557" s="89" t="s">
        <v>1808</v>
      </c>
      <c r="B2557" s="96" t="s">
        <v>1809</v>
      </c>
      <c r="C2557" s="90"/>
      <c r="D2557" s="89" t="s">
        <v>75</v>
      </c>
      <c r="E2557" s="91">
        <v>8.0</v>
      </c>
      <c r="F2557" s="92">
        <v>184.18</v>
      </c>
      <c r="G2557" s="92">
        <v>1473.44</v>
      </c>
      <c r="H2557" s="93"/>
      <c r="I2557" s="92"/>
      <c r="J2557" s="92"/>
      <c r="K2557" s="92"/>
    </row>
    <row r="2558" ht="12.75" customHeight="1">
      <c r="B2558" s="90"/>
      <c r="E2558" s="79"/>
      <c r="F2558" s="80"/>
      <c r="G2558" s="80"/>
      <c r="H2558" s="81"/>
      <c r="I2558" s="80"/>
      <c r="J2558" s="80"/>
      <c r="K2558" s="80"/>
    </row>
    <row r="2559" ht="12.75" customHeight="1">
      <c r="A2559" s="89" t="s">
        <v>1810</v>
      </c>
      <c r="B2559" s="96" t="s">
        <v>5545</v>
      </c>
      <c r="C2559" s="90"/>
      <c r="D2559" s="89" t="s">
        <v>75</v>
      </c>
      <c r="E2559" s="91">
        <v>8.0</v>
      </c>
      <c r="F2559" s="92">
        <v>134.81</v>
      </c>
      <c r="G2559" s="92">
        <v>1078.48</v>
      </c>
      <c r="H2559" s="93"/>
      <c r="I2559" s="92"/>
      <c r="J2559" s="92"/>
      <c r="K2559" s="92"/>
    </row>
    <row r="2560" ht="12.75" customHeight="1">
      <c r="B2560" s="90"/>
      <c r="E2560" s="79"/>
      <c r="F2560" s="80"/>
      <c r="G2560" s="80"/>
      <c r="H2560" s="81"/>
      <c r="I2560" s="80"/>
      <c r="J2560" s="80"/>
      <c r="K2560" s="80"/>
    </row>
    <row r="2561" ht="12.75" customHeight="1">
      <c r="A2561" s="89" t="s">
        <v>1812</v>
      </c>
      <c r="B2561" s="96" t="s">
        <v>5546</v>
      </c>
      <c r="C2561" s="90"/>
      <c r="E2561" s="79"/>
      <c r="F2561" s="80"/>
      <c r="G2561" s="80"/>
      <c r="H2561" s="81"/>
      <c r="I2561" s="80"/>
      <c r="J2561" s="80"/>
      <c r="K2561" s="80"/>
    </row>
    <row r="2562" ht="12.75" customHeight="1">
      <c r="B2562" s="90"/>
      <c r="E2562" s="79"/>
      <c r="F2562" s="80"/>
      <c r="G2562" s="80"/>
      <c r="H2562" s="81"/>
      <c r="I2562" s="80"/>
      <c r="J2562" s="80"/>
      <c r="K2562" s="80"/>
    </row>
    <row r="2563" ht="12.75" customHeight="1">
      <c r="A2563" s="89" t="s">
        <v>1814</v>
      </c>
      <c r="B2563" s="96" t="s">
        <v>5547</v>
      </c>
      <c r="C2563" s="90"/>
      <c r="D2563" s="89" t="s">
        <v>75</v>
      </c>
      <c r="E2563" s="91">
        <v>1.0</v>
      </c>
      <c r="F2563" s="92">
        <v>466.99</v>
      </c>
      <c r="G2563" s="92">
        <v>466.99</v>
      </c>
      <c r="H2563" s="93"/>
      <c r="I2563" s="92"/>
      <c r="J2563" s="92"/>
      <c r="K2563" s="92"/>
    </row>
    <row r="2564" ht="12.75" customHeight="1">
      <c r="B2564" s="90"/>
      <c r="E2564" s="79"/>
      <c r="F2564" s="80"/>
      <c r="G2564" s="80"/>
      <c r="H2564" s="81"/>
      <c r="I2564" s="80"/>
      <c r="J2564" s="80"/>
      <c r="K2564" s="80"/>
    </row>
    <row r="2565" ht="12.75" customHeight="1">
      <c r="A2565" s="89" t="s">
        <v>1816</v>
      </c>
      <c r="B2565" s="96" t="s">
        <v>5548</v>
      </c>
      <c r="C2565" s="90"/>
      <c r="E2565" s="79"/>
      <c r="F2565" s="80"/>
      <c r="G2565" s="80"/>
      <c r="H2565" s="81"/>
      <c r="I2565" s="80"/>
      <c r="J2565" s="80"/>
      <c r="K2565" s="80"/>
    </row>
    <row r="2566" ht="12.75" customHeight="1">
      <c r="B2566" s="90"/>
      <c r="E2566" s="79"/>
      <c r="F2566" s="80"/>
      <c r="G2566" s="80"/>
      <c r="H2566" s="81"/>
      <c r="I2566" s="80"/>
      <c r="J2566" s="80"/>
      <c r="K2566" s="80"/>
    </row>
    <row r="2567" ht="12.75" customHeight="1">
      <c r="A2567" s="89" t="s">
        <v>1818</v>
      </c>
      <c r="B2567" s="96" t="s">
        <v>4568</v>
      </c>
      <c r="C2567" s="90"/>
      <c r="D2567" s="89" t="s">
        <v>161</v>
      </c>
      <c r="E2567" s="91">
        <v>100.0</v>
      </c>
      <c r="F2567" s="92">
        <v>55.0</v>
      </c>
      <c r="G2567" s="92">
        <v>5500.0</v>
      </c>
      <c r="H2567" s="93"/>
      <c r="I2567" s="92"/>
      <c r="J2567" s="92"/>
      <c r="K2567" s="92"/>
    </row>
    <row r="2568" ht="12.75" customHeight="1">
      <c r="B2568" s="90"/>
      <c r="E2568" s="79"/>
      <c r="F2568" s="80"/>
      <c r="G2568" s="80"/>
      <c r="H2568" s="81"/>
      <c r="I2568" s="80"/>
      <c r="J2568" s="80"/>
      <c r="K2568" s="80"/>
    </row>
    <row r="2569" ht="12.75" customHeight="1">
      <c r="A2569" s="89" t="s">
        <v>1820</v>
      </c>
      <c r="B2569" s="96" t="s">
        <v>5549</v>
      </c>
      <c r="C2569" s="90"/>
      <c r="E2569" s="79"/>
      <c r="F2569" s="80"/>
      <c r="G2569" s="80"/>
      <c r="H2569" s="81"/>
      <c r="I2569" s="80"/>
      <c r="J2569" s="80"/>
      <c r="K2569" s="80"/>
    </row>
    <row r="2570" ht="12.75" customHeight="1">
      <c r="B2570" s="90"/>
      <c r="E2570" s="79"/>
      <c r="F2570" s="80"/>
      <c r="G2570" s="80"/>
      <c r="H2570" s="81"/>
      <c r="I2570" s="80"/>
      <c r="J2570" s="80"/>
      <c r="K2570" s="80"/>
    </row>
    <row r="2571" ht="12.75" customHeight="1">
      <c r="A2571" s="89" t="s">
        <v>1822</v>
      </c>
      <c r="B2571" s="96" t="s">
        <v>5550</v>
      </c>
      <c r="C2571" s="90"/>
      <c r="D2571" s="89" t="s">
        <v>75</v>
      </c>
      <c r="E2571" s="91">
        <v>1.0</v>
      </c>
      <c r="F2571" s="92">
        <v>30.7</v>
      </c>
      <c r="G2571" s="92">
        <v>30.7</v>
      </c>
      <c r="H2571" s="93"/>
      <c r="I2571" s="92"/>
      <c r="J2571" s="92"/>
      <c r="K2571" s="92"/>
    </row>
    <row r="2572" ht="12.75" customHeight="1">
      <c r="B2572" s="90"/>
      <c r="E2572" s="79"/>
      <c r="F2572" s="80"/>
      <c r="G2572" s="80"/>
      <c r="H2572" s="81"/>
      <c r="I2572" s="80"/>
      <c r="J2572" s="80"/>
      <c r="K2572" s="80"/>
    </row>
    <row r="2573" ht="12.75" customHeight="1">
      <c r="A2573" s="89" t="s">
        <v>1824</v>
      </c>
      <c r="B2573" s="96" t="s">
        <v>5551</v>
      </c>
      <c r="C2573" s="90"/>
      <c r="E2573" s="79"/>
      <c r="F2573" s="80"/>
      <c r="G2573" s="80"/>
      <c r="H2573" s="81"/>
      <c r="I2573" s="80"/>
      <c r="J2573" s="80"/>
      <c r="K2573" s="80"/>
    </row>
    <row r="2574" ht="12.75" customHeight="1">
      <c r="B2574" s="90"/>
      <c r="E2574" s="79"/>
      <c r="F2574" s="80"/>
      <c r="G2574" s="80"/>
      <c r="H2574" s="81"/>
      <c r="I2574" s="80"/>
      <c r="J2574" s="80"/>
      <c r="K2574" s="80"/>
    </row>
    <row r="2575" ht="12.75" customHeight="1">
      <c r="A2575" s="89" t="s">
        <v>1826</v>
      </c>
      <c r="B2575" s="96" t="s">
        <v>5552</v>
      </c>
      <c r="C2575" s="90"/>
      <c r="D2575" s="89" t="s">
        <v>75</v>
      </c>
      <c r="E2575" s="91">
        <v>8.0</v>
      </c>
      <c r="F2575" s="92">
        <v>53.6</v>
      </c>
      <c r="G2575" s="92">
        <v>428.8</v>
      </c>
      <c r="H2575" s="93"/>
      <c r="I2575" s="92"/>
      <c r="J2575" s="92"/>
      <c r="K2575" s="92"/>
    </row>
    <row r="2576" ht="12.75" customHeight="1">
      <c r="B2576" s="90"/>
      <c r="E2576" s="79"/>
      <c r="F2576" s="80"/>
      <c r="G2576" s="80"/>
      <c r="H2576" s="81"/>
      <c r="I2576" s="80"/>
      <c r="J2576" s="80"/>
      <c r="K2576" s="80"/>
    </row>
    <row r="2577" ht="12.75" customHeight="1">
      <c r="A2577" s="89" t="s">
        <v>1828</v>
      </c>
      <c r="B2577" s="96" t="s">
        <v>5553</v>
      </c>
      <c r="C2577" s="90"/>
      <c r="D2577" s="89" t="s">
        <v>75</v>
      </c>
      <c r="E2577" s="91">
        <v>2.0</v>
      </c>
      <c r="F2577" s="92">
        <v>67.03</v>
      </c>
      <c r="G2577" s="92">
        <v>134.06</v>
      </c>
      <c r="H2577" s="93"/>
      <c r="I2577" s="92"/>
      <c r="J2577" s="92"/>
      <c r="K2577" s="92"/>
    </row>
    <row r="2578" ht="12.75" customHeight="1">
      <c r="B2578" s="96"/>
      <c r="E2578" s="79"/>
      <c r="F2578" s="80"/>
      <c r="G2578" s="80"/>
      <c r="H2578" s="81"/>
      <c r="I2578" s="80"/>
      <c r="J2578" s="80"/>
      <c r="K2578" s="80"/>
    </row>
    <row r="2579" ht="12.75" customHeight="1">
      <c r="A2579" s="89" t="s">
        <v>1830</v>
      </c>
      <c r="B2579" s="96" t="s">
        <v>5554</v>
      </c>
      <c r="C2579" s="90"/>
      <c r="E2579" s="79"/>
      <c r="F2579" s="80"/>
      <c r="G2579" s="80"/>
      <c r="H2579" s="81"/>
      <c r="I2579" s="80"/>
      <c r="J2579" s="80"/>
      <c r="K2579" s="80"/>
    </row>
    <row r="2580" ht="12.75" customHeight="1">
      <c r="B2580" s="90"/>
      <c r="E2580" s="79"/>
      <c r="F2580" s="80"/>
      <c r="G2580" s="80"/>
      <c r="H2580" s="81"/>
      <c r="I2580" s="80"/>
      <c r="J2580" s="80"/>
      <c r="K2580" s="80"/>
    </row>
    <row r="2581" ht="12.75" customHeight="1">
      <c r="A2581" s="89" t="s">
        <v>1832</v>
      </c>
      <c r="B2581" s="96" t="s">
        <v>1833</v>
      </c>
      <c r="C2581" s="90"/>
      <c r="D2581" s="89" t="s">
        <v>75</v>
      </c>
      <c r="E2581" s="91">
        <v>1.0</v>
      </c>
      <c r="F2581" s="92">
        <v>15.66</v>
      </c>
      <c r="G2581" s="92">
        <v>15.66</v>
      </c>
      <c r="H2581" s="93"/>
      <c r="I2581" s="92"/>
      <c r="J2581" s="92"/>
      <c r="K2581" s="92"/>
    </row>
    <row r="2582" ht="12.75" customHeight="1">
      <c r="B2582" s="90"/>
      <c r="E2582" s="79"/>
      <c r="F2582" s="80"/>
      <c r="G2582" s="80"/>
      <c r="H2582" s="81"/>
      <c r="I2582" s="80"/>
      <c r="J2582" s="80"/>
      <c r="K2582" s="80"/>
    </row>
    <row r="2583" ht="12.75" customHeight="1">
      <c r="A2583" s="89" t="s">
        <v>1834</v>
      </c>
      <c r="B2583" s="96" t="s">
        <v>5555</v>
      </c>
      <c r="C2583" s="90"/>
      <c r="E2583" s="79"/>
      <c r="F2583" s="80"/>
      <c r="G2583" s="80"/>
      <c r="H2583" s="81"/>
      <c r="I2583" s="80"/>
      <c r="J2583" s="80"/>
      <c r="K2583" s="80"/>
    </row>
    <row r="2584" ht="12.75" customHeight="1">
      <c r="B2584" s="90"/>
      <c r="E2584" s="79"/>
      <c r="F2584" s="80"/>
      <c r="G2584" s="80"/>
      <c r="H2584" s="81"/>
      <c r="I2584" s="80"/>
      <c r="J2584" s="80"/>
      <c r="K2584" s="80"/>
    </row>
    <row r="2585" ht="12.75" customHeight="1">
      <c r="A2585" s="89" t="s">
        <v>1836</v>
      </c>
      <c r="B2585" s="96" t="s">
        <v>5556</v>
      </c>
      <c r="C2585" s="90"/>
      <c r="D2585" s="89" t="s">
        <v>75</v>
      </c>
      <c r="E2585" s="91">
        <v>1.0</v>
      </c>
      <c r="F2585" s="92">
        <v>4954.0</v>
      </c>
      <c r="G2585" s="92">
        <v>4954.0</v>
      </c>
      <c r="H2585" s="93"/>
      <c r="I2585" s="92"/>
      <c r="J2585" s="92"/>
      <c r="K2585" s="92"/>
    </row>
    <row r="2586" ht="12.75" customHeight="1">
      <c r="B2586" s="96"/>
      <c r="E2586" s="79"/>
      <c r="F2586" s="80"/>
      <c r="G2586" s="80"/>
      <c r="H2586" s="81"/>
      <c r="I2586" s="80"/>
      <c r="J2586" s="80"/>
      <c r="K2586" s="80"/>
    </row>
    <row r="2587" ht="12.75" customHeight="1">
      <c r="A2587" s="89" t="s">
        <v>1838</v>
      </c>
      <c r="B2587" s="96" t="s">
        <v>5557</v>
      </c>
      <c r="C2587" s="90"/>
      <c r="E2587" s="79"/>
      <c r="F2587" s="80"/>
      <c r="G2587" s="80"/>
      <c r="H2587" s="81"/>
      <c r="I2587" s="80"/>
      <c r="J2587" s="80"/>
      <c r="K2587" s="80"/>
    </row>
    <row r="2588" ht="12.75" customHeight="1">
      <c r="B2588" s="90"/>
      <c r="E2588" s="79"/>
      <c r="F2588" s="80"/>
      <c r="G2588" s="80"/>
      <c r="H2588" s="81"/>
      <c r="I2588" s="80"/>
      <c r="J2588" s="80"/>
      <c r="K2588" s="80"/>
    </row>
    <row r="2589" ht="12.75" customHeight="1">
      <c r="A2589" s="89" t="s">
        <v>1840</v>
      </c>
      <c r="B2589" s="96" t="s">
        <v>5558</v>
      </c>
      <c r="C2589" s="90"/>
      <c r="D2589" s="89" t="s">
        <v>75</v>
      </c>
      <c r="E2589" s="91">
        <v>1.0</v>
      </c>
      <c r="F2589" s="92">
        <v>1500.0</v>
      </c>
      <c r="G2589" s="92">
        <v>1500.0</v>
      </c>
      <c r="H2589" s="93"/>
      <c r="I2589" s="92"/>
      <c r="J2589" s="92"/>
      <c r="K2589" s="92"/>
    </row>
    <row r="2590" ht="12.75" customHeight="1">
      <c r="B2590" s="96"/>
      <c r="E2590" s="79"/>
      <c r="F2590" s="80"/>
      <c r="G2590" s="80"/>
      <c r="H2590" s="81"/>
      <c r="I2590" s="80"/>
      <c r="J2590" s="80"/>
      <c r="K2590" s="80"/>
    </row>
    <row r="2591" ht="12.75" customHeight="1">
      <c r="A2591" s="89" t="s">
        <v>1770</v>
      </c>
      <c r="B2591" s="96" t="s">
        <v>5525</v>
      </c>
      <c r="C2591" s="90"/>
      <c r="E2591" s="79"/>
      <c r="F2591" s="80"/>
      <c r="G2591" s="92">
        <v>33665.94</v>
      </c>
      <c r="H2591" s="93"/>
      <c r="I2591" s="92"/>
      <c r="J2591" s="92"/>
      <c r="K2591" s="92"/>
    </row>
    <row r="2592" ht="12.75" customHeight="1">
      <c r="B2592" s="90"/>
      <c r="E2592" s="79"/>
      <c r="F2592" s="80"/>
      <c r="G2592" s="80"/>
      <c r="H2592" s="81"/>
      <c r="I2592" s="80"/>
      <c r="J2592" s="80"/>
      <c r="K2592" s="80"/>
    </row>
    <row r="2593" ht="12.75" customHeight="1">
      <c r="A2593" s="89" t="s">
        <v>1768</v>
      </c>
      <c r="B2593" s="96" t="s">
        <v>5524</v>
      </c>
      <c r="C2593" s="90"/>
      <c r="E2593" s="79"/>
      <c r="F2593" s="80"/>
      <c r="G2593" s="92">
        <v>33665.94</v>
      </c>
      <c r="H2593" s="93"/>
      <c r="I2593" s="92"/>
      <c r="J2593" s="92"/>
      <c r="K2593" s="92"/>
    </row>
    <row r="2594" ht="12.75" customHeight="1">
      <c r="B2594" s="90"/>
      <c r="E2594" s="79"/>
      <c r="F2594" s="80"/>
      <c r="G2594" s="80"/>
      <c r="H2594" s="81"/>
      <c r="I2594" s="80"/>
      <c r="J2594" s="80"/>
      <c r="K2594" s="80"/>
    </row>
    <row r="2595" ht="12.75" customHeight="1">
      <c r="B2595" s="90"/>
      <c r="E2595" s="79"/>
      <c r="F2595" s="80"/>
      <c r="G2595" s="80"/>
      <c r="H2595" s="81"/>
      <c r="I2595" s="80"/>
      <c r="J2595" s="80"/>
      <c r="K2595" s="80"/>
    </row>
    <row r="2596" ht="12.75" customHeight="1">
      <c r="A2596" s="89" t="s">
        <v>1842</v>
      </c>
      <c r="B2596" s="96" t="s">
        <v>5559</v>
      </c>
      <c r="C2596" s="90"/>
      <c r="E2596" s="79"/>
      <c r="F2596" s="80"/>
      <c r="G2596" s="80"/>
      <c r="H2596" s="81"/>
      <c r="I2596" s="80"/>
      <c r="J2596" s="80"/>
      <c r="K2596" s="80"/>
    </row>
    <row r="2597" ht="12.75" customHeight="1">
      <c r="B2597" s="90"/>
      <c r="E2597" s="79"/>
      <c r="F2597" s="80"/>
      <c r="G2597" s="80"/>
      <c r="H2597" s="81"/>
      <c r="I2597" s="80"/>
      <c r="J2597" s="80"/>
      <c r="K2597" s="80"/>
    </row>
    <row r="2598" ht="12.75" customHeight="1">
      <c r="A2598" s="89" t="s">
        <v>1844</v>
      </c>
      <c r="B2598" s="96" t="s">
        <v>5560</v>
      </c>
      <c r="C2598" s="90"/>
      <c r="D2598" s="89" t="s">
        <v>1846</v>
      </c>
      <c r="E2598" s="91">
        <v>12.0</v>
      </c>
      <c r="F2598" s="92">
        <v>800.0</v>
      </c>
      <c r="G2598" s="92">
        <v>9600.0</v>
      </c>
      <c r="H2598" s="93"/>
      <c r="I2598" s="92"/>
      <c r="J2598" s="92"/>
      <c r="K2598" s="92"/>
    </row>
    <row r="2599" ht="12.75" customHeight="1">
      <c r="B2599" s="90"/>
      <c r="E2599" s="79"/>
      <c r="F2599" s="80"/>
      <c r="G2599" s="80"/>
      <c r="H2599" s="81"/>
      <c r="I2599" s="80"/>
      <c r="J2599" s="80"/>
      <c r="K2599" s="80"/>
    </row>
    <row r="2600" ht="12.75" customHeight="1">
      <c r="A2600" s="89" t="s">
        <v>1842</v>
      </c>
      <c r="B2600" s="96" t="s">
        <v>5559</v>
      </c>
      <c r="C2600" s="90"/>
      <c r="E2600" s="79"/>
      <c r="F2600" s="80"/>
      <c r="G2600" s="92">
        <v>9600.0</v>
      </c>
      <c r="H2600" s="93"/>
      <c r="I2600" s="92"/>
      <c r="J2600" s="92"/>
      <c r="K2600" s="92"/>
    </row>
    <row r="2601" ht="12.75" customHeight="1">
      <c r="B2601" s="90"/>
      <c r="E2601" s="79"/>
      <c r="F2601" s="80"/>
      <c r="G2601" s="80"/>
      <c r="H2601" s="81"/>
      <c r="I2601" s="80"/>
      <c r="J2601" s="80"/>
      <c r="K2601" s="80"/>
    </row>
    <row r="2602" ht="12.75" customHeight="1">
      <c r="B2602" s="96" t="s">
        <v>4925</v>
      </c>
      <c r="C2602" s="90"/>
      <c r="E2602" s="79"/>
      <c r="F2602" s="80"/>
      <c r="G2602" s="92">
        <v>192258.35</v>
      </c>
      <c r="H2602" s="93">
        <f>G2602</f>
        <v>192258.35</v>
      </c>
      <c r="I2602" s="92"/>
      <c r="J2602" s="92"/>
      <c r="K2602" s="92"/>
    </row>
    <row r="2603" ht="12.75" customHeight="1">
      <c r="B2603" s="90"/>
      <c r="E2603" s="79"/>
      <c r="F2603" s="80"/>
      <c r="G2603" s="80"/>
      <c r="H2603" s="81"/>
      <c r="I2603" s="80"/>
      <c r="J2603" s="80"/>
      <c r="K2603" s="80"/>
    </row>
    <row r="2604" ht="12.75" customHeight="1">
      <c r="B2604" s="96" t="s">
        <v>4579</v>
      </c>
      <c r="C2604" s="90"/>
      <c r="E2604" s="79"/>
      <c r="F2604" s="80"/>
      <c r="G2604" s="92">
        <v>2405735.04</v>
      </c>
      <c r="H2604" s="93">
        <f>SUM(H1:H2602)</f>
        <v>2403411.33</v>
      </c>
      <c r="I2604" s="92"/>
      <c r="J2604" s="92"/>
      <c r="K2604" s="92"/>
    </row>
    <row r="2605" ht="12.75" customHeight="1">
      <c r="B2605" s="90"/>
      <c r="E2605" s="79"/>
      <c r="F2605" s="80"/>
      <c r="G2605" s="80"/>
      <c r="H2605" s="81"/>
      <c r="I2605" s="80"/>
      <c r="J2605" s="80"/>
      <c r="K2605" s="80"/>
    </row>
    <row r="2606" ht="12.75" customHeight="1">
      <c r="B2606" s="96" t="s">
        <v>4577</v>
      </c>
      <c r="C2606" s="90"/>
      <c r="E2606" s="79"/>
      <c r="F2606" s="80"/>
      <c r="G2606" s="92">
        <v>2405735.04</v>
      </c>
      <c r="H2606" s="93"/>
      <c r="I2606" s="92"/>
      <c r="J2606" s="92"/>
      <c r="K2606" s="92"/>
    </row>
  </sheetData>
  <mergeCells count="2">
    <mergeCell ref="F4:G4"/>
    <mergeCell ref="A5:E5"/>
  </mergeCells>
  <hyperlinks>
    <hyperlink r:id="rId1" ref="J586"/>
    <hyperlink r:id="rId2" ref="J588"/>
    <hyperlink r:id="rId3" ref="H590"/>
    <hyperlink r:id="rId4" ref="J590"/>
    <hyperlink r:id="rId5" ref="J592"/>
    <hyperlink r:id="rId6" ref="J594"/>
    <hyperlink r:id="rId7" ref="J598"/>
    <hyperlink r:id="rId8" ref="J606"/>
    <hyperlink r:id="rId9" ref="J667"/>
    <hyperlink r:id="rId10" ref="J690"/>
  </hyperlinks>
  <printOptions/>
  <pageMargins bottom="0.41" footer="0.0" header="0.0" left="0.41" right="0.3" top="0.62"/>
  <pageSetup paperSize="9" orientation="portrait"/>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fitToPage="1"/>
  </sheetPr>
  <sheetViews>
    <sheetView showGridLines="0" workbookViewId="0"/>
  </sheetViews>
  <sheetFormatPr customHeight="1" defaultColWidth="12.63" defaultRowHeight="15.0"/>
  <cols>
    <col customWidth="1" min="1" max="1" width="0.88"/>
    <col customWidth="1" min="2" max="2" width="8.0"/>
    <col customWidth="1" min="3" max="3" width="1.0"/>
    <col customWidth="1" min="4" max="4" width="30.38"/>
    <col customWidth="1" min="5" max="5" width="1.0"/>
    <col customWidth="1" min="6" max="6" width="12.88"/>
    <col customWidth="1" min="7" max="7" width="13.38"/>
    <col customWidth="1" min="8" max="8" width="21.63"/>
    <col customWidth="1" min="9" max="9" width="1.0"/>
    <col customWidth="1" min="10" max="10" width="34.5"/>
    <col customWidth="1" min="11" max="11" width="1.0"/>
    <col customWidth="1" min="12" max="12" width="22.5"/>
    <col customWidth="1" min="13" max="13" width="0.38"/>
    <col customWidth="1" min="14" max="26" width="12.25"/>
  </cols>
  <sheetData>
    <row r="1" ht="4.5" customHeight="1">
      <c r="A1" s="1" t="s">
        <v>0</v>
      </c>
      <c r="B1" s="2"/>
      <c r="C1" s="2"/>
      <c r="D1" s="2"/>
      <c r="E1" s="2"/>
      <c r="F1" s="2"/>
      <c r="G1" s="2"/>
      <c r="H1" s="2"/>
      <c r="I1" s="2"/>
      <c r="J1" s="2"/>
      <c r="K1" s="2"/>
      <c r="L1" s="3"/>
      <c r="M1" s="2"/>
    </row>
    <row r="2" ht="24.75" customHeight="1">
      <c r="A2" s="2"/>
      <c r="B2" s="4"/>
      <c r="C2" s="4"/>
      <c r="D2" s="4"/>
      <c r="E2" s="5"/>
      <c r="F2" s="4"/>
      <c r="G2" s="4"/>
      <c r="H2" s="4"/>
      <c r="I2" s="4"/>
      <c r="J2" s="4"/>
      <c r="K2" s="4"/>
      <c r="L2" s="4"/>
      <c r="M2" s="2"/>
    </row>
    <row r="3" ht="24.75" customHeight="1">
      <c r="A3" s="2"/>
      <c r="B3" s="4"/>
      <c r="C3" s="4"/>
      <c r="D3" s="4"/>
      <c r="E3" s="5"/>
      <c r="F3" s="4"/>
      <c r="G3" s="4"/>
      <c r="H3" s="4"/>
      <c r="I3" s="4"/>
      <c r="J3" s="4"/>
      <c r="K3" s="4"/>
      <c r="L3" s="4"/>
      <c r="M3" s="2"/>
    </row>
    <row r="4" ht="24.75" customHeight="1">
      <c r="A4" s="2"/>
      <c r="B4" s="4"/>
      <c r="C4" s="4"/>
      <c r="D4" s="4"/>
      <c r="E4" s="5"/>
      <c r="F4" s="4"/>
      <c r="G4" s="4"/>
      <c r="H4" s="4"/>
      <c r="I4" s="4"/>
      <c r="J4" s="4"/>
      <c r="K4" s="4"/>
      <c r="L4" s="4"/>
      <c r="M4" s="2"/>
    </row>
    <row r="5" ht="24.75" customHeight="1">
      <c r="A5" s="2"/>
      <c r="B5" s="4"/>
      <c r="C5" s="4"/>
      <c r="D5" s="4"/>
      <c r="E5" s="5"/>
      <c r="F5" s="4"/>
      <c r="G5" s="4"/>
      <c r="H5" s="4"/>
      <c r="I5" s="4"/>
      <c r="J5" s="4"/>
      <c r="K5" s="4"/>
      <c r="L5" s="4"/>
      <c r="M5" s="2"/>
    </row>
    <row r="6" ht="24.75" customHeight="1">
      <c r="A6" s="2"/>
      <c r="B6" s="4"/>
      <c r="C6" s="4"/>
      <c r="D6" s="4"/>
      <c r="E6" s="5"/>
      <c r="F6" s="4"/>
      <c r="G6" s="4"/>
      <c r="H6" s="4"/>
      <c r="I6" s="4"/>
      <c r="J6" s="4"/>
      <c r="K6" s="4"/>
      <c r="L6" s="4"/>
      <c r="M6" s="2"/>
    </row>
    <row r="7" ht="24.75" customHeight="1">
      <c r="A7" s="2"/>
      <c r="B7" s="4"/>
      <c r="C7" s="4"/>
      <c r="D7" s="4"/>
      <c r="E7" s="5"/>
      <c r="F7" s="4"/>
      <c r="G7" s="4"/>
      <c r="H7" s="4"/>
      <c r="I7" s="4"/>
      <c r="J7" s="4"/>
      <c r="K7" s="4"/>
      <c r="L7" s="4"/>
      <c r="M7" s="2"/>
    </row>
    <row r="8" ht="4.5" customHeight="1">
      <c r="A8" s="2"/>
      <c r="B8" s="6"/>
      <c r="C8" s="6"/>
      <c r="D8" s="7"/>
      <c r="E8" s="7"/>
      <c r="F8" s="2"/>
      <c r="G8" s="8"/>
      <c r="H8" s="2"/>
      <c r="I8" s="2"/>
      <c r="J8" s="2"/>
      <c r="K8" s="2"/>
      <c r="L8" s="2"/>
      <c r="M8" s="2"/>
    </row>
    <row r="9" ht="24.75" customHeight="1">
      <c r="A9" s="2"/>
      <c r="B9" s="9" t="s">
        <v>1</v>
      </c>
      <c r="C9" s="10"/>
      <c r="D9" s="11"/>
      <c r="E9" s="5"/>
      <c r="F9" s="12" t="s">
        <v>2</v>
      </c>
      <c r="G9" s="10"/>
      <c r="H9" s="10"/>
      <c r="I9" s="10"/>
      <c r="J9" s="10"/>
      <c r="K9" s="10"/>
      <c r="L9" s="11"/>
      <c r="M9" s="2"/>
    </row>
    <row r="10" ht="4.5" customHeight="1">
      <c r="A10" s="2"/>
      <c r="B10" s="3"/>
      <c r="C10" s="3"/>
      <c r="D10" s="7"/>
      <c r="E10" s="7"/>
      <c r="F10" s="2"/>
      <c r="G10" s="13"/>
      <c r="H10" s="2"/>
      <c r="I10" s="2"/>
      <c r="J10" s="2"/>
      <c r="K10" s="2"/>
      <c r="L10" s="2"/>
      <c r="M10" s="2"/>
    </row>
    <row r="11" ht="24.75" customHeight="1">
      <c r="A11" s="2"/>
      <c r="B11" s="9" t="s">
        <v>3</v>
      </c>
      <c r="C11" s="10"/>
      <c r="D11" s="11"/>
      <c r="E11" s="5"/>
      <c r="F11" s="12" t="s">
        <v>4</v>
      </c>
      <c r="G11" s="10"/>
      <c r="H11" s="10"/>
      <c r="I11" s="10"/>
      <c r="J11" s="10"/>
      <c r="K11" s="10"/>
      <c r="L11" s="11"/>
      <c r="M11" s="2"/>
    </row>
    <row r="12" ht="4.5" customHeight="1">
      <c r="A12" s="2"/>
      <c r="B12" s="3"/>
      <c r="C12" s="3"/>
      <c r="D12" s="7"/>
      <c r="E12" s="7"/>
      <c r="F12" s="2"/>
      <c r="G12" s="14"/>
      <c r="H12" s="2"/>
      <c r="I12" s="2"/>
      <c r="J12" s="2"/>
      <c r="K12" s="2"/>
      <c r="L12" s="2"/>
      <c r="M12" s="2"/>
    </row>
    <row r="13" ht="24.75" customHeight="1">
      <c r="A13" s="2"/>
      <c r="B13" s="9" t="s">
        <v>5</v>
      </c>
      <c r="C13" s="10"/>
      <c r="D13" s="11"/>
      <c r="E13" s="5"/>
      <c r="F13" s="12"/>
      <c r="G13" s="10"/>
      <c r="H13" s="10"/>
      <c r="I13" s="10"/>
      <c r="J13" s="10"/>
      <c r="K13" s="10"/>
      <c r="L13" s="11"/>
      <c r="M13" s="2"/>
    </row>
    <row r="14" ht="4.5" customHeight="1">
      <c r="A14" s="2"/>
      <c r="B14" s="3"/>
      <c r="C14" s="3"/>
      <c r="D14" s="7"/>
      <c r="E14" s="7"/>
      <c r="F14" s="6"/>
      <c r="G14" s="15"/>
      <c r="H14" s="6"/>
      <c r="I14" s="6"/>
      <c r="J14" s="6"/>
      <c r="K14" s="2"/>
      <c r="L14" s="2"/>
      <c r="M14" s="2"/>
    </row>
    <row r="15" ht="24.75" customHeight="1">
      <c r="A15" s="2"/>
      <c r="B15" s="9" t="s">
        <v>6</v>
      </c>
      <c r="C15" s="10"/>
      <c r="D15" s="11"/>
      <c r="E15" s="5"/>
      <c r="F15" s="16">
        <v>392.8</v>
      </c>
      <c r="G15" s="10"/>
      <c r="H15" s="10"/>
      <c r="I15" s="10"/>
      <c r="J15" s="10"/>
      <c r="K15" s="10"/>
      <c r="L15" s="11"/>
      <c r="M15" s="2"/>
    </row>
    <row r="16" ht="3.75" customHeight="1">
      <c r="A16" s="17"/>
      <c r="B16" s="18"/>
      <c r="C16" s="18"/>
      <c r="D16" s="18"/>
      <c r="E16" s="19"/>
      <c r="F16" s="20"/>
      <c r="G16" s="20"/>
      <c r="H16" s="20"/>
      <c r="I16" s="20"/>
      <c r="J16" s="20"/>
      <c r="K16" s="20"/>
      <c r="L16" s="20"/>
      <c r="M16" s="17"/>
      <c r="N16" s="21"/>
      <c r="O16" s="21"/>
      <c r="P16" s="21"/>
      <c r="Q16" s="21"/>
      <c r="R16" s="21"/>
      <c r="S16" s="21"/>
      <c r="T16" s="21"/>
      <c r="U16" s="21"/>
      <c r="V16" s="21"/>
      <c r="W16" s="21"/>
      <c r="X16" s="21"/>
      <c r="Y16" s="21"/>
      <c r="Z16" s="21"/>
    </row>
    <row r="17" ht="24.75" customHeight="1">
      <c r="A17" s="2"/>
      <c r="B17" s="22" t="s">
        <v>7</v>
      </c>
      <c r="C17" s="22"/>
      <c r="D17" s="22"/>
      <c r="E17" s="5"/>
      <c r="F17" s="23">
        <v>782.27</v>
      </c>
      <c r="G17" s="23"/>
      <c r="H17" s="23"/>
      <c r="I17" s="23"/>
      <c r="J17" s="23"/>
      <c r="K17" s="23"/>
      <c r="L17" s="23"/>
      <c r="M17" s="2"/>
    </row>
    <row r="18" ht="4.5" customHeight="1">
      <c r="A18" s="2"/>
      <c r="B18" s="3"/>
      <c r="C18" s="3"/>
      <c r="D18" s="24"/>
      <c r="E18" s="25"/>
      <c r="F18" s="26"/>
      <c r="G18" s="26"/>
      <c r="H18" s="26"/>
      <c r="I18" s="26"/>
      <c r="J18" s="26"/>
      <c r="K18" s="26"/>
      <c r="L18" s="26"/>
      <c r="M18" s="2"/>
    </row>
    <row r="19" ht="24.75" customHeight="1">
      <c r="A19" s="2"/>
      <c r="B19" s="9" t="s">
        <v>8</v>
      </c>
      <c r="C19" s="10"/>
      <c r="D19" s="11"/>
      <c r="E19" s="5"/>
      <c r="F19" s="16">
        <v>100.0</v>
      </c>
      <c r="G19" s="10"/>
      <c r="H19" s="10"/>
      <c r="I19" s="10"/>
      <c r="J19" s="10"/>
      <c r="K19" s="10"/>
      <c r="L19" s="11"/>
      <c r="M19" s="2"/>
    </row>
    <row r="20" ht="4.5" customHeight="1">
      <c r="A20" s="2"/>
      <c r="B20" s="3"/>
      <c r="C20" s="3"/>
      <c r="D20" s="24"/>
      <c r="E20" s="25"/>
      <c r="F20" s="2"/>
      <c r="G20" s="27"/>
      <c r="H20" s="2"/>
      <c r="I20" s="2"/>
      <c r="J20" s="2"/>
      <c r="K20" s="2"/>
      <c r="L20" s="2"/>
      <c r="M20" s="2"/>
    </row>
    <row r="21" ht="24.75" customHeight="1">
      <c r="A21" s="2"/>
      <c r="B21" s="9" t="s">
        <v>9</v>
      </c>
      <c r="C21" s="10"/>
      <c r="D21" s="11"/>
      <c r="E21" s="5"/>
      <c r="F21" s="28">
        <v>45812.0</v>
      </c>
      <c r="G21" s="10"/>
      <c r="H21" s="10"/>
      <c r="I21" s="10"/>
      <c r="J21" s="10"/>
      <c r="K21" s="10"/>
      <c r="L21" s="11"/>
      <c r="M21" s="2"/>
    </row>
    <row r="22" ht="4.5" customHeight="1">
      <c r="A22" s="2"/>
      <c r="B22" s="2"/>
      <c r="C22" s="2"/>
      <c r="D22" s="25"/>
      <c r="E22" s="25"/>
      <c r="F22" s="2"/>
      <c r="G22" s="27"/>
      <c r="H22" s="2"/>
      <c r="I22" s="2"/>
      <c r="J22" s="2"/>
      <c r="K22" s="2"/>
      <c r="L22" s="2"/>
      <c r="M22" s="2"/>
    </row>
    <row r="23" ht="39.75" customHeight="1">
      <c r="A23" s="2"/>
      <c r="B23" s="29" t="s">
        <v>10</v>
      </c>
      <c r="C23" s="30"/>
      <c r="D23" s="31" t="s">
        <v>11</v>
      </c>
      <c r="E23" s="10"/>
      <c r="F23" s="10"/>
      <c r="G23" s="10"/>
      <c r="H23" s="11"/>
      <c r="I23" s="30"/>
      <c r="J23" s="32" t="s">
        <v>12</v>
      </c>
      <c r="K23" s="33"/>
      <c r="L23" s="32" t="s">
        <v>13</v>
      </c>
      <c r="M23" s="34"/>
    </row>
    <row r="24" ht="15.0" customHeight="1">
      <c r="A24" s="2"/>
      <c r="B24" s="2"/>
      <c r="C24" s="2"/>
      <c r="D24" s="35"/>
      <c r="E24" s="35"/>
      <c r="F24" s="2"/>
      <c r="G24" s="2"/>
      <c r="H24" s="2"/>
      <c r="I24" s="2"/>
      <c r="J24" s="36"/>
      <c r="K24" s="36"/>
      <c r="L24" s="36"/>
      <c r="M24" s="2"/>
    </row>
    <row r="25" ht="24.75" customHeight="1">
      <c r="A25" s="37"/>
      <c r="B25" s="38">
        <f>'Orcamento RU Viora Build'!C4</f>
        <v>1</v>
      </c>
      <c r="C25" s="39"/>
      <c r="D25" s="40" t="str">
        <f>'Orcamento RU Viora Build'!D4</f>
        <v>СТРОИТЕЛЬНАЯ ПЛОЩАДКА И ДОПОЛНИТЕЛЬНЫЕ РАБОТЫ</v>
      </c>
      <c r="I25" s="41"/>
      <c r="J25" s="420">
        <f>'Orcamento RU Viora Build'!H4</f>
        <v>2015</v>
      </c>
      <c r="K25" s="43"/>
      <c r="L25" s="43">
        <f t="shared" ref="L25:L51" si="1">+J25/$F$15</f>
        <v>5.129837067</v>
      </c>
      <c r="M25" s="37"/>
    </row>
    <row r="26" ht="24.75" customHeight="1">
      <c r="A26" s="37"/>
      <c r="B26" s="38">
        <f>'Orcamento RU Viora Build'!C56</f>
        <v>2</v>
      </c>
      <c r="C26" s="39"/>
      <c r="D26" s="40" t="str">
        <f>'Orcamento RU Viora Build'!D56</f>
        <v>ЗЕМЛЯНЫЕ РАБОТЫ</v>
      </c>
      <c r="I26" s="41"/>
      <c r="J26" s="420">
        <f>'Orcamento RU Viora Build'!H56</f>
        <v>69140.305</v>
      </c>
      <c r="K26" s="43"/>
      <c r="L26" s="43">
        <f t="shared" si="1"/>
        <v>176.0191064</v>
      </c>
      <c r="M26" s="37"/>
    </row>
    <row r="27" ht="24.75" customHeight="1">
      <c r="A27" s="37"/>
      <c r="B27" s="38">
        <f>'Orcamento RU Viora Build'!C74</f>
        <v>3</v>
      </c>
      <c r="C27" s="39"/>
      <c r="D27" s="40" t="str">
        <f>'Orcamento RU Viora Build'!D74</f>
        <v>ЖЕЛЕЗОБЕТОННАЯ КОНСТРУКЦИЯ</v>
      </c>
      <c r="I27" s="41"/>
      <c r="J27" s="420">
        <f>'Orcamento RU Viora Build'!H74</f>
        <v>468347.3513</v>
      </c>
      <c r="K27" s="43"/>
      <c r="L27" s="43">
        <f t="shared" si="1"/>
        <v>1192.330324</v>
      </c>
      <c r="M27" s="37"/>
    </row>
    <row r="28" ht="24.75" customHeight="1">
      <c r="A28" s="37"/>
      <c r="B28" s="38">
        <f>'Orcamento RU Viora Build'!C389</f>
        <v>4</v>
      </c>
      <c r="C28" s="39"/>
      <c r="D28" s="40" t="str">
        <f>'Orcamento RU Viora Build'!D389</f>
        <v>ГИДРОИЗОЛЯЦИЯ И ТЕПЛОИЗОЛЯЦИЯ</v>
      </c>
      <c r="I28" s="41"/>
      <c r="J28" s="420">
        <f>'Orcamento RU Viora Build'!H389</f>
        <v>52593.50688</v>
      </c>
      <c r="K28" s="43"/>
      <c r="L28" s="43">
        <f t="shared" si="1"/>
        <v>133.8938566</v>
      </c>
      <c r="M28" s="37"/>
    </row>
    <row r="29" ht="24.75" customHeight="1">
      <c r="A29" s="37"/>
      <c r="B29" s="38">
        <f>'Orcamento RU Viora Build'!C511</f>
        <v>5</v>
      </c>
      <c r="C29" s="39"/>
      <c r="D29" s="40" t="str">
        <f>'Orcamento RU Viora Build'!D511</f>
        <v>КАМЕННАЯ КЛАДКА И ОГРАЖДАЮЩИЕ КОНСТРУКЦИИ</v>
      </c>
      <c r="I29" s="41"/>
      <c r="J29" s="420">
        <f>'Orcamento RU Viora Build'!H511</f>
        <v>27664.10764</v>
      </c>
      <c r="K29" s="43"/>
      <c r="L29" s="43">
        <f t="shared" si="1"/>
        <v>70.42797261</v>
      </c>
      <c r="M29" s="37"/>
    </row>
    <row r="30" ht="24.75" customHeight="1">
      <c r="A30" s="37"/>
      <c r="B30" s="38">
        <f>'Orcamento RU Viora Build'!C669</f>
        <v>6</v>
      </c>
      <c r="C30" s="39"/>
      <c r="D30" s="40" t="str">
        <f>'Orcamento RU Viora Build'!D669</f>
        <v>КРОВЛЯ</v>
      </c>
      <c r="I30" s="41"/>
      <c r="J30" s="420">
        <f>'Orcamento RU Viora Build'!H669</f>
        <v>56228.09335</v>
      </c>
      <c r="K30" s="43"/>
      <c r="L30" s="43">
        <f t="shared" si="1"/>
        <v>143.1468772</v>
      </c>
      <c r="M30" s="37"/>
    </row>
    <row r="31" ht="24.75" customHeight="1">
      <c r="A31" s="37"/>
      <c r="B31" s="38">
        <f>'Orcamento RU Viora Build'!C701</f>
        <v>7</v>
      </c>
      <c r="C31" s="39"/>
      <c r="D31" s="40" t="str">
        <f>'Orcamento RU Viora Build'!D701</f>
        <v>ОТДЕЛКА ПОТОЛКОВ</v>
      </c>
      <c r="I31" s="41"/>
      <c r="J31" s="420">
        <f>'Orcamento RU Viora Build'!H701</f>
        <v>14727.36837</v>
      </c>
      <c r="K31" s="43"/>
      <c r="L31" s="43">
        <f t="shared" si="1"/>
        <v>37.49330032</v>
      </c>
      <c r="M31" s="37"/>
    </row>
    <row r="32" ht="24.75" customHeight="1">
      <c r="A32" s="37"/>
      <c r="B32" s="38">
        <f>'Orcamento RU Viora Build'!C769</f>
        <v>8</v>
      </c>
      <c r="C32" s="39"/>
      <c r="D32" s="40" t="str">
        <f>'Orcamento RU Viora Build'!D769</f>
        <v>ОТДЕЛКА СТЕН</v>
      </c>
      <c r="I32" s="41"/>
      <c r="J32" s="420">
        <f>'Orcamento RU Viora Build'!H769</f>
        <v>127239.0575</v>
      </c>
      <c r="K32" s="43"/>
      <c r="L32" s="43">
        <f t="shared" si="1"/>
        <v>323.9283542</v>
      </c>
      <c r="M32" s="37"/>
    </row>
    <row r="33" ht="24.75" customHeight="1">
      <c r="A33" s="37"/>
      <c r="B33" s="38">
        <f>'Orcamento RU Viora Build'!C857</f>
        <v>9</v>
      </c>
      <c r="C33" s="39"/>
      <c r="D33" s="40" t="str">
        <f>'Orcamento RU Viora Build'!D857</f>
        <v>ОТДЕЛКА ПОЛОВ И ПЛИНТУСОВ</v>
      </c>
      <c r="I33" s="41"/>
      <c r="J33" s="420">
        <f>'Orcamento RU Viora Build'!H857</f>
        <v>101274.8515</v>
      </c>
      <c r="K33" s="43"/>
      <c r="L33" s="43">
        <f t="shared" si="1"/>
        <v>257.8280334</v>
      </c>
      <c r="M33" s="37"/>
    </row>
    <row r="34" ht="24.75" customHeight="1">
      <c r="A34" s="37"/>
      <c r="B34" s="38">
        <f>'Orcamento RU Viora Build'!C1007</f>
        <v>10</v>
      </c>
      <c r="C34" s="39"/>
      <c r="D34" s="40" t="str">
        <f>'Orcamento RU Viora Build'!D1007</f>
        <v>МЕТАЛЛОКОНСТРУКЦИИ И ОКОННЫЕ РАМЫ</v>
      </c>
      <c r="I34" s="41"/>
      <c r="J34" s="420">
        <f>'Orcamento RU Viora Build'!H1007</f>
        <v>268546.3846</v>
      </c>
      <c r="K34" s="43"/>
      <c r="L34" s="43">
        <f t="shared" si="1"/>
        <v>683.6720586</v>
      </c>
      <c r="M34" s="37"/>
    </row>
    <row r="35" ht="24.75" customHeight="1">
      <c r="A35" s="37"/>
      <c r="B35" s="38">
        <f>'Orcamento RU Viora Build'!C1394</f>
        <v>11</v>
      </c>
      <c r="C35" s="39"/>
      <c r="D35" s="40" t="str">
        <f>'Orcamento RU Viora Build'!D1394</f>
        <v>СТОЛЯРНЫЕ РАБОТЫ</v>
      </c>
      <c r="I35" s="41"/>
      <c r="J35" s="420">
        <f>'Orcamento RU Viora Build'!H1394</f>
        <v>60186.7565</v>
      </c>
      <c r="K35" s="43"/>
      <c r="L35" s="43">
        <f t="shared" si="1"/>
        <v>153.2249402</v>
      </c>
      <c r="M35" s="37"/>
    </row>
    <row r="36" ht="24.75" customHeight="1">
      <c r="A36" s="37"/>
      <c r="B36" s="38">
        <f>'Orcamento RU Viora Build'!C1554</f>
        <v>12</v>
      </c>
      <c r="C36" s="39"/>
      <c r="D36" s="40" t="str">
        <f>'Orcamento RU Viora Build'!D1554</f>
        <v>САНТЕХНИЧЕСКОЕ ОБОРУДОВАНИЕ</v>
      </c>
      <c r="I36" s="41"/>
      <c r="J36" s="420">
        <f>'Orcamento RU Viora Build'!H1554</f>
        <v>25273.2688</v>
      </c>
      <c r="K36" s="43"/>
      <c r="L36" s="43">
        <f t="shared" si="1"/>
        <v>64.34131568</v>
      </c>
      <c r="M36" s="37"/>
    </row>
    <row r="37" ht="24.75" customHeight="1">
      <c r="A37" s="37"/>
      <c r="B37" s="38">
        <f>'Orcamento RU Viora Build'!C1690</f>
        <v>13</v>
      </c>
      <c r="C37" s="39"/>
      <c r="D37" s="40" t="str">
        <f>'Orcamento RU Viora Build'!D1690</f>
        <v>ОБОРУДОВАНИЕ КУХНИ И ПРАЧЕЧНОЙ</v>
      </c>
      <c r="I37" s="41"/>
      <c r="J37" s="420">
        <f>'Orcamento RU Viora Build'!H1690</f>
        <v>4262.83975</v>
      </c>
      <c r="K37" s="43"/>
      <c r="L37" s="43">
        <f t="shared" si="1"/>
        <v>10.85244336</v>
      </c>
      <c r="M37" s="37"/>
    </row>
    <row r="38" ht="24.75" customHeight="1">
      <c r="A38" s="37"/>
      <c r="B38" s="38">
        <f>'Orcamento RU Viora Build'!C1743</f>
        <v>14</v>
      </c>
      <c r="C38" s="39"/>
      <c r="D38" s="40" t="str">
        <f>'Orcamento RU Viora Build'!D1743</f>
        <v>ВНУТРЕННЯЯ СЕТЬ ВОДОСНАБЖЕНИЯ, БАССЕЙН </v>
      </c>
      <c r="I38" s="41"/>
      <c r="J38" s="420">
        <f>'Orcamento RU Viora Build'!H1743</f>
        <v>34663.2696</v>
      </c>
      <c r="K38" s="43"/>
      <c r="L38" s="43">
        <f t="shared" si="1"/>
        <v>88.24661303</v>
      </c>
      <c r="M38" s="37"/>
    </row>
    <row r="39" ht="24.75" customHeight="1">
      <c r="A39" s="37"/>
      <c r="B39" s="46">
        <f>'Orcamento RU Viora Build'!C1901</f>
        <v>15</v>
      </c>
      <c r="C39" s="39"/>
      <c r="D39" s="40" t="str">
        <f>'Orcamento RU Viora Build'!D1901</f>
        <v>ГАЗОВАЯ СЕТЬ</v>
      </c>
      <c r="I39" s="41"/>
      <c r="J39" s="420">
        <f>'Orcamento RU Viora Build'!H1901</f>
        <v>3640.671921</v>
      </c>
      <c r="K39" s="43"/>
      <c r="L39" s="43">
        <f t="shared" si="1"/>
        <v>9.268513036</v>
      </c>
      <c r="M39" s="37"/>
    </row>
    <row r="40" ht="24.75" customHeight="1">
      <c r="A40" s="2"/>
      <c r="B40" s="46">
        <f>'Orcamento RU Viora Build'!C1934</f>
        <v>16</v>
      </c>
      <c r="C40" s="39"/>
      <c r="D40" s="40" t="str">
        <f>'Orcamento RU Viora Build'!D1934</f>
        <v>ПОСТАВКА И МОНТАЖ ОБОРУДОВАНИЯ И СИСТЕМ КОНДИЦИОНИРОВАНИЯ И ПРОИЗВОДСТВА ГОРЯЧЕЙ САНИТАРНОЙ ВОДЫ</v>
      </c>
      <c r="I40" s="41"/>
      <c r="J40" s="420">
        <f>'Orcamento RU Viora Build'!H1934</f>
        <v>131227.3633</v>
      </c>
      <c r="K40" s="47"/>
      <c r="L40" s="43">
        <f t="shared" si="1"/>
        <v>334.0818821</v>
      </c>
      <c r="M40" s="2"/>
    </row>
    <row r="41" ht="24.75" customHeight="1">
      <c r="A41" s="37"/>
      <c r="B41" s="46">
        <f>'Orcamento RU Viora Build'!C2221</f>
        <v>17</v>
      </c>
      <c r="C41" s="39"/>
      <c r="D41" s="40" t="str">
        <f>'Orcamento RU Viora Build'!D2221</f>
        <v>ЭЛЕКТРИЧЕСКАЯ СЕТЬ</v>
      </c>
      <c r="I41" s="41"/>
      <c r="J41" s="420">
        <f>'Orcamento RU Viora Build'!H2221</f>
        <v>121063.371</v>
      </c>
      <c r="K41" s="43"/>
      <c r="L41" s="43">
        <f t="shared" si="1"/>
        <v>308.206138</v>
      </c>
      <c r="M41" s="37"/>
    </row>
    <row r="42" ht="24.75" customHeight="1">
      <c r="A42" s="2"/>
      <c r="B42" s="46">
        <f>'Orcamento RU Viora Build'!C2682</f>
        <v>18</v>
      </c>
      <c r="C42" s="39"/>
      <c r="D42" s="40" t="str">
        <f>'Orcamento RU Viora Build'!D2682</f>
        <v>ТЕЛЕКОММУНИКАЦИОННЫЕ УСТАНОВКИ ITED</v>
      </c>
      <c r="I42" s="41"/>
      <c r="J42" s="420">
        <f>'Orcamento RU Viora Build'!H2682</f>
        <v>9916.335</v>
      </c>
      <c r="K42" s="47"/>
      <c r="L42" s="43">
        <f t="shared" si="1"/>
        <v>25.24525204</v>
      </c>
      <c r="M42" s="2"/>
    </row>
    <row r="43" ht="24.75" customHeight="1">
      <c r="A43" s="2"/>
      <c r="B43" s="46">
        <f>'Orcamento RU Viora Build'!C2750</f>
        <v>19</v>
      </c>
      <c r="C43" s="39"/>
      <c r="D43" s="40" t="str">
        <f>'Orcamento RU Viora Build'!D2750</f>
        <v>ПОЛЫ, ПОКРЫТИЯ И СТРОИТЕЛЬНЫЕ ЭЛЕМЕНТЫ</v>
      </c>
      <c r="I43" s="41"/>
      <c r="J43" s="420">
        <f>'Orcamento RU Viora Build'!H2750</f>
        <v>25064.97041</v>
      </c>
      <c r="K43" s="47"/>
      <c r="L43" s="43">
        <f t="shared" si="1"/>
        <v>63.81102447</v>
      </c>
      <c r="M43" s="2"/>
    </row>
    <row r="44" ht="24.75" customHeight="1">
      <c r="A44" s="2"/>
      <c r="B44" s="46">
        <f>'Orcamento RU Viora Build'!C2819</f>
        <v>20</v>
      </c>
      <c r="C44" s="39"/>
      <c r="D44" s="40" t="str">
        <f>'Orcamento RU Viora Build'!D2819</f>
        <v>ОСВЕЩЕНИЕ - СВЕТОВЫЕ ТОЧКИ</v>
      </c>
      <c r="I44" s="41"/>
      <c r="J44" s="420">
        <f>'Orcamento RU Viora Build'!H2819</f>
        <v>0</v>
      </c>
      <c r="K44" s="47"/>
      <c r="L44" s="43">
        <f t="shared" si="1"/>
        <v>0</v>
      </c>
      <c r="M44" s="2"/>
    </row>
    <row r="45" ht="24.75" customHeight="1">
      <c r="A45" s="2"/>
      <c r="B45" s="46">
        <f>'Orcamento RU Viora Build'!C2840</f>
        <v>21</v>
      </c>
      <c r="C45" s="39"/>
      <c r="D45" s="40" t="str">
        <f>'Orcamento RU Viora Build'!D2840</f>
        <v>ОБОРУДОВАНИЕ</v>
      </c>
      <c r="I45" s="41"/>
      <c r="J45" s="420">
        <f>'Orcamento RU Viora Build'!H2840</f>
        <v>1396.226</v>
      </c>
      <c r="K45" s="47"/>
      <c r="L45" s="43">
        <f t="shared" si="1"/>
        <v>3.554546843</v>
      </c>
      <c r="M45" s="2"/>
    </row>
    <row r="46" ht="24.75" customHeight="1">
      <c r="A46" s="2"/>
      <c r="B46" s="46">
        <f>'Orcamento RU Viora Build'!C2852</f>
        <v>22</v>
      </c>
      <c r="C46" s="39"/>
      <c r="D46" s="40" t="str">
        <f>'Orcamento RU Viora Build'!D2852</f>
        <v>ПОСАДКИ И ПОСЕВЫ (ИСКЛЮЧЕН)</v>
      </c>
      <c r="I46" s="41"/>
      <c r="J46" s="420">
        <f>'Orcamento RU Viora Build'!H2852</f>
        <v>0</v>
      </c>
      <c r="K46" s="47"/>
      <c r="L46" s="43">
        <f t="shared" si="1"/>
        <v>0</v>
      </c>
      <c r="M46" s="2"/>
    </row>
    <row r="47" ht="24.75" customHeight="1">
      <c r="A47" s="2"/>
      <c r="B47" s="421">
        <f>'Orcamento RU Viora Build'!C2943</f>
        <v>23</v>
      </c>
      <c r="C47" s="39"/>
      <c r="D47" s="40" t="str">
        <f>'Orcamento RU Viora Build'!D2943</f>
        <v>ПОЛИВ (ИСКЛЮЧЕН)</v>
      </c>
      <c r="I47" s="41"/>
      <c r="J47" s="420">
        <f>'Orcamento RU Viora Build'!H2943</f>
        <v>0</v>
      </c>
      <c r="K47" s="47"/>
      <c r="L47" s="43">
        <f t="shared" si="1"/>
        <v>0</v>
      </c>
      <c r="M47" s="2"/>
    </row>
    <row r="48" ht="24.75" customHeight="1">
      <c r="A48" s="2"/>
      <c r="B48" s="421">
        <f>'Orcamento RU Viora Build'!C3014</f>
        <v>24</v>
      </c>
      <c r="C48" s="39"/>
      <c r="D48" s="40" t="str">
        <f>'Orcamento RU Viora Build'!D3014</f>
        <v>ОБСЛУЖИВАНИЕ ЗЕЛЕНЫХ ЗОН (ИСКЛЮЧЕН)</v>
      </c>
      <c r="I48" s="41"/>
      <c r="J48" s="420">
        <f>'Orcamento RU Viora Build'!H3014</f>
        <v>0</v>
      </c>
      <c r="K48" s="47"/>
      <c r="L48" s="43">
        <f t="shared" si="1"/>
        <v>0</v>
      </c>
      <c r="M48" s="2"/>
    </row>
    <row r="49" ht="24.75" customHeight="1">
      <c r="A49" s="2"/>
      <c r="B49" s="421">
        <f>'Orcamento RU Viora Build'!C3018</f>
        <v>25</v>
      </c>
      <c r="C49" s="39"/>
      <c r="D49" s="40" t="str">
        <f>'Orcamento RU Viora Build'!D3018</f>
        <v>БЛАГОУСТРОЙСТВО УЧАСТКА</v>
      </c>
      <c r="I49" s="41"/>
      <c r="J49" s="420">
        <f>'Orcamento RU Viora Build'!H3018</f>
        <v>44572.63071</v>
      </c>
      <c r="K49" s="47"/>
      <c r="L49" s="43">
        <f t="shared" si="1"/>
        <v>113.4741108</v>
      </c>
      <c r="M49" s="2"/>
    </row>
    <row r="50" ht="24.75" customHeight="1">
      <c r="A50" s="2"/>
      <c r="B50" s="421">
        <f>'Orcamento RU Viora Build'!C3123</f>
        <v>26</v>
      </c>
      <c r="C50" s="39"/>
      <c r="D50" s="40" t="str">
        <f>'Orcamento RU Viora Build'!D3123</f>
        <v>ПРОЧЕЕ</v>
      </c>
      <c r="I50" s="41"/>
      <c r="J50" s="420">
        <f>'Orcamento RU Viora Build'!H3123</f>
        <v>12030.2</v>
      </c>
      <c r="K50" s="47"/>
      <c r="L50" s="43">
        <f t="shared" si="1"/>
        <v>30.62678208</v>
      </c>
      <c r="M50" s="2"/>
    </row>
    <row r="51" ht="24.75" customHeight="1">
      <c r="A51" s="2"/>
      <c r="B51" s="421">
        <f>'Orcamento RU Viora Build'!C3167</f>
        <v>27</v>
      </c>
      <c r="C51" s="39"/>
      <c r="D51" s="40" t="str">
        <f>'Orcamento RU Viora Build'!D3167</f>
        <v>ВНУТРЕННЯЯ СЕТЬ БЫТОВЫХ И ДОЖДЕВЫХ СТОЧНЫХ ВОД</v>
      </c>
      <c r="E51" s="40"/>
      <c r="F51" s="40"/>
      <c r="G51" s="40"/>
      <c r="H51" s="40"/>
      <c r="I51" s="41"/>
      <c r="J51" s="420">
        <f>'Orcamento RU Viora Build'!H3167</f>
        <v>47244.96368</v>
      </c>
      <c r="K51" s="47"/>
      <c r="L51" s="43">
        <f t="shared" si="1"/>
        <v>120.2774025</v>
      </c>
      <c r="M51" s="2"/>
    </row>
    <row r="52" ht="24.75" customHeight="1">
      <c r="A52" s="2"/>
      <c r="B52" s="50"/>
      <c r="C52" s="50"/>
      <c r="D52" s="51"/>
      <c r="E52" s="51"/>
      <c r="F52" s="50"/>
      <c r="G52" s="50"/>
      <c r="H52" s="50"/>
      <c r="I52" s="50"/>
      <c r="J52" s="47"/>
      <c r="K52" s="47"/>
      <c r="L52" s="47"/>
      <c r="M52" s="2"/>
    </row>
    <row r="53" ht="24.75" customHeight="1">
      <c r="A53" s="2"/>
      <c r="B53" s="52" t="s">
        <v>14</v>
      </c>
      <c r="C53" s="10"/>
      <c r="D53" s="10"/>
      <c r="E53" s="10"/>
      <c r="F53" s="10"/>
      <c r="G53" s="10"/>
      <c r="H53" s="11"/>
      <c r="I53" s="53"/>
      <c r="J53" s="54">
        <f>SUM(J25:J51)</f>
        <v>1708318.893</v>
      </c>
      <c r="K53" s="47"/>
      <c r="L53" s="54">
        <f>+J53/$F$15</f>
        <v>4349.080684</v>
      </c>
      <c r="M53" s="2"/>
      <c r="O53" s="55"/>
    </row>
    <row r="54" ht="24.75" customHeight="1">
      <c r="A54" s="2"/>
      <c r="B54" s="53" t="s">
        <v>15</v>
      </c>
      <c r="I54" s="53"/>
      <c r="J54" s="56">
        <f>+J53*0.23</f>
        <v>392913.3453</v>
      </c>
      <c r="K54" s="57"/>
      <c r="L54" s="57"/>
      <c r="M54" s="2"/>
      <c r="O54" s="55"/>
    </row>
    <row r="55" ht="24.75" customHeight="1">
      <c r="A55" s="2"/>
      <c r="B55" s="53" t="s">
        <v>16</v>
      </c>
      <c r="I55" s="53"/>
      <c r="J55" s="56">
        <f>+J54+J53</f>
        <v>2101232.238</v>
      </c>
      <c r="K55" s="57"/>
      <c r="L55" s="57"/>
      <c r="M55" s="2"/>
      <c r="O55" s="55"/>
    </row>
    <row r="56" ht="3.0" customHeight="1">
      <c r="A56" s="2"/>
      <c r="B56" s="58"/>
      <c r="C56" s="58"/>
      <c r="D56" s="58"/>
      <c r="E56" s="58"/>
      <c r="F56" s="58"/>
      <c r="G56" s="58"/>
      <c r="H56" s="58"/>
      <c r="I56" s="50"/>
      <c r="J56" s="57"/>
      <c r="K56" s="57"/>
      <c r="L56" s="57"/>
      <c r="M56" s="2"/>
      <c r="O56" s="59"/>
    </row>
    <row r="57" ht="24.75" customHeight="1">
      <c r="A57" s="2"/>
      <c r="B57" s="52" t="s">
        <v>17</v>
      </c>
      <c r="C57" s="10"/>
      <c r="D57" s="10"/>
      <c r="E57" s="10"/>
      <c r="F57" s="10"/>
      <c r="G57" s="10"/>
      <c r="H57" s="11"/>
      <c r="I57" s="53"/>
      <c r="J57" s="54"/>
      <c r="K57" s="47"/>
      <c r="L57" s="54">
        <f>+J57/$F$19</f>
        <v>0</v>
      </c>
      <c r="M57" s="2"/>
      <c r="O57" s="55"/>
    </row>
    <row r="58" ht="24.75" customHeight="1">
      <c r="A58" s="2"/>
      <c r="B58" s="53" t="s">
        <v>15</v>
      </c>
      <c r="I58" s="53"/>
      <c r="J58" s="56">
        <f>+J57*0.23</f>
        <v>0</v>
      </c>
      <c r="K58" s="57"/>
      <c r="L58" s="57"/>
      <c r="M58" s="2"/>
      <c r="O58" s="55"/>
    </row>
    <row r="59" ht="24.75" customHeight="1">
      <c r="A59" s="2"/>
      <c r="B59" s="60" t="s">
        <v>16</v>
      </c>
      <c r="I59" s="60"/>
      <c r="J59" s="61">
        <f>+J58+J57</f>
        <v>0</v>
      </c>
      <c r="K59" s="62"/>
      <c r="L59" s="62"/>
      <c r="M59" s="2"/>
      <c r="O59" s="55"/>
    </row>
    <row r="60" ht="3.0" customHeight="1">
      <c r="A60" s="2"/>
      <c r="B60" s="63"/>
      <c r="C60" s="63"/>
      <c r="D60" s="63"/>
      <c r="E60" s="63"/>
      <c r="F60" s="63"/>
      <c r="G60" s="63"/>
      <c r="H60" s="63"/>
      <c r="I60" s="2"/>
      <c r="J60" s="62"/>
      <c r="K60" s="62"/>
      <c r="L60" s="62"/>
      <c r="M60" s="2"/>
      <c r="O60" s="59"/>
    </row>
    <row r="61" ht="24.75" customHeight="1">
      <c r="A61" s="2"/>
      <c r="B61" s="64" t="s">
        <v>18</v>
      </c>
      <c r="C61" s="10"/>
      <c r="D61" s="10"/>
      <c r="E61" s="10"/>
      <c r="F61" s="10"/>
      <c r="G61" s="10"/>
      <c r="H61" s="11"/>
      <c r="I61" s="60"/>
      <c r="J61" s="65">
        <f>J53+J57</f>
        <v>1708318.893</v>
      </c>
      <c r="K61" s="36"/>
      <c r="L61" s="62"/>
      <c r="M61" s="2"/>
      <c r="O61" s="55"/>
    </row>
    <row r="62" ht="24.75" customHeight="1">
      <c r="A62" s="2"/>
      <c r="B62" s="60" t="s">
        <v>15</v>
      </c>
      <c r="I62" s="60"/>
      <c r="J62" s="61">
        <f>+J61*0.23</f>
        <v>392913.3453</v>
      </c>
      <c r="K62" s="62"/>
      <c r="L62" s="62"/>
      <c r="M62" s="2"/>
      <c r="O62" s="55"/>
    </row>
    <row r="63" ht="24.75" customHeight="1">
      <c r="A63" s="2"/>
      <c r="B63" s="66" t="s">
        <v>16</v>
      </c>
      <c r="I63" s="66"/>
      <c r="J63" s="67">
        <f>+J62+J61</f>
        <v>2101232.238</v>
      </c>
      <c r="K63" s="62"/>
      <c r="L63" s="62"/>
      <c r="M63" s="2"/>
      <c r="O63" s="55"/>
    </row>
    <row r="64" ht="11.25" customHeight="1">
      <c r="A64" s="2"/>
      <c r="B64" s="2"/>
      <c r="C64" s="2"/>
      <c r="D64" s="2"/>
      <c r="E64" s="2"/>
      <c r="F64" s="2"/>
      <c r="G64" s="2"/>
      <c r="H64" s="2"/>
      <c r="I64" s="2"/>
      <c r="J64" s="2"/>
      <c r="K64" s="2"/>
      <c r="L64" s="2"/>
      <c r="M64" s="2"/>
    </row>
    <row r="65" ht="11.25" customHeight="1">
      <c r="A65" s="2"/>
      <c r="B65" s="2"/>
      <c r="C65" s="2"/>
      <c r="D65" s="2"/>
      <c r="E65" s="2"/>
      <c r="F65" s="2"/>
      <c r="G65" s="2"/>
      <c r="H65" s="2"/>
      <c r="I65" s="2"/>
      <c r="J65" s="2"/>
      <c r="K65" s="2"/>
      <c r="L65" s="2"/>
      <c r="M65" s="2"/>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B9:D9"/>
    <mergeCell ref="F9:L9"/>
    <mergeCell ref="B11:D11"/>
    <mergeCell ref="F11:L11"/>
    <mergeCell ref="B13:D13"/>
    <mergeCell ref="F13:L13"/>
    <mergeCell ref="F15:L15"/>
    <mergeCell ref="B15:D15"/>
    <mergeCell ref="B19:D19"/>
    <mergeCell ref="F19:L19"/>
    <mergeCell ref="B21:D21"/>
    <mergeCell ref="F21:L21"/>
    <mergeCell ref="D23:H23"/>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B57:H57"/>
    <mergeCell ref="B58:H58"/>
    <mergeCell ref="B59:H59"/>
    <mergeCell ref="B61:H61"/>
    <mergeCell ref="B62:H62"/>
    <mergeCell ref="B63:H63"/>
    <mergeCell ref="D47:H47"/>
    <mergeCell ref="D48:H48"/>
    <mergeCell ref="D49:H49"/>
    <mergeCell ref="D50:H50"/>
    <mergeCell ref="B53:H53"/>
    <mergeCell ref="B54:H54"/>
    <mergeCell ref="B55:H55"/>
  </mergeCells>
  <printOptions gridLines="1" horizontalCentered="1"/>
  <pageMargins bottom="0.75" footer="0.0" header="0.0" left="0.7" right="0.7" top="0.75"/>
  <pageSetup fitToWidth="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pageSetUpPr/>
  </sheetPr>
  <sheetViews>
    <sheetView showGridLines="0" workbookViewId="0"/>
  </sheetViews>
  <sheetFormatPr customHeight="1" defaultColWidth="12.63" defaultRowHeight="15.0" outlineLevelRow="3"/>
  <cols>
    <col customWidth="1" min="1" max="1" width="11.0"/>
    <col customWidth="1" hidden="1" min="2" max="2" width="8.88"/>
    <col customWidth="1" min="3" max="3" width="8.88"/>
    <col customWidth="1" min="4" max="4" width="69.5"/>
    <col customWidth="1" min="5" max="5" width="13.5"/>
    <col customWidth="1" min="6" max="6" width="9.75"/>
    <col customWidth="1" min="7" max="7" width="19.75"/>
    <col customWidth="1" min="8" max="8" width="19.63"/>
    <col customWidth="1" min="9" max="9" width="45.13"/>
    <col customWidth="1" min="10" max="14" width="11.0"/>
  </cols>
  <sheetData>
    <row r="1">
      <c r="A1" s="84" t="s">
        <v>5561</v>
      </c>
      <c r="B1" s="68" t="s">
        <v>1848</v>
      </c>
      <c r="C1" s="183" t="s">
        <v>1849</v>
      </c>
      <c r="D1" s="184" t="s">
        <v>11</v>
      </c>
      <c r="E1" s="84" t="s">
        <v>20</v>
      </c>
      <c r="F1" s="69" t="s">
        <v>21</v>
      </c>
      <c r="G1" s="185" t="s">
        <v>22</v>
      </c>
      <c r="H1" s="185" t="s">
        <v>23</v>
      </c>
      <c r="I1" s="186" t="s">
        <v>5562</v>
      </c>
    </row>
    <row r="2">
      <c r="A2" s="422"/>
      <c r="B2" s="75"/>
      <c r="C2" s="75"/>
      <c r="D2" s="187"/>
      <c r="E2" s="423"/>
      <c r="F2" s="75"/>
      <c r="G2" s="188"/>
      <c r="H2" s="188"/>
      <c r="I2" s="424" t="s">
        <v>5563</v>
      </c>
    </row>
    <row r="3">
      <c r="A3" s="422"/>
      <c r="C3" s="189"/>
      <c r="D3" s="190"/>
      <c r="E3" s="422"/>
      <c r="F3" s="79"/>
      <c r="G3" s="191"/>
      <c r="H3" s="191"/>
      <c r="I3" s="80"/>
    </row>
    <row r="4">
      <c r="A4" s="422"/>
      <c r="B4" s="184"/>
      <c r="C4" s="184">
        <v>1.0</v>
      </c>
      <c r="D4" s="184" t="s">
        <v>30</v>
      </c>
      <c r="E4" s="425" t="str">
        <f>H8</f>
        <v/>
      </c>
      <c r="F4" s="425"/>
      <c r="G4" s="425"/>
      <c r="H4" s="426">
        <f>SUM(H10:H52)</f>
        <v>2015</v>
      </c>
      <c r="I4" s="427">
        <f>H4-('Orcamento RU'!C4+'Orcamento RU'!C2206)</f>
        <v>-176195.4</v>
      </c>
    </row>
    <row r="5" outlineLevel="1">
      <c r="A5" s="422"/>
      <c r="B5" s="428"/>
      <c r="C5" s="429"/>
      <c r="D5" s="430"/>
      <c r="E5" s="431"/>
      <c r="F5" s="432"/>
      <c r="G5" s="433"/>
      <c r="H5" s="433"/>
      <c r="I5" s="434"/>
    </row>
    <row r="6" outlineLevel="1">
      <c r="A6" s="422"/>
      <c r="B6" s="428"/>
      <c r="C6" s="429"/>
      <c r="D6" s="435" t="s">
        <v>28</v>
      </c>
      <c r="E6" s="431"/>
      <c r="F6" s="432"/>
      <c r="G6" s="436">
        <f>SUM(H10:H38)</f>
        <v>2015</v>
      </c>
      <c r="H6" s="433"/>
      <c r="I6" s="434"/>
    </row>
    <row r="7" outlineLevel="2">
      <c r="A7" s="422"/>
      <c r="B7" s="428"/>
      <c r="C7" s="429"/>
      <c r="D7" s="430"/>
      <c r="E7" s="431"/>
      <c r="F7" s="432"/>
      <c r="G7" s="433"/>
      <c r="H7" s="433"/>
      <c r="I7" s="434"/>
    </row>
    <row r="8" outlineLevel="2">
      <c r="A8" s="422"/>
      <c r="B8" s="437" t="s">
        <v>5564</v>
      </c>
      <c r="C8" s="198">
        <v>1.1</v>
      </c>
      <c r="D8" s="199" t="s">
        <v>32</v>
      </c>
      <c r="E8" s="437"/>
      <c r="F8" s="428"/>
      <c r="G8" s="433"/>
      <c r="H8" s="438"/>
      <c r="I8" s="439"/>
    </row>
    <row r="9" outlineLevel="2">
      <c r="A9" s="422"/>
      <c r="B9" s="428"/>
      <c r="C9" s="429"/>
      <c r="D9" s="201"/>
      <c r="E9" s="431"/>
      <c r="F9" s="432"/>
      <c r="G9" s="433"/>
      <c r="H9" s="433"/>
      <c r="I9" s="434"/>
    </row>
    <row r="10" outlineLevel="2">
      <c r="A10" s="422" t="str">
        <f>'Master List'!A463</f>
        <v>W-PRE-001</v>
      </c>
      <c r="B10" s="437" t="s">
        <v>5565</v>
      </c>
      <c r="C10" s="198" t="s">
        <v>31</v>
      </c>
      <c r="D10" s="440" t="str">
        <f>VLOOKUP(A10,'Master List'!$A$1:$C$1192,2,FALSE)</f>
        <v>Поставка и установка, обслуживание и демонтаж ограждения вокруг участка с непрозрачными панелями из профилированного оцинкованного стального листа толщиной 0,6 мм, с ребрами высотой от 40 до 50 мм, расположенными на расстоянии от 250 до 270 мм, и профилями в S из согнутого оцинкованного стального листа размером 102x33x1,5 мм, с отделкой сендзимир, длиной 2,8 м, закрепленными в земле с помощью кубов бетона C20/25 XC0 Cl0.40 Dmax 25mm S2 размером 102x33x1,5 см, каждые 2,0 м, включая все работы и материалы, которые к ним относятся.</v>
      </c>
      <c r="E10" s="441" t="str">
        <f>VLOOKUP(A10,'Master List'!$A$1:$C$1192,3,FALSE)</f>
        <v>м</v>
      </c>
      <c r="F10" s="204">
        <v>0.0</v>
      </c>
      <c r="G10" s="441">
        <f>VLOOKUP(A10,'Master List'!$A$4:$F2715,5,FALSE)</f>
        <v>106750.8</v>
      </c>
      <c r="H10" s="206">
        <f>G10*F10</f>
        <v>0</v>
      </c>
      <c r="I10" s="219" t="s">
        <v>5566</v>
      </c>
    </row>
    <row r="11" outlineLevel="2">
      <c r="A11" s="422"/>
      <c r="B11" s="208"/>
      <c r="C11" s="209"/>
      <c r="D11" s="210"/>
      <c r="E11" s="442"/>
      <c r="F11" s="211"/>
      <c r="G11" s="212"/>
      <c r="H11" s="212"/>
      <c r="I11" s="213"/>
    </row>
    <row r="12" outlineLevel="2">
      <c r="A12" s="422" t="str">
        <f>'Master List'!A464</f>
        <v>W-PRE-002</v>
      </c>
      <c r="B12" s="437" t="s">
        <v>5567</v>
      </c>
      <c r="C12" s="198" t="s">
        <v>1572</v>
      </c>
      <c r="D12" s="440" t="str">
        <f>VLOOKUP(A12,'Master List'!$A$1:$C$1192,2,FALSE)</f>
        <v>Поставка и монтаж, обслуживание и разборка раздвижных ворот для доступа транспортных средств из оцинкованной стали из двух створок с приблизительными размерами 4,0x2,0м с защелкой для замка и фурнитурой для крепления к полу, установленные в временном ограждении территории, закрепленные с помощью столбов из того же материала, анкерованных в грунте с помощью бетонных кубов C20/25 XC0 Cl0.40 Dmáx 25mm S2, включая все работы и материалы, связанные с этим.</v>
      </c>
      <c r="E12" s="441" t="str">
        <f>VLOOKUP(A12,'Master List'!$A$1:$C$1192,3,FALSE)</f>
        <v>шт</v>
      </c>
      <c r="F12" s="214">
        <v>1.0</v>
      </c>
      <c r="G12" s="441">
        <f>VLOOKUP(A12,'Master List'!$A$4:$F2717,5,FALSE)</f>
        <v>1560</v>
      </c>
      <c r="H12" s="206">
        <f>G12*F12</f>
        <v>1560</v>
      </c>
      <c r="I12" s="215"/>
    </row>
    <row r="13" outlineLevel="2">
      <c r="A13" s="422"/>
      <c r="B13" s="208"/>
      <c r="C13" s="216"/>
      <c r="D13" s="210"/>
      <c r="E13" s="442"/>
      <c r="F13" s="211"/>
      <c r="G13" s="212"/>
      <c r="H13" s="212"/>
      <c r="I13" s="213"/>
    </row>
    <row r="14" outlineLevel="2">
      <c r="A14" s="422" t="str">
        <f>'Master List'!A465</f>
        <v>W-PRE-003</v>
      </c>
      <c r="B14" s="437" t="s">
        <v>5568</v>
      </c>
      <c r="C14" s="198" t="s">
        <v>1866</v>
      </c>
      <c r="D14" s="440" t="str">
        <f>VLOOKUP(A14,'Master List'!$A$1:$C$1192,2,FALSE)</f>
        <v>Поставка и установка информационного щита, рекламирующего строительство, включая все работы и материалы, относящиеся к этому.</v>
      </c>
      <c r="E14" s="441" t="str">
        <f>VLOOKUP(A14,'Master List'!$A$1:$C$1192,3,FALSE)</f>
        <v>шт</v>
      </c>
      <c r="F14" s="214">
        <v>1.0</v>
      </c>
      <c r="G14" s="441">
        <f>VLOOKUP(A14,'Master List'!$A$4:$F2719,5,FALSE)</f>
        <v>455</v>
      </c>
      <c r="H14" s="206">
        <f>G14*F14</f>
        <v>455</v>
      </c>
      <c r="I14" s="215"/>
    </row>
    <row r="15" outlineLevel="2">
      <c r="A15" s="422"/>
      <c r="B15" s="208"/>
      <c r="C15" s="217"/>
      <c r="D15" s="218"/>
      <c r="E15" s="442"/>
      <c r="F15" s="211"/>
      <c r="G15" s="212"/>
      <c r="H15" s="212"/>
      <c r="I15" s="213"/>
    </row>
    <row r="16" outlineLevel="2">
      <c r="A16" s="422" t="str">
        <f>'Master List'!A466</f>
        <v>W-PRE-004</v>
      </c>
      <c r="B16" s="437" t="s">
        <v>5569</v>
      </c>
      <c r="C16" s="198" t="s">
        <v>1869</v>
      </c>
      <c r="D16" s="440" t="str">
        <f>VLOOKUP(A16,'Master List'!$A$1:$C$1192,2,FALSE)</f>
        <v>Поставка и выполнение первичных сетей электричества, воды и канализации, включая ежемесячное потребление в течение всего срока выполнения работ до предварительного приемки, включая связанные работы и материалы.</v>
      </c>
      <c r="E16" s="441" t="str">
        <f>VLOOKUP(A16,'Master List'!$A$1:$C$1192,3,FALSE)</f>
        <v>міс</v>
      </c>
      <c r="F16" s="214">
        <v>18.0</v>
      </c>
      <c r="G16" s="441">
        <f>VLOOKUP(A16,'Master List'!$A$4:$F2721,5,FALSE)</f>
        <v>0</v>
      </c>
      <c r="H16" s="206">
        <f>G16*F16</f>
        <v>0</v>
      </c>
      <c r="I16" s="219" t="s">
        <v>5570</v>
      </c>
    </row>
    <row r="17" outlineLevel="2">
      <c r="A17" s="422"/>
      <c r="B17" s="208"/>
      <c r="C17" s="217"/>
      <c r="D17" s="218"/>
      <c r="E17" s="442"/>
      <c r="F17" s="211"/>
      <c r="G17" s="212"/>
      <c r="H17" s="212"/>
      <c r="I17" s="213"/>
    </row>
    <row r="18" outlineLevel="2">
      <c r="A18" s="422" t="str">
        <f>'Master List'!A467</f>
        <v>W-PRE-005</v>
      </c>
      <c r="B18" s="437" t="s">
        <v>5571</v>
      </c>
      <c r="C18" s="198" t="s">
        <v>1874</v>
      </c>
      <c r="D18" s="440" t="str">
        <f>VLOOKUP(A18,'Master List'!$A$1:$C$1192,2,FALSE)</f>
        <v>Поставка и монтаж офисного модуля размером 6,0x3,0 м для строительных совещаний, установленного на выровненной основе из щебня, с туалетом и кондиционером, включая заземление и все сопутствующие работы и материалы.</v>
      </c>
      <c r="E18" s="441" t="str">
        <f>VLOOKUP(A18,'Master List'!$A$1:$C$1192,3,FALSE)</f>
        <v>шт</v>
      </c>
      <c r="F18" s="214">
        <v>1.0</v>
      </c>
      <c r="G18" s="441">
        <f>VLOOKUP(A18,'Master List'!$A$4:$F2723,5,FALSE)</f>
        <v>0</v>
      </c>
      <c r="H18" s="206">
        <f>G18*F18</f>
        <v>0</v>
      </c>
      <c r="I18" s="219" t="s">
        <v>5572</v>
      </c>
    </row>
    <row r="19" outlineLevel="2">
      <c r="A19" s="422"/>
      <c r="B19" s="208"/>
      <c r="C19" s="217"/>
      <c r="D19" s="218"/>
      <c r="E19" s="442"/>
      <c r="F19" s="211"/>
      <c r="G19" s="220"/>
      <c r="H19" s="220"/>
      <c r="I19" s="221"/>
    </row>
    <row r="20" outlineLevel="2">
      <c r="A20" s="422" t="str">
        <f>'Master List'!A468</f>
        <v>W-PRE-006</v>
      </c>
      <c r="B20" s="437" t="s">
        <v>5573</v>
      </c>
      <c r="C20" s="198" t="s">
        <v>1878</v>
      </c>
      <c r="D20" s="440" t="str">
        <f>VLOOKUP(A20,'Master List'!$A$1:$C$1192,2,FALSE)</f>
        <v>Поставка и монтаж модуля общего инструмента размером 3,0x2,40 м типа морского контейнера, установленного на выровненной основе из щебня, включая все работы и материалы, связанные с этим.</v>
      </c>
      <c r="E20" s="441" t="str">
        <f>VLOOKUP(A20,'Master List'!$A$1:$C$1192,3,FALSE)</f>
        <v>шт</v>
      </c>
      <c r="F20" s="214">
        <v>1.0</v>
      </c>
      <c r="G20" s="441">
        <f>VLOOKUP(A20,'Master List'!$A$4:$F2725,5,FALSE)</f>
        <v>0</v>
      </c>
      <c r="H20" s="206">
        <f>G20*F20</f>
        <v>0</v>
      </c>
      <c r="I20" s="219"/>
    </row>
    <row r="21" outlineLevel="2">
      <c r="A21" s="422"/>
      <c r="B21" s="222"/>
      <c r="C21" s="217"/>
      <c r="D21" s="218"/>
      <c r="E21" s="442"/>
      <c r="F21" s="211"/>
      <c r="G21" s="212"/>
      <c r="H21" s="212"/>
      <c r="I21" s="213"/>
    </row>
    <row r="22" outlineLevel="2">
      <c r="A22" s="422" t="str">
        <f>'Master List'!A469</f>
        <v>W-PRE-007</v>
      </c>
      <c r="B22" s="437" t="s">
        <v>5574</v>
      </c>
      <c r="C22" s="198" t="s">
        <v>1881</v>
      </c>
      <c r="D22" s="440" t="str">
        <f>VLOOKUP(A22,'Master List'!$A$1:$C$1192,2,FALSE)</f>
        <v>Поставка и установка портативного санитарного блока из полиэтилена размером 1,20x1,20x2,35м серого цвета или другого, без подключений, с анаэробным химическим туалетом с системой сброса на ножном приводе, зеркалом, дверью с замком и полупрозрачным потолком для пропуска внешнего света, включая еженедельную уборку и все сопутствующие работы и материалы.</v>
      </c>
      <c r="E22" s="441" t="str">
        <f>VLOOKUP(A22,'Master List'!$A$1:$C$1192,3,FALSE)</f>
        <v>міс</v>
      </c>
      <c r="F22" s="214">
        <v>18.0</v>
      </c>
      <c r="G22" s="441">
        <f>VLOOKUP(A22,'Master List'!$A$4:$F2727,5,FALSE)</f>
        <v>0</v>
      </c>
      <c r="H22" s="206">
        <f>G22*F22</f>
        <v>0</v>
      </c>
      <c r="I22" s="219"/>
    </row>
    <row r="23" outlineLevel="2">
      <c r="A23" s="422"/>
      <c r="B23" s="222"/>
      <c r="C23" s="209"/>
      <c r="D23" s="218"/>
      <c r="E23" s="443"/>
      <c r="F23" s="223"/>
      <c r="G23" s="224"/>
      <c r="H23" s="224"/>
      <c r="I23" s="225"/>
    </row>
    <row r="24" outlineLevel="2">
      <c r="A24" s="422" t="str">
        <f>'Master List'!A470</f>
        <v>W-PRE-008</v>
      </c>
      <c r="B24" s="437" t="s">
        <v>5575</v>
      </c>
      <c r="C24" s="198" t="s">
        <v>1884</v>
      </c>
      <c r="D24" s="440" t="str">
        <f>VLOOKUP(A24,'Master List'!$A$1:$C$1192,2,FALSE)</f>
        <v>Поставка и выполнение топографической разбивки через специализированного техника уровней установки строительства, включая бассейн и границы, а также все работы и материалы, связанные с этим.</v>
      </c>
      <c r="E24" s="441" t="str">
        <f>VLOOKUP(A24,'Master List'!$A$1:$C$1192,3,FALSE)</f>
        <v>шт</v>
      </c>
      <c r="F24" s="214">
        <v>1.0</v>
      </c>
      <c r="G24" s="441">
        <f>VLOOKUP(A24,'Master List'!$A$4:$F2729,5,FALSE)</f>
        <v>0</v>
      </c>
      <c r="H24" s="206">
        <f>G24*F24</f>
        <v>0</v>
      </c>
      <c r="I24" s="219"/>
    </row>
    <row r="25" outlineLevel="2">
      <c r="A25" s="422"/>
      <c r="B25" s="222"/>
      <c r="C25" s="217"/>
      <c r="D25" s="218"/>
      <c r="E25" s="443"/>
      <c r="F25" s="223"/>
      <c r="G25" s="224"/>
      <c r="H25" s="224"/>
      <c r="I25" s="225"/>
    </row>
    <row r="26" outlineLevel="2">
      <c r="A26" s="422" t="str">
        <f>'Master List'!A471</f>
        <v>W-PRE-009</v>
      </c>
      <c r="B26" s="437" t="s">
        <v>5576</v>
      </c>
      <c r="C26" s="198" t="s">
        <v>1887</v>
      </c>
      <c r="D26" s="440" t="str">
        <f>VLOOKUP(A26,'Master List'!$A$1:$C$1192,2,FALSE)</f>
        <v>Поставка и монтаж строительных лесов из стандартных труб, многофункционального типа, высотой до 9 м, состоящих из стальной трубной конструкции из горячекатаной оцинкованной стали диаметром 48,3 мм и толщиной 3,2 мм, без дублирования вертикальных элементов, состоящих из рабочих платформ шириной 60 см, размещенных каждые 2 м по высоте, внутренней лестницы с люком, задних ограждений с двумя перекладинами и нижней планкой, и передних ограждений с одной перекладиной, для выполнения фасада(ов) с конструктивными элементами (крытые и открытые террасы, карнизы и другие и т. д.), размещенными на более чем 50% их периметра и выступающими более чем на 30 см от плоскости фасада. Примечание (1): строительные леса должны полностью соответствовать действующему законодательству, в частности, EN 12811 и EN 12810.</v>
      </c>
      <c r="E26" s="441" t="str">
        <f>VLOOKUP(A26,'Master List'!$A$1:$C$1192,3,FALSE)</f>
        <v>міс</v>
      </c>
      <c r="F26" s="214">
        <v>18.0</v>
      </c>
      <c r="G26" s="441">
        <f>VLOOKUP(A26,'Master List'!$A$4:$F2731,5,FALSE)</f>
        <v>0</v>
      </c>
      <c r="H26" s="206">
        <f>G26*F26</f>
        <v>0</v>
      </c>
      <c r="I26" s="219" t="s">
        <v>5577</v>
      </c>
    </row>
    <row r="27" outlineLevel="2">
      <c r="A27" s="422"/>
      <c r="B27" s="222"/>
      <c r="C27" s="217"/>
      <c r="D27" s="218"/>
      <c r="E27" s="442"/>
      <c r="F27" s="211"/>
      <c r="G27" s="212"/>
      <c r="H27" s="212"/>
      <c r="I27" s="213"/>
    </row>
    <row r="28" outlineLevel="2">
      <c r="A28" s="422" t="str">
        <f>'Master List'!A472</f>
        <v>W-PRE-010</v>
      </c>
      <c r="B28" s="437" t="s">
        <v>5578</v>
      </c>
      <c r="C28" s="198" t="s">
        <v>1891</v>
      </c>
      <c r="D28" s="440" t="str">
        <f>VLOOKUP(A28,'Master List'!$A$1:$C$1192,2,FALSE)</f>
        <v>Поставка, выполнение и внедрение/адаптация плана безопасности и здоровья (ПБЗ) на этапе строительства, включая все работы и материалы, связанные с этим.</v>
      </c>
      <c r="E28" s="441" t="str">
        <f>VLOOKUP(A28,'Master List'!$A$1:$C$1192,3,FALSE)</f>
        <v>міс</v>
      </c>
      <c r="F28" s="214">
        <v>18.0</v>
      </c>
      <c r="G28" s="441">
        <f>VLOOKUP(A28,'Master List'!$A$4:$F2733,5,FALSE)</f>
        <v>0</v>
      </c>
      <c r="H28" s="206">
        <f>G28*F28</f>
        <v>0</v>
      </c>
      <c r="I28" s="219" t="s">
        <v>5579</v>
      </c>
    </row>
    <row r="29" outlineLevel="2">
      <c r="A29" s="422"/>
      <c r="B29" s="222"/>
      <c r="C29" s="209"/>
      <c r="D29" s="218"/>
      <c r="E29" s="442"/>
      <c r="F29" s="211"/>
      <c r="G29" s="212"/>
      <c r="H29" s="212"/>
      <c r="I29" s="213"/>
    </row>
    <row r="30" outlineLevel="2">
      <c r="A30" s="422" t="str">
        <f>'Master List'!A473</f>
        <v>W-PRE-011</v>
      </c>
      <c r="B30" s="437" t="s">
        <v>5580</v>
      </c>
      <c r="C30" s="198" t="s">
        <v>1895</v>
      </c>
      <c r="D30" s="440" t="str">
        <f>VLOOKUP(A30,'Master List'!$A$1:$C$1192,2,FALSE)</f>
        <v>Поставка, выполнение и внедрение/адаптация плана управления отходами (ПГО), его классификация (ЛЕР), сортировка и разделение на его перерабатываемые компоненты и соответствующая утилизация или транспортировка в зоны переработки и к уполномоченным и лицензированным операторам, в соответствии с действующим законодательством.</v>
      </c>
      <c r="E30" s="441" t="str">
        <f>VLOOKUP(A30,'Master List'!$A$1:$C$1192,3,FALSE)</f>
        <v>міс</v>
      </c>
      <c r="F30" s="214">
        <v>18.0</v>
      </c>
      <c r="G30" s="441">
        <f>VLOOKUP(A30,'Master List'!$A$4:$F2735,5,FALSE)</f>
        <v>0</v>
      </c>
      <c r="H30" s="206">
        <f>G30*F30</f>
        <v>0</v>
      </c>
      <c r="I30" s="219" t="s">
        <v>5570</v>
      </c>
    </row>
    <row r="31" outlineLevel="2">
      <c r="A31" s="422"/>
      <c r="B31" s="208"/>
      <c r="C31" s="217"/>
      <c r="D31" s="218"/>
      <c r="E31" s="442"/>
      <c r="F31" s="211"/>
      <c r="G31" s="212"/>
      <c r="H31" s="212"/>
      <c r="I31" s="213"/>
    </row>
    <row r="32" outlineLevel="2">
      <c r="A32" s="422" t="str">
        <f>'Master List'!A474</f>
        <v>W-PRE-012</v>
      </c>
      <c r="B32" s="437" t="s">
        <v>5581</v>
      </c>
      <c r="C32" s="198" t="s">
        <v>1898</v>
      </c>
      <c r="D32" s="440" t="str">
        <f>VLOOKUP(A32,'Master List'!$A$1:$C$1192,2,FALSE)</f>
        <v>Подготовка и передача владельцу строительного проекта технической компиляции работ, которая включает полезные элементы, которые следует учитывать при их будущем использовании, а также работы, выполняемые после их завершения для сохранения безопасности и здоровья тех, кто их выполняет, в соответствии с положениями статьи 16 Декрета-Закона № 273/2003 от 29 октября, с учетом итоговых чертежей всех специальностей на бумажном и цифровом носителе, всех исследований, проектов, сопутствующей и связанной документации.</v>
      </c>
      <c r="E32" s="441" t="str">
        <f>VLOOKUP(A32,'Master List'!$A$1:$C$1192,3,FALSE)</f>
        <v>шт</v>
      </c>
      <c r="F32" s="214">
        <v>1.0</v>
      </c>
      <c r="G32" s="441">
        <f>VLOOKUP(A32,'Master List'!$A$4:$F2737,5,FALSE)</f>
        <v>0</v>
      </c>
      <c r="H32" s="206">
        <f>G32*F32</f>
        <v>0</v>
      </c>
      <c r="I32" s="219" t="s">
        <v>5582</v>
      </c>
    </row>
    <row r="33" outlineLevel="2">
      <c r="A33" s="422"/>
      <c r="B33" s="208"/>
      <c r="C33" s="209"/>
      <c r="D33" s="218"/>
      <c r="E33" s="442"/>
      <c r="F33" s="211"/>
      <c r="G33" s="212"/>
      <c r="H33" s="212"/>
      <c r="I33" s="226"/>
    </row>
    <row r="34" outlineLevel="2">
      <c r="A34" s="422" t="str">
        <f>'Master List'!A475</f>
        <v>W-PRE-013</v>
      </c>
      <c r="B34" s="437" t="s">
        <v>5583</v>
      </c>
      <c r="C34" s="198" t="s">
        <v>1902</v>
      </c>
      <c r="D34" s="440" t="str">
        <f>VLOOKUP(A34,'Master List'!$A$1:$C$1192,2,FALSE)</f>
        <v>Обеспечение и координация человеческих и материальных ресурсов, необходимых для уборки и обслуживания строительной площадки, включая установку всего оборудования безопасности, такого как ограждения и линии жизни и т.д., все в соответствии с действующим законодательством.</v>
      </c>
      <c r="E34" s="441" t="str">
        <f>VLOOKUP(A34,'Master List'!$A$1:$C$1192,3,FALSE)</f>
        <v>міс</v>
      </c>
      <c r="F34" s="214">
        <v>18.0</v>
      </c>
      <c r="G34" s="441">
        <f>VLOOKUP(A34,'Master List'!$A$4:$F2739,5,FALSE)</f>
        <v>0</v>
      </c>
      <c r="H34" s="206">
        <f>G34*F34</f>
        <v>0</v>
      </c>
      <c r="I34" s="219"/>
    </row>
    <row r="35" outlineLevel="2">
      <c r="A35" s="422"/>
      <c r="B35" s="208"/>
      <c r="C35" s="217"/>
      <c r="D35" s="218"/>
      <c r="E35" s="442"/>
      <c r="F35" s="211"/>
      <c r="G35" s="212"/>
      <c r="H35" s="212"/>
      <c r="I35" s="226"/>
    </row>
    <row r="36" outlineLevel="2">
      <c r="A36" s="422" t="str">
        <f>'Master List'!A476</f>
        <v>W-PRE-014</v>
      </c>
      <c r="B36" s="437" t="s">
        <v>5584</v>
      </c>
      <c r="C36" s="198" t="s">
        <v>1905</v>
      </c>
      <c r="D36" s="440" t="str">
        <f>VLOOKUP(A36,'Master List'!$A$1:$C$1192,2,FALSE)</f>
        <v>Поставка специализированного персонала, а именно директора проекта (гражданский инженер), главного прораба, подготовителя проекта.</v>
      </c>
      <c r="E36" s="441" t="str">
        <f>VLOOKUP(A36,'Master List'!$A$1:$C$1192,3,FALSE)</f>
        <v>міс</v>
      </c>
      <c r="F36" s="214">
        <v>18.0</v>
      </c>
      <c r="G36" s="441">
        <f>VLOOKUP(A36,'Master List'!$A$4:$F2741,5,FALSE)</f>
        <v>0</v>
      </c>
      <c r="H36" s="206">
        <f>G36*F36</f>
        <v>0</v>
      </c>
      <c r="I36" s="219"/>
    </row>
    <row r="37" outlineLevel="2">
      <c r="A37" s="422"/>
      <c r="B37" s="208"/>
      <c r="C37" s="217"/>
      <c r="D37" s="218"/>
      <c r="E37" s="442"/>
      <c r="F37" s="211"/>
      <c r="G37" s="212"/>
      <c r="H37" s="212"/>
      <c r="I37" s="226"/>
    </row>
    <row r="38" outlineLevel="2">
      <c r="A38" s="422" t="str">
        <f>'Master List'!A477</f>
        <v>W-PRE-015</v>
      </c>
      <c r="B38" s="437" t="s">
        <v>5585</v>
      </c>
      <c r="C38" s="198" t="s">
        <v>1908</v>
      </c>
      <c r="D38" s="440" t="str">
        <f>VLOOKUP(A38,'Master List'!$A$1:$C$1192,2,FALSE)</f>
        <v>Поставка и установка оборудования и материалов безопасности, расположенных в видимых местах, включая все работы и материалы, связанные с этим.</v>
      </c>
      <c r="E38" s="441" t="str">
        <f>VLOOKUP(A38,'Master List'!$A$1:$C$1192,3,FALSE)</f>
        <v>шт</v>
      </c>
      <c r="F38" s="214">
        <v>1.0</v>
      </c>
      <c r="G38" s="441">
        <f>VLOOKUP(A38,'Master List'!$A$4:$F2743,5,FALSE)</f>
        <v>0</v>
      </c>
      <c r="H38" s="206">
        <f>G38*F38</f>
        <v>0</v>
      </c>
      <c r="I38" s="219"/>
    </row>
    <row r="39" outlineLevel="2">
      <c r="A39" s="422"/>
      <c r="B39" s="208"/>
      <c r="C39" s="217"/>
      <c r="D39" s="218"/>
      <c r="E39" s="442"/>
      <c r="F39" s="211"/>
      <c r="G39" s="212"/>
      <c r="H39" s="212"/>
      <c r="I39" s="226"/>
    </row>
    <row r="40" outlineLevel="1">
      <c r="A40" s="422"/>
      <c r="B40" s="222"/>
      <c r="C40" s="217"/>
      <c r="D40" s="435" t="s">
        <v>5586</v>
      </c>
      <c r="E40" s="442"/>
      <c r="F40" s="211"/>
      <c r="G40" s="436">
        <f>SUM(H42:H52)</f>
        <v>0</v>
      </c>
      <c r="H40" s="212"/>
      <c r="I40" s="226"/>
    </row>
    <row r="41" outlineLevel="2">
      <c r="A41" s="422"/>
      <c r="B41" s="222"/>
      <c r="C41" s="217"/>
      <c r="D41" s="428"/>
      <c r="E41" s="442"/>
      <c r="F41" s="211"/>
      <c r="G41" s="212"/>
      <c r="H41" s="212"/>
      <c r="I41" s="226"/>
    </row>
    <row r="42" outlineLevel="2">
      <c r="A42" s="422" t="str">
        <f>'Master List'!A478</f>
        <v>W-PRE-016</v>
      </c>
      <c r="B42" s="208"/>
      <c r="C42" s="198" t="s">
        <v>1911</v>
      </c>
      <c r="D42" s="440" t="str">
        <f>VLOOKUP(A42,'Master List'!$A$1:$C$1192,2,FALSE)</f>
        <v>Поставка и выполнение земляных работ на любом типе грунта для основания крана, включая укладку земли в хранилище для насыпей, уплотнение и выравнивание основания рабочей платформы, а также все работы и материалы, связанные с этим.</v>
      </c>
      <c r="E42" s="441" t="str">
        <f>VLOOKUP(A42,'Master List'!$A$1:$C$1192,3,FALSE)</f>
        <v>шт</v>
      </c>
      <c r="F42" s="214">
        <v>1.0</v>
      </c>
      <c r="G42" s="441">
        <f>VLOOKUP(A42,'Master List'!$A$4:$F2747,5,FALSE)</f>
        <v>0</v>
      </c>
      <c r="H42" s="206">
        <f>G42*F42</f>
        <v>0</v>
      </c>
      <c r="I42" s="219" t="s">
        <v>5587</v>
      </c>
    </row>
    <row r="43" outlineLevel="2">
      <c r="A43" s="422"/>
      <c r="B43" s="222"/>
      <c r="C43" s="217"/>
      <c r="D43" s="218"/>
      <c r="E43" s="443"/>
      <c r="F43" s="223"/>
      <c r="G43" s="224"/>
      <c r="H43" s="224"/>
      <c r="I43" s="227"/>
    </row>
    <row r="44" outlineLevel="2">
      <c r="A44" s="422" t="str">
        <f>'Master List'!A479</f>
        <v>W-PRE-017</v>
      </c>
      <c r="B44" s="222"/>
      <c r="C44" s="198" t="s">
        <v>1914</v>
      </c>
      <c r="D44" s="440" t="str">
        <f>VLOOKUP(A44,'Master List'!$A$1:$C$1192,2,FALSE)</f>
        <v>Поставка и выполнение элементов бетонной конструкции типа C25/30 XC2(P) Dmáx 20mm S3, изготовленных, транспортированных и уложенных на объекте в соответствии с NP EN 206-1 и NP ENV 13670-1 для основания установки крана, включая выполнение опалубки и арматур из стали типа A500NR SD и все работы, необходимые для качественной отделки, всё в соответствии с проектом устойчивости, включая все работы и материалы, связанные с этим. Примечание (1): необходимо учитывать демонтаж фундамента крана.</v>
      </c>
      <c r="E44" s="441" t="str">
        <f>VLOOKUP(A44,'Master List'!$A$1:$C$1192,3,FALSE)</f>
        <v>шт</v>
      </c>
      <c r="F44" s="214">
        <v>1.0</v>
      </c>
      <c r="G44" s="441">
        <f>VLOOKUP(A44,'Master List'!$A$4:$F2749,5,FALSE)</f>
        <v>0</v>
      </c>
      <c r="H44" s="206">
        <f>G44*F44</f>
        <v>0</v>
      </c>
      <c r="I44" s="219"/>
    </row>
    <row r="45" outlineLevel="2">
      <c r="A45" s="422"/>
      <c r="B45" s="208"/>
      <c r="C45" s="217"/>
      <c r="D45" s="218"/>
      <c r="E45" s="442"/>
      <c r="F45" s="211"/>
      <c r="G45" s="212"/>
      <c r="H45" s="212"/>
      <c r="I45" s="226"/>
    </row>
    <row r="46" outlineLevel="2">
      <c r="A46" s="422"/>
      <c r="B46" s="222"/>
      <c r="C46" s="198" t="s">
        <v>1916</v>
      </c>
      <c r="D46" s="202" t="s">
        <v>5588</v>
      </c>
      <c r="E46" s="444" t="s">
        <v>33</v>
      </c>
      <c r="F46" s="214">
        <v>1.0</v>
      </c>
      <c r="G46" s="205"/>
      <c r="H46" s="206"/>
      <c r="I46" s="219"/>
    </row>
    <row r="47" outlineLevel="3">
      <c r="A47" s="422"/>
      <c r="B47" s="208"/>
      <c r="C47" s="216"/>
      <c r="D47" s="210"/>
      <c r="E47" s="442"/>
      <c r="F47" s="211"/>
      <c r="G47" s="212"/>
      <c r="H47" s="212"/>
      <c r="I47" s="226"/>
    </row>
    <row r="48" outlineLevel="3">
      <c r="A48" s="422" t="str">
        <f>'Master List'!A480</f>
        <v>W-PRE-018</v>
      </c>
      <c r="B48" s="208"/>
      <c r="C48" s="445" t="s">
        <v>1918</v>
      </c>
      <c r="D48" s="440" t="str">
        <f>VLOOKUP(A48,'Master List'!$A$1:$C$1192,2,FALSE)</f>
        <v>Монтаж крана</v>
      </c>
      <c r="E48" s="441" t="str">
        <f>VLOOKUP(A48,'Master List'!$A$1:$C$1192,3,FALSE)</f>
        <v>шт</v>
      </c>
      <c r="F48" s="446">
        <v>1.0</v>
      </c>
      <c r="G48" s="441">
        <f>VLOOKUP(A48,'Master List'!$A$4:$F2753,5,FALSE)</f>
        <v>0</v>
      </c>
      <c r="H48" s="447">
        <f t="shared" ref="H48:H52" si="1">G48*F48</f>
        <v>0</v>
      </c>
      <c r="I48" s="226"/>
    </row>
    <row r="49" outlineLevel="3">
      <c r="A49" s="422" t="str">
        <f>'Master List'!A481</f>
        <v>W-PRE-019</v>
      </c>
      <c r="B49" s="208"/>
      <c r="C49" s="445" t="s">
        <v>1920</v>
      </c>
      <c r="D49" s="440" t="str">
        <f>VLOOKUP(A49,'Master List'!$A$1:$C$1192,2,FALSE)</f>
        <v>Эксплуатация крана</v>
      </c>
      <c r="E49" s="441" t="str">
        <f>VLOOKUP(A49,'Master List'!$A$1:$C$1192,3,FALSE)</f>
        <v>міс</v>
      </c>
      <c r="F49" s="446">
        <v>14.0</v>
      </c>
      <c r="G49" s="441">
        <f>VLOOKUP(A49,'Master List'!$A$4:$F2754,5,FALSE)</f>
        <v>0</v>
      </c>
      <c r="H49" s="447">
        <f t="shared" si="1"/>
        <v>0</v>
      </c>
      <c r="I49" s="226"/>
    </row>
    <row r="50" outlineLevel="3">
      <c r="A50" s="422" t="str">
        <f>'Master List'!A482</f>
        <v>W-PRE-020</v>
      </c>
      <c r="B50" s="208"/>
      <c r="C50" s="445" t="s">
        <v>1922</v>
      </c>
      <c r="D50" s="440" t="str">
        <f>VLOOKUP(A50,'Master List'!$A$1:$C$1192,2,FALSE)</f>
        <v>Демонтаж крана</v>
      </c>
      <c r="E50" s="441" t="str">
        <f>VLOOKUP(A50,'Master List'!$A$1:$C$1192,3,FALSE)</f>
        <v>шт</v>
      </c>
      <c r="F50" s="446">
        <v>1.0</v>
      </c>
      <c r="G50" s="441">
        <f>VLOOKUP(A50,'Master List'!$A$4:$F2755,5,FALSE)</f>
        <v>0</v>
      </c>
      <c r="H50" s="447">
        <f t="shared" si="1"/>
        <v>0</v>
      </c>
      <c r="I50" s="226"/>
    </row>
    <row r="51" outlineLevel="3">
      <c r="A51" s="422" t="str">
        <f>'Master List'!A483</f>
        <v>W-PRE-021</v>
      </c>
      <c r="B51" s="208"/>
      <c r="C51" s="445" t="s">
        <v>1924</v>
      </c>
      <c r="D51" s="440" t="str">
        <f>VLOOKUP(A51,'Master List'!$A$1:$C$1192,2,FALSE)</f>
        <v>Доставка крана</v>
      </c>
      <c r="E51" s="441" t="str">
        <f>VLOOKUP(A51,'Master List'!$A$1:$C$1192,3,FALSE)</f>
        <v>шт</v>
      </c>
      <c r="F51" s="446">
        <v>1.0</v>
      </c>
      <c r="G51" s="441">
        <f>VLOOKUP(A51,'Master List'!$A$4:$F2756,5,FALSE)</f>
        <v>0</v>
      </c>
      <c r="H51" s="447">
        <f t="shared" si="1"/>
        <v>0</v>
      </c>
      <c r="I51" s="226"/>
    </row>
    <row r="52" outlineLevel="3">
      <c r="A52" s="422" t="str">
        <f>'Master List'!A484</f>
        <v>W-PRE-022</v>
      </c>
      <c r="B52" s="208"/>
      <c r="C52" s="445" t="s">
        <v>1927</v>
      </c>
      <c r="D52" s="440" t="str">
        <f>VLOOKUP(A52,'Master List'!$A$1:$C$1192,2,FALSE)</f>
        <v>Вывоз крана</v>
      </c>
      <c r="E52" s="441" t="str">
        <f>VLOOKUP(A52,'Master List'!$A$1:$C$1192,3,FALSE)</f>
        <v>шт</v>
      </c>
      <c r="F52" s="446">
        <v>1.0</v>
      </c>
      <c r="G52" s="441">
        <f>VLOOKUP(A52,'Master List'!$A$4:$F2757,5,FALSE)</f>
        <v>0</v>
      </c>
      <c r="H52" s="447">
        <f t="shared" si="1"/>
        <v>0</v>
      </c>
      <c r="I52" s="226"/>
    </row>
    <row r="53" outlineLevel="2">
      <c r="A53" s="422"/>
      <c r="B53" s="208"/>
      <c r="C53" s="216"/>
      <c r="D53" s="210"/>
      <c r="E53" s="442"/>
      <c r="F53" s="211"/>
      <c r="G53" s="212"/>
      <c r="H53" s="212"/>
      <c r="I53" s="226"/>
    </row>
    <row r="54" outlineLevel="2">
      <c r="A54" s="422"/>
      <c r="B54" s="208"/>
      <c r="C54" s="216"/>
      <c r="D54" s="210"/>
      <c r="E54" s="442"/>
      <c r="F54" s="211"/>
      <c r="G54" s="212"/>
      <c r="H54" s="212"/>
      <c r="I54" s="226"/>
    </row>
    <row r="55" outlineLevel="1">
      <c r="A55" s="422"/>
      <c r="B55" s="208"/>
      <c r="C55" s="216"/>
      <c r="D55" s="210"/>
      <c r="E55" s="442"/>
      <c r="F55" s="211"/>
      <c r="G55" s="212"/>
      <c r="H55" s="212"/>
      <c r="I55" s="226"/>
    </row>
    <row r="56">
      <c r="A56" s="422"/>
      <c r="B56" s="184"/>
      <c r="C56" s="184">
        <v>2.0</v>
      </c>
      <c r="D56" s="184" t="s">
        <v>771</v>
      </c>
      <c r="E56" s="425"/>
      <c r="F56" s="425"/>
      <c r="G56" s="425"/>
      <c r="H56" s="426">
        <f>SUM(H60:H72)</f>
        <v>69140.305</v>
      </c>
      <c r="I56" s="427">
        <f>H56-('Orcamento RU'!C749+'Orcamento RU'!C2217)</f>
        <v>-4654.165</v>
      </c>
    </row>
    <row r="57" outlineLevel="1">
      <c r="A57" s="422"/>
      <c r="B57" s="208"/>
      <c r="C57" s="216"/>
      <c r="D57" s="210"/>
      <c r="E57" s="442"/>
      <c r="F57" s="211"/>
      <c r="G57" s="212"/>
      <c r="H57" s="212"/>
      <c r="I57" s="226"/>
    </row>
    <row r="58" outlineLevel="1">
      <c r="A58" s="422"/>
      <c r="B58" s="208"/>
      <c r="C58" s="216"/>
      <c r="D58" s="435" t="s">
        <v>771</v>
      </c>
      <c r="E58" s="442"/>
      <c r="F58" s="211"/>
      <c r="G58" s="436">
        <f>SUM(H60:H72)</f>
        <v>69140.305</v>
      </c>
      <c r="H58" s="212"/>
      <c r="I58" s="226"/>
    </row>
    <row r="59" outlineLevel="2">
      <c r="A59" s="422"/>
      <c r="B59" s="208"/>
      <c r="C59" s="216"/>
      <c r="D59" s="210"/>
      <c r="E59" s="442"/>
      <c r="F59" s="211"/>
      <c r="G59" s="212"/>
      <c r="H59" s="212"/>
      <c r="I59" s="226"/>
    </row>
    <row r="60" outlineLevel="2">
      <c r="A60" s="422" t="str">
        <f>'Master List'!A486</f>
        <v>W-LND-001</v>
      </c>
      <c r="B60" s="448" t="s">
        <v>5589</v>
      </c>
      <c r="C60" s="198">
        <v>2.1</v>
      </c>
      <c r="D60" s="449" t="str">
        <f>VLOOKUP(A60,'Master List'!$A$1:$C$1192,2,FALSE)</f>
        <v>Общая очистка участка, включающая все виды работ по очистке, удалению, расчистке и вырубке древесных пород, существующих и необходимых для общего выполнения проектов.</v>
      </c>
      <c r="E60" s="206" t="str">
        <f>VLOOKUP(A60,'Master List'!$A$1:$C$1192,3,FALSE)</f>
        <v>шт</v>
      </c>
      <c r="F60" s="214">
        <v>1.0</v>
      </c>
      <c r="G60" s="206">
        <f>VLOOKUP(A60,'Master List'!$A$4:$F2765,5,FALSE)</f>
        <v>1560</v>
      </c>
      <c r="H60" s="206">
        <f>G60*F60</f>
        <v>1560</v>
      </c>
      <c r="I60" s="219"/>
    </row>
    <row r="61" outlineLevel="2">
      <c r="A61" s="422"/>
      <c r="B61" s="450"/>
      <c r="C61" s="451"/>
      <c r="D61" s="452"/>
      <c r="E61" s="431"/>
      <c r="F61" s="453"/>
      <c r="G61" s="454"/>
      <c r="H61" s="212"/>
      <c r="I61" s="226"/>
    </row>
    <row r="62" outlineLevel="2">
      <c r="A62" s="422" t="str">
        <f>'Master List'!A487</f>
        <v>W-LND-002</v>
      </c>
      <c r="B62" s="448" t="s">
        <v>1932</v>
      </c>
      <c r="C62" s="198">
        <v>2.2</v>
      </c>
      <c r="D62" s="449" t="str">
        <f>VLOOKUP(A62,'Master List'!$A$1:$C$1192,2,FALSE)</f>
        <v>Выполнение общих земляных работ для размещения конструкции жилого дома, бассейна и стен на грунте любого типа (включая скальный), чтобы достичь начальных отметок фундамента, а также выполнение работ по креплению, подпоркам, канализации, включая все сопутствующие работы.</v>
      </c>
      <c r="E62" s="206" t="str">
        <f>VLOOKUP(A62,'Master List'!$A$1:$C$1192,3,FALSE)</f>
        <v>м3</v>
      </c>
      <c r="F62" s="214">
        <v>2234.27</v>
      </c>
      <c r="G62" s="206">
        <f>VLOOKUP(A62,'Master List'!$A$4:$F2767,5,FALSE)</f>
        <v>6.5</v>
      </c>
      <c r="H62" s="206">
        <f>G62*F62</f>
        <v>14522.755</v>
      </c>
      <c r="I62" s="219"/>
    </row>
    <row r="63" outlineLevel="2">
      <c r="A63" s="422"/>
      <c r="B63" s="450"/>
      <c r="C63" s="451"/>
      <c r="D63" s="452"/>
      <c r="E63" s="431"/>
      <c r="F63" s="453"/>
      <c r="G63" s="454"/>
      <c r="H63" s="212"/>
      <c r="I63" s="226"/>
    </row>
    <row r="64" outlineLevel="2">
      <c r="A64" s="422" t="str">
        <f>'Master List'!A488</f>
        <v>W-LND-003</v>
      </c>
      <c r="B64" s="448" t="s">
        <v>1934</v>
      </c>
      <c r="C64" s="198">
        <v>2.3</v>
      </c>
      <c r="D64" s="449" t="str">
        <f>VLOOKUP(A64,'Master List'!$A$1:$C$1192,2,FALSE)</f>
        <v>Выполнение насыпей в зоне жилого дома, бассейна и внешних террас с использованием материалов из выемки, включая распределение и надлежащее уплотнение, выполняемое механическими средствами, слоями максимальной толщиной 0,30 м, с использованием воды в количестве, необходимом для правильного уплотнения, для достижения проектных уровней, включая все сопутствующие работы.</v>
      </c>
      <c r="E64" s="206" t="str">
        <f>VLOOKUP(A64,'Master List'!$A$1:$C$1192,3,FALSE)</f>
        <v>м3</v>
      </c>
      <c r="F64" s="214">
        <v>482.44</v>
      </c>
      <c r="G64" s="206">
        <f>VLOOKUP(A64,'Master List'!$A$4:$F2769,5,FALSE)</f>
        <v>32.5</v>
      </c>
      <c r="H64" s="206">
        <f>G64*F64</f>
        <v>15679.3</v>
      </c>
      <c r="I64" s="219"/>
    </row>
    <row r="65" outlineLevel="2">
      <c r="A65" s="422"/>
      <c r="B65" s="450"/>
      <c r="C65" s="451"/>
      <c r="D65" s="452"/>
      <c r="E65" s="431"/>
      <c r="F65" s="453"/>
      <c r="G65" s="454"/>
      <c r="H65" s="212"/>
      <c r="I65" s="226"/>
    </row>
    <row r="66" outlineLevel="2">
      <c r="A66" s="422" t="str">
        <f>'Master List'!A489</f>
        <v>W-LND-004</v>
      </c>
      <c r="B66" s="448" t="s">
        <v>1936</v>
      </c>
      <c r="C66" s="198">
        <v>2.4</v>
      </c>
      <c r="D66" s="449" t="str">
        <f>VLOOKUP(A66,'Master List'!$A$1:$C$1192,2,FALSE)</f>
        <v>Транспортировка, погрузка и разгрузка излишков грунта из зоны жилого дома на свалку, включая 20% разрыхление, а также все сопутствующие работы.</v>
      </c>
      <c r="E66" s="206" t="str">
        <f>VLOOKUP(A66,'Master List'!$A$1:$C$1192,3,FALSE)</f>
        <v>м3</v>
      </c>
      <c r="F66" s="214">
        <v>2102.2</v>
      </c>
      <c r="G66" s="206">
        <f>VLOOKUP(A66,'Master List'!$A$4:$F2771,5,FALSE)</f>
        <v>11.05</v>
      </c>
      <c r="H66" s="206">
        <f>G66*F66</f>
        <v>23229.31</v>
      </c>
      <c r="I66" s="219"/>
    </row>
    <row r="67" outlineLevel="2">
      <c r="A67" s="422"/>
      <c r="B67" s="208"/>
      <c r="C67" s="216"/>
      <c r="D67" s="455"/>
      <c r="E67" s="442"/>
      <c r="F67" s="211"/>
      <c r="G67" s="454"/>
      <c r="H67" s="212"/>
      <c r="I67" s="226"/>
    </row>
    <row r="68" outlineLevel="2">
      <c r="A68" s="422" t="str">
        <f>'Master List'!A490</f>
        <v>W-LND-005</v>
      </c>
      <c r="B68" s="448" t="s">
        <v>1938</v>
      </c>
      <c r="C68" s="198">
        <v>2.5</v>
      </c>
      <c r="D68" s="449" t="str">
        <f>VLOOKUP(A68,'Master List'!$A$1:$C$1192,2,FALSE)</f>
        <v>Выемка грунта любого характера до проектных отметок, включая транспортировку в зоны насыпи, остальные должны транспортироваться на авторизованный склад, включая транспортировку, компенсации, а также все средства, работы, материалы, необходимые.</v>
      </c>
      <c r="E68" s="206" t="str">
        <f>VLOOKUP(A68,'Master List'!$A$1:$C$1192,3,FALSE)</f>
        <v>м3</v>
      </c>
      <c r="F68" s="214">
        <v>68.0</v>
      </c>
      <c r="G68" s="206">
        <f>VLOOKUP(A68,'Master List'!$A$4:$F2773,5,FALSE)</f>
        <v>4.03</v>
      </c>
      <c r="H68" s="206">
        <f>G68*F68</f>
        <v>274.04</v>
      </c>
      <c r="I68" s="219"/>
    </row>
    <row r="69" outlineLevel="2">
      <c r="A69" s="422"/>
      <c r="B69" s="450"/>
      <c r="C69" s="429"/>
      <c r="D69" s="452"/>
      <c r="E69" s="431"/>
      <c r="F69" s="453"/>
      <c r="G69" s="454"/>
      <c r="H69" s="212"/>
      <c r="I69" s="226"/>
    </row>
    <row r="70" outlineLevel="2">
      <c r="A70" s="422" t="str">
        <f>'Master List'!A491</f>
        <v>W-LND-006</v>
      </c>
      <c r="B70" s="448" t="s">
        <v>1940</v>
      </c>
      <c r="C70" s="198">
        <v>2.6</v>
      </c>
      <c r="D70" s="449" t="str">
        <f>VLOOKUP(A70,'Master List'!$A$1:$C$1192,2,FALSE)</f>
        <v>Насыпь слоями до проектных отметок отборным грунтом из выемок или из зон заимствования вне зоны вмешательства, включая транспортировку, все средства, работы, материалы, необходимые.</v>
      </c>
      <c r="E70" s="206" t="str">
        <f>VLOOKUP(A70,'Master List'!$A$1:$C$1192,3,FALSE)</f>
        <v>м3</v>
      </c>
      <c r="F70" s="214">
        <v>386.0</v>
      </c>
      <c r="G70" s="206">
        <f>VLOOKUP(A70,'Master List'!$A$4:$F2775,5,FALSE)</f>
        <v>24.7</v>
      </c>
      <c r="H70" s="206">
        <f>G70*F70</f>
        <v>9534.2</v>
      </c>
      <c r="I70" s="219"/>
    </row>
    <row r="71" outlineLevel="2">
      <c r="A71" s="422"/>
      <c r="B71" s="450"/>
      <c r="C71" s="429"/>
      <c r="D71" s="452"/>
      <c r="E71" s="431"/>
      <c r="F71" s="453"/>
      <c r="G71" s="454"/>
      <c r="H71" s="212"/>
      <c r="I71" s="226"/>
    </row>
    <row r="72" outlineLevel="2">
      <c r="A72" s="422" t="str">
        <f>'Master List'!A492</f>
        <v>W-LND-007</v>
      </c>
      <c r="B72" s="448" t="s">
        <v>1942</v>
      </c>
      <c r="C72" s="198">
        <v>2.7</v>
      </c>
      <c r="D72" s="449" t="str">
        <f>VLOOKUP(A72,'Master List'!$A$1:$C$1192,2,FALSE)</f>
        <v>Поставка, погрузка, транспортировка, разгрузка, распределение заимствованного грунта, а также все средства, работы, материалы, необходимые.</v>
      </c>
      <c r="E72" s="206" t="str">
        <f>VLOOKUP(A72,'Master List'!$A$1:$C$1192,3,FALSE)</f>
        <v>м3</v>
      </c>
      <c r="F72" s="214">
        <v>318.0</v>
      </c>
      <c r="G72" s="206">
        <f>VLOOKUP(A72,'Master List'!$A$4:$F2777,5,FALSE)</f>
        <v>13.65</v>
      </c>
      <c r="H72" s="206">
        <f>G72*F72</f>
        <v>4340.7</v>
      </c>
      <c r="I72" s="219"/>
    </row>
    <row r="73" outlineLevel="1">
      <c r="A73" s="422"/>
      <c r="B73" s="208"/>
      <c r="C73" s="216"/>
      <c r="D73" s="210"/>
      <c r="E73" s="442"/>
      <c r="F73" s="211"/>
      <c r="G73" s="212"/>
      <c r="H73" s="212"/>
      <c r="I73" s="226"/>
    </row>
    <row r="74">
      <c r="A74" s="422"/>
      <c r="B74" s="184"/>
      <c r="C74" s="184">
        <v>3.0</v>
      </c>
      <c r="D74" s="184" t="s">
        <v>5590</v>
      </c>
      <c r="E74" s="425"/>
      <c r="F74" s="425"/>
      <c r="G74" s="425"/>
      <c r="H74" s="426">
        <f>SUM(H80:H386)</f>
        <v>468347.3513</v>
      </c>
      <c r="I74" s="427">
        <f>H74-'Orcamento RU'!C761</f>
        <v>-90044.8987</v>
      </c>
    </row>
    <row r="75" outlineLevel="1">
      <c r="A75" s="422"/>
      <c r="B75" s="208"/>
      <c r="C75" s="216" t="s">
        <v>1945</v>
      </c>
      <c r="D75" s="235"/>
      <c r="E75" s="442"/>
      <c r="F75" s="236"/>
      <c r="G75" s="212"/>
      <c r="H75" s="212"/>
      <c r="I75" s="226"/>
    </row>
    <row r="76" outlineLevel="1">
      <c r="A76" s="422"/>
      <c r="B76" s="208"/>
      <c r="C76" s="216"/>
      <c r="D76" s="435" t="s">
        <v>5591</v>
      </c>
      <c r="E76" s="442"/>
      <c r="F76" s="236"/>
      <c r="G76" s="436">
        <f>SUM(H80:H119)</f>
        <v>78664.51524</v>
      </c>
      <c r="H76" s="212"/>
      <c r="I76" s="226"/>
    </row>
    <row r="77" outlineLevel="2">
      <c r="A77" s="422"/>
      <c r="B77" s="208"/>
      <c r="C77" s="216"/>
      <c r="D77" s="235"/>
      <c r="E77" s="442"/>
      <c r="F77" s="236"/>
      <c r="G77" s="212"/>
      <c r="H77" s="212"/>
      <c r="I77" s="226"/>
    </row>
    <row r="78" outlineLevel="2">
      <c r="A78" s="422"/>
      <c r="B78" s="151" t="s">
        <v>1947</v>
      </c>
      <c r="C78" s="198">
        <v>3.1</v>
      </c>
      <c r="D78" s="202" t="s">
        <v>786</v>
      </c>
      <c r="E78" s="456"/>
      <c r="F78" s="170"/>
      <c r="G78" s="428"/>
      <c r="H78" s="239"/>
      <c r="I78" s="240"/>
    </row>
    <row r="79" outlineLevel="3">
      <c r="A79" s="422"/>
      <c r="B79" s="21"/>
      <c r="C79" s="429"/>
      <c r="D79" s="21"/>
      <c r="E79" s="457"/>
      <c r="F79" s="115"/>
      <c r="G79" s="241"/>
      <c r="H79" s="241"/>
      <c r="I79" s="227"/>
    </row>
    <row r="80" outlineLevel="3">
      <c r="A80" s="422"/>
      <c r="B80" s="151" t="s">
        <v>1949</v>
      </c>
      <c r="C80" s="297" t="s">
        <v>940</v>
      </c>
      <c r="D80" s="458" t="s">
        <v>787</v>
      </c>
      <c r="E80" s="459" t="s">
        <v>40</v>
      </c>
      <c r="F80" s="460">
        <v>329.7</v>
      </c>
      <c r="G80" s="461"/>
      <c r="H80" s="461"/>
      <c r="I80" s="242"/>
    </row>
    <row r="81" outlineLevel="3">
      <c r="A81" s="422" t="str">
        <f>'Master List'!A496</f>
        <v>W-CON-002</v>
      </c>
      <c r="B81" s="151"/>
      <c r="C81" s="198"/>
      <c r="D81" s="462" t="str">
        <f>VLOOKUP(A81,'Master List'!$A$1:$C$1192,2,FALSE)</f>
        <v>Устройство чернового слоя бетона</v>
      </c>
      <c r="E81" s="463" t="str">
        <f>VLOOKUP(A81,'Master List'!$A$1:$C$1192,3,FALSE)</f>
        <v>м3</v>
      </c>
      <c r="F81" s="464">
        <f>330*0.05</f>
        <v>16.5</v>
      </c>
      <c r="G81" s="463">
        <f>VLOOKUP(A81,'Master List'!$A$4:$F2787,5,FALSE)</f>
        <v>17.55</v>
      </c>
      <c r="H81" s="465">
        <f t="shared" ref="H81:H82" si="2">G81*F81</f>
        <v>289.575</v>
      </c>
      <c r="I81" s="240"/>
    </row>
    <row r="82" outlineLevel="3">
      <c r="A82" s="422" t="str">
        <f>'Master List'!A4</f>
        <v>M-CON-001</v>
      </c>
      <c r="B82" s="151"/>
      <c r="C82" s="198"/>
      <c r="D82" s="462" t="str">
        <f>VLOOKUP(A82,'Master List'!$A$1:$C$1192,2,FALSE)</f>
        <v>Бетон C12/15 XC0(P) Cl1.00 Dmáx 22 мм S4</v>
      </c>
      <c r="E82" s="463" t="str">
        <f>VLOOKUP(A82,'Master List'!$A$1:$C$1192,3,FALSE)</f>
        <v>м3</v>
      </c>
      <c r="F82" s="464">
        <f>F81*1.02</f>
        <v>16.83</v>
      </c>
      <c r="G82" s="463">
        <f>VLOOKUP(A82,'Master List'!$A$4:$F2788,5,FALSE)</f>
        <v>107.64</v>
      </c>
      <c r="H82" s="206">
        <f t="shared" si="2"/>
        <v>1811.5812</v>
      </c>
      <c r="I82" s="240"/>
    </row>
    <row r="83" outlineLevel="3">
      <c r="A83" s="422"/>
      <c r="B83" s="151"/>
      <c r="C83" s="230"/>
      <c r="D83" s="246"/>
      <c r="E83" s="437"/>
      <c r="F83" s="170"/>
      <c r="G83" s="239"/>
      <c r="H83" s="239"/>
      <c r="I83" s="240"/>
    </row>
    <row r="84" outlineLevel="2">
      <c r="A84" s="422"/>
      <c r="B84" s="151"/>
      <c r="C84" s="429"/>
      <c r="D84" s="152"/>
      <c r="E84" s="457"/>
      <c r="F84" s="115"/>
      <c r="G84" s="241"/>
      <c r="H84" s="241"/>
      <c r="I84" s="227"/>
    </row>
    <row r="85" outlineLevel="2">
      <c r="A85" s="422"/>
      <c r="B85" s="151" t="s">
        <v>1951</v>
      </c>
      <c r="C85" s="198">
        <v>3.2</v>
      </c>
      <c r="D85" s="243" t="s">
        <v>788</v>
      </c>
      <c r="E85" s="457"/>
      <c r="F85" s="115"/>
      <c r="G85" s="241"/>
      <c r="H85" s="241"/>
      <c r="I85" s="227"/>
    </row>
    <row r="86" outlineLevel="3">
      <c r="A86" s="422"/>
      <c r="B86" s="21"/>
      <c r="C86" s="429"/>
      <c r="D86" s="21"/>
      <c r="E86" s="457"/>
      <c r="F86" s="115"/>
      <c r="G86" s="241"/>
      <c r="H86" s="241"/>
      <c r="I86" s="227"/>
    </row>
    <row r="87" outlineLevel="3">
      <c r="A87" s="422"/>
      <c r="B87" s="151" t="s">
        <v>1953</v>
      </c>
      <c r="C87" s="198" t="s">
        <v>961</v>
      </c>
      <c r="D87" s="202" t="s">
        <v>789</v>
      </c>
      <c r="E87" s="444" t="s">
        <v>776</v>
      </c>
      <c r="F87" s="214">
        <v>29.25</v>
      </c>
      <c r="G87" s="205"/>
      <c r="H87" s="205"/>
      <c r="I87" s="242"/>
    </row>
    <row r="88" outlineLevel="3">
      <c r="A88" s="422"/>
      <c r="B88" s="151" t="s">
        <v>1955</v>
      </c>
      <c r="C88" s="198" t="s">
        <v>1956</v>
      </c>
      <c r="D88" s="202" t="s">
        <v>790</v>
      </c>
      <c r="E88" s="444" t="s">
        <v>776</v>
      </c>
      <c r="F88" s="214">
        <v>8.94</v>
      </c>
      <c r="G88" s="205"/>
      <c r="H88" s="205"/>
      <c r="I88" s="242"/>
    </row>
    <row r="89" outlineLevel="3">
      <c r="A89" s="422"/>
      <c r="B89" s="151" t="s">
        <v>1958</v>
      </c>
      <c r="C89" s="198" t="s">
        <v>1959</v>
      </c>
      <c r="D89" s="202" t="s">
        <v>791</v>
      </c>
      <c r="E89" s="444" t="s">
        <v>776</v>
      </c>
      <c r="F89" s="214">
        <v>106.22</v>
      </c>
      <c r="G89" s="205"/>
      <c r="H89" s="205"/>
      <c r="I89" s="242"/>
    </row>
    <row r="90" outlineLevel="3">
      <c r="A90" s="422"/>
      <c r="B90" s="151" t="s">
        <v>1961</v>
      </c>
      <c r="C90" s="198" t="s">
        <v>1962</v>
      </c>
      <c r="D90" s="202" t="s">
        <v>793</v>
      </c>
      <c r="E90" s="444" t="s">
        <v>776</v>
      </c>
      <c r="F90" s="214">
        <v>3.02</v>
      </c>
      <c r="G90" s="205"/>
      <c r="H90" s="205"/>
      <c r="I90" s="242"/>
    </row>
    <row r="91" outlineLevel="2">
      <c r="A91" s="422"/>
      <c r="B91" s="21"/>
      <c r="C91" s="429"/>
      <c r="D91" s="21"/>
      <c r="E91" s="457"/>
      <c r="F91" s="115"/>
      <c r="G91" s="241"/>
      <c r="H91" s="241"/>
      <c r="I91" s="227"/>
    </row>
    <row r="92" outlineLevel="2">
      <c r="A92" s="422"/>
      <c r="B92" s="151" t="s">
        <v>1964</v>
      </c>
      <c r="C92" s="198">
        <v>3.3</v>
      </c>
      <c r="D92" s="243" t="s">
        <v>794</v>
      </c>
      <c r="E92" s="457"/>
      <c r="F92" s="115"/>
      <c r="G92" s="241"/>
      <c r="H92" s="241"/>
      <c r="I92" s="227"/>
    </row>
    <row r="93" outlineLevel="3">
      <c r="A93" s="422"/>
      <c r="B93" s="21"/>
      <c r="C93" s="429"/>
      <c r="D93" s="21"/>
      <c r="E93" s="457"/>
      <c r="F93" s="115"/>
      <c r="G93" s="241"/>
      <c r="H93" s="241"/>
      <c r="I93" s="227"/>
    </row>
    <row r="94" outlineLevel="3">
      <c r="A94" s="422"/>
      <c r="B94" s="151" t="s">
        <v>1966</v>
      </c>
      <c r="C94" s="198" t="s">
        <v>968</v>
      </c>
      <c r="D94" s="202" t="s">
        <v>795</v>
      </c>
      <c r="E94" s="444" t="s">
        <v>776</v>
      </c>
      <c r="F94" s="214">
        <v>2.51</v>
      </c>
      <c r="G94" s="205"/>
      <c r="H94" s="205"/>
      <c r="I94" s="242"/>
    </row>
    <row r="95" outlineLevel="3">
      <c r="A95" s="422"/>
      <c r="B95" s="151" t="s">
        <v>1968</v>
      </c>
      <c r="C95" s="198" t="s">
        <v>1969</v>
      </c>
      <c r="D95" s="202" t="s">
        <v>796</v>
      </c>
      <c r="E95" s="444" t="s">
        <v>776</v>
      </c>
      <c r="F95" s="214">
        <v>88.26</v>
      </c>
      <c r="G95" s="205"/>
      <c r="H95" s="205"/>
      <c r="I95" s="242"/>
    </row>
    <row r="96" outlineLevel="3">
      <c r="A96" s="422"/>
      <c r="B96" s="151" t="s">
        <v>1971</v>
      </c>
      <c r="C96" s="198" t="s">
        <v>1972</v>
      </c>
      <c r="D96" s="202" t="s">
        <v>797</v>
      </c>
      <c r="E96" s="444" t="s">
        <v>776</v>
      </c>
      <c r="F96" s="214">
        <v>1.32</v>
      </c>
      <c r="G96" s="205"/>
      <c r="H96" s="205"/>
      <c r="I96" s="242"/>
    </row>
    <row r="97" outlineLevel="2">
      <c r="A97" s="422"/>
      <c r="B97" s="21"/>
      <c r="C97" s="429"/>
      <c r="D97" s="21"/>
      <c r="E97" s="457"/>
      <c r="F97" s="115"/>
      <c r="G97" s="241"/>
      <c r="H97" s="241"/>
      <c r="I97" s="227"/>
    </row>
    <row r="98" outlineLevel="2">
      <c r="A98" s="422"/>
      <c r="B98" s="151" t="s">
        <v>1974</v>
      </c>
      <c r="C98" s="198">
        <v>3.4</v>
      </c>
      <c r="D98" s="243" t="s">
        <v>799</v>
      </c>
      <c r="E98" s="457"/>
      <c r="F98" s="115"/>
      <c r="G98" s="241"/>
      <c r="H98" s="241"/>
      <c r="I98" s="227"/>
    </row>
    <row r="99" outlineLevel="3">
      <c r="A99" s="422"/>
      <c r="B99" s="21"/>
      <c r="C99" s="429"/>
      <c r="D99" s="21"/>
      <c r="E99" s="457"/>
      <c r="F99" s="115"/>
      <c r="G99" s="241"/>
      <c r="H99" s="241"/>
      <c r="I99" s="227"/>
    </row>
    <row r="100" outlineLevel="3">
      <c r="A100" s="422"/>
      <c r="B100" s="151" t="s">
        <v>1976</v>
      </c>
      <c r="C100" s="198" t="s">
        <v>1977</v>
      </c>
      <c r="D100" s="202" t="s">
        <v>801</v>
      </c>
      <c r="E100" s="444" t="s">
        <v>776</v>
      </c>
      <c r="F100" s="214">
        <v>7.28</v>
      </c>
      <c r="G100" s="205"/>
      <c r="H100" s="206"/>
      <c r="I100" s="227"/>
    </row>
    <row r="101" outlineLevel="3">
      <c r="A101" s="422"/>
      <c r="B101" s="151" t="s">
        <v>1979</v>
      </c>
      <c r="C101" s="198" t="s">
        <v>1980</v>
      </c>
      <c r="D101" s="202" t="s">
        <v>803</v>
      </c>
      <c r="E101" s="444" t="s">
        <v>776</v>
      </c>
      <c r="F101" s="214">
        <v>27.46</v>
      </c>
      <c r="G101" s="205"/>
      <c r="H101" s="206"/>
      <c r="I101" s="227"/>
    </row>
    <row r="102" outlineLevel="2">
      <c r="A102" s="422"/>
      <c r="B102" s="21"/>
      <c r="C102" s="429"/>
      <c r="D102" s="21"/>
      <c r="E102" s="457"/>
      <c r="F102" s="115"/>
      <c r="G102" s="241"/>
      <c r="H102" s="241"/>
      <c r="I102" s="227"/>
    </row>
    <row r="103" outlineLevel="2">
      <c r="A103" s="422"/>
      <c r="B103" s="151" t="s">
        <v>1974</v>
      </c>
      <c r="C103" s="198">
        <v>3.5</v>
      </c>
      <c r="D103" s="243" t="s">
        <v>804</v>
      </c>
      <c r="E103" s="457"/>
      <c r="F103" s="115"/>
      <c r="G103" s="241"/>
      <c r="H103" s="241"/>
      <c r="I103" s="227"/>
    </row>
    <row r="104" outlineLevel="3">
      <c r="A104" s="422"/>
      <c r="B104" s="21"/>
      <c r="C104" s="429"/>
      <c r="D104" s="21"/>
      <c r="E104" s="457"/>
      <c r="F104" s="115"/>
      <c r="G104" s="241"/>
      <c r="H104" s="241"/>
      <c r="I104" s="227"/>
    </row>
    <row r="105" outlineLevel="3">
      <c r="A105" s="422"/>
      <c r="B105" s="151" t="s">
        <v>1983</v>
      </c>
      <c r="C105" s="198" t="s">
        <v>1984</v>
      </c>
      <c r="D105" s="202" t="s">
        <v>806</v>
      </c>
      <c r="E105" s="444" t="s">
        <v>776</v>
      </c>
      <c r="F105" s="214">
        <v>52.37</v>
      </c>
      <c r="G105" s="205"/>
      <c r="H105" s="206"/>
      <c r="I105" s="227"/>
    </row>
    <row r="106" outlineLevel="3">
      <c r="A106" s="422"/>
      <c r="B106" s="151" t="s">
        <v>1986</v>
      </c>
      <c r="C106" s="198" t="s">
        <v>1987</v>
      </c>
      <c r="D106" s="202" t="s">
        <v>808</v>
      </c>
      <c r="E106" s="444" t="s">
        <v>776</v>
      </c>
      <c r="F106" s="214">
        <v>60.12</v>
      </c>
      <c r="G106" s="205"/>
      <c r="H106" s="206"/>
      <c r="I106" s="227"/>
    </row>
    <row r="107" outlineLevel="3">
      <c r="A107" s="422"/>
      <c r="B107" s="151" t="s">
        <v>1989</v>
      </c>
      <c r="C107" s="198" t="s">
        <v>1990</v>
      </c>
      <c r="D107" s="202" t="s">
        <v>810</v>
      </c>
      <c r="E107" s="444" t="s">
        <v>776</v>
      </c>
      <c r="F107" s="214">
        <v>50.41</v>
      </c>
      <c r="G107" s="205"/>
      <c r="H107" s="206"/>
      <c r="I107" s="227"/>
    </row>
    <row r="108" outlineLevel="3">
      <c r="A108" s="422"/>
      <c r="B108" s="151" t="s">
        <v>1992</v>
      </c>
      <c r="C108" s="198" t="s">
        <v>1993</v>
      </c>
      <c r="D108" s="202" t="s">
        <v>812</v>
      </c>
      <c r="E108" s="444" t="s">
        <v>776</v>
      </c>
      <c r="F108" s="214">
        <v>1.91</v>
      </c>
      <c r="G108" s="205"/>
      <c r="H108" s="206"/>
      <c r="I108" s="227"/>
    </row>
    <row r="109" outlineLevel="2">
      <c r="A109" s="422"/>
      <c r="B109" s="21"/>
      <c r="C109" s="429"/>
      <c r="D109" s="21"/>
      <c r="E109" s="457"/>
      <c r="F109" s="115"/>
      <c r="G109" s="241"/>
      <c r="H109" s="241"/>
      <c r="I109" s="227"/>
    </row>
    <row r="110" outlineLevel="2">
      <c r="A110" s="422"/>
      <c r="B110" s="151" t="s">
        <v>1995</v>
      </c>
      <c r="C110" s="244">
        <v>3.6</v>
      </c>
      <c r="D110" s="245" t="s">
        <v>814</v>
      </c>
      <c r="E110" s="457"/>
      <c r="F110" s="115"/>
      <c r="G110" s="241"/>
      <c r="H110" s="241"/>
      <c r="I110" s="227"/>
    </row>
    <row r="111" outlineLevel="3">
      <c r="A111" s="422"/>
      <c r="B111" s="151"/>
      <c r="C111" s="230"/>
      <c r="D111" s="246"/>
      <c r="E111" s="230"/>
      <c r="F111" s="170"/>
      <c r="G111" s="239"/>
      <c r="H111" s="239"/>
      <c r="I111" s="227"/>
    </row>
    <row r="112" outlineLevel="3">
      <c r="A112" s="422"/>
      <c r="B112" s="151" t="s">
        <v>1997</v>
      </c>
      <c r="C112" s="198" t="s">
        <v>1998</v>
      </c>
      <c r="D112" s="202" t="s">
        <v>803</v>
      </c>
      <c r="E112" s="444" t="s">
        <v>776</v>
      </c>
      <c r="F112" s="214">
        <v>30.26</v>
      </c>
      <c r="G112" s="205"/>
      <c r="H112" s="206"/>
      <c r="I112" s="227"/>
    </row>
    <row r="113" outlineLevel="3">
      <c r="A113" s="422"/>
      <c r="B113" s="151" t="s">
        <v>1999</v>
      </c>
      <c r="C113" s="198" t="s">
        <v>2000</v>
      </c>
      <c r="D113" s="202" t="s">
        <v>817</v>
      </c>
      <c r="E113" s="444" t="s">
        <v>776</v>
      </c>
      <c r="F113" s="214">
        <v>21.41</v>
      </c>
      <c r="G113" s="205"/>
      <c r="H113" s="206"/>
      <c r="I113" s="227"/>
    </row>
    <row r="114" outlineLevel="3">
      <c r="A114" s="422"/>
      <c r="B114" s="151" t="s">
        <v>2002</v>
      </c>
      <c r="C114" s="198" t="s">
        <v>2003</v>
      </c>
      <c r="D114" s="202" t="s">
        <v>819</v>
      </c>
      <c r="E114" s="444" t="s">
        <v>776</v>
      </c>
      <c r="F114" s="214">
        <v>3.06</v>
      </c>
      <c r="G114" s="205"/>
      <c r="H114" s="206"/>
      <c r="I114" s="227"/>
    </row>
    <row r="115" outlineLevel="3">
      <c r="A115" s="422"/>
      <c r="B115" s="151" t="s">
        <v>2005</v>
      </c>
      <c r="C115" s="198" t="s">
        <v>2006</v>
      </c>
      <c r="D115" s="202" t="s">
        <v>821</v>
      </c>
      <c r="E115" s="444" t="s">
        <v>776</v>
      </c>
      <c r="F115" s="214">
        <v>1.18</v>
      </c>
      <c r="G115" s="205"/>
      <c r="H115" s="206"/>
      <c r="I115" s="227"/>
    </row>
    <row r="116" outlineLevel="3">
      <c r="A116" s="422"/>
      <c r="B116" s="151"/>
      <c r="C116" s="230"/>
      <c r="D116" s="246"/>
      <c r="E116" s="437"/>
      <c r="F116" s="170"/>
      <c r="G116" s="239"/>
      <c r="H116" s="239"/>
      <c r="I116" s="227"/>
    </row>
    <row r="117" outlineLevel="3">
      <c r="A117" s="422" t="str">
        <f>'Master List'!A499</f>
        <v>W-CON-005</v>
      </c>
      <c r="B117" s="151"/>
      <c r="C117" s="198"/>
      <c r="D117" s="462" t="str">
        <f>VLOOKUP(A117,'Master List'!$A$1:$C$1192,2,FALSE)</f>
        <v>Укладка чистового бетона в опалубку</v>
      </c>
      <c r="E117" s="463" t="str">
        <f>VLOOKUP(A117,'Master List'!$A$1:$C$1192,3,FALSE)</f>
        <v>м3</v>
      </c>
      <c r="F117" s="464">
        <f>SUM(F87:F115)</f>
        <v>494.98</v>
      </c>
      <c r="G117" s="463">
        <f>VLOOKUP(A117,'Master List'!$A$4:$F2823,5,FALSE)</f>
        <v>16.25</v>
      </c>
      <c r="H117" s="465">
        <f t="shared" ref="H117:H119" si="3">G117*F117</f>
        <v>8043.425</v>
      </c>
      <c r="I117" s="227"/>
    </row>
    <row r="118" outlineLevel="3">
      <c r="A118" s="422" t="str">
        <f>'Master List'!A6</f>
        <v>M-CON-004</v>
      </c>
      <c r="B118" s="151"/>
      <c r="C118" s="198"/>
      <c r="D118" s="462" t="str">
        <f>VLOOKUP(A118,'Master List'!$A$1:$C$1192,2,FALSE)</f>
        <v>Бетон C30/37 XC2(P) Cl0.40 Dmáx 22мм S4</v>
      </c>
      <c r="E118" s="463" t="str">
        <f>VLOOKUP(A118,'Master List'!$A$1:$C$1192,3,FALSE)</f>
        <v>м3</v>
      </c>
      <c r="F118" s="464">
        <f>SUM(F87:F96)*1.02</f>
        <v>244.3104</v>
      </c>
      <c r="G118" s="463">
        <f>VLOOKUP(A118,'Master List'!$A$4:$F2824,5,FALSE)</f>
        <v>127.946</v>
      </c>
      <c r="H118" s="465">
        <f t="shared" si="3"/>
        <v>31258.53844</v>
      </c>
      <c r="I118" s="227"/>
    </row>
    <row r="119" outlineLevel="3">
      <c r="A119" s="422" t="str">
        <f>'Master List'!A7</f>
        <v>M-CON-005</v>
      </c>
      <c r="B119" s="151"/>
      <c r="C119" s="198"/>
      <c r="D119" s="462" t="str">
        <f>VLOOKUP(A119,'Master List'!$A$1:$C$1192,2,FALSE)</f>
        <v>Бетон C40/50 XS1(P) Cl0.20 Dmáx 16мм S4</v>
      </c>
      <c r="E119" s="463" t="str">
        <f>VLOOKUP(A119,'Master List'!$A$1:$C$1192,3,FALSE)</f>
        <v>м3</v>
      </c>
      <c r="F119" s="464">
        <f>SUM(F100:F115)*1.02</f>
        <v>260.5692</v>
      </c>
      <c r="G119" s="463">
        <f>VLOOKUP(A119,'Master List'!$A$4:$F2825,5,FALSE)</f>
        <v>143</v>
      </c>
      <c r="H119" s="206">
        <f t="shared" si="3"/>
        <v>37261.3956</v>
      </c>
      <c r="I119" s="227"/>
    </row>
    <row r="120" outlineLevel="3">
      <c r="A120" s="422"/>
      <c r="B120" s="151"/>
      <c r="C120" s="230"/>
      <c r="D120" s="246"/>
      <c r="E120" s="437"/>
      <c r="F120" s="170"/>
      <c r="G120" s="239"/>
      <c r="H120" s="239"/>
      <c r="I120" s="227"/>
    </row>
    <row r="121" outlineLevel="3">
      <c r="A121" s="422"/>
      <c r="B121" s="151"/>
      <c r="C121" s="230"/>
      <c r="D121" s="246"/>
      <c r="E121" s="437"/>
      <c r="F121" s="170"/>
      <c r="G121" s="239"/>
      <c r="H121" s="239"/>
      <c r="I121" s="227"/>
    </row>
    <row r="122" outlineLevel="2">
      <c r="A122" s="422"/>
      <c r="B122" s="21"/>
      <c r="C122" s="429"/>
      <c r="D122" s="21"/>
      <c r="E122" s="457"/>
      <c r="F122" s="115"/>
      <c r="G122" s="241"/>
      <c r="H122" s="241"/>
      <c r="I122" s="227"/>
    </row>
    <row r="123" outlineLevel="1">
      <c r="A123" s="422"/>
      <c r="B123" s="151"/>
      <c r="C123" s="230"/>
      <c r="D123" s="435" t="s">
        <v>5592</v>
      </c>
      <c r="E123" s="457"/>
      <c r="F123" s="115"/>
      <c r="G123" s="436">
        <f>SUM(H176:H182)</f>
        <v>107195.5665</v>
      </c>
      <c r="H123" s="241"/>
      <c r="I123" s="227"/>
    </row>
    <row r="124" outlineLevel="2">
      <c r="A124" s="422"/>
      <c r="B124" s="151"/>
      <c r="C124" s="230"/>
      <c r="D124" s="246"/>
      <c r="E124" s="457"/>
      <c r="F124" s="115"/>
      <c r="G124" s="241"/>
      <c r="H124" s="241"/>
      <c r="I124" s="227"/>
    </row>
    <row r="125" outlineLevel="2">
      <c r="A125" s="422"/>
      <c r="B125" s="151" t="s">
        <v>2009</v>
      </c>
      <c r="C125" s="244">
        <v>3.7</v>
      </c>
      <c r="D125" s="245" t="s">
        <v>824</v>
      </c>
      <c r="E125" s="457"/>
      <c r="F125" s="115"/>
      <c r="G125" s="241"/>
      <c r="H125" s="241"/>
      <c r="I125" s="227"/>
    </row>
    <row r="126" outlineLevel="3">
      <c r="A126" s="422"/>
      <c r="B126" s="21"/>
      <c r="C126" s="429"/>
      <c r="D126" s="21"/>
      <c r="E126" s="457"/>
      <c r="F126" s="115"/>
      <c r="G126" s="241"/>
      <c r="H126" s="241"/>
      <c r="I126" s="227"/>
    </row>
    <row r="127" outlineLevel="3">
      <c r="A127" s="422"/>
      <c r="B127" s="151" t="s">
        <v>71</v>
      </c>
      <c r="C127" s="244" t="s">
        <v>2011</v>
      </c>
      <c r="D127" s="245" t="s">
        <v>825</v>
      </c>
      <c r="E127" s="457"/>
      <c r="F127" s="115"/>
      <c r="G127" s="241"/>
      <c r="H127" s="241"/>
      <c r="I127" s="227"/>
    </row>
    <row r="128" outlineLevel="3">
      <c r="A128" s="422"/>
      <c r="B128" s="21"/>
      <c r="C128" s="198" t="s">
        <v>2013</v>
      </c>
      <c r="D128" s="202" t="s">
        <v>826</v>
      </c>
      <c r="E128" s="444" t="s">
        <v>827</v>
      </c>
      <c r="F128" s="214">
        <v>421.74</v>
      </c>
      <c r="G128" s="205"/>
      <c r="H128" s="206"/>
      <c r="I128" s="227"/>
    </row>
    <row r="129" outlineLevel="3">
      <c r="A129" s="422"/>
      <c r="B129" s="151"/>
      <c r="C129" s="429"/>
      <c r="D129" s="152"/>
      <c r="E129" s="457"/>
      <c r="F129" s="115"/>
      <c r="G129" s="241"/>
      <c r="H129" s="241"/>
      <c r="I129" s="227"/>
    </row>
    <row r="130" outlineLevel="3">
      <c r="A130" s="422"/>
      <c r="B130" s="151" t="s">
        <v>82</v>
      </c>
      <c r="C130" s="244" t="s">
        <v>2014</v>
      </c>
      <c r="D130" s="245" t="s">
        <v>828</v>
      </c>
      <c r="E130" s="457"/>
      <c r="F130" s="115"/>
      <c r="G130" s="241"/>
      <c r="H130" s="241"/>
      <c r="I130" s="227"/>
    </row>
    <row r="131" outlineLevel="3">
      <c r="A131" s="422"/>
      <c r="B131" s="21"/>
      <c r="C131" s="198" t="s">
        <v>2016</v>
      </c>
      <c r="D131" s="202" t="s">
        <v>829</v>
      </c>
      <c r="E131" s="444" t="s">
        <v>827</v>
      </c>
      <c r="F131" s="214">
        <v>1572.83</v>
      </c>
      <c r="G131" s="205"/>
      <c r="H131" s="206"/>
      <c r="I131" s="227"/>
    </row>
    <row r="132" outlineLevel="3">
      <c r="A132" s="422"/>
      <c r="B132" s="21"/>
      <c r="C132" s="198" t="s">
        <v>2017</v>
      </c>
      <c r="D132" s="202" t="s">
        <v>826</v>
      </c>
      <c r="E132" s="444" t="s">
        <v>827</v>
      </c>
      <c r="F132" s="214">
        <v>3799.07</v>
      </c>
      <c r="G132" s="205"/>
      <c r="H132" s="206"/>
      <c r="I132" s="227"/>
    </row>
    <row r="133" outlineLevel="3">
      <c r="A133" s="422"/>
      <c r="B133" s="151"/>
      <c r="C133" s="429"/>
      <c r="D133" s="152"/>
      <c r="E133" s="457"/>
      <c r="F133" s="115"/>
      <c r="G133" s="241"/>
      <c r="H133" s="241"/>
      <c r="I133" s="227"/>
    </row>
    <row r="134" outlineLevel="3">
      <c r="A134" s="422"/>
      <c r="B134" s="151" t="s">
        <v>830</v>
      </c>
      <c r="C134" s="244" t="s">
        <v>2018</v>
      </c>
      <c r="D134" s="245" t="s">
        <v>831</v>
      </c>
      <c r="E134" s="457"/>
      <c r="F134" s="115"/>
      <c r="G134" s="241"/>
      <c r="H134" s="241"/>
      <c r="I134" s="227"/>
    </row>
    <row r="135" outlineLevel="3">
      <c r="A135" s="422"/>
      <c r="B135" s="21"/>
      <c r="C135" s="198" t="s">
        <v>2020</v>
      </c>
      <c r="D135" s="202" t="s">
        <v>826</v>
      </c>
      <c r="E135" s="444" t="s">
        <v>827</v>
      </c>
      <c r="F135" s="214">
        <v>289.81</v>
      </c>
      <c r="G135" s="205"/>
      <c r="H135" s="206"/>
      <c r="I135" s="227"/>
    </row>
    <row r="136" outlineLevel="3">
      <c r="A136" s="422"/>
      <c r="B136" s="21"/>
      <c r="C136" s="198" t="s">
        <v>2021</v>
      </c>
      <c r="D136" s="202" t="s">
        <v>832</v>
      </c>
      <c r="E136" s="444" t="s">
        <v>827</v>
      </c>
      <c r="F136" s="214">
        <v>412.85</v>
      </c>
      <c r="G136" s="205"/>
      <c r="H136" s="206"/>
      <c r="I136" s="227"/>
    </row>
    <row r="137" outlineLevel="3">
      <c r="A137" s="422"/>
      <c r="B137" s="21"/>
      <c r="C137" s="429"/>
      <c r="D137" s="21"/>
      <c r="E137" s="457"/>
      <c r="F137" s="115"/>
      <c r="G137" s="241"/>
      <c r="H137" s="241"/>
      <c r="I137" s="227"/>
    </row>
    <row r="138" outlineLevel="3">
      <c r="A138" s="422"/>
      <c r="B138" s="151" t="s">
        <v>833</v>
      </c>
      <c r="C138" s="244" t="s">
        <v>2022</v>
      </c>
      <c r="D138" s="245" t="s">
        <v>834</v>
      </c>
      <c r="E138" s="457"/>
      <c r="F138" s="115"/>
      <c r="G138" s="241"/>
      <c r="H138" s="241"/>
      <c r="I138" s="227"/>
    </row>
    <row r="139" outlineLevel="3">
      <c r="A139" s="422"/>
      <c r="B139" s="21"/>
      <c r="C139" s="198" t="s">
        <v>2024</v>
      </c>
      <c r="D139" s="202" t="s">
        <v>829</v>
      </c>
      <c r="E139" s="444" t="s">
        <v>827</v>
      </c>
      <c r="F139" s="214">
        <v>651.95</v>
      </c>
      <c r="G139" s="205"/>
      <c r="H139" s="206"/>
      <c r="I139" s="227"/>
    </row>
    <row r="140" outlineLevel="3">
      <c r="A140" s="422"/>
      <c r="B140" s="21"/>
      <c r="C140" s="198" t="s">
        <v>2025</v>
      </c>
      <c r="D140" s="202" t="s">
        <v>826</v>
      </c>
      <c r="E140" s="444" t="s">
        <v>827</v>
      </c>
      <c r="F140" s="214">
        <v>132.8</v>
      </c>
      <c r="G140" s="205"/>
      <c r="H140" s="206"/>
      <c r="I140" s="227"/>
    </row>
    <row r="141" outlineLevel="3">
      <c r="A141" s="422"/>
      <c r="B141" s="21"/>
      <c r="C141" s="198" t="s">
        <v>2026</v>
      </c>
      <c r="D141" s="202" t="s">
        <v>832</v>
      </c>
      <c r="E141" s="444" t="s">
        <v>827</v>
      </c>
      <c r="F141" s="214">
        <v>477.82</v>
      </c>
      <c r="G141" s="205"/>
      <c r="H141" s="206"/>
      <c r="I141" s="227"/>
    </row>
    <row r="142" outlineLevel="3">
      <c r="A142" s="422"/>
      <c r="B142" s="21"/>
      <c r="C142" s="198" t="s">
        <v>2027</v>
      </c>
      <c r="D142" s="202" t="s">
        <v>835</v>
      </c>
      <c r="E142" s="444" t="s">
        <v>827</v>
      </c>
      <c r="F142" s="214">
        <v>1878.6</v>
      </c>
      <c r="G142" s="205"/>
      <c r="H142" s="206"/>
      <c r="I142" s="227"/>
    </row>
    <row r="143" outlineLevel="3">
      <c r="A143" s="422"/>
      <c r="B143" s="21"/>
      <c r="C143" s="429"/>
      <c r="D143" s="21"/>
      <c r="E143" s="457"/>
      <c r="F143" s="115"/>
      <c r="G143" s="241"/>
      <c r="H143" s="241"/>
      <c r="I143" s="227"/>
    </row>
    <row r="144" outlineLevel="3">
      <c r="A144" s="422"/>
      <c r="B144" s="151" t="s">
        <v>836</v>
      </c>
      <c r="C144" s="244" t="s">
        <v>2028</v>
      </c>
      <c r="D144" s="245" t="s">
        <v>837</v>
      </c>
      <c r="E144" s="457"/>
      <c r="F144" s="115"/>
      <c r="G144" s="241"/>
      <c r="H144" s="241"/>
      <c r="I144" s="227"/>
    </row>
    <row r="145" outlineLevel="3">
      <c r="A145" s="422"/>
      <c r="B145" s="21"/>
      <c r="C145" s="198" t="s">
        <v>2030</v>
      </c>
      <c r="D145" s="202" t="s">
        <v>829</v>
      </c>
      <c r="E145" s="444" t="s">
        <v>827</v>
      </c>
      <c r="F145" s="214">
        <v>861.38</v>
      </c>
      <c r="G145" s="205"/>
      <c r="H145" s="206"/>
      <c r="I145" s="227"/>
    </row>
    <row r="146" outlineLevel="3">
      <c r="A146" s="422"/>
      <c r="B146" s="21"/>
      <c r="C146" s="198" t="s">
        <v>2031</v>
      </c>
      <c r="D146" s="202" t="s">
        <v>826</v>
      </c>
      <c r="E146" s="444" t="s">
        <v>827</v>
      </c>
      <c r="F146" s="214">
        <v>4610.89</v>
      </c>
      <c r="G146" s="205"/>
      <c r="H146" s="206"/>
      <c r="I146" s="227"/>
    </row>
    <row r="147" outlineLevel="3">
      <c r="A147" s="422"/>
      <c r="B147" s="21"/>
      <c r="C147" s="198" t="s">
        <v>2032</v>
      </c>
      <c r="D147" s="202" t="s">
        <v>832</v>
      </c>
      <c r="E147" s="444" t="s">
        <v>827</v>
      </c>
      <c r="F147" s="214">
        <v>12447.9</v>
      </c>
      <c r="G147" s="205"/>
      <c r="H147" s="206"/>
      <c r="I147" s="227"/>
    </row>
    <row r="148" outlineLevel="3">
      <c r="A148" s="422"/>
      <c r="B148" s="21"/>
      <c r="C148" s="429"/>
      <c r="D148" s="21"/>
      <c r="E148" s="457"/>
      <c r="F148" s="115"/>
      <c r="G148" s="241"/>
      <c r="H148" s="241"/>
      <c r="I148" s="227"/>
    </row>
    <row r="149" outlineLevel="3">
      <c r="A149" s="422"/>
      <c r="B149" s="151" t="s">
        <v>838</v>
      </c>
      <c r="C149" s="244" t="s">
        <v>2033</v>
      </c>
      <c r="D149" s="245" t="s">
        <v>839</v>
      </c>
      <c r="E149" s="457"/>
      <c r="F149" s="115"/>
      <c r="G149" s="241"/>
      <c r="H149" s="241"/>
      <c r="I149" s="227"/>
    </row>
    <row r="150" outlineLevel="3">
      <c r="A150" s="422"/>
      <c r="B150" s="21"/>
      <c r="C150" s="198" t="s">
        <v>2035</v>
      </c>
      <c r="D150" s="202" t="s">
        <v>829</v>
      </c>
      <c r="E150" s="444" t="s">
        <v>827</v>
      </c>
      <c r="F150" s="214">
        <v>873.77</v>
      </c>
      <c r="G150" s="205"/>
      <c r="H150" s="206"/>
      <c r="I150" s="227"/>
    </row>
    <row r="151" outlineLevel="3">
      <c r="A151" s="422"/>
      <c r="B151" s="21"/>
      <c r="C151" s="198" t="s">
        <v>2036</v>
      </c>
      <c r="D151" s="202" t="s">
        <v>832</v>
      </c>
      <c r="E151" s="444" t="s">
        <v>827</v>
      </c>
      <c r="F151" s="214">
        <v>1173.14</v>
      </c>
      <c r="G151" s="205"/>
      <c r="H151" s="206"/>
      <c r="I151" s="227"/>
    </row>
    <row r="152" outlineLevel="3">
      <c r="A152" s="422"/>
      <c r="B152" s="21"/>
      <c r="C152" s="198" t="s">
        <v>2037</v>
      </c>
      <c r="D152" s="202" t="s">
        <v>835</v>
      </c>
      <c r="E152" s="444" t="s">
        <v>827</v>
      </c>
      <c r="F152" s="214">
        <v>851.86</v>
      </c>
      <c r="G152" s="205"/>
      <c r="H152" s="206"/>
      <c r="I152" s="227"/>
    </row>
    <row r="153" outlineLevel="3">
      <c r="A153" s="422"/>
      <c r="B153" s="21"/>
      <c r="C153" s="429"/>
      <c r="D153" s="21"/>
      <c r="E153" s="457"/>
      <c r="F153" s="115"/>
      <c r="G153" s="241"/>
      <c r="H153" s="241"/>
      <c r="I153" s="227"/>
    </row>
    <row r="154" outlineLevel="3">
      <c r="A154" s="422"/>
      <c r="B154" s="151" t="s">
        <v>840</v>
      </c>
      <c r="C154" s="244" t="s">
        <v>2038</v>
      </c>
      <c r="D154" s="245" t="s">
        <v>841</v>
      </c>
      <c r="E154" s="457"/>
      <c r="F154" s="115"/>
      <c r="G154" s="241"/>
      <c r="H154" s="241"/>
      <c r="I154" s="227"/>
    </row>
    <row r="155" outlineLevel="3">
      <c r="A155" s="422"/>
      <c r="B155" s="21"/>
      <c r="C155" s="198" t="s">
        <v>2040</v>
      </c>
      <c r="D155" s="202" t="s">
        <v>829</v>
      </c>
      <c r="E155" s="444" t="s">
        <v>827</v>
      </c>
      <c r="F155" s="214">
        <v>2505.02</v>
      </c>
      <c r="G155" s="205"/>
      <c r="H155" s="206"/>
      <c r="I155" s="227"/>
    </row>
    <row r="156" outlineLevel="3">
      <c r="A156" s="422"/>
      <c r="B156" s="21"/>
      <c r="C156" s="198" t="s">
        <v>2041</v>
      </c>
      <c r="D156" s="202" t="s">
        <v>826</v>
      </c>
      <c r="E156" s="444" t="s">
        <v>827</v>
      </c>
      <c r="F156" s="214">
        <v>113.14</v>
      </c>
      <c r="G156" s="205"/>
      <c r="H156" s="206"/>
      <c r="I156" s="227"/>
    </row>
    <row r="157" outlineLevel="3">
      <c r="A157" s="422"/>
      <c r="B157" s="21"/>
      <c r="C157" s="198" t="s">
        <v>2042</v>
      </c>
      <c r="D157" s="202" t="s">
        <v>832</v>
      </c>
      <c r="E157" s="444" t="s">
        <v>827</v>
      </c>
      <c r="F157" s="214">
        <v>145.88</v>
      </c>
      <c r="G157" s="205"/>
      <c r="H157" s="206"/>
      <c r="I157" s="227"/>
    </row>
    <row r="158" outlineLevel="3">
      <c r="A158" s="422"/>
      <c r="B158" s="21"/>
      <c r="C158" s="198" t="s">
        <v>2043</v>
      </c>
      <c r="D158" s="202" t="s">
        <v>835</v>
      </c>
      <c r="E158" s="444" t="s">
        <v>827</v>
      </c>
      <c r="F158" s="214">
        <v>6059.68</v>
      </c>
      <c r="G158" s="205"/>
      <c r="H158" s="206"/>
      <c r="I158" s="227"/>
    </row>
    <row r="159" outlineLevel="3">
      <c r="A159" s="422"/>
      <c r="B159" s="21"/>
      <c r="C159" s="429"/>
      <c r="D159" s="21"/>
      <c r="E159" s="457"/>
      <c r="F159" s="115"/>
      <c r="G159" s="241"/>
      <c r="H159" s="241"/>
      <c r="I159" s="227"/>
    </row>
    <row r="160" outlineLevel="3">
      <c r="A160" s="422"/>
      <c r="B160" s="151" t="s">
        <v>842</v>
      </c>
      <c r="C160" s="244" t="s">
        <v>2044</v>
      </c>
      <c r="D160" s="245" t="s">
        <v>843</v>
      </c>
      <c r="E160" s="457"/>
      <c r="F160" s="115"/>
      <c r="G160" s="241"/>
      <c r="H160" s="241"/>
      <c r="I160" s="227"/>
    </row>
    <row r="161" outlineLevel="3">
      <c r="A161" s="422"/>
      <c r="B161" s="21"/>
      <c r="C161" s="198" t="s">
        <v>2046</v>
      </c>
      <c r="D161" s="202" t="s">
        <v>826</v>
      </c>
      <c r="E161" s="444" t="s">
        <v>827</v>
      </c>
      <c r="F161" s="214">
        <v>3007.17</v>
      </c>
      <c r="G161" s="205"/>
      <c r="H161" s="206"/>
      <c r="I161" s="227"/>
    </row>
    <row r="162" outlineLevel="3">
      <c r="A162" s="422"/>
      <c r="B162" s="21"/>
      <c r="C162" s="198" t="s">
        <v>2047</v>
      </c>
      <c r="D162" s="202" t="s">
        <v>832</v>
      </c>
      <c r="E162" s="444" t="s">
        <v>827</v>
      </c>
      <c r="F162" s="214">
        <v>14406.06</v>
      </c>
      <c r="G162" s="205"/>
      <c r="H162" s="206"/>
      <c r="I162" s="227"/>
    </row>
    <row r="163" outlineLevel="3">
      <c r="A163" s="422"/>
      <c r="B163" s="21"/>
      <c r="C163" s="429"/>
      <c r="D163" s="21"/>
      <c r="E163" s="457"/>
      <c r="F163" s="115"/>
      <c r="G163" s="241"/>
      <c r="H163" s="241"/>
      <c r="I163" s="227"/>
    </row>
    <row r="164" outlineLevel="3">
      <c r="A164" s="422"/>
      <c r="B164" s="151" t="s">
        <v>844</v>
      </c>
      <c r="C164" s="244" t="s">
        <v>2048</v>
      </c>
      <c r="D164" s="245" t="s">
        <v>845</v>
      </c>
      <c r="E164" s="457"/>
      <c r="F164" s="115"/>
      <c r="G164" s="241"/>
      <c r="H164" s="241"/>
      <c r="I164" s="227"/>
    </row>
    <row r="165" outlineLevel="3">
      <c r="A165" s="422"/>
      <c r="B165" s="21"/>
      <c r="C165" s="198" t="s">
        <v>2050</v>
      </c>
      <c r="D165" s="202" t="s">
        <v>826</v>
      </c>
      <c r="E165" s="444" t="s">
        <v>827</v>
      </c>
      <c r="F165" s="214">
        <v>601.06</v>
      </c>
      <c r="G165" s="205"/>
      <c r="H165" s="206"/>
      <c r="I165" s="227"/>
    </row>
    <row r="166" outlineLevel="3">
      <c r="A166" s="422"/>
      <c r="B166" s="21"/>
      <c r="C166" s="429"/>
      <c r="D166" s="21"/>
      <c r="E166" s="457"/>
      <c r="F166" s="115"/>
      <c r="G166" s="241"/>
      <c r="H166" s="241"/>
      <c r="I166" s="227"/>
    </row>
    <row r="167" outlineLevel="3">
      <c r="A167" s="422"/>
      <c r="B167" s="151" t="s">
        <v>846</v>
      </c>
      <c r="C167" s="244" t="s">
        <v>2051</v>
      </c>
      <c r="D167" s="245" t="s">
        <v>847</v>
      </c>
      <c r="E167" s="457"/>
      <c r="F167" s="115"/>
      <c r="G167" s="241"/>
      <c r="H167" s="241"/>
      <c r="I167" s="227"/>
    </row>
    <row r="168" outlineLevel="3">
      <c r="A168" s="422"/>
      <c r="B168" s="21"/>
      <c r="C168" s="198" t="s">
        <v>2053</v>
      </c>
      <c r="D168" s="202" t="s">
        <v>829</v>
      </c>
      <c r="E168" s="444" t="s">
        <v>827</v>
      </c>
      <c r="F168" s="214">
        <v>977.88</v>
      </c>
      <c r="G168" s="205"/>
      <c r="H168" s="206"/>
      <c r="I168" s="227"/>
    </row>
    <row r="169" outlineLevel="3">
      <c r="A169" s="422"/>
      <c r="B169" s="21"/>
      <c r="C169" s="198" t="s">
        <v>2054</v>
      </c>
      <c r="D169" s="202" t="s">
        <v>826</v>
      </c>
      <c r="E169" s="444" t="s">
        <v>827</v>
      </c>
      <c r="F169" s="214">
        <v>2445.29</v>
      </c>
      <c r="G169" s="205"/>
      <c r="H169" s="206"/>
      <c r="I169" s="227"/>
    </row>
    <row r="170" outlineLevel="3">
      <c r="A170" s="422"/>
      <c r="B170" s="21"/>
      <c r="C170" s="198" t="s">
        <v>2055</v>
      </c>
      <c r="D170" s="202" t="s">
        <v>832</v>
      </c>
      <c r="E170" s="444" t="s">
        <v>827</v>
      </c>
      <c r="F170" s="214">
        <v>4767.93</v>
      </c>
      <c r="G170" s="205"/>
      <c r="H170" s="206"/>
      <c r="I170" s="227"/>
    </row>
    <row r="171" outlineLevel="3">
      <c r="A171" s="422"/>
      <c r="B171" s="21"/>
      <c r="C171" s="429"/>
      <c r="D171" s="21"/>
      <c r="E171" s="457"/>
      <c r="F171" s="115"/>
      <c r="G171" s="241"/>
      <c r="H171" s="241"/>
      <c r="I171" s="227"/>
    </row>
    <row r="172" outlineLevel="3">
      <c r="A172" s="422"/>
      <c r="B172" s="151" t="s">
        <v>848</v>
      </c>
      <c r="C172" s="244" t="s">
        <v>2056</v>
      </c>
      <c r="D172" s="245" t="s">
        <v>849</v>
      </c>
      <c r="E172" s="457"/>
      <c r="F172" s="115"/>
      <c r="G172" s="241"/>
      <c r="H172" s="241"/>
      <c r="I172" s="227"/>
    </row>
    <row r="173" outlineLevel="3">
      <c r="A173" s="422"/>
      <c r="B173" s="21"/>
      <c r="C173" s="198" t="s">
        <v>2058</v>
      </c>
      <c r="D173" s="202" t="s">
        <v>829</v>
      </c>
      <c r="E173" s="444" t="s">
        <v>827</v>
      </c>
      <c r="F173" s="214">
        <v>539.19</v>
      </c>
      <c r="G173" s="205"/>
      <c r="H173" s="206"/>
      <c r="I173" s="227"/>
    </row>
    <row r="174" outlineLevel="3">
      <c r="A174" s="422"/>
      <c r="B174" s="21"/>
      <c r="C174" s="198" t="s">
        <v>2059</v>
      </c>
      <c r="D174" s="202" t="s">
        <v>832</v>
      </c>
      <c r="E174" s="444" t="s">
        <v>827</v>
      </c>
      <c r="F174" s="214">
        <v>44.55</v>
      </c>
      <c r="G174" s="205"/>
      <c r="H174" s="206"/>
      <c r="I174" s="227"/>
    </row>
    <row r="175" outlineLevel="3">
      <c r="A175" s="422"/>
      <c r="B175" s="21"/>
      <c r="C175" s="230"/>
      <c r="D175" s="246"/>
      <c r="E175" s="437"/>
      <c r="F175" s="170"/>
      <c r="G175" s="239"/>
      <c r="H175" s="239"/>
      <c r="I175" s="227"/>
    </row>
    <row r="176" outlineLevel="3">
      <c r="A176" s="422" t="str">
        <f>'Master List'!A498</f>
        <v>W-CON-004</v>
      </c>
      <c r="B176" s="21"/>
      <c r="C176" s="198"/>
      <c r="D176" s="462" t="str">
        <f>VLOOKUP(A176,'Master List'!$A$1:$C$1192,2,FALSE)</f>
        <v>Изготовление и установка арматурных каркасов</v>
      </c>
      <c r="E176" s="463" t="str">
        <f>VLOOKUP(A176,'Master List'!$A$1:$C$1192,3,FALSE)</f>
        <v>кг</v>
      </c>
      <c r="F176" s="464">
        <f>SUM(F128:F174)</f>
        <v>66069.26</v>
      </c>
      <c r="G176" s="463">
        <f>VLOOKUP(A176,'Master List'!$A$4:$F2882,5,FALSE)</f>
        <v>0.975</v>
      </c>
      <c r="H176" s="465">
        <f t="shared" ref="H176:H182" si="4">G176*F176</f>
        <v>64417.5285</v>
      </c>
      <c r="I176" s="227"/>
    </row>
    <row r="177" outlineLevel="3">
      <c r="A177" s="422" t="str">
        <f>'Master List'!A14</f>
        <v>M-CON-014</v>
      </c>
      <c r="B177" s="21"/>
      <c r="C177" s="198"/>
      <c r="D177" s="462" t="str">
        <f>VLOOKUP(A177,'Master List'!$A$1:$C$1192,2,FALSE)</f>
        <v>Арматура диаметром 8 мм A500NR SD</v>
      </c>
      <c r="E177" s="463" t="str">
        <f>VLOOKUP(A177,'Master List'!$A$1:$C$1192,3,FALSE)</f>
        <v>кг</v>
      </c>
      <c r="F177" s="464">
        <f>(F131+F139+F145+F150+F155+F168+F173)*1.05</f>
        <v>8381.121</v>
      </c>
      <c r="G177" s="463">
        <f>VLOOKUP(A177,'Master List'!$A$4:$F2883,5,FALSE)</f>
        <v>0.61685</v>
      </c>
      <c r="H177" s="465">
        <f t="shared" si="4"/>
        <v>5169.894489</v>
      </c>
      <c r="I177" s="227"/>
    </row>
    <row r="178" outlineLevel="3">
      <c r="A178" s="422" t="str">
        <f>'Master List'!A12</f>
        <v>M-CON-013</v>
      </c>
      <c r="B178" s="21"/>
      <c r="C178" s="198"/>
      <c r="D178" s="462" t="str">
        <f>VLOOKUP(A178,'Master List'!$A$1:$C$1192,2,FALSE)</f>
        <v>Арматура диаметром 10 мм A500NR SD</v>
      </c>
      <c r="E178" s="463" t="str">
        <f>VLOOKUP(A178,'Master List'!$A$1:$C$1192,3,FALSE)</f>
        <v>кг</v>
      </c>
      <c r="F178" s="464">
        <f>(F128+F132+F135+F140+F146+F156+F161+F165+F169)*1.05</f>
        <v>16192.0185</v>
      </c>
      <c r="G178" s="463">
        <f>VLOOKUP(A178,'Master List'!$A$4:$F2884,5,FALSE)</f>
        <v>0.58305</v>
      </c>
      <c r="H178" s="465">
        <f t="shared" si="4"/>
        <v>9440.756386</v>
      </c>
      <c r="I178" s="227"/>
    </row>
    <row r="179" outlineLevel="3">
      <c r="A179" s="422" t="str">
        <f>'Master List'!A11</f>
        <v>M-CON-012</v>
      </c>
      <c r="B179" s="21"/>
      <c r="C179" s="198"/>
      <c r="D179" s="462" t="str">
        <f>VLOOKUP(A179,'Master List'!$A$1:$C$1192,2,FALSE)</f>
        <v>Арматура диаметром 12 мм A500NR SD</v>
      </c>
      <c r="E179" s="463" t="str">
        <f>VLOOKUP(A179,'Master List'!$A$1:$C$1192,3,FALSE)</f>
        <v>кг</v>
      </c>
      <c r="F179" s="464">
        <f>(F136+F141+F147+F151+F157+F162+F170+F174)*1.05</f>
        <v>35569.9365</v>
      </c>
      <c r="G179" s="463">
        <f>VLOOKUP(A179,'Master List'!$A$4:$F2885,5,FALSE)</f>
        <v>0.5746</v>
      </c>
      <c r="H179" s="465">
        <f t="shared" si="4"/>
        <v>20438.48551</v>
      </c>
      <c r="I179" s="227"/>
      <c r="K179" s="103"/>
    </row>
    <row r="180" outlineLevel="3">
      <c r="A180" s="422" t="str">
        <f>'Master List'!A13</f>
        <v>M-CON-015</v>
      </c>
      <c r="B180" s="21"/>
      <c r="C180" s="198"/>
      <c r="D180" s="462" t="str">
        <f>VLOOKUP(A180,'Master List'!$A$1:$C$1192,2,FALSE)</f>
        <v>Арматура диаметром 16 мм A500NR SD</v>
      </c>
      <c r="E180" s="463" t="str">
        <f>VLOOKUP(A180,'Master List'!$A$1:$C$1192,3,FALSE)</f>
        <v>кг</v>
      </c>
      <c r="F180" s="464">
        <f>(F142+F152+F158)*1.05</f>
        <v>9229.647</v>
      </c>
      <c r="G180" s="463">
        <f>VLOOKUP(A180,'Master List'!$A$4:$F2886,5,FALSE)</f>
        <v>0.61685</v>
      </c>
      <c r="H180" s="465">
        <f t="shared" si="4"/>
        <v>5693.307752</v>
      </c>
      <c r="I180" s="227"/>
      <c r="K180" s="103"/>
    </row>
    <row r="181" outlineLevel="3">
      <c r="A181" s="422" t="str">
        <f>'Master List'!A15</f>
        <v>M-CON-020</v>
      </c>
      <c r="B181" s="21"/>
      <c r="C181" s="198"/>
      <c r="D181" s="462" t="str">
        <f>VLOOKUP(A181,'Master List'!$A$1:$C$1192,2,FALSE)</f>
        <v>Вязальная проволока</v>
      </c>
      <c r="E181" s="463" t="str">
        <f>VLOOKUP(A181,'Master List'!$A$1:$C$1192,3,FALSE)</f>
        <v>кг</v>
      </c>
      <c r="F181" s="464">
        <f>F176*15/1000</f>
        <v>991.0389</v>
      </c>
      <c r="G181" s="463">
        <f>VLOOKUP(A181,'Master List'!$A$4:$F2887,5,FALSE)</f>
        <v>2.054</v>
      </c>
      <c r="H181" s="465">
        <f t="shared" si="4"/>
        <v>2035.593901</v>
      </c>
      <c r="I181" s="227"/>
    </row>
    <row r="182" outlineLevel="3">
      <c r="A182" s="422" t="str">
        <f>'Master List'!A16</f>
        <v>M-CON-022</v>
      </c>
      <c r="B182" s="21"/>
      <c r="C182" s="198"/>
      <c r="D182" s="462" t="str">
        <f>VLOOKUP(A182,'Master List'!$A$1:$C$1192,2,FALSE)</f>
        <v>Круги отрезные по металлу диаметром 230мм</v>
      </c>
      <c r="E182" s="463" t="str">
        <f>VLOOKUP(A182,'Master List'!$A$1:$C$1192,3,FALSE)</f>
        <v>шт</v>
      </c>
      <c r="F182" s="464">
        <f>F176*3/1000+0.79</f>
        <v>198.99778</v>
      </c>
      <c r="G182" s="463">
        <f>VLOOKUP(A182,'Master List'!$A$4:$F2888,5,FALSE)</f>
        <v>0</v>
      </c>
      <c r="H182" s="206">
        <f t="shared" si="4"/>
        <v>0</v>
      </c>
      <c r="I182" s="227"/>
    </row>
    <row r="183" outlineLevel="3">
      <c r="A183" s="422"/>
      <c r="B183" s="21"/>
      <c r="C183" s="230"/>
      <c r="D183" s="246"/>
      <c r="E183" s="437"/>
      <c r="F183" s="170"/>
      <c r="G183" s="239"/>
      <c r="H183" s="239"/>
      <c r="I183" s="227"/>
    </row>
    <row r="184" outlineLevel="3">
      <c r="A184" s="422"/>
      <c r="B184" s="21"/>
      <c r="C184" s="230"/>
      <c r="D184" s="246"/>
      <c r="E184" s="437"/>
      <c r="F184" s="170"/>
      <c r="G184" s="239"/>
      <c r="H184" s="239"/>
      <c r="I184" s="227"/>
    </row>
    <row r="185" outlineLevel="2">
      <c r="A185" s="422"/>
      <c r="B185" s="21"/>
      <c r="C185" s="429"/>
      <c r="D185" s="21"/>
      <c r="E185" s="457"/>
      <c r="F185" s="115"/>
      <c r="G185" s="241"/>
      <c r="H185" s="241"/>
      <c r="I185" s="227"/>
    </row>
    <row r="186" outlineLevel="1">
      <c r="A186" s="422"/>
      <c r="B186" s="151"/>
      <c r="C186" s="230"/>
      <c r="D186" s="435" t="s">
        <v>851</v>
      </c>
      <c r="E186" s="457"/>
      <c r="F186" s="115"/>
      <c r="G186" s="436">
        <f>SUM(H207:H210)</f>
        <v>126086.415</v>
      </c>
      <c r="H186" s="241"/>
      <c r="I186" s="227"/>
    </row>
    <row r="187" outlineLevel="2">
      <c r="A187" s="422"/>
      <c r="B187" s="151"/>
      <c r="C187" s="230"/>
      <c r="D187" s="246"/>
      <c r="E187" s="457"/>
      <c r="F187" s="115"/>
      <c r="G187" s="241"/>
      <c r="H187" s="241"/>
      <c r="I187" s="227"/>
    </row>
    <row r="188" outlineLevel="2">
      <c r="A188" s="422"/>
      <c r="B188" s="151" t="s">
        <v>96</v>
      </c>
      <c r="C188" s="244">
        <v>3.8</v>
      </c>
      <c r="D188" s="245" t="s">
        <v>852</v>
      </c>
      <c r="E188" s="457"/>
      <c r="F188" s="115"/>
      <c r="G188" s="241"/>
      <c r="H188" s="241"/>
      <c r="I188" s="227"/>
    </row>
    <row r="189" outlineLevel="3">
      <c r="A189" s="422"/>
      <c r="B189" s="21"/>
      <c r="C189" s="429"/>
      <c r="D189" s="21"/>
      <c r="E189" s="457"/>
      <c r="F189" s="115"/>
      <c r="G189" s="241"/>
      <c r="H189" s="241"/>
      <c r="I189" s="227"/>
    </row>
    <row r="190" outlineLevel="3">
      <c r="A190" s="422"/>
      <c r="B190" s="151" t="s">
        <v>98</v>
      </c>
      <c r="C190" s="198" t="s">
        <v>2062</v>
      </c>
      <c r="D190" s="202" t="s">
        <v>789</v>
      </c>
      <c r="E190" s="444" t="s">
        <v>40</v>
      </c>
      <c r="F190" s="214">
        <v>166.13</v>
      </c>
      <c r="G190" s="205"/>
      <c r="H190" s="206"/>
      <c r="I190" s="227"/>
    </row>
    <row r="191" outlineLevel="3">
      <c r="A191" s="422"/>
      <c r="B191" s="151" t="s">
        <v>853</v>
      </c>
      <c r="C191" s="198" t="s">
        <v>2063</v>
      </c>
      <c r="D191" s="202" t="s">
        <v>825</v>
      </c>
      <c r="E191" s="444" t="s">
        <v>40</v>
      </c>
      <c r="F191" s="214">
        <v>17.75</v>
      </c>
      <c r="G191" s="205"/>
      <c r="H191" s="206"/>
      <c r="I191" s="227"/>
    </row>
    <row r="192" outlineLevel="3">
      <c r="A192" s="422"/>
      <c r="B192" s="151" t="s">
        <v>854</v>
      </c>
      <c r="C192" s="198" t="s">
        <v>2064</v>
      </c>
      <c r="D192" s="202" t="s">
        <v>855</v>
      </c>
      <c r="E192" s="444" t="s">
        <v>40</v>
      </c>
      <c r="F192" s="214">
        <v>188.65</v>
      </c>
      <c r="G192" s="205"/>
      <c r="H192" s="206"/>
      <c r="I192" s="227"/>
    </row>
    <row r="193" outlineLevel="3">
      <c r="A193" s="422"/>
      <c r="B193" s="151" t="s">
        <v>856</v>
      </c>
      <c r="C193" s="198" t="s">
        <v>2066</v>
      </c>
      <c r="D193" s="202" t="s">
        <v>857</v>
      </c>
      <c r="E193" s="444" t="s">
        <v>40</v>
      </c>
      <c r="F193" s="214">
        <v>913.44</v>
      </c>
      <c r="G193" s="205"/>
      <c r="H193" s="206"/>
      <c r="I193" s="227"/>
    </row>
    <row r="194" outlineLevel="3">
      <c r="A194" s="422"/>
      <c r="B194" s="151" t="s">
        <v>858</v>
      </c>
      <c r="C194" s="198" t="s">
        <v>2068</v>
      </c>
      <c r="D194" s="202" t="s">
        <v>801</v>
      </c>
      <c r="E194" s="444" t="s">
        <v>40</v>
      </c>
      <c r="F194" s="214">
        <v>127.0</v>
      </c>
      <c r="G194" s="205"/>
      <c r="H194" s="206"/>
      <c r="I194" s="227"/>
    </row>
    <row r="195" outlineLevel="3">
      <c r="A195" s="422"/>
      <c r="B195" s="151" t="s">
        <v>859</v>
      </c>
      <c r="C195" s="198" t="s">
        <v>2069</v>
      </c>
      <c r="D195" s="202" t="s">
        <v>860</v>
      </c>
      <c r="E195" s="444" t="s">
        <v>40</v>
      </c>
      <c r="F195" s="214">
        <v>280.94</v>
      </c>
      <c r="G195" s="205"/>
      <c r="H195" s="206"/>
      <c r="I195" s="227"/>
    </row>
    <row r="196" outlineLevel="3">
      <c r="A196" s="422"/>
      <c r="B196" s="151" t="s">
        <v>861</v>
      </c>
      <c r="C196" s="198" t="s">
        <v>2071</v>
      </c>
      <c r="D196" s="202" t="s">
        <v>817</v>
      </c>
      <c r="E196" s="444" t="s">
        <v>40</v>
      </c>
      <c r="F196" s="214">
        <v>17.46</v>
      </c>
      <c r="G196" s="205"/>
      <c r="H196" s="206"/>
      <c r="I196" s="227"/>
    </row>
    <row r="197" outlineLevel="3">
      <c r="A197" s="422"/>
      <c r="B197" s="151" t="s">
        <v>862</v>
      </c>
      <c r="C197" s="198" t="s">
        <v>2072</v>
      </c>
      <c r="D197" s="202" t="s">
        <v>863</v>
      </c>
      <c r="E197" s="444" t="s">
        <v>40</v>
      </c>
      <c r="F197" s="214">
        <v>268.51</v>
      </c>
      <c r="G197" s="205"/>
      <c r="H197" s="206"/>
      <c r="I197" s="227"/>
    </row>
    <row r="198" outlineLevel="3">
      <c r="A198" s="422"/>
      <c r="B198" s="151" t="s">
        <v>864</v>
      </c>
      <c r="C198" s="198" t="s">
        <v>2074</v>
      </c>
      <c r="D198" s="202" t="s">
        <v>865</v>
      </c>
      <c r="E198" s="444" t="s">
        <v>40</v>
      </c>
      <c r="F198" s="214">
        <v>7.58</v>
      </c>
      <c r="G198" s="205"/>
      <c r="H198" s="206"/>
      <c r="I198" s="227"/>
    </row>
    <row r="199" outlineLevel="3">
      <c r="A199" s="422"/>
      <c r="B199" s="151" t="s">
        <v>866</v>
      </c>
      <c r="C199" s="198" t="s">
        <v>2076</v>
      </c>
      <c r="D199" s="202" t="s">
        <v>867</v>
      </c>
      <c r="E199" s="444" t="s">
        <v>40</v>
      </c>
      <c r="F199" s="214">
        <v>29.03</v>
      </c>
      <c r="G199" s="205"/>
      <c r="H199" s="206"/>
      <c r="I199" s="227"/>
    </row>
    <row r="200" outlineLevel="2">
      <c r="A200" s="422"/>
      <c r="B200" s="21"/>
      <c r="C200" s="429"/>
      <c r="D200" s="21"/>
      <c r="E200" s="457"/>
      <c r="F200" s="115"/>
      <c r="G200" s="241"/>
      <c r="H200" s="241"/>
      <c r="I200" s="227"/>
    </row>
    <row r="201" outlineLevel="2">
      <c r="A201" s="422"/>
      <c r="B201" s="151" t="s">
        <v>138</v>
      </c>
      <c r="C201" s="244">
        <v>3.9</v>
      </c>
      <c r="D201" s="245" t="s">
        <v>868</v>
      </c>
      <c r="E201" s="457"/>
      <c r="F201" s="115"/>
      <c r="G201" s="241"/>
      <c r="H201" s="241"/>
      <c r="I201" s="227"/>
    </row>
    <row r="202" outlineLevel="3">
      <c r="A202" s="422"/>
      <c r="B202" s="21"/>
      <c r="C202" s="429"/>
      <c r="D202" s="21"/>
      <c r="E202" s="457"/>
      <c r="F202" s="115"/>
      <c r="G202" s="241"/>
      <c r="H202" s="241"/>
      <c r="I202" s="227"/>
    </row>
    <row r="203" outlineLevel="3">
      <c r="A203" s="422"/>
      <c r="B203" s="151" t="s">
        <v>869</v>
      </c>
      <c r="C203" s="198" t="s">
        <v>2079</v>
      </c>
      <c r="D203" s="202" t="s">
        <v>870</v>
      </c>
      <c r="E203" s="444" t="s">
        <v>40</v>
      </c>
      <c r="F203" s="214">
        <v>157.61</v>
      </c>
      <c r="G203" s="205"/>
      <c r="H203" s="206"/>
      <c r="I203" s="227"/>
    </row>
    <row r="204" outlineLevel="3">
      <c r="A204" s="422"/>
      <c r="B204" s="151" t="s">
        <v>871</v>
      </c>
      <c r="C204" s="198" t="s">
        <v>2081</v>
      </c>
      <c r="D204" s="202" t="s">
        <v>860</v>
      </c>
      <c r="E204" s="444" t="s">
        <v>40</v>
      </c>
      <c r="F204" s="214">
        <v>81.58</v>
      </c>
      <c r="G204" s="205"/>
      <c r="H204" s="206"/>
      <c r="I204" s="227"/>
    </row>
    <row r="205" outlineLevel="3">
      <c r="A205" s="422"/>
      <c r="B205" s="151" t="s">
        <v>872</v>
      </c>
      <c r="C205" s="198" t="s">
        <v>2082</v>
      </c>
      <c r="D205" s="202" t="s">
        <v>817</v>
      </c>
      <c r="E205" s="444" t="s">
        <v>40</v>
      </c>
      <c r="F205" s="214">
        <v>515.45</v>
      </c>
      <c r="G205" s="205"/>
      <c r="H205" s="206"/>
      <c r="I205" s="227"/>
    </row>
    <row r="206" outlineLevel="3">
      <c r="A206" s="422"/>
      <c r="B206" s="151"/>
      <c r="C206" s="230"/>
      <c r="D206" s="246"/>
      <c r="E206" s="437"/>
      <c r="F206" s="170"/>
      <c r="G206" s="239"/>
      <c r="H206" s="239"/>
      <c r="I206" s="227"/>
    </row>
    <row r="207" outlineLevel="3">
      <c r="A207" s="422" t="str">
        <f>'Master List'!A497</f>
        <v>W-CON-003</v>
      </c>
      <c r="B207" s="151"/>
      <c r="C207" s="198"/>
      <c r="D207" s="462" t="str">
        <f>VLOOKUP(A207,'Master List'!$A$1:$C$1192,2,FALSE)</f>
        <v>Сборка и разборка опалубки</v>
      </c>
      <c r="E207" s="463" t="str">
        <f>VLOOKUP(A207,'Master List'!$A$1:$C$1192,3,FALSE)</f>
        <v>м2</v>
      </c>
      <c r="F207" s="464">
        <f>SUM(F190:F205)</f>
        <v>2771.13</v>
      </c>
      <c r="G207" s="463">
        <f>VLOOKUP(A207,'Master List'!$A$4:$F2913,5,FALSE)</f>
        <v>45.5</v>
      </c>
      <c r="H207" s="206">
        <f t="shared" ref="H207:H210" si="5">G207*F207</f>
        <v>126086.415</v>
      </c>
      <c r="I207" s="227"/>
    </row>
    <row r="208" outlineLevel="3">
      <c r="A208" s="422" t="str">
        <f>'Master List'!A18</f>
        <v>M-CON-030</v>
      </c>
      <c r="B208" s="151"/>
      <c r="C208" s="198"/>
      <c r="D208" s="462" t="str">
        <f>VLOOKUP(A208,'Master List'!$A$1:$C$1192,2,FALSE)</f>
        <v>Деревянные щиты опалубки</v>
      </c>
      <c r="E208" s="463" t="str">
        <f>VLOOKUP(A208,'Master List'!$A$1:$C$1192,3,FALSE)</f>
        <v>м2</v>
      </c>
      <c r="F208" s="464">
        <f>F207</f>
        <v>2771.13</v>
      </c>
      <c r="G208" s="463">
        <f>VLOOKUP(A208,'Master List'!$A$4:$F2914,5,FALSE)</f>
        <v>0</v>
      </c>
      <c r="H208" s="206">
        <f t="shared" si="5"/>
        <v>0</v>
      </c>
      <c r="I208" s="227"/>
    </row>
    <row r="209" outlineLevel="3">
      <c r="A209" s="422" t="str">
        <f>'Master List'!A19</f>
        <v>M-CON-031</v>
      </c>
      <c r="B209" s="151"/>
      <c r="C209" s="198"/>
      <c r="D209" s="462" t="str">
        <f>VLOOKUP(A209,'Master List'!$A$1:$C$1192,2,FALSE)</f>
        <v>Метизи</v>
      </c>
      <c r="E209" s="463" t="str">
        <f>VLOOKUP(A209,'Master List'!$A$1:$C$1192,3,FALSE)</f>
        <v>кг</v>
      </c>
      <c r="F209" s="464">
        <f>F207*2/100</f>
        <v>55.4226</v>
      </c>
      <c r="G209" s="463">
        <f>VLOOKUP(A209,'Master List'!$A$4:$F2915,5,FALSE)</f>
        <v>0</v>
      </c>
      <c r="H209" s="206">
        <f t="shared" si="5"/>
        <v>0</v>
      </c>
      <c r="I209" s="227"/>
    </row>
    <row r="210" outlineLevel="3">
      <c r="A210" s="422" t="str">
        <f>'Master List'!A17</f>
        <v>M-CON-023</v>
      </c>
      <c r="B210" s="151"/>
      <c r="C210" s="198"/>
      <c r="D210" s="462" t="str">
        <f>VLOOKUP(A210,'Master List'!$A$1:$C$1192,2,FALSE)</f>
        <v>Круги отрезные по дереву диаметром 180мм</v>
      </c>
      <c r="E210" s="463" t="str">
        <f>VLOOKUP(A210,'Master List'!$A$1:$C$1192,3,FALSE)</f>
        <v>шт</v>
      </c>
      <c r="F210" s="464">
        <f>F207*1/300+0.76</f>
        <v>9.9971</v>
      </c>
      <c r="G210" s="463">
        <f>VLOOKUP(A210,'Master List'!$A$4:$F2916,5,FALSE)</f>
        <v>0</v>
      </c>
      <c r="H210" s="206">
        <f t="shared" si="5"/>
        <v>0</v>
      </c>
      <c r="I210" s="227"/>
    </row>
    <row r="211" outlineLevel="3">
      <c r="A211" s="422"/>
      <c r="B211" s="151"/>
      <c r="C211" s="230"/>
      <c r="D211" s="466"/>
      <c r="E211" s="467"/>
      <c r="F211" s="468"/>
      <c r="G211" s="467"/>
      <c r="H211" s="239"/>
      <c r="I211" s="227"/>
    </row>
    <row r="212" outlineLevel="3">
      <c r="A212" s="422"/>
      <c r="B212" s="151"/>
      <c r="C212" s="230"/>
      <c r="D212" s="466"/>
      <c r="E212" s="467"/>
      <c r="F212" s="468"/>
      <c r="G212" s="467"/>
      <c r="H212" s="239"/>
      <c r="I212" s="227"/>
    </row>
    <row r="213" outlineLevel="3">
      <c r="A213" s="422"/>
      <c r="B213" s="151"/>
      <c r="C213" s="230"/>
      <c r="D213" s="466"/>
      <c r="E213" s="467"/>
      <c r="F213" s="468"/>
      <c r="G213" s="467"/>
      <c r="H213" s="239"/>
      <c r="I213" s="227"/>
    </row>
    <row r="214" outlineLevel="1">
      <c r="A214" s="422"/>
      <c r="B214" s="151" t="s">
        <v>873</v>
      </c>
      <c r="C214" s="429"/>
      <c r="D214" s="435" t="s">
        <v>874</v>
      </c>
      <c r="E214" s="457"/>
      <c r="F214" s="115"/>
      <c r="G214" s="436">
        <f>SUM(H222:H226)</f>
        <v>36424.7</v>
      </c>
      <c r="H214" s="241"/>
      <c r="I214" s="227"/>
    </row>
    <row r="215" outlineLevel="2">
      <c r="A215" s="422"/>
      <c r="B215" s="21"/>
      <c r="C215" s="429"/>
      <c r="D215" s="21"/>
      <c r="E215" s="457"/>
      <c r="F215" s="115"/>
      <c r="G215" s="241"/>
      <c r="H215" s="241"/>
      <c r="I215" s="227"/>
    </row>
    <row r="216" outlineLevel="2">
      <c r="A216" s="422"/>
      <c r="B216" s="151" t="s">
        <v>147</v>
      </c>
      <c r="C216" s="248">
        <v>3.1</v>
      </c>
      <c r="D216" s="245" t="s">
        <v>875</v>
      </c>
      <c r="E216" s="457"/>
      <c r="F216" s="115"/>
      <c r="G216" s="241"/>
      <c r="H216" s="241"/>
      <c r="I216" s="227"/>
    </row>
    <row r="217" outlineLevel="2">
      <c r="A217" s="422"/>
      <c r="B217" s="21"/>
      <c r="C217" s="429"/>
      <c r="D217" s="21"/>
      <c r="E217" s="457"/>
      <c r="F217" s="115"/>
      <c r="G217" s="241"/>
      <c r="H217" s="241"/>
      <c r="I217" s="227"/>
    </row>
    <row r="218" outlineLevel="2">
      <c r="A218" s="422"/>
      <c r="B218" s="151" t="s">
        <v>149</v>
      </c>
      <c r="C218" s="198" t="s">
        <v>2085</v>
      </c>
      <c r="D218" s="202" t="s">
        <v>876</v>
      </c>
      <c r="E218" s="444" t="s">
        <v>877</v>
      </c>
      <c r="F218" s="214">
        <v>1218.48</v>
      </c>
      <c r="G218" s="205"/>
      <c r="H218" s="206"/>
      <c r="I218" s="227"/>
    </row>
    <row r="219" outlineLevel="2">
      <c r="A219" s="422"/>
      <c r="B219" s="151" t="s">
        <v>878</v>
      </c>
      <c r="C219" s="198" t="s">
        <v>2087</v>
      </c>
      <c r="D219" s="202" t="s">
        <v>879</v>
      </c>
      <c r="E219" s="444" t="s">
        <v>75</v>
      </c>
      <c r="F219" s="214">
        <v>58.0</v>
      </c>
      <c r="G219" s="205"/>
      <c r="H219" s="206"/>
      <c r="I219" s="227"/>
    </row>
    <row r="220" outlineLevel="2">
      <c r="A220" s="422"/>
      <c r="B220" s="151" t="s">
        <v>881</v>
      </c>
      <c r="C220" s="198" t="s">
        <v>2089</v>
      </c>
      <c r="D220" s="202" t="s">
        <v>882</v>
      </c>
      <c r="E220" s="444" t="s">
        <v>75</v>
      </c>
      <c r="F220" s="214">
        <v>58.0</v>
      </c>
      <c r="G220" s="205"/>
      <c r="H220" s="206"/>
      <c r="I220" s="227"/>
    </row>
    <row r="221" outlineLevel="2">
      <c r="A221" s="422"/>
      <c r="B221" s="151"/>
      <c r="C221" s="230"/>
      <c r="D221" s="246"/>
      <c r="E221" s="437"/>
      <c r="F221" s="170"/>
      <c r="G221" s="239"/>
      <c r="H221" s="239"/>
      <c r="I221" s="227"/>
    </row>
    <row r="222" outlineLevel="2">
      <c r="A222" s="422" t="str">
        <f>'Master List'!A500</f>
        <v>W-CON-006</v>
      </c>
      <c r="B222" s="151"/>
      <c r="C222" s="198"/>
      <c r="D222" s="462" t="str">
        <f>VLOOKUP(A222,'Master List'!$A$1:$C$1192,2,FALSE)</f>
        <v>Влаштування канатів попереднього напруження </v>
      </c>
      <c r="E222" s="463" t="str">
        <f>VLOOKUP(A222,'Master List'!$A$1:$C$1192,3,FALSE)</f>
        <v>м</v>
      </c>
      <c r="F222" s="464">
        <f>F218</f>
        <v>1218.48</v>
      </c>
      <c r="G222" s="463">
        <f>VLOOKUP(A222,'Master List'!$A$4:$F2928,5,FALSE)</f>
        <v>21.06</v>
      </c>
      <c r="H222" s="206">
        <f t="shared" ref="H222:H226" si="6">G222*F222</f>
        <v>25661.1888</v>
      </c>
      <c r="I222" s="227"/>
    </row>
    <row r="223" outlineLevel="2">
      <c r="A223" s="422" t="str">
        <f>'Master List'!A501</f>
        <v>W-CON-009</v>
      </c>
      <c r="B223" s="151"/>
      <c r="C223" s="198"/>
      <c r="D223" s="462" t="str">
        <f>VLOOKUP(A223,'Master List'!$A$1:$C$1192,2,FALSE)</f>
        <v>Встановлення анкерів для канатів попереднього напруження </v>
      </c>
      <c r="E223" s="463" t="str">
        <f>VLOOKUP(A223,'Master List'!$A$1:$C$1192,3,FALSE)</f>
        <v>шт</v>
      </c>
      <c r="F223" s="464">
        <f>F219+F220</f>
        <v>116</v>
      </c>
      <c r="G223" s="463">
        <f>VLOOKUP(A223,'Master List'!$A$4:$F2929,5,FALSE)</f>
        <v>0</v>
      </c>
      <c r="H223" s="206">
        <f t="shared" si="6"/>
        <v>0</v>
      </c>
      <c r="I223" s="227"/>
    </row>
    <row r="224" outlineLevel="2">
      <c r="A224" s="422" t="str">
        <f>'Master List'!A20</f>
        <v>M-CON-035</v>
      </c>
      <c r="B224" s="151"/>
      <c r="C224" s="198"/>
      <c r="D224" s="462" t="str">
        <f>VLOOKUP(A224,'Master List'!$A$1:$C$1192,2,FALSE)</f>
        <v>Канати попереднього напруження</v>
      </c>
      <c r="E224" s="463" t="str">
        <f>VLOOKUP(A224,'Master List'!$A$1:$C$1192,3,FALSE)</f>
        <v>м</v>
      </c>
      <c r="F224" s="464">
        <f>F222*1.05</f>
        <v>1279.404</v>
      </c>
      <c r="G224" s="463">
        <f>VLOOKUP(A224,'Master List'!$A$4:$F2930,5,FALSE)</f>
        <v>7.8</v>
      </c>
      <c r="H224" s="206">
        <f t="shared" si="6"/>
        <v>9979.3512</v>
      </c>
      <c r="I224" s="227"/>
    </row>
    <row r="225" outlineLevel="2">
      <c r="A225" s="422" t="str">
        <f>'Master List'!A21</f>
        <v>M-CON-036</v>
      </c>
      <c r="B225" s="151"/>
      <c r="C225" s="198"/>
      <c r="D225" s="462" t="str">
        <f>VLOOKUP(A225,'Master List'!$A$1:$C$1192,2,FALSE)</f>
        <v>Активні анкери</v>
      </c>
      <c r="E225" s="463" t="str">
        <f>VLOOKUP(A225,'Master List'!$A$1:$C$1192,3,FALSE)</f>
        <v>шт</v>
      </c>
      <c r="F225" s="464">
        <f>F223/2</f>
        <v>58</v>
      </c>
      <c r="G225" s="463">
        <f>VLOOKUP(A225,'Master List'!$A$4:$F2931,5,FALSE)</f>
        <v>7.15</v>
      </c>
      <c r="H225" s="206">
        <f t="shared" si="6"/>
        <v>414.7</v>
      </c>
      <c r="I225" s="227"/>
    </row>
    <row r="226" outlineLevel="2">
      <c r="A226" s="422" t="str">
        <f>'Master List'!A22</f>
        <v>M-CON-037</v>
      </c>
      <c r="B226" s="151"/>
      <c r="C226" s="198"/>
      <c r="D226" s="462" t="str">
        <f>VLOOKUP(A226,'Master List'!$A$1:$C$1192,2,FALSE)</f>
        <v>Пасивні анкери</v>
      </c>
      <c r="E226" s="463" t="str">
        <f>VLOOKUP(A226,'Master List'!$A$1:$C$1192,3,FALSE)</f>
        <v>шт</v>
      </c>
      <c r="F226" s="464">
        <f>F223/2</f>
        <v>58</v>
      </c>
      <c r="G226" s="463">
        <f>VLOOKUP(A226,'Master List'!$A$4:$F2932,5,FALSE)</f>
        <v>6.37</v>
      </c>
      <c r="H226" s="206">
        <f t="shared" si="6"/>
        <v>369.46</v>
      </c>
      <c r="I226" s="227"/>
    </row>
    <row r="227" outlineLevel="2">
      <c r="A227" s="422"/>
      <c r="B227" s="151"/>
      <c r="C227" s="230"/>
      <c r="D227" s="246"/>
      <c r="E227" s="437"/>
      <c r="F227" s="170"/>
      <c r="G227" s="239"/>
      <c r="H227" s="239"/>
      <c r="I227" s="227"/>
    </row>
    <row r="228" outlineLevel="2">
      <c r="A228" s="422"/>
      <c r="B228" s="21"/>
      <c r="C228" s="429"/>
      <c r="D228" s="21"/>
      <c r="E228" s="457"/>
      <c r="F228" s="115"/>
      <c r="G228" s="241"/>
      <c r="H228" s="241"/>
      <c r="I228" s="227"/>
    </row>
    <row r="229" outlineLevel="1">
      <c r="A229" s="422"/>
      <c r="B229" s="151" t="s">
        <v>883</v>
      </c>
      <c r="C229" s="429"/>
      <c r="D229" s="435" t="s">
        <v>884</v>
      </c>
      <c r="E229" s="457"/>
      <c r="F229" s="115"/>
      <c r="G229" s="436">
        <f>SUM(H235:H236)</f>
        <v>4312.88</v>
      </c>
      <c r="H229" s="241"/>
      <c r="I229" s="227"/>
    </row>
    <row r="230" outlineLevel="2">
      <c r="A230" s="422"/>
      <c r="B230" s="21"/>
      <c r="C230" s="429"/>
      <c r="D230" s="21"/>
      <c r="E230" s="457"/>
      <c r="F230" s="115"/>
      <c r="G230" s="241"/>
      <c r="H230" s="241"/>
      <c r="I230" s="227"/>
    </row>
    <row r="231" outlineLevel="2">
      <c r="A231" s="422"/>
      <c r="B231" s="151" t="s">
        <v>166</v>
      </c>
      <c r="C231" s="248">
        <v>3.11</v>
      </c>
      <c r="D231" s="245" t="s">
        <v>885</v>
      </c>
      <c r="E231" s="457"/>
      <c r="F231" s="115"/>
      <c r="G231" s="241"/>
      <c r="H231" s="241"/>
      <c r="I231" s="227"/>
    </row>
    <row r="232" outlineLevel="2">
      <c r="A232" s="422"/>
      <c r="B232" s="21"/>
      <c r="C232" s="429"/>
      <c r="D232" s="21"/>
      <c r="E232" s="457"/>
      <c r="F232" s="115"/>
      <c r="G232" s="241"/>
      <c r="H232" s="241"/>
      <c r="I232" s="227"/>
    </row>
    <row r="233" outlineLevel="2">
      <c r="A233" s="422"/>
      <c r="B233" s="151" t="s">
        <v>170</v>
      </c>
      <c r="C233" s="198" t="s">
        <v>2093</v>
      </c>
      <c r="D233" s="202" t="s">
        <v>886</v>
      </c>
      <c r="E233" s="444" t="s">
        <v>75</v>
      </c>
      <c r="F233" s="214">
        <v>638.0</v>
      </c>
      <c r="G233" s="205"/>
      <c r="H233" s="206"/>
      <c r="I233" s="227"/>
    </row>
    <row r="234" outlineLevel="2">
      <c r="A234" s="422"/>
      <c r="B234" s="151"/>
      <c r="C234" s="230"/>
      <c r="D234" s="246"/>
      <c r="E234" s="437"/>
      <c r="F234" s="170"/>
      <c r="G234" s="239"/>
      <c r="H234" s="239"/>
      <c r="I234" s="227"/>
    </row>
    <row r="235" outlineLevel="2">
      <c r="A235" s="422" t="str">
        <f>'Master List'!A502</f>
        <v>W-CON-007</v>
      </c>
      <c r="B235" s="151"/>
      <c r="C235" s="198"/>
      <c r="D235" s="462" t="str">
        <f>VLOOKUP(A235,'Master List'!$A$1:$C$1192,2,FALSE)</f>
        <v>Влаштування системи Cobiax для залізобетонних перекриттів </v>
      </c>
      <c r="E235" s="463" t="str">
        <f>VLOOKUP(A235,'Master List'!$A$1:$C$1192,3,FALSE)</f>
        <v>шт</v>
      </c>
      <c r="F235" s="464">
        <f>F233</f>
        <v>638</v>
      </c>
      <c r="G235" s="463">
        <f>VLOOKUP(A235,'Master List'!$A$4:$F2941,5,FALSE)</f>
        <v>3.51</v>
      </c>
      <c r="H235" s="206">
        <f t="shared" ref="H235:H236" si="7">G235*F235</f>
        <v>2239.38</v>
      </c>
      <c r="I235" s="227"/>
    </row>
    <row r="236" outlineLevel="2">
      <c r="A236" s="422" t="str">
        <f>'Master List'!A23</f>
        <v>M-CON-038</v>
      </c>
      <c r="B236" s="151"/>
      <c r="C236" s="198"/>
      <c r="D236" s="462" t="str">
        <f>VLOOKUP(A236,'Master List'!$A$1:$C$1192,2,FALSE)</f>
        <v>Система Cobiax для залізобетонних перекриттів</v>
      </c>
      <c r="E236" s="463" t="str">
        <f>VLOOKUP(A236,'Master List'!$A$1:$C$1192,3,FALSE)</f>
        <v>шт</v>
      </c>
      <c r="F236" s="464">
        <f>F235</f>
        <v>638</v>
      </c>
      <c r="G236" s="463">
        <f>VLOOKUP(A236,'Master List'!$A$4:$F2942,5,FALSE)</f>
        <v>3.25</v>
      </c>
      <c r="H236" s="206">
        <f t="shared" si="7"/>
        <v>2073.5</v>
      </c>
      <c r="I236" s="227"/>
    </row>
    <row r="237" outlineLevel="2">
      <c r="A237" s="422"/>
      <c r="B237" s="151"/>
      <c r="C237" s="230"/>
      <c r="D237" s="246"/>
      <c r="E237" s="437"/>
      <c r="F237" s="170"/>
      <c r="G237" s="239"/>
      <c r="H237" s="239"/>
      <c r="I237" s="227"/>
    </row>
    <row r="238" outlineLevel="2">
      <c r="A238" s="422"/>
      <c r="B238" s="151"/>
      <c r="C238" s="230"/>
      <c r="D238" s="246"/>
      <c r="E238" s="437"/>
      <c r="F238" s="170"/>
      <c r="G238" s="239"/>
      <c r="H238" s="239"/>
      <c r="I238" s="227"/>
    </row>
    <row r="239" outlineLevel="2">
      <c r="A239" s="422"/>
      <c r="B239" s="21"/>
      <c r="C239" s="429"/>
      <c r="D239" s="21"/>
      <c r="E239" s="457"/>
      <c r="F239" s="115"/>
      <c r="G239" s="241"/>
      <c r="H239" s="241"/>
      <c r="I239" s="227"/>
    </row>
    <row r="240" outlineLevel="1">
      <c r="A240" s="422"/>
      <c r="B240" s="151" t="s">
        <v>887</v>
      </c>
      <c r="C240" s="429"/>
      <c r="D240" s="435" t="s">
        <v>888</v>
      </c>
      <c r="E240" s="457"/>
      <c r="F240" s="115"/>
      <c r="G240" s="436">
        <f>SUM(H253:H259)</f>
        <v>53918.8442</v>
      </c>
      <c r="H240" s="241"/>
      <c r="I240" s="227"/>
    </row>
    <row r="241" outlineLevel="2">
      <c r="A241" s="422"/>
      <c r="B241" s="21"/>
      <c r="C241" s="429"/>
      <c r="D241" s="21"/>
      <c r="E241" s="457"/>
      <c r="F241" s="115"/>
      <c r="G241" s="241"/>
      <c r="H241" s="241"/>
      <c r="I241" s="227"/>
    </row>
    <row r="242" outlineLevel="2">
      <c r="A242" s="422"/>
      <c r="B242" s="151" t="s">
        <v>198</v>
      </c>
      <c r="C242" s="248">
        <v>3.12</v>
      </c>
      <c r="D242" s="245" t="s">
        <v>889</v>
      </c>
      <c r="E242" s="457"/>
      <c r="F242" s="115"/>
      <c r="G242" s="241"/>
      <c r="H242" s="241"/>
      <c r="I242" s="227"/>
    </row>
    <row r="243" outlineLevel="2">
      <c r="A243" s="422"/>
      <c r="B243" s="21"/>
      <c r="C243" s="429"/>
      <c r="D243" s="21"/>
      <c r="E243" s="457"/>
      <c r="F243" s="115"/>
      <c r="G243" s="241"/>
      <c r="H243" s="241"/>
      <c r="I243" s="227"/>
    </row>
    <row r="244" outlineLevel="2">
      <c r="A244" s="422"/>
      <c r="B244" s="21"/>
      <c r="C244" s="198" t="s">
        <v>2097</v>
      </c>
      <c r="D244" s="202" t="s">
        <v>890</v>
      </c>
      <c r="E244" s="444" t="s">
        <v>827</v>
      </c>
      <c r="F244" s="214">
        <v>4360.88</v>
      </c>
      <c r="G244" s="205"/>
      <c r="H244" s="206"/>
      <c r="I244" s="227"/>
    </row>
    <row r="245" outlineLevel="2">
      <c r="A245" s="422"/>
      <c r="B245" s="21"/>
      <c r="C245" s="198" t="s">
        <v>2099</v>
      </c>
      <c r="D245" s="202" t="s">
        <v>891</v>
      </c>
      <c r="E245" s="444" t="s">
        <v>827</v>
      </c>
      <c r="F245" s="214">
        <v>112.9</v>
      </c>
      <c r="G245" s="205"/>
      <c r="H245" s="206"/>
      <c r="I245" s="227"/>
    </row>
    <row r="246" outlineLevel="2">
      <c r="A246" s="422"/>
      <c r="B246" s="21"/>
      <c r="C246" s="429"/>
      <c r="D246" s="21"/>
      <c r="E246" s="457"/>
      <c r="F246" s="115"/>
      <c r="G246" s="241"/>
      <c r="H246" s="241"/>
      <c r="I246" s="227"/>
    </row>
    <row r="247" outlineLevel="2">
      <c r="A247" s="422"/>
      <c r="B247" s="151" t="s">
        <v>230</v>
      </c>
      <c r="C247" s="198">
        <v>3.13</v>
      </c>
      <c r="D247" s="202" t="s">
        <v>892</v>
      </c>
      <c r="E247" s="444" t="s">
        <v>827</v>
      </c>
      <c r="F247" s="214">
        <v>1501.78</v>
      </c>
      <c r="G247" s="205"/>
      <c r="H247" s="206"/>
      <c r="I247" s="219"/>
    </row>
    <row r="248" outlineLevel="2">
      <c r="A248" s="422"/>
      <c r="B248" s="21"/>
      <c r="C248" s="429"/>
      <c r="D248" s="21"/>
      <c r="E248" s="457"/>
      <c r="F248" s="115"/>
      <c r="G248" s="241"/>
      <c r="H248" s="241"/>
      <c r="I248" s="227"/>
    </row>
    <row r="249" outlineLevel="2">
      <c r="A249" s="422"/>
      <c r="B249" s="151" t="s">
        <v>240</v>
      </c>
      <c r="C249" s="248">
        <v>3.14</v>
      </c>
      <c r="D249" s="245" t="s">
        <v>893</v>
      </c>
      <c r="E249" s="457"/>
      <c r="F249" s="115"/>
      <c r="G249" s="241"/>
      <c r="H249" s="241"/>
      <c r="I249" s="227"/>
    </row>
    <row r="250" outlineLevel="2">
      <c r="A250" s="422"/>
      <c r="B250" s="21"/>
      <c r="C250" s="429"/>
      <c r="D250" s="21"/>
      <c r="E250" s="457"/>
      <c r="F250" s="115"/>
      <c r="G250" s="241"/>
      <c r="H250" s="241"/>
      <c r="I250" s="227"/>
    </row>
    <row r="251" outlineLevel="2">
      <c r="A251" s="422"/>
      <c r="B251" s="21"/>
      <c r="C251" s="198" t="s">
        <v>1017</v>
      </c>
      <c r="D251" s="202" t="s">
        <v>894</v>
      </c>
      <c r="E251" s="444" t="s">
        <v>827</v>
      </c>
      <c r="F251" s="214">
        <v>3972.81</v>
      </c>
      <c r="G251" s="205"/>
      <c r="H251" s="206"/>
      <c r="I251" s="227"/>
    </row>
    <row r="252" outlineLevel="2">
      <c r="A252" s="422"/>
      <c r="B252" s="21"/>
      <c r="C252" s="230"/>
      <c r="D252" s="246"/>
      <c r="E252" s="437"/>
      <c r="F252" s="170"/>
      <c r="G252" s="239"/>
      <c r="H252" s="239"/>
      <c r="I252" s="227"/>
    </row>
    <row r="253" outlineLevel="2">
      <c r="A253" s="422" t="str">
        <f>'Master List'!A503</f>
        <v>W-CON-010</v>
      </c>
      <c r="B253" s="21"/>
      <c r="C253" s="198"/>
      <c r="D253" s="462" t="str">
        <f>VLOOKUP(A253,'Master List'!$A$1:$C$1192,2,FALSE)</f>
        <v>Монтаж металоконструкцій колон</v>
      </c>
      <c r="E253" s="463" t="str">
        <f>VLOOKUP(A253,'Master List'!$A$1:$C$1192,3,FALSE)</f>
        <v>кг</v>
      </c>
      <c r="F253" s="464">
        <f>SUM(F244:F247)</f>
        <v>5975.56</v>
      </c>
      <c r="G253" s="463">
        <f>VLOOKUP(A253,'Master List'!$A$4:$F2952,5,FALSE)</f>
        <v>2.08</v>
      </c>
      <c r="H253" s="206">
        <f t="shared" ref="H253:H257" si="8">G253*F253</f>
        <v>12429.1648</v>
      </c>
      <c r="I253" s="227"/>
    </row>
    <row r="254" outlineLevel="2">
      <c r="A254" s="422" t="str">
        <f>'Master List'!A504</f>
        <v>W-CON-011</v>
      </c>
      <c r="B254" s="21"/>
      <c r="C254" s="198"/>
      <c r="D254" s="462" t="str">
        <f>VLOOKUP(A254,'Master List'!$A$1:$C$1192,2,FALSE)</f>
        <v>Монтаж металоконструкцій балок</v>
      </c>
      <c r="E254" s="463" t="str">
        <f>VLOOKUP(A254,'Master List'!$A$1:$C$1192,3,FALSE)</f>
        <v>кг</v>
      </c>
      <c r="F254" s="464">
        <f>F251</f>
        <v>3972.81</v>
      </c>
      <c r="G254" s="463">
        <f>VLOOKUP(A254,'Master List'!$A$4:$F2953,5,FALSE)</f>
        <v>2.34</v>
      </c>
      <c r="H254" s="206">
        <f t="shared" si="8"/>
        <v>9296.3754</v>
      </c>
      <c r="I254" s="227"/>
    </row>
    <row r="255" outlineLevel="2">
      <c r="A255" s="422" t="str">
        <f>'Master List'!A27</f>
        <v>M-CON-050</v>
      </c>
      <c r="B255" s="21"/>
      <c r="C255" s="198"/>
      <c r="D255" s="462" t="str">
        <f>VLOOKUP(A255,'Master List'!$A$1:$C$1192,2,FALSE)</f>
        <v>Металоконструкції колон</v>
      </c>
      <c r="E255" s="463" t="str">
        <f>VLOOKUP(A255,'Master List'!$A$1:$C$1192,3,FALSE)</f>
        <v>кг</v>
      </c>
      <c r="F255" s="464">
        <f t="shared" ref="F255:F256" si="9">F253</f>
        <v>5975.56</v>
      </c>
      <c r="G255" s="463">
        <f>VLOOKUP(A255,'Master List'!$A$4:$F2954,5,FALSE)</f>
        <v>3.042</v>
      </c>
      <c r="H255" s="206">
        <f t="shared" si="8"/>
        <v>18177.65352</v>
      </c>
      <c r="I255" s="227"/>
    </row>
    <row r="256" outlineLevel="2">
      <c r="A256" s="422" t="str">
        <f>'Master List'!A28</f>
        <v>M-CON-051</v>
      </c>
      <c r="B256" s="21"/>
      <c r="C256" s="198"/>
      <c r="D256" s="462" t="str">
        <f>VLOOKUP(A256,'Master List'!$A$1:$C$1192,2,FALSE)</f>
        <v>Металоконструкції балок</v>
      </c>
      <c r="E256" s="463" t="str">
        <f>VLOOKUP(A256,'Master List'!$A$1:$C$1192,3,FALSE)</f>
        <v>кг</v>
      </c>
      <c r="F256" s="464">
        <f t="shared" si="9"/>
        <v>3972.81</v>
      </c>
      <c r="G256" s="463">
        <f>VLOOKUP(A256,'Master List'!$A$4:$F2955,5,FALSE)</f>
        <v>2.808</v>
      </c>
      <c r="H256" s="206">
        <f t="shared" si="8"/>
        <v>11155.65048</v>
      </c>
      <c r="I256" s="227"/>
    </row>
    <row r="257" outlineLevel="2">
      <c r="A257" s="422" t="str">
        <f>'Master List'!A19</f>
        <v>M-CON-031</v>
      </c>
      <c r="B257" s="21"/>
      <c r="C257" s="198"/>
      <c r="D257" s="462" t="str">
        <f>VLOOKUP(A257,'Master List'!$A$1:$C$1192,2,FALSE)</f>
        <v>Метизи</v>
      </c>
      <c r="E257" s="463" t="str">
        <f>VLOOKUP(A257,'Master List'!$A$1:$C$1192,3,FALSE)</f>
        <v>кг</v>
      </c>
      <c r="F257" s="464">
        <f>(F253+F254)*0.011</f>
        <v>109.43207</v>
      </c>
      <c r="G257" s="463">
        <f>VLOOKUP(A257,'Master List'!$A$4:$F2956,5,FALSE)</f>
        <v>0</v>
      </c>
      <c r="H257" s="206">
        <f t="shared" si="8"/>
        <v>0</v>
      </c>
      <c r="I257" s="227"/>
    </row>
    <row r="258" outlineLevel="2">
      <c r="A258" s="422"/>
      <c r="B258" s="21"/>
      <c r="C258" s="429"/>
      <c r="D258" s="21"/>
      <c r="E258" s="457"/>
      <c r="F258" s="115"/>
      <c r="G258" s="241"/>
      <c r="H258" s="241"/>
      <c r="I258" s="227"/>
    </row>
    <row r="259" outlineLevel="2">
      <c r="A259" s="422" t="str">
        <f>'Master List'!A506</f>
        <v>W-CON-013</v>
      </c>
      <c r="B259" s="151" t="s">
        <v>895</v>
      </c>
      <c r="C259" s="198">
        <v>3.15</v>
      </c>
      <c r="D259" s="202" t="s">
        <v>896</v>
      </c>
      <c r="E259" s="444" t="s">
        <v>33</v>
      </c>
      <c r="F259" s="214">
        <v>1.0</v>
      </c>
      <c r="G259" s="463">
        <f>VLOOKUP(A259,'Master List'!$A$4:$F2958,5,FALSE)</f>
        <v>2860</v>
      </c>
      <c r="H259" s="206">
        <f>F259*G259</f>
        <v>2860</v>
      </c>
      <c r="I259" s="219"/>
    </row>
    <row r="260" outlineLevel="2">
      <c r="A260" s="422"/>
      <c r="B260" s="151"/>
      <c r="C260" s="230"/>
      <c r="D260" s="246"/>
      <c r="E260" s="437"/>
      <c r="F260" s="170"/>
      <c r="G260" s="239"/>
      <c r="H260" s="239"/>
      <c r="I260" s="240"/>
    </row>
    <row r="261" outlineLevel="2">
      <c r="A261" s="422"/>
      <c r="B261" s="151"/>
      <c r="C261" s="230"/>
      <c r="D261" s="246"/>
      <c r="E261" s="437"/>
      <c r="F261" s="170"/>
      <c r="G261" s="239"/>
      <c r="H261" s="239"/>
      <c r="I261" s="240"/>
    </row>
    <row r="262" outlineLevel="2">
      <c r="A262" s="422"/>
      <c r="B262" s="21"/>
      <c r="C262" s="429"/>
      <c r="D262" s="21"/>
      <c r="E262" s="457"/>
      <c r="F262" s="115"/>
      <c r="G262" s="241"/>
      <c r="H262" s="241"/>
      <c r="I262" s="227"/>
    </row>
    <row r="263" outlineLevel="1">
      <c r="A263" s="422"/>
      <c r="B263" s="151" t="s">
        <v>897</v>
      </c>
      <c r="C263" s="429"/>
      <c r="D263" s="435" t="s">
        <v>898</v>
      </c>
      <c r="E263" s="457"/>
      <c r="F263" s="115"/>
      <c r="G263" s="436">
        <f>SUM(H273:H275)</f>
        <v>12811.06987</v>
      </c>
      <c r="H263" s="241"/>
      <c r="I263" s="227"/>
    </row>
    <row r="264" outlineLevel="2">
      <c r="A264" s="422"/>
      <c r="B264" s="21"/>
      <c r="C264" s="429"/>
      <c r="D264" s="21"/>
      <c r="E264" s="457"/>
      <c r="F264" s="115"/>
      <c r="G264" s="241"/>
      <c r="H264" s="241"/>
      <c r="I264" s="227"/>
    </row>
    <row r="265" outlineLevel="2">
      <c r="A265" s="422"/>
      <c r="B265" s="151" t="s">
        <v>246</v>
      </c>
      <c r="C265" s="248">
        <v>3.16</v>
      </c>
      <c r="D265" s="245" t="s">
        <v>899</v>
      </c>
      <c r="E265" s="457"/>
      <c r="F265" s="115"/>
      <c r="G265" s="241"/>
      <c r="H265" s="241"/>
      <c r="I265" s="227"/>
    </row>
    <row r="266" outlineLevel="2">
      <c r="A266" s="422"/>
      <c r="B266" s="21"/>
      <c r="C266" s="429"/>
      <c r="D266" s="21"/>
      <c r="E266" s="457"/>
      <c r="F266" s="115"/>
      <c r="G266" s="241"/>
      <c r="H266" s="241"/>
      <c r="I266" s="227"/>
    </row>
    <row r="267" outlineLevel="2">
      <c r="A267" s="422"/>
      <c r="B267" s="21"/>
      <c r="C267" s="198" t="s">
        <v>2107</v>
      </c>
      <c r="D267" s="202" t="s">
        <v>900</v>
      </c>
      <c r="E267" s="444" t="s">
        <v>827</v>
      </c>
      <c r="F267" s="214">
        <v>4.79</v>
      </c>
      <c r="G267" s="205"/>
      <c r="H267" s="206"/>
      <c r="I267" s="227"/>
    </row>
    <row r="268" outlineLevel="2">
      <c r="A268" s="422"/>
      <c r="B268" s="21"/>
      <c r="C268" s="198" t="s">
        <v>2108</v>
      </c>
      <c r="D268" s="202" t="s">
        <v>901</v>
      </c>
      <c r="E268" s="444" t="s">
        <v>827</v>
      </c>
      <c r="F268" s="214">
        <v>2265.99</v>
      </c>
      <c r="G268" s="205"/>
      <c r="H268" s="206"/>
      <c r="I268" s="227"/>
    </row>
    <row r="269" outlineLevel="2">
      <c r="A269" s="422"/>
      <c r="B269" s="21"/>
      <c r="C269" s="198" t="s">
        <v>2109</v>
      </c>
      <c r="D269" s="202" t="s">
        <v>902</v>
      </c>
      <c r="E269" s="444" t="s">
        <v>827</v>
      </c>
      <c r="F269" s="214">
        <v>5.44</v>
      </c>
      <c r="G269" s="205"/>
      <c r="H269" s="206"/>
      <c r="I269" s="227"/>
    </row>
    <row r="270" outlineLevel="2">
      <c r="A270" s="422"/>
      <c r="B270" s="21"/>
      <c r="C270" s="198" t="s">
        <v>2110</v>
      </c>
      <c r="D270" s="202" t="s">
        <v>903</v>
      </c>
      <c r="E270" s="444" t="s">
        <v>827</v>
      </c>
      <c r="F270" s="214">
        <v>220.49</v>
      </c>
      <c r="G270" s="205"/>
      <c r="H270" s="206"/>
      <c r="I270" s="227"/>
    </row>
    <row r="271" outlineLevel="2">
      <c r="A271" s="422"/>
      <c r="B271" s="21"/>
      <c r="C271" s="198" t="s">
        <v>2111</v>
      </c>
      <c r="D271" s="202" t="s">
        <v>904</v>
      </c>
      <c r="E271" s="444" t="s">
        <v>827</v>
      </c>
      <c r="F271" s="214">
        <v>256.76</v>
      </c>
      <c r="G271" s="205"/>
      <c r="H271" s="206"/>
      <c r="I271" s="227"/>
    </row>
    <row r="272" outlineLevel="2">
      <c r="A272" s="422"/>
      <c r="B272" s="21"/>
      <c r="C272" s="230"/>
      <c r="D272" s="246"/>
      <c r="E272" s="437"/>
      <c r="F272" s="170"/>
      <c r="G272" s="239"/>
      <c r="H272" s="239"/>
      <c r="I272" s="227"/>
    </row>
    <row r="273" outlineLevel="2">
      <c r="A273" s="422" t="str">
        <f>'Master List'!A505</f>
        <v>W-CON-012</v>
      </c>
      <c r="B273" s="21"/>
      <c r="C273" s="198"/>
      <c r="D273" s="462" t="str">
        <f>VLOOKUP(A273,'Master List'!$A$1:$C$1192,2,FALSE)</f>
        <v>Монтаж конструкцій з металевого профілю</v>
      </c>
      <c r="E273" s="463" t="str">
        <f>VLOOKUP(A273,'Master List'!$A$1:$C$1192,3,FALSE)</f>
        <v>кг</v>
      </c>
      <c r="F273" s="464">
        <f>SUM(F267:F271)</f>
        <v>2753.47</v>
      </c>
      <c r="G273" s="463">
        <f>VLOOKUP(A273,'Master List'!$A$4:$F2972,5,FALSE)</f>
        <v>1.95</v>
      </c>
      <c r="H273" s="206">
        <f t="shared" ref="H273:H275" si="10">G273*F273</f>
        <v>5369.2665</v>
      </c>
      <c r="I273" s="227"/>
    </row>
    <row r="274" outlineLevel="2">
      <c r="A274" s="422" t="str">
        <f>'Master List'!A29</f>
        <v>M-CON-052</v>
      </c>
      <c r="B274" s="21"/>
      <c r="C274" s="198"/>
      <c r="D274" s="462" t="str">
        <f>VLOOKUP(A274,'Master List'!$A$1:$C$1192,2,FALSE)</f>
        <v>Профіль металевий</v>
      </c>
      <c r="E274" s="463" t="str">
        <f>VLOOKUP(A274,'Master List'!$A$1:$C$1192,3,FALSE)</f>
        <v>кг</v>
      </c>
      <c r="F274" s="464">
        <f>F273*1.05</f>
        <v>2891.1435</v>
      </c>
      <c r="G274" s="463">
        <f>VLOOKUP(A274,'Master List'!$A$4:$F2973,5,FALSE)</f>
        <v>2.574</v>
      </c>
      <c r="H274" s="206">
        <f t="shared" si="10"/>
        <v>7441.803369</v>
      </c>
      <c r="I274" s="227"/>
    </row>
    <row r="275" outlineLevel="2">
      <c r="A275" s="422" t="str">
        <f>'Master List'!A19</f>
        <v>M-CON-031</v>
      </c>
      <c r="B275" s="21"/>
      <c r="C275" s="198"/>
      <c r="D275" s="462" t="str">
        <f>VLOOKUP(A275,'Master List'!$A$1:$C$1192,2,FALSE)</f>
        <v>Метизи</v>
      </c>
      <c r="E275" s="463" t="str">
        <f>VLOOKUP(A275,'Master List'!$A$1:$C$1192,3,FALSE)</f>
        <v>кг</v>
      </c>
      <c r="F275" s="464">
        <f>F273*0.035</f>
        <v>96.37145</v>
      </c>
      <c r="G275" s="463">
        <f>VLOOKUP(A275,'Master List'!$A$4:$F2974,5,FALSE)</f>
        <v>0</v>
      </c>
      <c r="H275" s="206">
        <f t="shared" si="10"/>
        <v>0</v>
      </c>
      <c r="I275" s="227"/>
    </row>
    <row r="276" outlineLevel="2">
      <c r="A276" s="422"/>
      <c r="B276" s="21"/>
      <c r="C276" s="230"/>
      <c r="D276" s="246"/>
      <c r="E276" s="437"/>
      <c r="F276" s="170"/>
      <c r="G276" s="239"/>
      <c r="H276" s="239"/>
      <c r="I276" s="227"/>
    </row>
    <row r="277" outlineLevel="2">
      <c r="A277" s="422"/>
      <c r="B277" s="21"/>
      <c r="C277" s="230"/>
      <c r="D277" s="246"/>
      <c r="E277" s="437"/>
      <c r="F277" s="170"/>
      <c r="G277" s="239"/>
      <c r="H277" s="239"/>
      <c r="I277" s="227"/>
    </row>
    <row r="278" outlineLevel="2">
      <c r="A278" s="422"/>
      <c r="B278" s="21"/>
      <c r="C278" s="429"/>
      <c r="D278" s="21"/>
      <c r="E278" s="457"/>
      <c r="F278" s="115"/>
      <c r="G278" s="241"/>
      <c r="H278" s="241"/>
      <c r="I278" s="227"/>
    </row>
    <row r="279" outlineLevel="1">
      <c r="A279" s="422"/>
      <c r="B279" s="151" t="s">
        <v>905</v>
      </c>
      <c r="C279" s="429"/>
      <c r="D279" s="435" t="s">
        <v>906</v>
      </c>
      <c r="E279" s="457"/>
      <c r="F279" s="115"/>
      <c r="G279" s="436">
        <f>SUM(H286:H314)</f>
        <v>20151.44874</v>
      </c>
      <c r="H279" s="241"/>
      <c r="I279" s="227"/>
    </row>
    <row r="280" outlineLevel="2">
      <c r="A280" s="422"/>
      <c r="B280" s="21"/>
      <c r="C280" s="429"/>
      <c r="D280" s="21"/>
      <c r="E280" s="457"/>
      <c r="F280" s="115"/>
      <c r="G280" s="241"/>
      <c r="H280" s="241"/>
      <c r="I280" s="227"/>
    </row>
    <row r="281" outlineLevel="2">
      <c r="A281" s="422"/>
      <c r="B281" s="151" t="s">
        <v>384</v>
      </c>
      <c r="C281" s="248">
        <v>3.17</v>
      </c>
      <c r="D281" s="245" t="s">
        <v>908</v>
      </c>
      <c r="E281" s="457"/>
      <c r="F281" s="115"/>
      <c r="G281" s="241"/>
      <c r="H281" s="241"/>
      <c r="I281" s="227"/>
    </row>
    <row r="282" outlineLevel="2">
      <c r="A282" s="422"/>
      <c r="B282" s="21"/>
      <c r="C282" s="429"/>
      <c r="D282" s="21"/>
      <c r="E282" s="457"/>
      <c r="F282" s="115"/>
      <c r="G282" s="241"/>
      <c r="H282" s="241"/>
      <c r="I282" s="227"/>
    </row>
    <row r="283" outlineLevel="2">
      <c r="A283" s="422"/>
      <c r="B283" s="21"/>
      <c r="C283" s="198" t="s">
        <v>2115</v>
      </c>
      <c r="D283" s="202" t="s">
        <v>909</v>
      </c>
      <c r="E283" s="444" t="s">
        <v>40</v>
      </c>
      <c r="F283" s="214">
        <v>246.48</v>
      </c>
      <c r="G283" s="205"/>
      <c r="H283" s="206"/>
      <c r="I283" s="227"/>
    </row>
    <row r="284" outlineLevel="2">
      <c r="A284" s="422"/>
      <c r="B284" s="21"/>
      <c r="C284" s="198" t="s">
        <v>2116</v>
      </c>
      <c r="D284" s="202" t="s">
        <v>910</v>
      </c>
      <c r="E284" s="444" t="s">
        <v>40</v>
      </c>
      <c r="F284" s="214">
        <v>11.46</v>
      </c>
      <c r="G284" s="205"/>
      <c r="H284" s="206"/>
      <c r="I284" s="227"/>
    </row>
    <row r="285" outlineLevel="2">
      <c r="A285" s="422"/>
      <c r="B285" s="21"/>
      <c r="C285" s="230"/>
      <c r="D285" s="246"/>
      <c r="E285" s="437"/>
      <c r="F285" s="170"/>
      <c r="G285" s="239"/>
      <c r="H285" s="239"/>
      <c r="I285" s="227"/>
    </row>
    <row r="286" outlineLevel="2">
      <c r="A286" s="422" t="str">
        <f>'Master List'!A495</f>
        <v>W-CON-008</v>
      </c>
      <c r="B286" s="21"/>
      <c r="C286" s="198"/>
      <c r="D286" s="462" t="str">
        <f>VLOOKUP(A286,'Master List'!$A$1:$C$1192,2,FALSE)</f>
        <v>Влаштування піщаної основи </v>
      </c>
      <c r="E286" s="463" t="str">
        <f>VLOOKUP(A286,'Master List'!$A$1:$C$1192,3,FALSE)</f>
        <v>м3</v>
      </c>
      <c r="F286" s="464">
        <f>(F283+F284)*0.05</f>
        <v>12.897</v>
      </c>
      <c r="G286" s="463">
        <f>VLOOKUP(A286,'Master List'!$A$4:$F2985,5,FALSE)</f>
        <v>11.05</v>
      </c>
      <c r="H286" s="206">
        <f t="shared" ref="H286:H295" si="11">G286*F286</f>
        <v>142.51185</v>
      </c>
      <c r="I286" s="227"/>
    </row>
    <row r="287" outlineLevel="2">
      <c r="A287" s="422" t="str">
        <f>'Master List'!A497</f>
        <v>W-CON-003</v>
      </c>
      <c r="B287" s="21"/>
      <c r="C287" s="198"/>
      <c r="D287" s="462" t="str">
        <f>VLOOKUP(A287,'Master List'!$A$1:$C$1192,2,FALSE)</f>
        <v>Сборка и разборка опалубки</v>
      </c>
      <c r="E287" s="463" t="str">
        <f>VLOOKUP(A287,'Master List'!$A$1:$C$1192,3,FALSE)</f>
        <v>м2</v>
      </c>
      <c r="F287" s="464">
        <v>48.0</v>
      </c>
      <c r="G287" s="463">
        <f>VLOOKUP(A287,'Master List'!$A$4:$F2986,5,FALSE)</f>
        <v>45.5</v>
      </c>
      <c r="H287" s="206">
        <f t="shared" si="11"/>
        <v>2184</v>
      </c>
      <c r="I287" s="227"/>
    </row>
    <row r="288" outlineLevel="2">
      <c r="A288" s="422" t="str">
        <f>'Master List'!A498</f>
        <v>W-CON-004</v>
      </c>
      <c r="B288" s="21"/>
      <c r="C288" s="198"/>
      <c r="D288" s="462" t="str">
        <f>VLOOKUP(A288,'Master List'!$A$1:$C$1192,2,FALSE)</f>
        <v>Изготовление и установка арматурных каркасов</v>
      </c>
      <c r="E288" s="463" t="str">
        <f>VLOOKUP(A288,'Master List'!$A$1:$C$1192,3,FALSE)</f>
        <v>кг</v>
      </c>
      <c r="F288" s="464">
        <v>2845.0</v>
      </c>
      <c r="G288" s="463">
        <f>VLOOKUP(A288,'Master List'!$A$4:$F2987,5,FALSE)</f>
        <v>0.975</v>
      </c>
      <c r="H288" s="206">
        <f t="shared" si="11"/>
        <v>2773.875</v>
      </c>
      <c r="I288" s="227"/>
    </row>
    <row r="289" outlineLevel="2">
      <c r="A289" s="422" t="str">
        <f>'Master List'!A499</f>
        <v>W-CON-005</v>
      </c>
      <c r="B289" s="21"/>
      <c r="C289" s="198"/>
      <c r="D289" s="462" t="str">
        <f>VLOOKUP(A289,'Master List'!$A$1:$C$1192,2,FALSE)</f>
        <v>Укладка чистового бетона в опалубку</v>
      </c>
      <c r="E289" s="463" t="str">
        <f>VLOOKUP(A289,'Master List'!$A$1:$C$1192,3,FALSE)</f>
        <v>м3</v>
      </c>
      <c r="F289" s="464">
        <f>(F283+F284)*0.15</f>
        <v>38.691</v>
      </c>
      <c r="G289" s="463">
        <f>VLOOKUP(A289,'Master List'!$A$4:$F2988,5,FALSE)</f>
        <v>16.25</v>
      </c>
      <c r="H289" s="206">
        <f t="shared" si="11"/>
        <v>628.72875</v>
      </c>
      <c r="I289" s="227"/>
    </row>
    <row r="290" outlineLevel="2">
      <c r="A290" s="422" t="str">
        <f>'Master List'!A39</f>
        <v>M-BRK-026</v>
      </c>
      <c r="B290" s="21"/>
      <c r="C290" s="198"/>
      <c r="D290" s="462" t="str">
        <f>VLOOKUP(A290,'Master List'!$A$1:$C$1192,2,FALSE)</f>
        <v>Песок</v>
      </c>
      <c r="E290" s="463" t="str">
        <f>VLOOKUP(A290,'Master List'!$A$1:$C$1192,3,FALSE)</f>
        <v>м3</v>
      </c>
      <c r="F290" s="464">
        <f>F286*1.1</f>
        <v>14.1867</v>
      </c>
      <c r="G290" s="463">
        <f>VLOOKUP(A290,'Master List'!$A$4:$F2989,5,FALSE)</f>
        <v>56.875</v>
      </c>
      <c r="H290" s="206">
        <f t="shared" si="11"/>
        <v>806.8685625</v>
      </c>
      <c r="I290" s="227"/>
    </row>
    <row r="291" outlineLevel="2">
      <c r="A291" s="422" t="str">
        <f>'Master List'!A18</f>
        <v>M-CON-030</v>
      </c>
      <c r="B291" s="21"/>
      <c r="C291" s="198"/>
      <c r="D291" s="462" t="str">
        <f>VLOOKUP(A291,'Master List'!$A$1:$C$1192,2,FALSE)</f>
        <v>Деревянные щиты опалубки</v>
      </c>
      <c r="E291" s="463" t="str">
        <f>VLOOKUP(A291,'Master List'!$A$1:$C$1192,3,FALSE)</f>
        <v>м2</v>
      </c>
      <c r="F291" s="464">
        <f>F287</f>
        <v>48</v>
      </c>
      <c r="G291" s="463">
        <f>VLOOKUP(A291,'Master List'!$A$4:$F2990,5,FALSE)</f>
        <v>0</v>
      </c>
      <c r="H291" s="206">
        <f t="shared" si="11"/>
        <v>0</v>
      </c>
      <c r="I291" s="227"/>
    </row>
    <row r="292" outlineLevel="2">
      <c r="A292" s="422" t="str">
        <f>'Master List'!A14</f>
        <v>M-CON-014</v>
      </c>
      <c r="B292" s="21"/>
      <c r="C292" s="198"/>
      <c r="D292" s="462" t="str">
        <f>VLOOKUP(A292,'Master List'!$A$1:$C$1192,2,FALSE)</f>
        <v>Арматура диаметром 8 мм A500NR SD</v>
      </c>
      <c r="E292" s="463" t="str">
        <f>VLOOKUP(A292,'Master List'!$A$1:$C$1192,3,FALSE)</f>
        <v>кг</v>
      </c>
      <c r="F292" s="464">
        <f>F288*1.05</f>
        <v>2987.25</v>
      </c>
      <c r="G292" s="463">
        <f>VLOOKUP(A292,'Master List'!$A$4:$F2989,5,FALSE)</f>
        <v>0.61685</v>
      </c>
      <c r="H292" s="206">
        <f t="shared" si="11"/>
        <v>1842.685163</v>
      </c>
      <c r="I292" s="227"/>
    </row>
    <row r="293" outlineLevel="2">
      <c r="A293" s="422" t="str">
        <f>'Master List'!A15</f>
        <v>M-CON-020</v>
      </c>
      <c r="B293" s="21"/>
      <c r="C293" s="198"/>
      <c r="D293" s="462" t="str">
        <f>VLOOKUP(A293,'Master List'!$A$1:$C$1192,2,FALSE)</f>
        <v>Вязальная проволока</v>
      </c>
      <c r="E293" s="463" t="str">
        <f>VLOOKUP(A293,'Master List'!$A$1:$C$1192,3,FALSE)</f>
        <v>кг</v>
      </c>
      <c r="F293" s="464">
        <f>F288*15/1000</f>
        <v>42.675</v>
      </c>
      <c r="G293" s="463">
        <f>VLOOKUP(A293,'Master List'!$A$4:$F2990,5,FALSE)</f>
        <v>2.054</v>
      </c>
      <c r="H293" s="206">
        <f t="shared" si="11"/>
        <v>87.65445</v>
      </c>
      <c r="I293" s="227"/>
    </row>
    <row r="294" outlineLevel="2">
      <c r="A294" s="422" t="str">
        <f>'Master List'!A16</f>
        <v>M-CON-022</v>
      </c>
      <c r="B294" s="21"/>
      <c r="C294" s="198"/>
      <c r="D294" s="462" t="str">
        <f>VLOOKUP(A294,'Master List'!$A$1:$C$1192,2,FALSE)</f>
        <v>Круги отрезные по металлу диаметром 230мм</v>
      </c>
      <c r="E294" s="463" t="str">
        <f>VLOOKUP(A294,'Master List'!$A$1:$C$1192,3,FALSE)</f>
        <v>шт</v>
      </c>
      <c r="F294" s="464">
        <f>F288*3/1000</f>
        <v>8.535</v>
      </c>
      <c r="G294" s="463">
        <f>VLOOKUP(A294,'Master List'!$A$4:$F2991,5,FALSE)</f>
        <v>0</v>
      </c>
      <c r="H294" s="206">
        <f t="shared" si="11"/>
        <v>0</v>
      </c>
      <c r="I294" s="227"/>
    </row>
    <row r="295" outlineLevel="2">
      <c r="A295" s="422" t="str">
        <f>'Master List'!A6</f>
        <v>M-CON-004</v>
      </c>
      <c r="B295" s="21"/>
      <c r="C295" s="198"/>
      <c r="D295" s="462" t="str">
        <f>VLOOKUP(A295,'Master List'!$A$1:$C$1192,2,FALSE)</f>
        <v>Бетон C30/37 XC2(P) Cl0.40 Dmáx 22мм S4</v>
      </c>
      <c r="E295" s="463" t="str">
        <f>VLOOKUP(A295,'Master List'!$A$1:$C$1192,3,FALSE)</f>
        <v>м3</v>
      </c>
      <c r="F295" s="464">
        <f>F289*1.02</f>
        <v>39.46482</v>
      </c>
      <c r="G295" s="463">
        <f>VLOOKUP(A295,'Master List'!$A$4:$F2991,5,FALSE)</f>
        <v>127.946</v>
      </c>
      <c r="H295" s="206">
        <f t="shared" si="11"/>
        <v>5049.36586</v>
      </c>
      <c r="I295" s="227"/>
    </row>
    <row r="296" outlineLevel="2">
      <c r="A296" s="422"/>
      <c r="B296" s="21"/>
      <c r="C296" s="230"/>
      <c r="D296" s="246"/>
      <c r="E296" s="437"/>
      <c r="F296" s="170"/>
      <c r="G296" s="239"/>
      <c r="H296" s="239"/>
      <c r="I296" s="227"/>
    </row>
    <row r="297" outlineLevel="2">
      <c r="A297" s="422"/>
      <c r="B297" s="21"/>
      <c r="C297" s="429"/>
      <c r="D297" s="21"/>
      <c r="E297" s="457"/>
      <c r="F297" s="115"/>
      <c r="G297" s="241"/>
      <c r="H297" s="241"/>
      <c r="I297" s="227"/>
    </row>
    <row r="298" outlineLevel="2">
      <c r="A298" s="422"/>
      <c r="B298" s="151" t="s">
        <v>384</v>
      </c>
      <c r="C298" s="248">
        <v>3.18</v>
      </c>
      <c r="D298" s="245" t="s">
        <v>911</v>
      </c>
      <c r="E298" s="457"/>
      <c r="F298" s="115"/>
      <c r="G298" s="241"/>
      <c r="H298" s="241"/>
      <c r="I298" s="227"/>
    </row>
    <row r="299" outlineLevel="2">
      <c r="A299" s="422"/>
      <c r="B299" s="21"/>
      <c r="C299" s="429"/>
      <c r="D299" s="21"/>
      <c r="E299" s="457"/>
      <c r="F299" s="115"/>
      <c r="G299" s="241"/>
      <c r="H299" s="241"/>
      <c r="I299" s="227"/>
    </row>
    <row r="300" outlineLevel="2">
      <c r="A300" s="422"/>
      <c r="B300" s="21"/>
      <c r="C300" s="198" t="s">
        <v>2118</v>
      </c>
      <c r="D300" s="202" t="s">
        <v>912</v>
      </c>
      <c r="E300" s="444" t="s">
        <v>40</v>
      </c>
      <c r="F300" s="214">
        <v>63.73</v>
      </c>
      <c r="G300" s="205"/>
      <c r="H300" s="206"/>
      <c r="I300" s="227"/>
    </row>
    <row r="301" outlineLevel="2">
      <c r="A301" s="422"/>
      <c r="B301" s="21"/>
      <c r="C301" s="198" t="s">
        <v>2119</v>
      </c>
      <c r="D301" s="202" t="s">
        <v>913</v>
      </c>
      <c r="E301" s="444" t="s">
        <v>40</v>
      </c>
      <c r="F301" s="214">
        <v>24.52</v>
      </c>
      <c r="G301" s="205"/>
      <c r="H301" s="206"/>
      <c r="I301" s="227"/>
    </row>
    <row r="302" outlineLevel="2">
      <c r="A302" s="422"/>
      <c r="B302" s="21"/>
      <c r="C302" s="198" t="s">
        <v>2120</v>
      </c>
      <c r="D302" s="202" t="s">
        <v>914</v>
      </c>
      <c r="E302" s="444" t="s">
        <v>40</v>
      </c>
      <c r="F302" s="214">
        <v>15.37</v>
      </c>
      <c r="G302" s="205"/>
      <c r="H302" s="206"/>
      <c r="I302" s="227"/>
    </row>
    <row r="303" outlineLevel="2">
      <c r="A303" s="422"/>
      <c r="B303" s="21"/>
      <c r="C303" s="198" t="s">
        <v>2121</v>
      </c>
      <c r="D303" s="202" t="s">
        <v>915</v>
      </c>
      <c r="E303" s="444" t="s">
        <v>40</v>
      </c>
      <c r="F303" s="214">
        <v>21.88</v>
      </c>
      <c r="G303" s="205"/>
      <c r="H303" s="206"/>
      <c r="I303" s="227"/>
    </row>
    <row r="304" outlineLevel="2">
      <c r="A304" s="422"/>
      <c r="B304" s="21"/>
      <c r="C304" s="230"/>
      <c r="D304" s="246"/>
      <c r="E304" s="437"/>
      <c r="F304" s="170"/>
      <c r="G304" s="239"/>
      <c r="H304" s="239"/>
      <c r="I304" s="227"/>
    </row>
    <row r="305" outlineLevel="2">
      <c r="A305" s="422" t="str">
        <f>'Master List'!A494</f>
        <v>W-CON-001</v>
      </c>
      <c r="B305" s="21"/>
      <c r="C305" s="198"/>
      <c r="D305" s="462" t="str">
        <f>VLOOKUP(A305,'Master List'!$A$1:$C$1192,2,FALSE)</f>
        <v>Устройство щебеночного основания</v>
      </c>
      <c r="E305" s="463" t="str">
        <f>VLOOKUP(A305,'Master List'!$A$1:$C$1192,3,FALSE)</f>
        <v>м3</v>
      </c>
      <c r="F305" s="464">
        <f>SUM(F300:F303)*0.1</f>
        <v>12.55</v>
      </c>
      <c r="G305" s="463">
        <f>VLOOKUP(A305,'Master List'!$A$4:$F3004,5,FALSE)</f>
        <v>7.15</v>
      </c>
      <c r="H305" s="206">
        <f t="shared" ref="H305:H314" si="12">G305*F305</f>
        <v>89.7325</v>
      </c>
      <c r="I305" s="227"/>
    </row>
    <row r="306" outlineLevel="2">
      <c r="A306" s="422" t="str">
        <f>'Master List'!A497</f>
        <v>W-CON-003</v>
      </c>
      <c r="B306" s="21"/>
      <c r="C306" s="198"/>
      <c r="D306" s="462" t="str">
        <f>VLOOKUP(A306,'Master List'!$A$1:$C$1192,2,FALSE)</f>
        <v>Сборка и разборка опалубки</v>
      </c>
      <c r="E306" s="463" t="str">
        <f>VLOOKUP(A306,'Master List'!$A$1:$C$1192,3,FALSE)</f>
        <v>м2</v>
      </c>
      <c r="F306" s="464">
        <v>23.0</v>
      </c>
      <c r="G306" s="463">
        <f>VLOOKUP(A306,'Master List'!$A$4:$F3005,5,FALSE)</f>
        <v>45.5</v>
      </c>
      <c r="H306" s="206">
        <f t="shared" si="12"/>
        <v>1046.5</v>
      </c>
      <c r="I306" s="227"/>
    </row>
    <row r="307" outlineLevel="2">
      <c r="A307" s="422" t="str">
        <f>'Master List'!A498</f>
        <v>W-CON-004</v>
      </c>
      <c r="B307" s="21"/>
      <c r="C307" s="198"/>
      <c r="D307" s="462" t="str">
        <f>VLOOKUP(A307,'Master List'!$A$1:$C$1192,2,FALSE)</f>
        <v>Изготовление и установка арматурных каркасов</v>
      </c>
      <c r="E307" s="463" t="str">
        <f>VLOOKUP(A307,'Master List'!$A$1:$C$1192,3,FALSE)</f>
        <v>кг</v>
      </c>
      <c r="F307" s="464">
        <v>1384.0</v>
      </c>
      <c r="G307" s="463">
        <f>VLOOKUP(A307,'Master List'!$A$4:$F3006,5,FALSE)</f>
        <v>0.975</v>
      </c>
      <c r="H307" s="206">
        <f t="shared" si="12"/>
        <v>1349.4</v>
      </c>
      <c r="I307" s="227"/>
    </row>
    <row r="308" outlineLevel="2">
      <c r="A308" s="422" t="str">
        <f>'Master List'!A499</f>
        <v>W-CON-005</v>
      </c>
      <c r="B308" s="21"/>
      <c r="C308" s="198"/>
      <c r="D308" s="462" t="str">
        <f>VLOOKUP(A308,'Master List'!$A$1:$C$1192,2,FALSE)</f>
        <v>Укладка чистового бетона в опалубку</v>
      </c>
      <c r="E308" s="463" t="str">
        <f>VLOOKUP(A308,'Master List'!$A$1:$C$1192,3,FALSE)</f>
        <v>м3</v>
      </c>
      <c r="F308" s="464">
        <f>SUM(F300:F303)*0.15</f>
        <v>18.825</v>
      </c>
      <c r="G308" s="463">
        <f>VLOOKUP(A308,'Master List'!$A$4:$F3007,5,FALSE)</f>
        <v>16.25</v>
      </c>
      <c r="H308" s="206">
        <f t="shared" si="12"/>
        <v>305.90625</v>
      </c>
      <c r="I308" s="227"/>
    </row>
    <row r="309" outlineLevel="2">
      <c r="A309" s="422" t="str">
        <f>'Master List'!A59</f>
        <v>M-IMP-015</v>
      </c>
      <c r="B309" s="21"/>
      <c r="C309" s="198"/>
      <c r="D309" s="462" t="str">
        <f>VLOOKUP(A309,'Master List'!$A$1:$C$1192,2,FALSE)</f>
        <v>Щебень №2</v>
      </c>
      <c r="E309" s="463" t="str">
        <f>VLOOKUP(A309,'Master List'!$A$1:$C$1192,3,FALSE)</f>
        <v>м3</v>
      </c>
      <c r="F309" s="464">
        <f>F305*1.15</f>
        <v>14.4325</v>
      </c>
      <c r="G309" s="463">
        <f>VLOOKUP(A309,'Master List'!$A$4:$F3008,5,FALSE)</f>
        <v>31.07</v>
      </c>
      <c r="H309" s="206">
        <f t="shared" si="12"/>
        <v>448.417775</v>
      </c>
      <c r="I309" s="227"/>
    </row>
    <row r="310" outlineLevel="2">
      <c r="A310" s="422" t="str">
        <f>'Master List'!A18</f>
        <v>M-CON-030</v>
      </c>
      <c r="B310" s="21"/>
      <c r="C310" s="198"/>
      <c r="D310" s="462" t="str">
        <f>VLOOKUP(A310,'Master List'!$A$1:$C$1192,2,FALSE)</f>
        <v>Деревянные щиты опалубки</v>
      </c>
      <c r="E310" s="463" t="str">
        <f>VLOOKUP(A310,'Master List'!$A$1:$C$1192,3,FALSE)</f>
        <v>м2</v>
      </c>
      <c r="F310" s="464">
        <f>F306</f>
        <v>23</v>
      </c>
      <c r="G310" s="463">
        <f>VLOOKUP(A310,'Master List'!$A$4:$F3009,5,FALSE)</f>
        <v>0</v>
      </c>
      <c r="H310" s="206">
        <f t="shared" si="12"/>
        <v>0</v>
      </c>
      <c r="I310" s="227"/>
    </row>
    <row r="311" outlineLevel="2">
      <c r="A311" s="422" t="str">
        <f>'Master List'!A14</f>
        <v>M-CON-014</v>
      </c>
      <c r="B311" s="21"/>
      <c r="C311" s="198"/>
      <c r="D311" s="462" t="str">
        <f>VLOOKUP(A311,'Master List'!$A$1:$C$1192,2,FALSE)</f>
        <v>Арматура диаметром 8 мм A500NR SD</v>
      </c>
      <c r="E311" s="463" t="str">
        <f>VLOOKUP(A311,'Master List'!$A$1:$C$1192,3,FALSE)</f>
        <v>кг</v>
      </c>
      <c r="F311" s="464">
        <f>F307*1.05</f>
        <v>1453.2</v>
      </c>
      <c r="G311" s="463">
        <f>VLOOKUP(A311,'Master List'!$A$4:$F3010,5,FALSE)</f>
        <v>0.61685</v>
      </c>
      <c r="H311" s="206">
        <f t="shared" si="12"/>
        <v>896.40642</v>
      </c>
      <c r="I311" s="227"/>
    </row>
    <row r="312" outlineLevel="2">
      <c r="A312" s="422" t="str">
        <f>'Master List'!A15</f>
        <v>M-CON-020</v>
      </c>
      <c r="B312" s="21"/>
      <c r="C312" s="198"/>
      <c r="D312" s="462" t="str">
        <f>VLOOKUP(A312,'Master List'!$A$1:$C$1192,2,FALSE)</f>
        <v>Вязальная проволока</v>
      </c>
      <c r="E312" s="463" t="str">
        <f>VLOOKUP(A312,'Master List'!$A$1:$C$1192,3,FALSE)</f>
        <v>кг</v>
      </c>
      <c r="F312" s="464">
        <f>F307*15/1000</f>
        <v>20.76</v>
      </c>
      <c r="G312" s="463">
        <f>VLOOKUP(A312,'Master List'!$A$4:$F3011,5,FALSE)</f>
        <v>2.054</v>
      </c>
      <c r="H312" s="206">
        <f t="shared" si="12"/>
        <v>42.64104</v>
      </c>
      <c r="I312" s="227"/>
    </row>
    <row r="313" outlineLevel="2">
      <c r="A313" s="422" t="str">
        <f>'Master List'!A16</f>
        <v>M-CON-022</v>
      </c>
      <c r="B313" s="21"/>
      <c r="C313" s="198"/>
      <c r="D313" s="462" t="str">
        <f>VLOOKUP(A313,'Master List'!$A$1:$C$1192,2,FALSE)</f>
        <v>Круги отрезные по металлу диаметром 230мм</v>
      </c>
      <c r="E313" s="463" t="str">
        <f>VLOOKUP(A313,'Master List'!$A$1:$C$1192,3,FALSE)</f>
        <v>шт</v>
      </c>
      <c r="F313" s="464">
        <f>F307*3/1000</f>
        <v>4.152</v>
      </c>
      <c r="G313" s="463">
        <f>VLOOKUP(A313,'Master List'!$A$4:$F3012,5,FALSE)</f>
        <v>0</v>
      </c>
      <c r="H313" s="206">
        <f t="shared" si="12"/>
        <v>0</v>
      </c>
      <c r="I313" s="227"/>
    </row>
    <row r="314" outlineLevel="2">
      <c r="A314" s="422" t="str">
        <f>'Master List'!A6</f>
        <v>M-CON-004</v>
      </c>
      <c r="B314" s="21"/>
      <c r="C314" s="198"/>
      <c r="D314" s="462" t="str">
        <f>VLOOKUP(A314,'Master List'!$A$1:$C$1192,2,FALSE)</f>
        <v>Бетон C30/37 XC2(P) Cl0.40 Dmáx 22мм S4</v>
      </c>
      <c r="E314" s="463" t="str">
        <f>VLOOKUP(A314,'Master List'!$A$1:$C$1192,3,FALSE)</f>
        <v>м3</v>
      </c>
      <c r="F314" s="464">
        <f>F308*1.02</f>
        <v>19.2015</v>
      </c>
      <c r="G314" s="463">
        <f>VLOOKUP(A314,'Master List'!$A$4:$F3013,5,FALSE)</f>
        <v>127.946</v>
      </c>
      <c r="H314" s="206">
        <f t="shared" si="12"/>
        <v>2456.755119</v>
      </c>
      <c r="I314" s="227"/>
    </row>
    <row r="315" outlineLevel="2">
      <c r="A315" s="422"/>
      <c r="B315" s="21"/>
      <c r="C315" s="230"/>
      <c r="D315" s="246"/>
      <c r="E315" s="437"/>
      <c r="F315" s="170"/>
      <c r="G315" s="239"/>
      <c r="H315" s="239"/>
      <c r="I315" s="227"/>
    </row>
    <row r="316" outlineLevel="2">
      <c r="A316" s="422"/>
      <c r="B316" s="21"/>
      <c r="C316" s="230"/>
      <c r="D316" s="246"/>
      <c r="E316" s="437"/>
      <c r="F316" s="170"/>
      <c r="G316" s="239"/>
      <c r="H316" s="239"/>
      <c r="I316" s="227"/>
    </row>
    <row r="317" outlineLevel="2">
      <c r="A317" s="422"/>
      <c r="B317" s="21"/>
      <c r="C317" s="429"/>
      <c r="D317" s="21"/>
      <c r="E317" s="457"/>
      <c r="F317" s="115"/>
      <c r="G317" s="241"/>
      <c r="H317" s="241"/>
      <c r="I317" s="227"/>
    </row>
    <row r="318" outlineLevel="1">
      <c r="A318" s="422"/>
      <c r="B318" s="151" t="s">
        <v>916</v>
      </c>
      <c r="C318" s="429"/>
      <c r="D318" s="435" t="s">
        <v>917</v>
      </c>
      <c r="E318" s="457"/>
      <c r="F318" s="115"/>
      <c r="G318" s="436">
        <f>SUM(H329:H361)</f>
        <v>18101.66209</v>
      </c>
      <c r="H318" s="241"/>
      <c r="I318" s="227"/>
    </row>
    <row r="319" outlineLevel="2">
      <c r="A319" s="422"/>
      <c r="B319" s="21"/>
      <c r="C319" s="429"/>
      <c r="D319" s="21"/>
      <c r="E319" s="457"/>
      <c r="F319" s="115"/>
      <c r="G319" s="241"/>
      <c r="H319" s="241"/>
      <c r="I319" s="227"/>
    </row>
    <row r="320" outlineLevel="2">
      <c r="A320" s="422"/>
      <c r="B320" s="151" t="s">
        <v>537</v>
      </c>
      <c r="C320" s="429"/>
      <c r="D320" s="152" t="s">
        <v>918</v>
      </c>
      <c r="E320" s="457"/>
      <c r="F320" s="115"/>
      <c r="G320" s="241"/>
      <c r="H320" s="241"/>
      <c r="I320" s="227"/>
    </row>
    <row r="321" outlineLevel="2">
      <c r="A321" s="422"/>
      <c r="B321" s="21"/>
      <c r="C321" s="429"/>
      <c r="D321" s="21"/>
      <c r="E321" s="457"/>
      <c r="F321" s="115"/>
      <c r="G321" s="241"/>
      <c r="H321" s="241"/>
      <c r="I321" s="227"/>
    </row>
    <row r="322" outlineLevel="2">
      <c r="A322" s="422"/>
      <c r="B322" s="151" t="s">
        <v>539</v>
      </c>
      <c r="C322" s="248">
        <v>3.19</v>
      </c>
      <c r="D322" s="245" t="s">
        <v>919</v>
      </c>
      <c r="E322" s="457"/>
      <c r="F322" s="115"/>
      <c r="G322" s="241"/>
      <c r="H322" s="241"/>
      <c r="I322" s="227"/>
    </row>
    <row r="323" outlineLevel="2">
      <c r="A323" s="422"/>
      <c r="B323" s="21"/>
      <c r="C323" s="429"/>
      <c r="D323" s="21"/>
      <c r="E323" s="457"/>
      <c r="F323" s="115"/>
      <c r="G323" s="241"/>
      <c r="H323" s="241"/>
      <c r="I323" s="227"/>
    </row>
    <row r="324" outlineLevel="2">
      <c r="A324" s="422"/>
      <c r="B324" s="21"/>
      <c r="C324" s="198" t="s">
        <v>2125</v>
      </c>
      <c r="D324" s="202" t="s">
        <v>920</v>
      </c>
      <c r="E324" s="444" t="s">
        <v>877</v>
      </c>
      <c r="F324" s="214">
        <v>42.55</v>
      </c>
      <c r="G324" s="205"/>
      <c r="H324" s="206"/>
      <c r="I324" s="227"/>
    </row>
    <row r="325" outlineLevel="2">
      <c r="A325" s="422"/>
      <c r="B325" s="21"/>
      <c r="C325" s="198" t="s">
        <v>2126</v>
      </c>
      <c r="D325" s="202" t="s">
        <v>921</v>
      </c>
      <c r="E325" s="444" t="s">
        <v>877</v>
      </c>
      <c r="F325" s="214">
        <v>3.92</v>
      </c>
      <c r="G325" s="205"/>
      <c r="H325" s="206"/>
      <c r="I325" s="227"/>
    </row>
    <row r="326" outlineLevel="2">
      <c r="A326" s="422"/>
      <c r="B326" s="21"/>
      <c r="C326" s="198" t="s">
        <v>2127</v>
      </c>
      <c r="D326" s="202" t="s">
        <v>922</v>
      </c>
      <c r="E326" s="444" t="s">
        <v>877</v>
      </c>
      <c r="F326" s="214">
        <v>3.88</v>
      </c>
      <c r="G326" s="205"/>
      <c r="H326" s="206"/>
      <c r="I326" s="227"/>
    </row>
    <row r="327" outlineLevel="2">
      <c r="A327" s="422"/>
      <c r="B327" s="21"/>
      <c r="C327" s="198" t="s">
        <v>2128</v>
      </c>
      <c r="D327" s="202" t="s">
        <v>923</v>
      </c>
      <c r="E327" s="444" t="s">
        <v>877</v>
      </c>
      <c r="F327" s="214">
        <v>4.5</v>
      </c>
      <c r="G327" s="205"/>
      <c r="H327" s="206"/>
      <c r="I327" s="227"/>
    </row>
    <row r="328" outlineLevel="2">
      <c r="A328" s="422"/>
      <c r="B328" s="21"/>
      <c r="C328" s="230"/>
      <c r="D328" s="246"/>
      <c r="E328" s="437"/>
      <c r="F328" s="170"/>
      <c r="G328" s="239"/>
      <c r="H328" s="239"/>
      <c r="I328" s="227"/>
    </row>
    <row r="329" outlineLevel="2">
      <c r="A329" s="422" t="str">
        <f>'Master List'!A497</f>
        <v>W-CON-003</v>
      </c>
      <c r="B329" s="21"/>
      <c r="C329" s="198"/>
      <c r="D329" s="462" t="str">
        <f>VLOOKUP(A329,'Master List'!$A$1:$C$1192,2,FALSE)</f>
        <v>Сборка и разборка опалубки</v>
      </c>
      <c r="E329" s="463" t="str">
        <f>VLOOKUP(A329,'Master List'!$A$1:$C$1192,3,FALSE)</f>
        <v>м2</v>
      </c>
      <c r="F329" s="464">
        <v>148.0</v>
      </c>
      <c r="G329" s="463">
        <f>VLOOKUP(A329,'Master List'!$A$4:$F3028,5,FALSE)</f>
        <v>45.5</v>
      </c>
      <c r="H329" s="206">
        <f t="shared" ref="H329:H341" si="13">G329*F329</f>
        <v>6734</v>
      </c>
      <c r="I329" s="227"/>
    </row>
    <row r="330" outlineLevel="2">
      <c r="A330" s="422" t="str">
        <f>'Master List'!A498</f>
        <v>W-CON-004</v>
      </c>
      <c r="B330" s="21"/>
      <c r="C330" s="198"/>
      <c r="D330" s="462" t="str">
        <f>VLOOKUP(A330,'Master List'!$A$1:$C$1192,2,FALSE)</f>
        <v>Изготовление и установка арматурных каркасов</v>
      </c>
      <c r="E330" s="463" t="str">
        <f>VLOOKUP(A330,'Master List'!$A$1:$C$1192,3,FALSE)</f>
        <v>кг</v>
      </c>
      <c r="F330" s="464">
        <f>627+440</f>
        <v>1067</v>
      </c>
      <c r="G330" s="463">
        <f>VLOOKUP(A330,'Master List'!$A$4:$F3029,5,FALSE)</f>
        <v>0.975</v>
      </c>
      <c r="H330" s="206">
        <f t="shared" si="13"/>
        <v>1040.325</v>
      </c>
      <c r="I330" s="227"/>
    </row>
    <row r="331" outlineLevel="2">
      <c r="A331" s="422" t="str">
        <f>'Master List'!A499</f>
        <v>W-CON-005</v>
      </c>
      <c r="B331" s="21"/>
      <c r="C331" s="198"/>
      <c r="D331" s="462" t="str">
        <f>VLOOKUP(A331,'Master List'!$A$1:$C$1192,2,FALSE)</f>
        <v>Укладка чистового бетона в опалубку</v>
      </c>
      <c r="E331" s="463" t="str">
        <f>VLOOKUP(A331,'Master List'!$A$1:$C$1192,3,FALSE)</f>
        <v>м3</v>
      </c>
      <c r="F331" s="464">
        <v>13.0</v>
      </c>
      <c r="G331" s="463">
        <f>VLOOKUP(A331,'Master List'!$A$4:$F3030,5,FALSE)</f>
        <v>16.25</v>
      </c>
      <c r="H331" s="206">
        <f t="shared" si="13"/>
        <v>211.25</v>
      </c>
      <c r="I331" s="227"/>
    </row>
    <row r="332" outlineLevel="2">
      <c r="A332" s="422" t="str">
        <f>'Master List'!A520</f>
        <v>W-BRK-010</v>
      </c>
      <c r="B332" s="21"/>
      <c r="C332" s="198"/>
      <c r="D332" s="462" t="str">
        <f>VLOOKUP(A332,'Master List'!$A$1:$C$1192,2,FALSE)</f>
        <v>Мурування огорожі з бетонних блоків товщиною 20см</v>
      </c>
      <c r="E332" s="463" t="str">
        <f>VLOOKUP(A332,'Master List'!$A$1:$C$1192,3,FALSE)</f>
        <v>м2</v>
      </c>
      <c r="F332" s="464">
        <v>94.0</v>
      </c>
      <c r="G332" s="463">
        <f>VLOOKUP(A332,'Master List'!$A$4:$F3031,5,FALSE)</f>
        <v>23.4</v>
      </c>
      <c r="H332" s="206">
        <f t="shared" si="13"/>
        <v>2199.6</v>
      </c>
      <c r="I332" s="227"/>
    </row>
    <row r="333" outlineLevel="2">
      <c r="A333" s="422" t="str">
        <f>'Master List'!A18</f>
        <v>M-CON-030</v>
      </c>
      <c r="B333" s="21"/>
      <c r="C333" s="198"/>
      <c r="D333" s="462" t="str">
        <f>VLOOKUP(A333,'Master List'!$A$1:$C$1192,2,FALSE)</f>
        <v>Деревянные щиты опалубки</v>
      </c>
      <c r="E333" s="463" t="str">
        <f>VLOOKUP(A333,'Master List'!$A$1:$C$1192,3,FALSE)</f>
        <v>м2</v>
      </c>
      <c r="F333" s="464">
        <f>F329</f>
        <v>148</v>
      </c>
      <c r="G333" s="463">
        <f>VLOOKUP(A333,'Master List'!$A$4:$F3032,5,FALSE)</f>
        <v>0</v>
      </c>
      <c r="H333" s="206">
        <f t="shared" si="13"/>
        <v>0</v>
      </c>
      <c r="I333" s="227"/>
    </row>
    <row r="334" outlineLevel="2">
      <c r="A334" s="422" t="str">
        <f>'Master List'!A14</f>
        <v>M-CON-014</v>
      </c>
      <c r="B334" s="21"/>
      <c r="C334" s="198"/>
      <c r="D334" s="462" t="str">
        <f>VLOOKUP(A334,'Master List'!$A$1:$C$1192,2,FALSE)</f>
        <v>Арматура диаметром 8 мм A500NR SD</v>
      </c>
      <c r="E334" s="463" t="str">
        <f>VLOOKUP(A334,'Master List'!$A$1:$C$1192,3,FALSE)</f>
        <v>кг</v>
      </c>
      <c r="F334" s="464">
        <f>440*1.05</f>
        <v>462</v>
      </c>
      <c r="G334" s="463">
        <f>VLOOKUP(A334,'Master List'!$A$4:$F3033,5,FALSE)</f>
        <v>0.61685</v>
      </c>
      <c r="H334" s="206">
        <f t="shared" si="13"/>
        <v>284.9847</v>
      </c>
      <c r="I334" s="227"/>
    </row>
    <row r="335" outlineLevel="2">
      <c r="A335" s="422" t="str">
        <f>'Master List'!A12</f>
        <v>M-CON-013</v>
      </c>
      <c r="B335" s="21"/>
      <c r="C335" s="198"/>
      <c r="D335" s="462" t="str">
        <f>VLOOKUP(A335,'Master List'!$A$1:$C$1192,2,FALSE)</f>
        <v>Арматура диаметром 10 мм A500NR SD</v>
      </c>
      <c r="E335" s="463" t="str">
        <f>VLOOKUP(A335,'Master List'!$A$1:$C$1192,3,FALSE)</f>
        <v>кг</v>
      </c>
      <c r="F335" s="464">
        <f>627*1.05</f>
        <v>658.35</v>
      </c>
      <c r="G335" s="463">
        <f>VLOOKUP(A335,'Master List'!$A$4:$F3034,5,FALSE)</f>
        <v>0.58305</v>
      </c>
      <c r="H335" s="206">
        <f t="shared" si="13"/>
        <v>383.8509675</v>
      </c>
      <c r="I335" s="227"/>
    </row>
    <row r="336" outlineLevel="2">
      <c r="A336" s="422" t="str">
        <f>'Master List'!A15</f>
        <v>M-CON-020</v>
      </c>
      <c r="B336" s="21"/>
      <c r="C336" s="198"/>
      <c r="D336" s="462" t="str">
        <f>VLOOKUP(A336,'Master List'!$A$1:$C$1192,2,FALSE)</f>
        <v>Вязальная проволока</v>
      </c>
      <c r="E336" s="463" t="str">
        <f>VLOOKUP(A336,'Master List'!$A$1:$C$1192,3,FALSE)</f>
        <v>кг</v>
      </c>
      <c r="F336" s="464">
        <f>F330*15/1000</f>
        <v>16.005</v>
      </c>
      <c r="G336" s="463">
        <f>VLOOKUP(A336,'Master List'!$A$4:$F3035,5,FALSE)</f>
        <v>2.054</v>
      </c>
      <c r="H336" s="206">
        <f t="shared" si="13"/>
        <v>32.87427</v>
      </c>
      <c r="I336" s="227"/>
    </row>
    <row r="337" outlineLevel="2">
      <c r="A337" s="422" t="str">
        <f>'Master List'!A16</f>
        <v>M-CON-022</v>
      </c>
      <c r="B337" s="21"/>
      <c r="C337" s="198"/>
      <c r="D337" s="462" t="str">
        <f>VLOOKUP(A337,'Master List'!$A$1:$C$1192,2,FALSE)</f>
        <v>Круги отрезные по металлу диаметром 230мм</v>
      </c>
      <c r="E337" s="463" t="str">
        <f>VLOOKUP(A337,'Master List'!$A$1:$C$1192,3,FALSE)</f>
        <v>шт</v>
      </c>
      <c r="F337" s="464">
        <f>F330*3/1000</f>
        <v>3.201</v>
      </c>
      <c r="G337" s="463">
        <f>VLOOKUP(A337,'Master List'!$A$4:$F3036,5,FALSE)</f>
        <v>0</v>
      </c>
      <c r="H337" s="206">
        <f t="shared" si="13"/>
        <v>0</v>
      </c>
      <c r="I337" s="227"/>
    </row>
    <row r="338" outlineLevel="2">
      <c r="A338" s="422" t="str">
        <f>'Master List'!A5</f>
        <v>M-CON-002</v>
      </c>
      <c r="B338" s="21"/>
      <c r="C338" s="198"/>
      <c r="D338" s="462" t="str">
        <f>VLOOKUP(A338,'Master List'!$A$1:$C$1192,2,FALSE)</f>
        <v>Бетон C16/20 X0(P) Cl0.40 Dmáx 15mm S2</v>
      </c>
      <c r="E338" s="463" t="str">
        <f>VLOOKUP(A338,'Master List'!$A$1:$C$1192,3,FALSE)</f>
        <v>м3</v>
      </c>
      <c r="F338" s="464">
        <f>F331*1.02</f>
        <v>13.26</v>
      </c>
      <c r="G338" s="463">
        <f>VLOOKUP(A338,'Master List'!$A$4:$F3037,5,FALSE)</f>
        <v>114.218</v>
      </c>
      <c r="H338" s="206">
        <f t="shared" si="13"/>
        <v>1514.53068</v>
      </c>
      <c r="I338" s="227"/>
    </row>
    <row r="339" outlineLevel="2">
      <c r="A339" s="422" t="str">
        <f>'Master List'!A36</f>
        <v>M-BRK-004</v>
      </c>
      <c r="B339" s="21"/>
      <c r="C339" s="198"/>
      <c r="D339" s="462" t="str">
        <f>VLOOKUP(A339,'Master List'!$A$1:$C$1192,2,FALSE)</f>
        <v>Блоки бетонні розміром 50x20x20см</v>
      </c>
      <c r="E339" s="463" t="str">
        <f>VLOOKUP(A339,'Master List'!$A$1:$C$1192,3,FALSE)</f>
        <v>шт</v>
      </c>
      <c r="F339" s="464">
        <f>F332*10</f>
        <v>940</v>
      </c>
      <c r="G339" s="463">
        <f>VLOOKUP(A339,'Master List'!$A$4:$F3038,5,FALSE)</f>
        <v>1.781</v>
      </c>
      <c r="H339" s="206">
        <f t="shared" si="13"/>
        <v>1674.14</v>
      </c>
      <c r="I339" s="227"/>
    </row>
    <row r="340" outlineLevel="2">
      <c r="A340" s="422" t="str">
        <f>'Master List'!A38</f>
        <v>M-BRK-025</v>
      </c>
      <c r="B340" s="21"/>
      <c r="C340" s="198"/>
      <c r="D340" s="462" t="str">
        <f>VLOOKUP(A340,'Master List'!$A$1:$C$1192,2,FALSE)</f>
        <v>Цемент</v>
      </c>
      <c r="E340" s="463" t="str">
        <f>VLOOKUP(A340,'Master List'!$A$1:$C$1192,3,FALSE)</f>
        <v>т</v>
      </c>
      <c r="F340" s="469">
        <f>(F332)*0.025*0.3</f>
        <v>0.705</v>
      </c>
      <c r="G340" s="463">
        <f>VLOOKUP(A340,'Master List'!$A$4:$F3040,5,FALSE)</f>
        <v>189.1032</v>
      </c>
      <c r="H340" s="206">
        <f t="shared" si="13"/>
        <v>133.317756</v>
      </c>
      <c r="I340" s="227"/>
    </row>
    <row r="341" outlineLevel="2">
      <c r="A341" s="422" t="str">
        <f>'Master List'!A39</f>
        <v>M-BRK-026</v>
      </c>
      <c r="B341" s="21"/>
      <c r="C341" s="198"/>
      <c r="D341" s="462" t="str">
        <f>VLOOKUP(A341,'Master List'!$A$1:$C$1192,2,FALSE)</f>
        <v>Песок</v>
      </c>
      <c r="E341" s="463" t="str">
        <f>VLOOKUP(A341,'Master List'!$A$1:$C$1192,3,FALSE)</f>
        <v>м3</v>
      </c>
      <c r="F341" s="464">
        <f>(F332)*0.025*1.15</f>
        <v>2.7025</v>
      </c>
      <c r="G341" s="463">
        <f>VLOOKUP(A341,'Master List'!$A$4:$F3041,5,FALSE)</f>
        <v>56.875</v>
      </c>
      <c r="H341" s="206">
        <f t="shared" si="13"/>
        <v>153.7046875</v>
      </c>
      <c r="I341" s="227"/>
    </row>
    <row r="342" outlineLevel="2">
      <c r="A342" s="422"/>
      <c r="B342" s="21"/>
      <c r="C342" s="230"/>
      <c r="D342" s="246"/>
      <c r="E342" s="437"/>
      <c r="F342" s="170"/>
      <c r="G342" s="239"/>
      <c r="H342" s="239"/>
      <c r="I342" s="227"/>
    </row>
    <row r="343" outlineLevel="2">
      <c r="A343" s="422"/>
      <c r="B343" s="21"/>
      <c r="C343" s="429"/>
      <c r="D343" s="21"/>
      <c r="E343" s="457"/>
      <c r="F343" s="115"/>
      <c r="G343" s="241"/>
      <c r="H343" s="241"/>
      <c r="I343" s="227"/>
    </row>
    <row r="344" outlineLevel="2">
      <c r="A344" s="422"/>
      <c r="B344" s="151" t="s">
        <v>924</v>
      </c>
      <c r="C344" s="248">
        <v>3.2</v>
      </c>
      <c r="D344" s="245" t="s">
        <v>925</v>
      </c>
      <c r="E344" s="457"/>
      <c r="F344" s="115"/>
      <c r="G344" s="241"/>
      <c r="H344" s="241"/>
      <c r="I344" s="227"/>
    </row>
    <row r="345" outlineLevel="2">
      <c r="A345" s="422"/>
      <c r="B345" s="21"/>
      <c r="C345" s="429"/>
      <c r="D345" s="21"/>
      <c r="E345" s="457"/>
      <c r="F345" s="115"/>
      <c r="G345" s="241"/>
      <c r="H345" s="241"/>
      <c r="I345" s="227"/>
    </row>
    <row r="346" outlineLevel="2">
      <c r="A346" s="422"/>
      <c r="B346" s="21"/>
      <c r="C346" s="198" t="s">
        <v>2130</v>
      </c>
      <c r="D346" s="202" t="s">
        <v>922</v>
      </c>
      <c r="E346" s="444" t="s">
        <v>877</v>
      </c>
      <c r="F346" s="214">
        <v>3.88</v>
      </c>
      <c r="G346" s="205"/>
      <c r="H346" s="206"/>
      <c r="I346" s="227"/>
    </row>
    <row r="347" outlineLevel="2">
      <c r="A347" s="422"/>
      <c r="B347" s="21"/>
      <c r="C347" s="198" t="s">
        <v>2131</v>
      </c>
      <c r="D347" s="202" t="s">
        <v>926</v>
      </c>
      <c r="E347" s="444" t="s">
        <v>877</v>
      </c>
      <c r="F347" s="214">
        <v>6.39</v>
      </c>
      <c r="G347" s="205"/>
      <c r="H347" s="206"/>
      <c r="I347" s="227"/>
    </row>
    <row r="348" outlineLevel="2">
      <c r="A348" s="422"/>
      <c r="B348" s="21"/>
      <c r="C348" s="230"/>
      <c r="D348" s="246"/>
      <c r="E348" s="437"/>
      <c r="F348" s="170"/>
      <c r="G348" s="239"/>
      <c r="H348" s="239"/>
      <c r="I348" s="227"/>
    </row>
    <row r="349" outlineLevel="2">
      <c r="A349" s="422" t="str">
        <f>'Master List'!A497</f>
        <v>W-CON-003</v>
      </c>
      <c r="B349" s="21"/>
      <c r="C349" s="198"/>
      <c r="D349" s="462" t="str">
        <f>VLOOKUP(A349,'Master List'!$A$1:$C$1192,2,FALSE)</f>
        <v>Сборка и разборка опалубки</v>
      </c>
      <c r="E349" s="463" t="str">
        <f>VLOOKUP(A349,'Master List'!$A$1:$C$1192,3,FALSE)</f>
        <v>м2</v>
      </c>
      <c r="F349" s="464">
        <v>43.0</v>
      </c>
      <c r="G349" s="463">
        <f>VLOOKUP(A349,'Master List'!$A$4:$F3038,5,FALSE)</f>
        <v>45.5</v>
      </c>
      <c r="H349" s="206">
        <f t="shared" ref="H349:H361" si="14">G349*F349</f>
        <v>1956.5</v>
      </c>
      <c r="I349" s="227"/>
    </row>
    <row r="350" outlineLevel="2">
      <c r="A350" s="422" t="str">
        <f>'Master List'!A498</f>
        <v>W-CON-004</v>
      </c>
      <c r="B350" s="21"/>
      <c r="C350" s="198"/>
      <c r="D350" s="462" t="str">
        <f>VLOOKUP(A350,'Master List'!$A$1:$C$1192,2,FALSE)</f>
        <v>Изготовление и установка арматурных каркасов</v>
      </c>
      <c r="E350" s="463" t="str">
        <f>VLOOKUP(A350,'Master List'!$A$1:$C$1192,3,FALSE)</f>
        <v>кг</v>
      </c>
      <c r="F350" s="464">
        <f>135+210</f>
        <v>345</v>
      </c>
      <c r="G350" s="463">
        <f>VLOOKUP(A350,'Master List'!$A$4:$F3039,5,FALSE)</f>
        <v>0.975</v>
      </c>
      <c r="H350" s="206">
        <f t="shared" si="14"/>
        <v>336.375</v>
      </c>
      <c r="I350" s="227"/>
    </row>
    <row r="351" outlineLevel="2">
      <c r="A351" s="422" t="str">
        <f>'Master List'!A499</f>
        <v>W-CON-005</v>
      </c>
      <c r="B351" s="21"/>
      <c r="C351" s="198"/>
      <c r="D351" s="462" t="str">
        <f>VLOOKUP(A351,'Master List'!$A$1:$C$1192,2,FALSE)</f>
        <v>Укладка чистового бетона в опалубку</v>
      </c>
      <c r="E351" s="463" t="str">
        <f>VLOOKUP(A351,'Master List'!$A$1:$C$1192,3,FALSE)</f>
        <v>м3</v>
      </c>
      <c r="F351" s="464">
        <f>4</f>
        <v>4</v>
      </c>
      <c r="G351" s="463">
        <f>VLOOKUP(A351,'Master List'!$A$4:$F3040,5,FALSE)</f>
        <v>16.25</v>
      </c>
      <c r="H351" s="206">
        <f t="shared" si="14"/>
        <v>65</v>
      </c>
      <c r="I351" s="227"/>
    </row>
    <row r="352" outlineLevel="2">
      <c r="A352" s="422" t="str">
        <f>'Master List'!A18</f>
        <v>M-CON-030</v>
      </c>
      <c r="B352" s="21"/>
      <c r="C352" s="198"/>
      <c r="D352" s="462" t="str">
        <f>VLOOKUP(A352,'Master List'!$A$1:$C$1192,2,FALSE)</f>
        <v>Деревянные щиты опалубки</v>
      </c>
      <c r="E352" s="463" t="str">
        <f>VLOOKUP(A352,'Master List'!$A$1:$C$1192,3,FALSE)</f>
        <v>м2</v>
      </c>
      <c r="F352" s="464">
        <f>F349</f>
        <v>43</v>
      </c>
      <c r="G352" s="463">
        <f>VLOOKUP(A352,'Master List'!$A$4:$F3041,5,FALSE)</f>
        <v>0</v>
      </c>
      <c r="H352" s="206">
        <f t="shared" si="14"/>
        <v>0</v>
      </c>
      <c r="I352" s="227"/>
    </row>
    <row r="353" outlineLevel="2">
      <c r="A353" s="422" t="str">
        <f>'Master List'!A14</f>
        <v>M-CON-014</v>
      </c>
      <c r="B353" s="21"/>
      <c r="C353" s="198"/>
      <c r="D353" s="462" t="str">
        <f>VLOOKUP(A353,'Master List'!$A$1:$C$1192,2,FALSE)</f>
        <v>Арматура диаметром 8 мм A500NR SD</v>
      </c>
      <c r="E353" s="463" t="str">
        <f>VLOOKUP(A353,'Master List'!$A$1:$C$1192,3,FALSE)</f>
        <v>кг</v>
      </c>
      <c r="F353" s="464">
        <f>135</f>
        <v>135</v>
      </c>
      <c r="G353" s="463">
        <f>VLOOKUP(A353,'Master List'!$A$4:$F3042,5,FALSE)</f>
        <v>0.61685</v>
      </c>
      <c r="H353" s="206">
        <f t="shared" si="14"/>
        <v>83.27475</v>
      </c>
      <c r="I353" s="227"/>
    </row>
    <row r="354" outlineLevel="2">
      <c r="A354" s="422" t="str">
        <f>'Master List'!A12</f>
        <v>M-CON-013</v>
      </c>
      <c r="B354" s="21"/>
      <c r="C354" s="198"/>
      <c r="D354" s="462" t="str">
        <f>VLOOKUP(A354,'Master List'!$A$1:$C$1192,2,FALSE)</f>
        <v>Арматура диаметром 10 мм A500NR SD</v>
      </c>
      <c r="E354" s="463" t="str">
        <f>VLOOKUP(A354,'Master List'!$A$1:$C$1192,3,FALSE)</f>
        <v>кг</v>
      </c>
      <c r="F354" s="464">
        <f>210</f>
        <v>210</v>
      </c>
      <c r="G354" s="463">
        <f>VLOOKUP(A354,'Master List'!$A$4:$F3043,5,FALSE)</f>
        <v>0.58305</v>
      </c>
      <c r="H354" s="206">
        <f t="shared" si="14"/>
        <v>122.4405</v>
      </c>
      <c r="I354" s="227"/>
    </row>
    <row r="355" outlineLevel="2">
      <c r="A355" s="422" t="str">
        <f>'Master List'!A15</f>
        <v>M-CON-020</v>
      </c>
      <c r="B355" s="21"/>
      <c r="C355" s="198"/>
      <c r="D355" s="462" t="str">
        <f>VLOOKUP(A355,'Master List'!$A$1:$C$1192,2,FALSE)</f>
        <v>Вязальная проволока</v>
      </c>
      <c r="E355" s="463" t="str">
        <f>VLOOKUP(A355,'Master List'!$A$1:$C$1192,3,FALSE)</f>
        <v>кг</v>
      </c>
      <c r="F355" s="464">
        <f>F350*15/1000</f>
        <v>5.175</v>
      </c>
      <c r="G355" s="463">
        <f>VLOOKUP(A355,'Master List'!$A$4:$F3044,5,FALSE)</f>
        <v>2.054</v>
      </c>
      <c r="H355" s="206">
        <f t="shared" si="14"/>
        <v>10.62945</v>
      </c>
      <c r="I355" s="227"/>
    </row>
    <row r="356" outlineLevel="2">
      <c r="A356" s="422" t="str">
        <f>'Master List'!A16</f>
        <v>M-CON-022</v>
      </c>
      <c r="B356" s="21"/>
      <c r="C356" s="198"/>
      <c r="D356" s="462" t="str">
        <f>VLOOKUP(A356,'Master List'!$A$1:$C$1192,2,FALSE)</f>
        <v>Круги отрезные по металлу диаметром 230мм</v>
      </c>
      <c r="E356" s="463" t="str">
        <f>VLOOKUP(A356,'Master List'!$A$1:$C$1192,3,FALSE)</f>
        <v>шт</v>
      </c>
      <c r="F356" s="464">
        <f>F350*3/1000</f>
        <v>1.035</v>
      </c>
      <c r="G356" s="463">
        <f>VLOOKUP(A356,'Master List'!$A$4:$F3045,5,FALSE)</f>
        <v>0</v>
      </c>
      <c r="H356" s="206">
        <f t="shared" si="14"/>
        <v>0</v>
      </c>
      <c r="I356" s="227"/>
    </row>
    <row r="357" outlineLevel="2">
      <c r="A357" s="422" t="str">
        <f>'Master List'!A5</f>
        <v>M-CON-002</v>
      </c>
      <c r="B357" s="21"/>
      <c r="C357" s="198"/>
      <c r="D357" s="462" t="str">
        <f>VLOOKUP(A357,'Master List'!$A$1:$C$1192,2,FALSE)</f>
        <v>Бетон C16/20 X0(P) Cl0.40 Dmáx 15mm S2</v>
      </c>
      <c r="E357" s="463" t="str">
        <f>VLOOKUP(A357,'Master List'!$A$1:$C$1192,3,FALSE)</f>
        <v>м3</v>
      </c>
      <c r="F357" s="464">
        <f>F351*1.02</f>
        <v>4.08</v>
      </c>
      <c r="G357" s="463">
        <f>VLOOKUP(A357,'Master List'!$A$4:$F3046,5,FALSE)</f>
        <v>114.218</v>
      </c>
      <c r="H357" s="206">
        <f t="shared" si="14"/>
        <v>466.00944</v>
      </c>
      <c r="I357" s="227"/>
    </row>
    <row r="358" outlineLevel="2">
      <c r="A358" s="422" t="str">
        <f>'Master List'!A521</f>
        <v>W-BRK-011</v>
      </c>
      <c r="B358" s="21"/>
      <c r="C358" s="198"/>
      <c r="D358" s="462" t="str">
        <f>VLOOKUP(A358,'Master List'!$A$1:$C$1192,2,FALSE)</f>
        <v>Мурування огорожі з бетонних блоків товщиною 15см</v>
      </c>
      <c r="E358" s="463" t="str">
        <f>VLOOKUP(A358,'Master List'!$A$1:$C$1192,3,FALSE)</f>
        <v>м2</v>
      </c>
      <c r="F358" s="464">
        <v>20.0</v>
      </c>
      <c r="G358" s="463">
        <f>VLOOKUP(A358,'Master List'!$A$4:$F3046,5,FALSE)</f>
        <v>23.4</v>
      </c>
      <c r="H358" s="206">
        <f t="shared" si="14"/>
        <v>468</v>
      </c>
      <c r="I358" s="227"/>
    </row>
    <row r="359" outlineLevel="2">
      <c r="A359" s="422" t="str">
        <f>'Master List'!A37</f>
        <v>M-BRK-005</v>
      </c>
      <c r="B359" s="21"/>
      <c r="C359" s="198"/>
      <c r="D359" s="462" t="str">
        <f>VLOOKUP(A359,'Master List'!$A$1:$C$1192,2,FALSE)</f>
        <v>Блоки бетонні розміром 50x20x15см</v>
      </c>
      <c r="E359" s="463" t="str">
        <f>VLOOKUP(A359,'Master List'!$A$1:$C$1192,3,FALSE)</f>
        <v>шт</v>
      </c>
      <c r="F359" s="464">
        <f>F358*10</f>
        <v>200</v>
      </c>
      <c r="G359" s="463">
        <f>VLOOKUP(A359,'Master List'!$A$4:$F3047,5,FALSE)</f>
        <v>0.91</v>
      </c>
      <c r="H359" s="206">
        <f t="shared" si="14"/>
        <v>182</v>
      </c>
      <c r="I359" s="227"/>
    </row>
    <row r="360" outlineLevel="2">
      <c r="A360" s="422" t="str">
        <f>'Master List'!A38</f>
        <v>M-BRK-025</v>
      </c>
      <c r="B360" s="21"/>
      <c r="C360" s="198"/>
      <c r="D360" s="462" t="str">
        <f>VLOOKUP(A360,'Master List'!$A$1:$C$1192,2,FALSE)</f>
        <v>Цемент</v>
      </c>
      <c r="E360" s="463" t="str">
        <f>VLOOKUP(A360,'Master List'!$A$1:$C$1192,3,FALSE)</f>
        <v>т</v>
      </c>
      <c r="F360" s="464">
        <f>F358*0.02*0.3</f>
        <v>0.12</v>
      </c>
      <c r="G360" s="463">
        <f>VLOOKUP(A360,'Master List'!$A$4:$F3048,5,FALSE)</f>
        <v>189.1032</v>
      </c>
      <c r="H360" s="206">
        <f t="shared" si="14"/>
        <v>22.692384</v>
      </c>
      <c r="I360" s="227"/>
    </row>
    <row r="361" outlineLevel="2">
      <c r="A361" s="422" t="str">
        <f>'Master List'!A39</f>
        <v>M-BRK-026</v>
      </c>
      <c r="B361" s="21"/>
      <c r="C361" s="198"/>
      <c r="D361" s="462" t="str">
        <f>VLOOKUP(A361,'Master List'!$A$1:$C$1192,2,FALSE)</f>
        <v>Песок</v>
      </c>
      <c r="E361" s="463" t="str">
        <f>VLOOKUP(A361,'Master List'!$A$1:$C$1192,3,FALSE)</f>
        <v>м3</v>
      </c>
      <c r="F361" s="464">
        <f>F358*0.02*1.15</f>
        <v>0.46</v>
      </c>
      <c r="G361" s="463">
        <f>VLOOKUP(A361,'Master List'!$A$4:$F3049,5,FALSE)</f>
        <v>56.875</v>
      </c>
      <c r="H361" s="206">
        <f t="shared" si="14"/>
        <v>26.1625</v>
      </c>
      <c r="I361" s="227"/>
    </row>
    <row r="362" outlineLevel="2">
      <c r="A362" s="422"/>
      <c r="B362" s="21"/>
      <c r="C362" s="230"/>
      <c r="D362" s="246"/>
      <c r="E362" s="437"/>
      <c r="F362" s="170"/>
      <c r="G362" s="239"/>
      <c r="H362" s="239"/>
      <c r="I362" s="227"/>
    </row>
    <row r="363" outlineLevel="2">
      <c r="A363" s="422"/>
      <c r="B363" s="21"/>
      <c r="C363" s="230"/>
      <c r="D363" s="246"/>
      <c r="E363" s="437"/>
      <c r="F363" s="170"/>
      <c r="G363" s="239"/>
      <c r="H363" s="239"/>
      <c r="I363" s="227"/>
    </row>
    <row r="364" outlineLevel="2">
      <c r="A364" s="422"/>
      <c r="B364" s="21"/>
      <c r="C364" s="429"/>
      <c r="D364" s="21"/>
      <c r="E364" s="457"/>
      <c r="F364" s="115"/>
      <c r="G364" s="241"/>
      <c r="H364" s="241"/>
      <c r="I364" s="227"/>
    </row>
    <row r="365" outlineLevel="1">
      <c r="A365" s="422"/>
      <c r="B365" s="151" t="s">
        <v>927</v>
      </c>
      <c r="C365" s="429"/>
      <c r="D365" s="435" t="s">
        <v>928</v>
      </c>
      <c r="E365" s="457"/>
      <c r="F365" s="115"/>
      <c r="G365" s="436">
        <f>SUM(H371:H386)</f>
        <v>10680.24963</v>
      </c>
      <c r="H365" s="241"/>
      <c r="I365" s="227"/>
    </row>
    <row r="366" outlineLevel="2">
      <c r="A366" s="422"/>
      <c r="B366" s="21"/>
      <c r="C366" s="429"/>
      <c r="D366" s="21"/>
      <c r="E366" s="457"/>
      <c r="F366" s="115"/>
      <c r="G366" s="241"/>
      <c r="H366" s="241"/>
      <c r="I366" s="227"/>
    </row>
    <row r="367" outlineLevel="2">
      <c r="A367" s="422"/>
      <c r="B367" s="151" t="s">
        <v>610</v>
      </c>
      <c r="C367" s="429"/>
      <c r="D367" s="152" t="s">
        <v>929</v>
      </c>
      <c r="E367" s="457"/>
      <c r="F367" s="115"/>
      <c r="G367" s="241"/>
      <c r="H367" s="241"/>
      <c r="I367" s="227"/>
    </row>
    <row r="368" outlineLevel="2">
      <c r="A368" s="422"/>
      <c r="B368" s="21"/>
      <c r="C368" s="429"/>
      <c r="D368" s="21"/>
      <c r="E368" s="457"/>
      <c r="F368" s="115"/>
      <c r="G368" s="241"/>
      <c r="H368" s="241"/>
      <c r="I368" s="227"/>
    </row>
    <row r="369" outlineLevel="2">
      <c r="A369" s="422"/>
      <c r="B369" s="151" t="s">
        <v>612</v>
      </c>
      <c r="C369" s="198">
        <v>3.21</v>
      </c>
      <c r="D369" s="202" t="s">
        <v>930</v>
      </c>
      <c r="E369" s="444" t="s">
        <v>877</v>
      </c>
      <c r="F369" s="214">
        <v>45.8</v>
      </c>
      <c r="G369" s="205"/>
      <c r="H369" s="206"/>
      <c r="I369" s="219"/>
    </row>
    <row r="370" outlineLevel="2">
      <c r="A370" s="422"/>
      <c r="B370" s="151"/>
      <c r="C370" s="230"/>
      <c r="D370" s="246"/>
      <c r="E370" s="437"/>
      <c r="F370" s="170"/>
      <c r="G370" s="239"/>
      <c r="H370" s="239"/>
      <c r="I370" s="240"/>
    </row>
    <row r="371" outlineLevel="2">
      <c r="A371" s="422" t="str">
        <f>'Master List'!A507</f>
        <v>W-CON-020</v>
      </c>
      <c r="B371" s="151"/>
      <c r="C371" s="198"/>
      <c r="D371" s="462" t="str">
        <f>VLOOKUP(A371,'Master List'!$A$1:$C$1192,2,FALSE)</f>
        <v>Герметизація швів бентонітовими шнурами Waterstop</v>
      </c>
      <c r="E371" s="463" t="str">
        <f>VLOOKUP(A371,'Master List'!$A$1:$C$1192,3,FALSE)</f>
        <v>м</v>
      </c>
      <c r="F371" s="464">
        <f>F369</f>
        <v>45.8</v>
      </c>
      <c r="G371" s="463">
        <f>VLOOKUP(A371,'Master List'!$A$4:$F3060,5,FALSE)</f>
        <v>15.6</v>
      </c>
      <c r="H371" s="206">
        <f t="shared" ref="H371:H372" si="15">G371*F371</f>
        <v>714.48</v>
      </c>
      <c r="I371" s="240"/>
    </row>
    <row r="372" outlineLevel="2">
      <c r="A372" s="422" t="str">
        <f>'Master List'!A24</f>
        <v>M-CON-039</v>
      </c>
      <c r="B372" s="151"/>
      <c r="C372" s="198"/>
      <c r="D372" s="462" t="str">
        <f>VLOOKUP(A372,'Master List'!$A$1:$C$1192,2,FALSE)</f>
        <v>Бентонітовий шнур Waterstop</v>
      </c>
      <c r="E372" s="463" t="str">
        <f>VLOOKUP(A372,'Master List'!$A$1:$C$1192,3,FALSE)</f>
        <v>м</v>
      </c>
      <c r="F372" s="464">
        <f>F371*1.05</f>
        <v>48.09</v>
      </c>
      <c r="G372" s="463">
        <f>VLOOKUP(A372,'Master List'!$A$4:$F3061,5,FALSE)</f>
        <v>14.3728</v>
      </c>
      <c r="H372" s="206">
        <f t="shared" si="15"/>
        <v>691.187952</v>
      </c>
      <c r="I372" s="240"/>
    </row>
    <row r="373" outlineLevel="2">
      <c r="A373" s="422"/>
      <c r="B373" s="21"/>
      <c r="C373" s="429"/>
      <c r="D373" s="21"/>
      <c r="E373" s="457"/>
      <c r="F373" s="115"/>
      <c r="G373" s="241"/>
      <c r="H373" s="241"/>
      <c r="I373" s="227"/>
    </row>
    <row r="374" outlineLevel="2">
      <c r="A374" s="422"/>
      <c r="B374" s="151" t="s">
        <v>620</v>
      </c>
      <c r="C374" s="198">
        <v>3.22</v>
      </c>
      <c r="D374" s="202" t="s">
        <v>931</v>
      </c>
      <c r="E374" s="444" t="s">
        <v>877</v>
      </c>
      <c r="F374" s="214">
        <v>10.42</v>
      </c>
      <c r="G374" s="205"/>
      <c r="H374" s="206"/>
      <c r="I374" s="219"/>
    </row>
    <row r="375" outlineLevel="2">
      <c r="A375" s="422"/>
      <c r="B375" s="151"/>
      <c r="C375" s="230"/>
      <c r="D375" s="246"/>
      <c r="E375" s="437"/>
      <c r="F375" s="170"/>
      <c r="G375" s="239"/>
      <c r="H375" s="239"/>
      <c r="I375" s="240"/>
    </row>
    <row r="376" outlineLevel="2">
      <c r="A376" s="422" t="str">
        <f>'Master List'!A508</f>
        <v>W-CON-021</v>
      </c>
      <c r="B376" s="151"/>
      <c r="C376" s="198"/>
      <c r="D376" s="462" t="str">
        <f>VLOOKUP(A376,'Master List'!$A$1:$C$1192,2,FALSE)</f>
        <v>Влаштування деформаційних швів</v>
      </c>
      <c r="E376" s="463" t="str">
        <f>VLOOKUP(A376,'Master List'!$A$1:$C$1192,3,FALSE)</f>
        <v>м</v>
      </c>
      <c r="F376" s="464">
        <f>F374</f>
        <v>10.42</v>
      </c>
      <c r="G376" s="463">
        <f>VLOOKUP(A376,'Master List'!$A$4:$F3065,5,FALSE)</f>
        <v>6.5</v>
      </c>
      <c r="H376" s="206">
        <f t="shared" ref="H376:H377" si="16">G376*F376</f>
        <v>67.73</v>
      </c>
      <c r="I376" s="240"/>
    </row>
    <row r="377" outlineLevel="2">
      <c r="A377" s="422" t="str">
        <f>'Master List'!A25</f>
        <v>M-CON-040</v>
      </c>
      <c r="B377" s="151"/>
      <c r="C377" s="198"/>
      <c r="D377" s="462" t="str">
        <f>VLOOKUP(A377,'Master List'!$A$1:$C$1192,2,FALSE)</f>
        <v>Матеріали для влаштування деформаційного шва</v>
      </c>
      <c r="E377" s="463" t="str">
        <f>VLOOKUP(A377,'Master List'!$A$1:$C$1192,3,FALSE)</f>
        <v>м</v>
      </c>
      <c r="F377" s="464">
        <f>F376*1.05</f>
        <v>10.941</v>
      </c>
      <c r="G377" s="463">
        <f>VLOOKUP(A377,'Master List'!$A$4:$F3066,5,FALSE)</f>
        <v>25.48</v>
      </c>
      <c r="H377" s="206">
        <f t="shared" si="16"/>
        <v>278.77668</v>
      </c>
      <c r="I377" s="240"/>
    </row>
    <row r="378" outlineLevel="2">
      <c r="A378" s="422"/>
      <c r="B378" s="21"/>
      <c r="C378" s="429"/>
      <c r="D378" s="21"/>
      <c r="E378" s="457"/>
      <c r="F378" s="115"/>
      <c r="G378" s="241"/>
      <c r="H378" s="241"/>
      <c r="I378" s="227"/>
    </row>
    <row r="379" outlineLevel="2">
      <c r="A379" s="422"/>
      <c r="B379" s="151" t="s">
        <v>626</v>
      </c>
      <c r="C379" s="198">
        <v>3.23</v>
      </c>
      <c r="D379" s="202" t="s">
        <v>932</v>
      </c>
      <c r="E379" s="444" t="s">
        <v>933</v>
      </c>
      <c r="F379" s="214">
        <v>41.25</v>
      </c>
      <c r="G379" s="205"/>
      <c r="H379" s="206"/>
      <c r="I379" s="219"/>
    </row>
    <row r="380" outlineLevel="2">
      <c r="A380" s="422"/>
      <c r="B380" s="151"/>
      <c r="C380" s="230"/>
      <c r="D380" s="246"/>
      <c r="E380" s="437"/>
      <c r="F380" s="170"/>
      <c r="G380" s="239"/>
      <c r="H380" s="239"/>
      <c r="I380" s="240"/>
    </row>
    <row r="381" outlineLevel="2">
      <c r="A381" s="422" t="str">
        <f>'Master List'!A509</f>
        <v>W-CON-022</v>
      </c>
      <c r="B381" s="151"/>
      <c r="C381" s="198"/>
      <c r="D381" s="462" t="str">
        <f>VLOOKUP(A381,'Master List'!$A$1:$C$1192,2,FALSE)</f>
        <v>Влаштування конструкцій з циклопічного бетону </v>
      </c>
      <c r="E381" s="463" t="str">
        <f>VLOOKUP(A381,'Master List'!$A$1:$C$1192,3,FALSE)</f>
        <v>м3</v>
      </c>
      <c r="F381" s="464">
        <f>F379</f>
        <v>41.25</v>
      </c>
      <c r="G381" s="463">
        <f>VLOOKUP(A381,'Master List'!$A$4:$F3070,5,FALSE)</f>
        <v>13</v>
      </c>
      <c r="H381" s="206">
        <f t="shared" ref="H381:H382" si="17">G381*F381</f>
        <v>536.25</v>
      </c>
      <c r="I381" s="240"/>
    </row>
    <row r="382" outlineLevel="2">
      <c r="A382" s="422" t="str">
        <f>'Master List'!A8</f>
        <v>M-CON-006</v>
      </c>
      <c r="B382" s="151"/>
      <c r="C382" s="198"/>
      <c r="D382" s="462" t="str">
        <f>VLOOKUP(A382,'Master List'!$A$1:$C$1192,2,FALSE)</f>
        <v>Бетон циклопічний C20/25 XC2 Cl0.40 S3</v>
      </c>
      <c r="E382" s="463" t="str">
        <f>VLOOKUP(A382,'Master List'!$A$1:$C$1192,3,FALSE)</f>
        <v>м3</v>
      </c>
      <c r="F382" s="464">
        <f>F381*1.02</f>
        <v>42.075</v>
      </c>
      <c r="G382" s="463">
        <f>VLOOKUP(A382,'Master List'!$A$4:$F3071,5,FALSE)</f>
        <v>143</v>
      </c>
      <c r="H382" s="206">
        <f t="shared" si="17"/>
        <v>6016.725</v>
      </c>
      <c r="I382" s="240"/>
    </row>
    <row r="383" outlineLevel="2">
      <c r="A383" s="422"/>
      <c r="B383" s="21"/>
      <c r="C383" s="429"/>
      <c r="D383" s="21"/>
      <c r="E383" s="457"/>
      <c r="F383" s="115"/>
      <c r="G383" s="241"/>
      <c r="H383" s="241"/>
      <c r="I383" s="227"/>
    </row>
    <row r="384" outlineLevel="2">
      <c r="A384" s="422"/>
      <c r="B384" s="151" t="s">
        <v>628</v>
      </c>
      <c r="C384" s="248">
        <v>3.24</v>
      </c>
      <c r="D384" s="249" t="s">
        <v>934</v>
      </c>
      <c r="E384" s="456"/>
      <c r="F384" s="170"/>
      <c r="G384" s="239"/>
      <c r="H384" s="239"/>
      <c r="I384" s="240"/>
    </row>
    <row r="385" outlineLevel="2">
      <c r="A385" s="422"/>
      <c r="B385" s="21"/>
      <c r="C385" s="429"/>
      <c r="D385" s="21"/>
      <c r="E385" s="457"/>
      <c r="F385" s="115"/>
      <c r="G385" s="241"/>
      <c r="H385" s="241"/>
      <c r="I385" s="227"/>
    </row>
    <row r="386" outlineLevel="2">
      <c r="A386" s="422" t="str">
        <f>'Master List'!A510</f>
        <v>W-CON-023</v>
      </c>
      <c r="B386" s="151" t="s">
        <v>935</v>
      </c>
      <c r="C386" s="198" t="s">
        <v>2138</v>
      </c>
      <c r="D386" s="202" t="s">
        <v>936</v>
      </c>
      <c r="E386" s="444" t="s">
        <v>33</v>
      </c>
      <c r="F386" s="214">
        <v>1.0</v>
      </c>
      <c r="G386" s="463">
        <f>VLOOKUP(A386,'Master List'!$A$4:$F3075,5,FALSE)</f>
        <v>2375.1</v>
      </c>
      <c r="H386" s="206">
        <f>F386*G386</f>
        <v>2375.1</v>
      </c>
      <c r="I386" s="227"/>
    </row>
    <row r="387" outlineLevel="2">
      <c r="A387" s="422"/>
      <c r="B387" s="208"/>
      <c r="C387" s="250"/>
      <c r="D387" s="152"/>
      <c r="E387" s="470"/>
      <c r="F387" s="153"/>
      <c r="G387" s="220"/>
      <c r="H387" s="220"/>
      <c r="I387" s="227"/>
    </row>
    <row r="388" outlineLevel="1">
      <c r="A388" s="422"/>
      <c r="B388" s="208"/>
      <c r="C388" s="250"/>
      <c r="D388" s="152"/>
      <c r="E388" s="470"/>
      <c r="F388" s="153"/>
      <c r="G388" s="220"/>
      <c r="H388" s="220"/>
      <c r="I388" s="227"/>
    </row>
    <row r="389">
      <c r="A389" s="422"/>
      <c r="B389" s="471"/>
      <c r="C389" s="184">
        <v>4.0</v>
      </c>
      <c r="D389" s="184" t="s">
        <v>95</v>
      </c>
      <c r="E389" s="425"/>
      <c r="F389" s="425"/>
      <c r="G389" s="425"/>
      <c r="H389" s="426">
        <f>SUM(H395:H508)</f>
        <v>52593.50688</v>
      </c>
      <c r="I389" s="427">
        <f>H389-'Orcamento RU'!C68</f>
        <v>28840.11688</v>
      </c>
    </row>
    <row r="390" outlineLevel="1">
      <c r="A390" s="422"/>
      <c r="B390" s="208"/>
      <c r="C390" s="250"/>
      <c r="D390" s="152"/>
      <c r="E390" s="470"/>
      <c r="F390" s="153"/>
      <c r="G390" s="220"/>
      <c r="H390" s="220"/>
      <c r="I390" s="227"/>
    </row>
    <row r="391" outlineLevel="1">
      <c r="A391" s="422"/>
      <c r="B391" s="472" t="s">
        <v>96</v>
      </c>
      <c r="C391" s="429"/>
      <c r="D391" s="435" t="s">
        <v>97</v>
      </c>
      <c r="E391" s="431"/>
      <c r="F391" s="432"/>
      <c r="G391" s="436">
        <f>SUM(H397:H414)</f>
        <v>3650.066601</v>
      </c>
      <c r="H391" s="473"/>
      <c r="I391" s="227"/>
    </row>
    <row r="392" outlineLevel="2">
      <c r="A392" s="422"/>
      <c r="B392" s="428"/>
      <c r="C392" s="429"/>
      <c r="D392" s="428"/>
      <c r="E392" s="431"/>
      <c r="F392" s="432"/>
      <c r="G392" s="433"/>
      <c r="H392" s="220"/>
      <c r="I392" s="227"/>
    </row>
    <row r="393" outlineLevel="2">
      <c r="A393" s="422"/>
      <c r="B393" s="472" t="s">
        <v>98</v>
      </c>
      <c r="C393" s="251">
        <v>4.1</v>
      </c>
      <c r="D393" s="245" t="s">
        <v>99</v>
      </c>
      <c r="E393" s="431"/>
      <c r="F393" s="432"/>
      <c r="G393" s="433"/>
      <c r="H393" s="220"/>
      <c r="I393" s="227"/>
    </row>
    <row r="394" outlineLevel="2">
      <c r="A394" s="422"/>
      <c r="B394" s="428"/>
      <c r="C394" s="429"/>
      <c r="D394" s="428"/>
      <c r="E394" s="431"/>
      <c r="F394" s="432"/>
      <c r="G394" s="433"/>
      <c r="H394" s="220"/>
      <c r="I394" s="227"/>
    </row>
    <row r="395" outlineLevel="2">
      <c r="A395" s="422"/>
      <c r="B395" s="472" t="s">
        <v>100</v>
      </c>
      <c r="C395" s="198" t="s">
        <v>1037</v>
      </c>
      <c r="D395" s="202" t="s">
        <v>101</v>
      </c>
      <c r="E395" s="444" t="s">
        <v>40</v>
      </c>
      <c r="F395" s="214">
        <v>37.14</v>
      </c>
      <c r="G395" s="205"/>
      <c r="H395" s="206"/>
      <c r="I395" s="219"/>
    </row>
    <row r="396" outlineLevel="2">
      <c r="A396" s="422"/>
      <c r="B396" s="472"/>
      <c r="C396" s="230"/>
      <c r="D396" s="246"/>
      <c r="E396" s="437"/>
      <c r="F396" s="170"/>
      <c r="G396" s="239"/>
      <c r="H396" s="239"/>
      <c r="I396" s="240"/>
    </row>
    <row r="397" outlineLevel="2">
      <c r="A397" s="422" t="str">
        <f>'Master List'!A532</f>
        <v>W-ROF-005</v>
      </c>
      <c r="B397" s="472"/>
      <c r="C397" s="198"/>
      <c r="D397" s="462" t="str">
        <f>VLOOKUP(A397,'Master List'!$A$1:$C$1192,2,FALSE)</f>
        <v>Укладання термоізоляції товщиною 80мм</v>
      </c>
      <c r="E397" s="463" t="str">
        <f>VLOOKUP(A397,'Master List'!$A$1:$C$1192,3,FALSE)</f>
        <v>м2</v>
      </c>
      <c r="F397" s="464">
        <f>F395</f>
        <v>37.14</v>
      </c>
      <c r="G397" s="463">
        <f>VLOOKUP(A397,'Master List'!$A$4:$F3086,5,FALSE)</f>
        <v>12.22</v>
      </c>
      <c r="H397" s="206">
        <f t="shared" ref="H397:H398" si="18">G397*F397</f>
        <v>453.8508</v>
      </c>
      <c r="I397" s="240"/>
    </row>
    <row r="398" outlineLevel="2">
      <c r="A398" s="422" t="str">
        <f>'Master List'!A64</f>
        <v>M-TER-002</v>
      </c>
      <c r="B398" s="472"/>
      <c r="C398" s="198"/>
      <c r="D398" s="462" t="str">
        <f>VLOOKUP(A398,'Master List'!$A$1:$C$1192,2,FALSE)</f>
        <v>Экструдированный пенополистирол толщиной 80мм</v>
      </c>
      <c r="E398" s="463" t="str">
        <f>VLOOKUP(A398,'Master List'!$A$1:$C$1192,3,FALSE)</f>
        <v>м2</v>
      </c>
      <c r="F398" s="464">
        <f>F397*1.05</f>
        <v>38.997</v>
      </c>
      <c r="G398" s="463">
        <f>VLOOKUP(A398,'Master List'!$A$4:$F3087,5,FALSE)</f>
        <v>12.116</v>
      </c>
      <c r="H398" s="206">
        <f t="shared" si="18"/>
        <v>472.487652</v>
      </c>
      <c r="I398" s="240"/>
    </row>
    <row r="399" outlineLevel="2">
      <c r="A399" s="422"/>
      <c r="B399" s="428"/>
      <c r="C399" s="429"/>
      <c r="D399" s="428"/>
      <c r="E399" s="431"/>
      <c r="F399" s="432"/>
      <c r="G399" s="433"/>
      <c r="H399" s="220"/>
      <c r="I399" s="227"/>
    </row>
    <row r="400" outlineLevel="2">
      <c r="A400" s="422"/>
      <c r="B400" s="472" t="s">
        <v>102</v>
      </c>
      <c r="C400" s="198" t="s">
        <v>1041</v>
      </c>
      <c r="D400" s="202" t="s">
        <v>103</v>
      </c>
      <c r="E400" s="444" t="s">
        <v>40</v>
      </c>
      <c r="F400" s="214">
        <v>37.14</v>
      </c>
      <c r="G400" s="206"/>
      <c r="H400" s="206"/>
      <c r="I400" s="219"/>
    </row>
    <row r="401" outlineLevel="2">
      <c r="A401" s="422"/>
      <c r="B401" s="472"/>
      <c r="C401" s="230"/>
      <c r="D401" s="246"/>
      <c r="E401" s="437"/>
      <c r="F401" s="239"/>
      <c r="G401" s="239"/>
      <c r="H401" s="239"/>
      <c r="I401" s="240"/>
    </row>
    <row r="402" outlineLevel="2">
      <c r="A402" s="422" t="str">
        <f>'Master List'!A573</f>
        <v>W-FIN-050</v>
      </c>
      <c r="B402" s="472"/>
      <c r="C402" s="198"/>
      <c r="D402" s="462" t="str">
        <f>VLOOKUP(A402,'Master List'!$A$1:$C$1192,2,FALSE)</f>
        <v>Устройство черновой стяжки толщиной 100 мм</v>
      </c>
      <c r="E402" s="463" t="str">
        <f>VLOOKUP(A402,'Master List'!$A$1:$C$1192,3,FALSE)</f>
        <v>м2</v>
      </c>
      <c r="F402" s="464">
        <f>F400</f>
        <v>37.14</v>
      </c>
      <c r="G402" s="463">
        <f>VLOOKUP(A402,'Master List'!$A$4:$F3092,5,FALSE)</f>
        <v>13</v>
      </c>
      <c r="H402" s="206">
        <f t="shared" ref="H402:H403" si="19">G402*F402</f>
        <v>482.82</v>
      </c>
      <c r="I402" s="240"/>
    </row>
    <row r="403" outlineLevel="2">
      <c r="A403" s="422" t="str">
        <f>'Master List'!A97</f>
        <v>M-FIN-052</v>
      </c>
      <c r="B403" s="472"/>
      <c r="C403" s="198"/>
      <c r="D403" s="462" t="str">
        <f>VLOOKUP(A403,'Master List'!$A$1:$C$1192,2,FALSE)</f>
        <v>Раствор для черновой стяжки</v>
      </c>
      <c r="E403" s="463" t="str">
        <f>VLOOKUP(A403,'Master List'!$A$1:$C$1192,3,FALSE)</f>
        <v>м3</v>
      </c>
      <c r="F403" s="464">
        <f>F402*0.1*1.02</f>
        <v>3.78828</v>
      </c>
      <c r="G403" s="463">
        <f>VLOOKUP(A403,'Master List'!$A$4:$F3093,5,FALSE)</f>
        <v>116.493</v>
      </c>
      <c r="H403" s="206">
        <f t="shared" si="19"/>
        <v>441.308102</v>
      </c>
      <c r="I403" s="240"/>
    </row>
    <row r="404" outlineLevel="2">
      <c r="A404" s="422"/>
      <c r="B404" s="428"/>
      <c r="C404" s="429"/>
      <c r="D404" s="428"/>
      <c r="E404" s="431"/>
      <c r="F404" s="432"/>
      <c r="G404" s="433"/>
      <c r="H404" s="220"/>
      <c r="I404" s="227"/>
    </row>
    <row r="405" outlineLevel="2">
      <c r="A405" s="422"/>
      <c r="B405" s="472" t="s">
        <v>104</v>
      </c>
      <c r="C405" s="198" t="s">
        <v>1051</v>
      </c>
      <c r="D405" s="202" t="s">
        <v>105</v>
      </c>
      <c r="E405" s="444" t="s">
        <v>40</v>
      </c>
      <c r="F405" s="214">
        <v>37.14</v>
      </c>
      <c r="G405" s="206"/>
      <c r="H405" s="206"/>
      <c r="I405" s="219"/>
    </row>
    <row r="406" outlineLevel="2">
      <c r="A406" s="422"/>
      <c r="B406" s="428"/>
      <c r="C406" s="429"/>
      <c r="D406" s="428"/>
      <c r="E406" s="431"/>
      <c r="F406" s="432"/>
      <c r="G406" s="433"/>
      <c r="H406" s="220"/>
      <c r="I406" s="227"/>
    </row>
    <row r="407" outlineLevel="2">
      <c r="A407" s="422" t="str">
        <f>'Master List'!A534</f>
        <v>W-ROF-003</v>
      </c>
      <c r="B407" s="428"/>
      <c r="C407" s="198"/>
      <c r="D407" s="462" t="str">
        <f>VLOOKUP(A407,'Master List'!$A$1:$C$1192,2,FALSE)</f>
        <v>Нанесення бітумної емульсії</v>
      </c>
      <c r="E407" s="463" t="str">
        <f>VLOOKUP(A407,'Master List'!$A$1:$C$1192,3,FALSE)</f>
        <v>м2</v>
      </c>
      <c r="F407" s="464">
        <f>F405</f>
        <v>37.14</v>
      </c>
      <c r="G407" s="463">
        <f>VLOOKUP(A407,'Master List'!$A$4:$F3098,5,FALSE)</f>
        <v>10.387</v>
      </c>
      <c r="H407" s="206">
        <f t="shared" ref="H407:H414" si="20">G407*F407</f>
        <v>385.77318</v>
      </c>
      <c r="I407" s="227"/>
    </row>
    <row r="408" outlineLevel="2">
      <c r="A408" s="422" t="str">
        <f>'Master List'!A540</f>
        <v>W-IMP-003</v>
      </c>
      <c r="B408" s="428"/>
      <c r="C408" s="198"/>
      <c r="D408" s="462" t="str">
        <f>VLOOKUP(A408,'Master List'!$A$1:$C$1192,2,FALSE)</f>
        <v>Устройство гидроизоляции из рубероида в 2 слоя</v>
      </c>
      <c r="E408" s="463" t="str">
        <f>VLOOKUP(A408,'Master List'!$A$1:$C$1192,3,FALSE)</f>
        <v>м2</v>
      </c>
      <c r="F408" s="464">
        <f>F405</f>
        <v>37.14</v>
      </c>
      <c r="G408" s="463">
        <f>VLOOKUP(A408,'Master List'!$A$4:$F3099,5,FALSE)</f>
        <v>13.65</v>
      </c>
      <c r="H408" s="206">
        <f t="shared" si="20"/>
        <v>506.961</v>
      </c>
      <c r="I408" s="227"/>
    </row>
    <row r="409" outlineLevel="2">
      <c r="A409" s="422" t="str">
        <f>'Master List'!A542</f>
        <v>W-IMP-007</v>
      </c>
      <c r="B409" s="428"/>
      <c r="C409" s="198"/>
      <c r="D409" s="462" t="str">
        <f>VLOOKUP(A409,'Master List'!$A$1:$C$1192,2,FALSE)</f>
        <v>Укладка геотекстиля</v>
      </c>
      <c r="E409" s="463" t="str">
        <f>VLOOKUP(A409,'Master List'!$A$1:$C$1192,3,FALSE)</f>
        <v>м2</v>
      </c>
      <c r="F409" s="464">
        <f>F405</f>
        <v>37.14</v>
      </c>
      <c r="G409" s="463">
        <f>VLOOKUP(A409,'Master List'!$A$4:$F3100,5,FALSE)</f>
        <v>2.73</v>
      </c>
      <c r="H409" s="206">
        <f t="shared" si="20"/>
        <v>101.3922</v>
      </c>
      <c r="I409" s="227"/>
    </row>
    <row r="410" outlineLevel="2">
      <c r="A410" s="422" t="str">
        <f>'Master List'!A62</f>
        <v>M-IMP-018</v>
      </c>
      <c r="B410" s="428"/>
      <c r="C410" s="198"/>
      <c r="D410" s="462" t="str">
        <f>VLOOKUP(A410,'Master List'!$A$1:$C$1192,2,FALSE)</f>
        <v>Праймер битумный</v>
      </c>
      <c r="E410" s="463" t="str">
        <f>VLOOKUP(A410,'Master List'!$A$1:$C$1192,3,FALSE)</f>
        <v>кг</v>
      </c>
      <c r="F410" s="464">
        <f>F407*0.3</f>
        <v>11.142</v>
      </c>
      <c r="G410" s="463">
        <f>VLOOKUP(A410,'Master List'!$A$4:$F3101,5,FALSE)</f>
        <v>2.6</v>
      </c>
      <c r="H410" s="206">
        <f t="shared" si="20"/>
        <v>28.9692</v>
      </c>
      <c r="I410" s="227"/>
    </row>
    <row r="411" outlineLevel="2">
      <c r="A411" s="422" t="str">
        <f>'Master List'!A41</f>
        <v>M-ROF-004</v>
      </c>
      <c r="B411" s="428"/>
      <c r="C411" s="198"/>
      <c r="D411" s="462" t="str">
        <f>VLOOKUP(A411,'Master List'!$A$1:$C$1192,2,FALSE)</f>
        <v>Руберойд POLYPLAS 30</v>
      </c>
      <c r="E411" s="463" t="str">
        <f>VLOOKUP(A411,'Master List'!$A$1:$C$1192,3,FALSE)</f>
        <v>м2</v>
      </c>
      <c r="F411" s="464">
        <f>F408*1.2</f>
        <v>44.568</v>
      </c>
      <c r="G411" s="463">
        <f>VLOOKUP(A411,'Master List'!$A$4:$F3102,5,FALSE)</f>
        <v>4.225</v>
      </c>
      <c r="H411" s="206">
        <f t="shared" si="20"/>
        <v>188.2998</v>
      </c>
      <c r="I411" s="227"/>
    </row>
    <row r="412" outlineLevel="2">
      <c r="A412" s="422" t="str">
        <f>'Master List'!A42</f>
        <v>M-ROF-008</v>
      </c>
      <c r="B412" s="428"/>
      <c r="C412" s="198"/>
      <c r="D412" s="462" t="str">
        <f>VLOOKUP(A412,'Master List'!$A$1:$C$1192,2,FALSE)</f>
        <v>Руберойд POLYXIS R40</v>
      </c>
      <c r="E412" s="463" t="str">
        <f>VLOOKUP(A412,'Master List'!$A$1:$C$1192,3,FALSE)</f>
        <v>м2</v>
      </c>
      <c r="F412" s="464">
        <f>F408*1.2</f>
        <v>44.568</v>
      </c>
      <c r="G412" s="463">
        <f>VLOOKUP(A412,'Master List'!$A$4:$F3103,5,FALSE)</f>
        <v>8.97</v>
      </c>
      <c r="H412" s="206">
        <f t="shared" si="20"/>
        <v>399.77496</v>
      </c>
      <c r="I412" s="227"/>
    </row>
    <row r="413" outlineLevel="2">
      <c r="A413" s="422" t="str">
        <f>'Master List'!A51</f>
        <v>M-IMP-002</v>
      </c>
      <c r="B413" s="428"/>
      <c r="C413" s="198"/>
      <c r="D413" s="462" t="str">
        <f>VLOOKUP(A413,'Master List'!$A$1:$C$1192,2,FALSE)</f>
        <v>Газ пропан-бутан в баллонах 40л</v>
      </c>
      <c r="E413" s="463" t="str">
        <f>VLOOKUP(A413,'Master List'!$A$1:$C$1192,3,FALSE)</f>
        <v>шт</v>
      </c>
      <c r="F413" s="464">
        <f>F408*0.18/9.5+0.3</f>
        <v>1.003705263</v>
      </c>
      <c r="G413" s="463">
        <f>VLOOKUP(A413,'Master List'!$A$4:$F3104,5,FALSE)</f>
        <v>140.4</v>
      </c>
      <c r="H413" s="206">
        <f t="shared" si="20"/>
        <v>140.9202189</v>
      </c>
      <c r="I413" s="227"/>
    </row>
    <row r="414" outlineLevel="2">
      <c r="A414" s="422" t="str">
        <f>'Master List'!A47</f>
        <v>M-ROF-005</v>
      </c>
      <c r="B414" s="428"/>
      <c r="C414" s="198"/>
      <c r="D414" s="462" t="str">
        <f>VLOOKUP(A414,'Master List'!$A$1:$C$1192,2,FALSE)</f>
        <v>Геотекстиль IMPERSEP 200</v>
      </c>
      <c r="E414" s="463" t="str">
        <f>VLOOKUP(A414,'Master List'!$A$1:$C$1192,3,FALSE)</f>
        <v>м2</v>
      </c>
      <c r="F414" s="464">
        <f>F409*1.2</f>
        <v>44.568</v>
      </c>
      <c r="G414" s="463">
        <f>VLOOKUP(A414,'Master List'!$A$4:$F3105,5,FALSE)</f>
        <v>1.066</v>
      </c>
      <c r="H414" s="206">
        <f t="shared" si="20"/>
        <v>47.509488</v>
      </c>
      <c r="I414" s="227"/>
    </row>
    <row r="415" outlineLevel="2">
      <c r="A415" s="422"/>
      <c r="B415" s="428"/>
      <c r="C415" s="429"/>
      <c r="D415" s="428"/>
      <c r="E415" s="431"/>
      <c r="F415" s="432"/>
      <c r="G415" s="433"/>
      <c r="H415" s="220"/>
      <c r="I415" s="227"/>
    </row>
    <row r="416" outlineLevel="1">
      <c r="A416" s="422"/>
      <c r="B416" s="472" t="s">
        <v>106</v>
      </c>
      <c r="C416" s="429"/>
      <c r="D416" s="435" t="s">
        <v>107</v>
      </c>
      <c r="E416" s="431"/>
      <c r="F416" s="432"/>
      <c r="G416" s="436">
        <f>SUM(H422:H440)</f>
        <v>4769.906817</v>
      </c>
      <c r="H416" s="220"/>
      <c r="I416" s="227"/>
    </row>
    <row r="417" outlineLevel="2">
      <c r="A417" s="422"/>
      <c r="B417" s="428"/>
      <c r="C417" s="429"/>
      <c r="D417" s="428"/>
      <c r="E417" s="431"/>
      <c r="F417" s="432"/>
      <c r="G417" s="433"/>
      <c r="H417" s="220"/>
      <c r="I417" s="227"/>
    </row>
    <row r="418" outlineLevel="2">
      <c r="A418" s="422"/>
      <c r="B418" s="472" t="s">
        <v>108</v>
      </c>
      <c r="C418" s="251">
        <v>4.2</v>
      </c>
      <c r="D418" s="245" t="s">
        <v>109</v>
      </c>
      <c r="E418" s="431"/>
      <c r="F418" s="432"/>
      <c r="G418" s="433"/>
      <c r="H418" s="220"/>
      <c r="I418" s="227"/>
    </row>
    <row r="419" outlineLevel="2">
      <c r="A419" s="422"/>
      <c r="B419" s="428"/>
      <c r="C419" s="429"/>
      <c r="D419" s="428"/>
      <c r="E419" s="431"/>
      <c r="F419" s="432"/>
      <c r="G419" s="433"/>
      <c r="H419" s="220"/>
      <c r="I419" s="227"/>
    </row>
    <row r="420" outlineLevel="2">
      <c r="A420" s="422"/>
      <c r="B420" s="472" t="s">
        <v>110</v>
      </c>
      <c r="C420" s="198" t="s">
        <v>2148</v>
      </c>
      <c r="D420" s="202" t="s">
        <v>101</v>
      </c>
      <c r="E420" s="444" t="s">
        <v>40</v>
      </c>
      <c r="F420" s="214">
        <v>53.0</v>
      </c>
      <c r="G420" s="205"/>
      <c r="H420" s="206"/>
      <c r="I420" s="219"/>
    </row>
    <row r="421" outlineLevel="2">
      <c r="A421" s="422"/>
      <c r="B421" s="472"/>
      <c r="C421" s="230"/>
      <c r="D421" s="246"/>
      <c r="E421" s="437"/>
      <c r="F421" s="170"/>
      <c r="G421" s="239"/>
      <c r="H421" s="239"/>
      <c r="I421" s="240"/>
    </row>
    <row r="422" outlineLevel="2">
      <c r="A422" s="422" t="str">
        <f>'Master List'!A532</f>
        <v>W-ROF-005</v>
      </c>
      <c r="B422" s="472"/>
      <c r="C422" s="198"/>
      <c r="D422" s="462" t="str">
        <f>VLOOKUP(A422,'Master List'!$A$1:$C$1192,2,FALSE)</f>
        <v>Укладання термоізоляції товщиною 80мм</v>
      </c>
      <c r="E422" s="463" t="str">
        <f>VLOOKUP(A422,'Master List'!$A$1:$C$1192,3,FALSE)</f>
        <v>м2</v>
      </c>
      <c r="F422" s="464">
        <f>F420</f>
        <v>53</v>
      </c>
      <c r="G422" s="463">
        <f>VLOOKUP(A422,'Master List'!$A$4:$F3113,5,FALSE)</f>
        <v>12.22</v>
      </c>
      <c r="H422" s="206">
        <f t="shared" ref="H422:H423" si="21">G422*F422</f>
        <v>647.66</v>
      </c>
      <c r="I422" s="240"/>
    </row>
    <row r="423" outlineLevel="2">
      <c r="A423" s="422" t="str">
        <f>'Master List'!A64</f>
        <v>M-TER-002</v>
      </c>
      <c r="B423" s="472"/>
      <c r="C423" s="198"/>
      <c r="D423" s="462" t="str">
        <f>VLOOKUP(A423,'Master List'!$A$1:$C$1192,2,FALSE)</f>
        <v>Экструдированный пенополистирол толщиной 80мм</v>
      </c>
      <c r="E423" s="463" t="str">
        <f>VLOOKUP(A423,'Master List'!$A$1:$C$1192,3,FALSE)</f>
        <v>м2</v>
      </c>
      <c r="F423" s="464">
        <f>F422*1.05</f>
        <v>55.65</v>
      </c>
      <c r="G423" s="463">
        <f>VLOOKUP(A423,'Master List'!$A$4:$F3114,5,FALSE)</f>
        <v>12.116</v>
      </c>
      <c r="H423" s="206">
        <f t="shared" si="21"/>
        <v>674.2554</v>
      </c>
      <c r="I423" s="240"/>
    </row>
    <row r="424" outlineLevel="2">
      <c r="A424" s="422"/>
      <c r="B424" s="428"/>
      <c r="C424" s="429"/>
      <c r="D424" s="428"/>
      <c r="E424" s="431"/>
      <c r="F424" s="432"/>
      <c r="G424" s="433"/>
      <c r="H424" s="220"/>
      <c r="I424" s="227"/>
    </row>
    <row r="425" outlineLevel="2">
      <c r="A425" s="422"/>
      <c r="B425" s="472" t="s">
        <v>111</v>
      </c>
      <c r="C425" s="198" t="s">
        <v>2149</v>
      </c>
      <c r="D425" s="202" t="s">
        <v>112</v>
      </c>
      <c r="E425" s="444" t="s">
        <v>40</v>
      </c>
      <c r="F425" s="214">
        <v>53.0</v>
      </c>
      <c r="G425" s="206"/>
      <c r="H425" s="206"/>
      <c r="I425" s="219"/>
    </row>
    <row r="426" outlineLevel="2">
      <c r="A426" s="422"/>
      <c r="B426" s="472"/>
      <c r="C426" s="230"/>
      <c r="D426" s="246"/>
      <c r="E426" s="437"/>
      <c r="F426" s="170"/>
      <c r="G426" s="239"/>
      <c r="H426" s="239"/>
      <c r="I426" s="240"/>
    </row>
    <row r="427" outlineLevel="2">
      <c r="A427" s="422" t="str">
        <f>'Master List'!A574</f>
        <v>W-FIN-052</v>
      </c>
      <c r="B427" s="472"/>
      <c r="C427" s="198"/>
      <c r="D427" s="462" t="str">
        <f>VLOOKUP(A427,'Master List'!$A$1:$C$1192,2,FALSE)</f>
        <v>Устройство чистовой стяжки толщиной 50 мм</v>
      </c>
      <c r="E427" s="463" t="str">
        <f>VLOOKUP(A427,'Master List'!$A$1:$C$1192,3,FALSE)</f>
        <v>м2</v>
      </c>
      <c r="F427" s="464">
        <f>F425</f>
        <v>53</v>
      </c>
      <c r="G427" s="463">
        <f>VLOOKUP(A427,'Master List'!$A$4:$F3118,5,FALSE)</f>
        <v>10.4</v>
      </c>
      <c r="H427" s="206">
        <f t="shared" ref="H427:H429" si="22">G427*F427</f>
        <v>551.2</v>
      </c>
      <c r="I427" s="240"/>
    </row>
    <row r="428" outlineLevel="2">
      <c r="A428" s="422" t="str">
        <f>'Master List'!A38</f>
        <v>M-BRK-025</v>
      </c>
      <c r="B428" s="472"/>
      <c r="C428" s="198"/>
      <c r="D428" s="462" t="str">
        <f>VLOOKUP(A428,'Master List'!$A$1:$C$1192,2,FALSE)</f>
        <v>Цемент</v>
      </c>
      <c r="E428" s="463" t="str">
        <f>VLOOKUP(A428,'Master List'!$A$1:$C$1192,3,FALSE)</f>
        <v>т</v>
      </c>
      <c r="F428" s="469">
        <f>F427*0.05*0.43</f>
        <v>1.1395</v>
      </c>
      <c r="G428" s="463">
        <f>VLOOKUP(A428,'Master List'!$A$4:$F3119,5,FALSE)</f>
        <v>189.1032</v>
      </c>
      <c r="H428" s="206">
        <f t="shared" si="22"/>
        <v>215.4830964</v>
      </c>
      <c r="I428" s="240"/>
    </row>
    <row r="429" outlineLevel="2">
      <c r="A429" s="422" t="str">
        <f>'Master List'!A39</f>
        <v>M-BRK-026</v>
      </c>
      <c r="B429" s="472"/>
      <c r="C429" s="198"/>
      <c r="D429" s="462" t="str">
        <f>VLOOKUP(A429,'Master List'!$A$1:$C$1192,2,FALSE)</f>
        <v>Песок</v>
      </c>
      <c r="E429" s="463" t="str">
        <f>VLOOKUP(A429,'Master List'!$A$1:$C$1192,3,FALSE)</f>
        <v>м3</v>
      </c>
      <c r="F429" s="464">
        <f>F427*0.05*1.15</f>
        <v>3.0475</v>
      </c>
      <c r="G429" s="463">
        <f>VLOOKUP(A429,'Master List'!$A$4:$F3120,5,FALSE)</f>
        <v>56.875</v>
      </c>
      <c r="H429" s="206">
        <f t="shared" si="22"/>
        <v>173.3265625</v>
      </c>
      <c r="I429" s="240"/>
    </row>
    <row r="430" outlineLevel="2">
      <c r="A430" s="422"/>
      <c r="B430" s="428"/>
      <c r="C430" s="429"/>
      <c r="D430" s="428"/>
      <c r="E430" s="431"/>
      <c r="F430" s="432"/>
      <c r="G430" s="433"/>
      <c r="H430" s="220"/>
      <c r="I430" s="227"/>
    </row>
    <row r="431" outlineLevel="2">
      <c r="A431" s="422"/>
      <c r="B431" s="472" t="s">
        <v>113</v>
      </c>
      <c r="C431" s="198" t="s">
        <v>2151</v>
      </c>
      <c r="D431" s="202" t="s">
        <v>114</v>
      </c>
      <c r="E431" s="444" t="s">
        <v>40</v>
      </c>
      <c r="F431" s="214">
        <v>53.0</v>
      </c>
      <c r="G431" s="206"/>
      <c r="H431" s="206"/>
      <c r="I431" s="219"/>
    </row>
    <row r="432" outlineLevel="2">
      <c r="A432" s="422"/>
      <c r="B432" s="472"/>
      <c r="C432" s="230"/>
      <c r="D432" s="246"/>
      <c r="E432" s="437"/>
      <c r="F432" s="170"/>
      <c r="G432" s="239"/>
      <c r="H432" s="239"/>
      <c r="I432" s="240"/>
    </row>
    <row r="433" outlineLevel="2">
      <c r="A433" s="422" t="str">
        <f>'Master List'!A534</f>
        <v>W-ROF-003</v>
      </c>
      <c r="B433" s="472"/>
      <c r="C433" s="198"/>
      <c r="D433" s="462" t="str">
        <f>VLOOKUP(A433,'Master List'!$A$1:$C$1192,2,FALSE)</f>
        <v>Нанесення бітумної емульсії</v>
      </c>
      <c r="E433" s="463" t="str">
        <f>VLOOKUP(A433,'Master List'!$A$1:$C$1192,3,FALSE)</f>
        <v>м2</v>
      </c>
      <c r="F433" s="464">
        <f>F431</f>
        <v>53</v>
      </c>
      <c r="G433" s="463">
        <f>VLOOKUP(A433,'Master List'!$A$4:$F3125,5,FALSE)</f>
        <v>10.387</v>
      </c>
      <c r="H433" s="206">
        <f t="shared" ref="H433:H440" si="23">G433*F433</f>
        <v>550.511</v>
      </c>
      <c r="I433" s="240"/>
    </row>
    <row r="434" outlineLevel="2">
      <c r="A434" s="422" t="str">
        <f>'Master List'!A540</f>
        <v>W-IMP-003</v>
      </c>
      <c r="B434" s="472"/>
      <c r="C434" s="198"/>
      <c r="D434" s="462" t="str">
        <f>VLOOKUP(A434,'Master List'!$A$1:$C$1192,2,FALSE)</f>
        <v>Устройство гидроизоляции из рубероида в 2 слоя</v>
      </c>
      <c r="E434" s="463" t="str">
        <f>VLOOKUP(A434,'Master List'!$A$1:$C$1192,3,FALSE)</f>
        <v>м2</v>
      </c>
      <c r="F434" s="464">
        <f>F431</f>
        <v>53</v>
      </c>
      <c r="G434" s="463">
        <f>VLOOKUP(A434,'Master List'!$A$4:$F3126,5,FALSE)</f>
        <v>13.65</v>
      </c>
      <c r="H434" s="206">
        <f t="shared" si="23"/>
        <v>723.45</v>
      </c>
      <c r="I434" s="240"/>
    </row>
    <row r="435" outlineLevel="2">
      <c r="A435" s="422" t="str">
        <f>'Master List'!A542</f>
        <v>W-IMP-007</v>
      </c>
      <c r="B435" s="472"/>
      <c r="C435" s="198"/>
      <c r="D435" s="462" t="str">
        <f>VLOOKUP(A435,'Master List'!$A$1:$C$1192,2,FALSE)</f>
        <v>Укладка геотекстиля</v>
      </c>
      <c r="E435" s="463" t="str">
        <f>VLOOKUP(A435,'Master List'!$A$1:$C$1192,3,FALSE)</f>
        <v>м2</v>
      </c>
      <c r="F435" s="464">
        <f>F431</f>
        <v>53</v>
      </c>
      <c r="G435" s="463">
        <f>VLOOKUP(A435,'Master List'!$A$4:$F3127,5,FALSE)</f>
        <v>2.73</v>
      </c>
      <c r="H435" s="206">
        <f t="shared" si="23"/>
        <v>144.69</v>
      </c>
      <c r="I435" s="240"/>
    </row>
    <row r="436" outlineLevel="2">
      <c r="A436" s="422" t="str">
        <f>'Master List'!A62</f>
        <v>M-IMP-018</v>
      </c>
      <c r="B436" s="472"/>
      <c r="C436" s="198"/>
      <c r="D436" s="462" t="str">
        <f>VLOOKUP(A436,'Master List'!$A$1:$C$1192,2,FALSE)</f>
        <v>Праймер битумный</v>
      </c>
      <c r="E436" s="463" t="str">
        <f>VLOOKUP(A436,'Master List'!$A$1:$C$1192,3,FALSE)</f>
        <v>кг</v>
      </c>
      <c r="F436" s="464">
        <f>F433*0.3</f>
        <v>15.9</v>
      </c>
      <c r="G436" s="463">
        <f>VLOOKUP(A436,'Master List'!$A$4:$F3128,5,FALSE)</f>
        <v>2.6</v>
      </c>
      <c r="H436" s="206">
        <f t="shared" si="23"/>
        <v>41.34</v>
      </c>
      <c r="I436" s="240"/>
    </row>
    <row r="437" outlineLevel="2">
      <c r="A437" s="422" t="str">
        <f>'Master List'!A41</f>
        <v>M-ROF-004</v>
      </c>
      <c r="B437" s="472"/>
      <c r="C437" s="198"/>
      <c r="D437" s="462" t="str">
        <f>VLOOKUP(A437,'Master List'!$A$1:$C$1192,2,FALSE)</f>
        <v>Руберойд POLYPLAS 30</v>
      </c>
      <c r="E437" s="463" t="str">
        <f>VLOOKUP(A437,'Master List'!$A$1:$C$1192,3,FALSE)</f>
        <v>м2</v>
      </c>
      <c r="F437" s="464">
        <f>F434*1.2</f>
        <v>63.6</v>
      </c>
      <c r="G437" s="463">
        <f>VLOOKUP(A437,'Master List'!$A$4:$F3129,5,FALSE)</f>
        <v>4.225</v>
      </c>
      <c r="H437" s="206">
        <f t="shared" si="23"/>
        <v>268.71</v>
      </c>
      <c r="I437" s="240"/>
    </row>
    <row r="438" outlineLevel="2">
      <c r="A438" s="422" t="str">
        <f>'Master List'!A42</f>
        <v>M-ROF-008</v>
      </c>
      <c r="B438" s="472"/>
      <c r="C438" s="198"/>
      <c r="D438" s="462" t="str">
        <f>VLOOKUP(A438,'Master List'!$A$1:$C$1192,2,FALSE)</f>
        <v>Руберойд POLYXIS R40</v>
      </c>
      <c r="E438" s="463" t="str">
        <f>VLOOKUP(A438,'Master List'!$A$1:$C$1192,3,FALSE)</f>
        <v>м2</v>
      </c>
      <c r="F438" s="464">
        <f>F434*1.2</f>
        <v>63.6</v>
      </c>
      <c r="G438" s="463">
        <f>VLOOKUP(A438,'Master List'!$A$4:$F3130,5,FALSE)</f>
        <v>8.97</v>
      </c>
      <c r="H438" s="206">
        <f t="shared" si="23"/>
        <v>570.492</v>
      </c>
      <c r="I438" s="240"/>
    </row>
    <row r="439" outlineLevel="2">
      <c r="A439" s="422" t="str">
        <f>'Master List'!A51</f>
        <v>M-IMP-002</v>
      </c>
      <c r="B439" s="472"/>
      <c r="C439" s="198"/>
      <c r="D439" s="462" t="str">
        <f>VLOOKUP(A439,'Master List'!$A$1:$C$1192,2,FALSE)</f>
        <v>Газ пропан-бутан в баллонах 40л</v>
      </c>
      <c r="E439" s="463" t="str">
        <f>VLOOKUP(A439,'Master List'!$A$1:$C$1192,3,FALSE)</f>
        <v>шт</v>
      </c>
      <c r="F439" s="464">
        <f>F434*0.18/9.5</f>
        <v>1.004210526</v>
      </c>
      <c r="G439" s="463">
        <f>VLOOKUP(A439,'Master List'!$A$4:$F3131,5,FALSE)</f>
        <v>140.4</v>
      </c>
      <c r="H439" s="206">
        <f t="shared" si="23"/>
        <v>140.9911579</v>
      </c>
      <c r="I439" s="240"/>
    </row>
    <row r="440" outlineLevel="2">
      <c r="A440" s="422" t="str">
        <f>'Master List'!A47</f>
        <v>M-ROF-005</v>
      </c>
      <c r="B440" s="472"/>
      <c r="C440" s="198"/>
      <c r="D440" s="462" t="str">
        <f>VLOOKUP(A440,'Master List'!$A$1:$C$1192,2,FALSE)</f>
        <v>Геотекстиль IMPERSEP 200</v>
      </c>
      <c r="E440" s="463" t="str">
        <f>VLOOKUP(A440,'Master List'!$A$1:$C$1192,3,FALSE)</f>
        <v>м2</v>
      </c>
      <c r="F440" s="464">
        <f>F435*1.2</f>
        <v>63.6</v>
      </c>
      <c r="G440" s="463">
        <f>VLOOKUP(A440,'Master List'!$A$4:$F3132,5,FALSE)</f>
        <v>1.066</v>
      </c>
      <c r="H440" s="206">
        <f t="shared" si="23"/>
        <v>67.7976</v>
      </c>
      <c r="I440" s="240"/>
    </row>
    <row r="441" outlineLevel="2">
      <c r="A441" s="422"/>
      <c r="B441" s="472"/>
      <c r="C441" s="230"/>
      <c r="D441" s="246"/>
      <c r="E441" s="437"/>
      <c r="F441" s="170"/>
      <c r="G441" s="239"/>
      <c r="H441" s="239"/>
      <c r="I441" s="240"/>
    </row>
    <row r="442" outlineLevel="2">
      <c r="A442" s="422"/>
      <c r="B442" s="428"/>
      <c r="C442" s="429"/>
      <c r="D442" s="428"/>
      <c r="E442" s="431"/>
      <c r="F442" s="432"/>
      <c r="G442" s="433"/>
      <c r="H442" s="220"/>
      <c r="I442" s="227"/>
    </row>
    <row r="443" outlineLevel="1">
      <c r="A443" s="422"/>
      <c r="B443" s="472" t="s">
        <v>115</v>
      </c>
      <c r="C443" s="429"/>
      <c r="D443" s="435" t="s">
        <v>116</v>
      </c>
      <c r="E443" s="431"/>
      <c r="F443" s="432"/>
      <c r="G443" s="436">
        <f>SUM(H449:H461)</f>
        <v>2394.123367</v>
      </c>
      <c r="H443" s="220"/>
      <c r="I443" s="227"/>
    </row>
    <row r="444" outlineLevel="2">
      <c r="A444" s="422"/>
      <c r="B444" s="428"/>
      <c r="C444" s="429"/>
      <c r="D444" s="428"/>
      <c r="E444" s="431"/>
      <c r="F444" s="432"/>
      <c r="G444" s="433"/>
      <c r="H444" s="220"/>
      <c r="I444" s="227"/>
    </row>
    <row r="445" outlineLevel="2">
      <c r="A445" s="422"/>
      <c r="B445" s="472" t="s">
        <v>117</v>
      </c>
      <c r="C445" s="251">
        <v>4.3</v>
      </c>
      <c r="D445" s="245" t="s">
        <v>118</v>
      </c>
      <c r="E445" s="431"/>
      <c r="F445" s="432"/>
      <c r="G445" s="433"/>
      <c r="H445" s="220"/>
      <c r="I445" s="227"/>
    </row>
    <row r="446" outlineLevel="2">
      <c r="A446" s="422"/>
      <c r="B446" s="428"/>
      <c r="C446" s="429"/>
      <c r="D446" s="428"/>
      <c r="E446" s="431"/>
      <c r="F446" s="432"/>
      <c r="G446" s="433"/>
      <c r="H446" s="220"/>
      <c r="I446" s="227"/>
    </row>
    <row r="447" outlineLevel="2">
      <c r="A447" s="422"/>
      <c r="B447" s="472" t="s">
        <v>119</v>
      </c>
      <c r="C447" s="198" t="s">
        <v>1059</v>
      </c>
      <c r="D447" s="202" t="s">
        <v>112</v>
      </c>
      <c r="E447" s="444" t="s">
        <v>40</v>
      </c>
      <c r="F447" s="214">
        <v>32.4</v>
      </c>
      <c r="G447" s="206"/>
      <c r="H447" s="206"/>
      <c r="I447" s="219"/>
    </row>
    <row r="448" outlineLevel="2">
      <c r="A448" s="422"/>
      <c r="B448" s="472"/>
      <c r="C448" s="230"/>
      <c r="D448" s="246"/>
      <c r="E448" s="437"/>
      <c r="F448" s="170"/>
      <c r="G448" s="239"/>
      <c r="H448" s="239"/>
      <c r="I448" s="240"/>
    </row>
    <row r="449" outlineLevel="2">
      <c r="A449" s="422" t="str">
        <f>'Master List'!A573</f>
        <v>W-FIN-050</v>
      </c>
      <c r="B449" s="472"/>
      <c r="C449" s="198"/>
      <c r="D449" s="462" t="str">
        <f>VLOOKUP(A449,'Master List'!$A$1:$C$1192,2,FALSE)</f>
        <v>Устройство черновой стяжки толщиной 100 мм</v>
      </c>
      <c r="E449" s="463" t="str">
        <f>VLOOKUP(A449,'Master List'!$A$1:$C$1192,3,FALSE)</f>
        <v>м2</v>
      </c>
      <c r="F449" s="464">
        <f>F447</f>
        <v>32.4</v>
      </c>
      <c r="G449" s="463">
        <f>VLOOKUP(A449,'Master List'!$A$4:$F3140,5,FALSE)</f>
        <v>13</v>
      </c>
      <c r="H449" s="206">
        <f t="shared" ref="H449:H450" si="24">G449*F449</f>
        <v>421.2</v>
      </c>
      <c r="I449" s="240"/>
    </row>
    <row r="450" outlineLevel="2">
      <c r="A450" s="422" t="str">
        <f>'Master List'!A97</f>
        <v>M-FIN-052</v>
      </c>
      <c r="B450" s="472"/>
      <c r="C450" s="198"/>
      <c r="D450" s="462" t="str">
        <f>VLOOKUP(A450,'Master List'!$A$1:$C$1192,2,FALSE)</f>
        <v>Раствор для черновой стяжки</v>
      </c>
      <c r="E450" s="463" t="str">
        <f>VLOOKUP(A450,'Master List'!$A$1:$C$1192,3,FALSE)</f>
        <v>м3</v>
      </c>
      <c r="F450" s="464">
        <f>F449*0.1*1.02</f>
        <v>3.3048</v>
      </c>
      <c r="G450" s="463">
        <f>VLOOKUP(A450,'Master List'!$A$4:$F3141,5,FALSE)</f>
        <v>116.493</v>
      </c>
      <c r="H450" s="206">
        <f t="shared" si="24"/>
        <v>384.9860664</v>
      </c>
      <c r="I450" s="240"/>
    </row>
    <row r="451" outlineLevel="2">
      <c r="A451" s="422"/>
      <c r="B451" s="428"/>
      <c r="C451" s="429"/>
      <c r="D451" s="428"/>
      <c r="E451" s="431"/>
      <c r="F451" s="432"/>
      <c r="G451" s="433"/>
      <c r="H451" s="220"/>
      <c r="I451" s="227"/>
    </row>
    <row r="452" outlineLevel="2">
      <c r="A452" s="422"/>
      <c r="B452" s="472" t="s">
        <v>120</v>
      </c>
      <c r="C452" s="198" t="s">
        <v>1067</v>
      </c>
      <c r="D452" s="202" t="s">
        <v>114</v>
      </c>
      <c r="E452" s="444" t="s">
        <v>40</v>
      </c>
      <c r="F452" s="214">
        <v>32.4</v>
      </c>
      <c r="G452" s="206"/>
      <c r="H452" s="206"/>
      <c r="I452" s="219"/>
    </row>
    <row r="453" outlineLevel="2">
      <c r="A453" s="422"/>
      <c r="B453" s="472"/>
      <c r="C453" s="230"/>
      <c r="D453" s="246"/>
      <c r="E453" s="437"/>
      <c r="F453" s="170"/>
      <c r="G453" s="239"/>
      <c r="H453" s="239"/>
      <c r="I453" s="240"/>
    </row>
    <row r="454" outlineLevel="2">
      <c r="A454" s="422" t="str">
        <f>'Master List'!A534</f>
        <v>W-ROF-003</v>
      </c>
      <c r="B454" s="472"/>
      <c r="C454" s="198"/>
      <c r="D454" s="462" t="str">
        <f>VLOOKUP(A454,'Master List'!$A$1:$C$1192,2,FALSE)</f>
        <v>Нанесення бітумної емульсії</v>
      </c>
      <c r="E454" s="463" t="str">
        <f>VLOOKUP(A454,'Master List'!$A$1:$C$1192,3,FALSE)</f>
        <v>м2</v>
      </c>
      <c r="F454" s="464">
        <f>F452</f>
        <v>32.4</v>
      </c>
      <c r="G454" s="463">
        <f>VLOOKUP(A454,'Master List'!$A$4:$F3145,5,FALSE)</f>
        <v>10.387</v>
      </c>
      <c r="H454" s="206">
        <f t="shared" ref="H454:H461" si="25">G454*F454</f>
        <v>336.5388</v>
      </c>
      <c r="I454" s="240"/>
    </row>
    <row r="455" outlineLevel="2">
      <c r="A455" s="422" t="str">
        <f>'Master List'!A540</f>
        <v>W-IMP-003</v>
      </c>
      <c r="B455" s="472"/>
      <c r="C455" s="198"/>
      <c r="D455" s="462" t="str">
        <f>VLOOKUP(A455,'Master List'!$A$1:$C$1192,2,FALSE)</f>
        <v>Устройство гидроизоляции из рубероида в 2 слоя</v>
      </c>
      <c r="E455" s="463" t="str">
        <f>VLOOKUP(A455,'Master List'!$A$1:$C$1192,3,FALSE)</f>
        <v>м2</v>
      </c>
      <c r="F455" s="464">
        <f>F452</f>
        <v>32.4</v>
      </c>
      <c r="G455" s="463">
        <f>VLOOKUP(A455,'Master List'!$A$4:$F3146,5,FALSE)</f>
        <v>13.65</v>
      </c>
      <c r="H455" s="206">
        <f t="shared" si="25"/>
        <v>442.26</v>
      </c>
      <c r="I455" s="240"/>
    </row>
    <row r="456" outlineLevel="2">
      <c r="A456" s="422" t="str">
        <f>'Master List'!A542</f>
        <v>W-IMP-007</v>
      </c>
      <c r="B456" s="472"/>
      <c r="C456" s="198"/>
      <c r="D456" s="462" t="str">
        <f>VLOOKUP(A456,'Master List'!$A$1:$C$1192,2,FALSE)</f>
        <v>Укладка геотекстиля</v>
      </c>
      <c r="E456" s="463" t="str">
        <f>VLOOKUP(A456,'Master List'!$A$1:$C$1192,3,FALSE)</f>
        <v>м2</v>
      </c>
      <c r="F456" s="464">
        <f>F452</f>
        <v>32.4</v>
      </c>
      <c r="G456" s="463">
        <f>VLOOKUP(A456,'Master List'!$A$4:$F3147,5,FALSE)</f>
        <v>2.73</v>
      </c>
      <c r="H456" s="206">
        <f t="shared" si="25"/>
        <v>88.452</v>
      </c>
      <c r="I456" s="240"/>
    </row>
    <row r="457" outlineLevel="2">
      <c r="A457" s="422" t="str">
        <f>'Master List'!A62</f>
        <v>M-IMP-018</v>
      </c>
      <c r="B457" s="472"/>
      <c r="C457" s="198"/>
      <c r="D457" s="462" t="str">
        <f>VLOOKUP(A457,'Master List'!$A$1:$C$1192,2,FALSE)</f>
        <v>Праймер битумный</v>
      </c>
      <c r="E457" s="463" t="str">
        <f>VLOOKUP(A457,'Master List'!$A$1:$C$1192,3,FALSE)</f>
        <v>кг</v>
      </c>
      <c r="F457" s="464">
        <f>F454*0.3</f>
        <v>9.72</v>
      </c>
      <c r="G457" s="463">
        <f>VLOOKUP(A457,'Master List'!$A$4:$F3148,5,FALSE)</f>
        <v>2.6</v>
      </c>
      <c r="H457" s="206">
        <f t="shared" si="25"/>
        <v>25.272</v>
      </c>
      <c r="I457" s="240"/>
    </row>
    <row r="458" outlineLevel="2">
      <c r="A458" s="422" t="str">
        <f>'Master List'!A41</f>
        <v>M-ROF-004</v>
      </c>
      <c r="B458" s="472"/>
      <c r="C458" s="198"/>
      <c r="D458" s="462" t="str">
        <f>VLOOKUP(A458,'Master List'!$A$1:$C$1192,2,FALSE)</f>
        <v>Руберойд POLYPLAS 30</v>
      </c>
      <c r="E458" s="463" t="str">
        <f>VLOOKUP(A458,'Master List'!$A$1:$C$1192,3,FALSE)</f>
        <v>м2</v>
      </c>
      <c r="F458" s="464">
        <f>F455*1.2</f>
        <v>38.88</v>
      </c>
      <c r="G458" s="463">
        <f>VLOOKUP(A458,'Master List'!$A$4:$F3149,5,FALSE)</f>
        <v>4.225</v>
      </c>
      <c r="H458" s="206">
        <f t="shared" si="25"/>
        <v>164.268</v>
      </c>
      <c r="I458" s="240"/>
    </row>
    <row r="459" outlineLevel="2">
      <c r="A459" s="422" t="str">
        <f>'Master List'!A42</f>
        <v>M-ROF-008</v>
      </c>
      <c r="B459" s="472"/>
      <c r="C459" s="198"/>
      <c r="D459" s="462" t="str">
        <f>VLOOKUP(A459,'Master List'!$A$1:$C$1192,2,FALSE)</f>
        <v>Руберойд POLYXIS R40</v>
      </c>
      <c r="E459" s="463" t="str">
        <f>VLOOKUP(A459,'Master List'!$A$1:$C$1192,3,FALSE)</f>
        <v>м2</v>
      </c>
      <c r="F459" s="464">
        <f>F455*1.2</f>
        <v>38.88</v>
      </c>
      <c r="G459" s="463">
        <f>VLOOKUP(A459,'Master List'!$A$4:$F3150,5,FALSE)</f>
        <v>8.97</v>
      </c>
      <c r="H459" s="206">
        <f t="shared" si="25"/>
        <v>348.7536</v>
      </c>
      <c r="I459" s="240"/>
    </row>
    <row r="460" outlineLevel="2">
      <c r="A460" s="422" t="str">
        <f>'Master List'!A51</f>
        <v>M-IMP-002</v>
      </c>
      <c r="B460" s="472"/>
      <c r="C460" s="198"/>
      <c r="D460" s="462" t="str">
        <f>VLOOKUP(A460,'Master List'!$A$1:$C$1192,2,FALSE)</f>
        <v>Газ пропан-бутан в баллонах 40л</v>
      </c>
      <c r="E460" s="463" t="str">
        <f>VLOOKUP(A460,'Master List'!$A$1:$C$1192,3,FALSE)</f>
        <v>шт</v>
      </c>
      <c r="F460" s="464">
        <f>F455*0.18/9.5+0.39</f>
        <v>1.003894737</v>
      </c>
      <c r="G460" s="463">
        <f>VLOOKUP(A460,'Master List'!$A$4:$F3151,5,FALSE)</f>
        <v>140.4</v>
      </c>
      <c r="H460" s="206">
        <f t="shared" si="25"/>
        <v>140.9468211</v>
      </c>
      <c r="I460" s="240"/>
    </row>
    <row r="461" outlineLevel="2">
      <c r="A461" s="422" t="str">
        <f>'Master List'!A47</f>
        <v>M-ROF-005</v>
      </c>
      <c r="B461" s="472"/>
      <c r="C461" s="198"/>
      <c r="D461" s="462" t="str">
        <f>VLOOKUP(A461,'Master List'!$A$1:$C$1192,2,FALSE)</f>
        <v>Геотекстиль IMPERSEP 200</v>
      </c>
      <c r="E461" s="463" t="str">
        <f>VLOOKUP(A461,'Master List'!$A$1:$C$1192,3,FALSE)</f>
        <v>м2</v>
      </c>
      <c r="F461" s="464">
        <f>F456*1.2</f>
        <v>38.88</v>
      </c>
      <c r="G461" s="463">
        <f>VLOOKUP(A461,'Master List'!$A$4:$F3152,5,FALSE)</f>
        <v>1.066</v>
      </c>
      <c r="H461" s="206">
        <f t="shared" si="25"/>
        <v>41.44608</v>
      </c>
      <c r="I461" s="240"/>
    </row>
    <row r="462" outlineLevel="2">
      <c r="A462" s="422"/>
      <c r="B462" s="472"/>
      <c r="C462" s="230"/>
      <c r="D462" s="246"/>
      <c r="E462" s="437"/>
      <c r="F462" s="170"/>
      <c r="G462" s="239"/>
      <c r="H462" s="239"/>
      <c r="I462" s="240"/>
    </row>
    <row r="463" outlineLevel="2">
      <c r="A463" s="422"/>
      <c r="B463" s="428"/>
      <c r="C463" s="429"/>
      <c r="D463" s="428"/>
      <c r="E463" s="431"/>
      <c r="F463" s="432"/>
      <c r="G463" s="433"/>
      <c r="H463" s="220"/>
      <c r="I463" s="227"/>
    </row>
    <row r="464" outlineLevel="1">
      <c r="A464" s="422"/>
      <c r="B464" s="472" t="s">
        <v>121</v>
      </c>
      <c r="C464" s="429"/>
      <c r="D464" s="435" t="s">
        <v>122</v>
      </c>
      <c r="E464" s="431"/>
      <c r="F464" s="432"/>
      <c r="G464" s="436">
        <f>SUM(H468:H477)</f>
        <v>20022.84006</v>
      </c>
      <c r="H464" s="220"/>
      <c r="I464" s="227"/>
    </row>
    <row r="465" outlineLevel="2">
      <c r="A465" s="422"/>
      <c r="B465" s="428"/>
      <c r="C465" s="429"/>
      <c r="D465" s="428"/>
      <c r="E465" s="431"/>
      <c r="F465" s="432"/>
      <c r="G465" s="433"/>
      <c r="H465" s="220"/>
      <c r="I465" s="227"/>
    </row>
    <row r="466" outlineLevel="2">
      <c r="A466" s="422"/>
      <c r="B466" s="472" t="s">
        <v>123</v>
      </c>
      <c r="C466" s="198">
        <v>4.4</v>
      </c>
      <c r="D466" s="202" t="s">
        <v>124</v>
      </c>
      <c r="E466" s="444" t="s">
        <v>40</v>
      </c>
      <c r="F466" s="214">
        <v>303.47</v>
      </c>
      <c r="G466" s="206"/>
      <c r="H466" s="206"/>
      <c r="I466" s="219"/>
    </row>
    <row r="467" outlineLevel="2">
      <c r="A467" s="422"/>
      <c r="B467" s="472"/>
      <c r="C467" s="230"/>
      <c r="D467" s="246"/>
      <c r="E467" s="437"/>
      <c r="F467" s="170"/>
      <c r="G467" s="239"/>
      <c r="H467" s="239"/>
      <c r="I467" s="240"/>
    </row>
    <row r="468" outlineLevel="2">
      <c r="A468" s="422" t="str">
        <f>'Master List'!A543</f>
        <v>W-IMP-008</v>
      </c>
      <c r="B468" s="472"/>
      <c r="C468" s="198"/>
      <c r="D468" s="462" t="str">
        <f>VLOOKUP(A468,'Master List'!$A$1:$C$1192,2,FALSE)</f>
        <v>Влаштування дренажної мембрани</v>
      </c>
      <c r="E468" s="463" t="str">
        <f>VLOOKUP(A468,'Master List'!$A$1:$C$1192,3,FALSE)</f>
        <v>м2</v>
      </c>
      <c r="F468" s="464">
        <f>F466</f>
        <v>303.47</v>
      </c>
      <c r="G468" s="463">
        <f>VLOOKUP(A468,'Master List'!$A$4:$F3159,5,FALSE)</f>
        <v>7.93</v>
      </c>
      <c r="H468" s="206">
        <f t="shared" ref="H468:H477" si="26">G468*F468</f>
        <v>2406.5171</v>
      </c>
      <c r="I468" s="240"/>
    </row>
    <row r="469" outlineLevel="2">
      <c r="A469" s="422" t="str">
        <f>'Master List'!A544</f>
        <v>W-IMP-009</v>
      </c>
      <c r="B469" s="472"/>
      <c r="C469" s="198"/>
      <c r="D469" s="462" t="str">
        <f>VLOOKUP(A469,'Master List'!$A$1:$C$1192,2,FALSE)</f>
        <v>Прокладання дренажної труби діаметром 200мм</v>
      </c>
      <c r="E469" s="463" t="str">
        <f>VLOOKUP(A469,'Master List'!$A$1:$C$1192,3,FALSE)</f>
        <v>м</v>
      </c>
      <c r="F469" s="464">
        <v>260.0</v>
      </c>
      <c r="G469" s="463">
        <f>VLOOKUP(A469,'Master List'!$A$4:$F3160,5,FALSE)</f>
        <v>23.14</v>
      </c>
      <c r="H469" s="206">
        <f t="shared" si="26"/>
        <v>6016.4</v>
      </c>
      <c r="I469" s="240"/>
    </row>
    <row r="470" outlineLevel="2">
      <c r="A470" s="422" t="str">
        <f>'Master List'!A542</f>
        <v>W-IMP-007</v>
      </c>
      <c r="B470" s="472"/>
      <c r="C470" s="198"/>
      <c r="D470" s="462" t="str">
        <f>VLOOKUP(A470,'Master List'!$A$1:$C$1192,2,FALSE)</f>
        <v>Укладка геотекстиля</v>
      </c>
      <c r="E470" s="463" t="str">
        <f>VLOOKUP(A470,'Master List'!$A$1:$C$1192,3,FALSE)</f>
        <v>м2</v>
      </c>
      <c r="F470" s="464">
        <f>260*2</f>
        <v>520</v>
      </c>
      <c r="G470" s="463">
        <f>VLOOKUP(A470,'Master List'!$A$4:$F3161,5,FALSE)</f>
        <v>2.73</v>
      </c>
      <c r="H470" s="206">
        <f t="shared" si="26"/>
        <v>1419.6</v>
      </c>
      <c r="I470" s="240"/>
    </row>
    <row r="471" outlineLevel="2">
      <c r="A471" s="422" t="str">
        <f>'Master List'!A494</f>
        <v>W-CON-001</v>
      </c>
      <c r="B471" s="472"/>
      <c r="C471" s="198"/>
      <c r="D471" s="462" t="str">
        <f>VLOOKUP(A471,'Master List'!$A$1:$C$1192,2,FALSE)</f>
        <v>Устройство щебеночного основания</v>
      </c>
      <c r="E471" s="463" t="str">
        <f>VLOOKUP(A471,'Master List'!$A$1:$C$1192,3,FALSE)</f>
        <v>м3</v>
      </c>
      <c r="F471" s="464">
        <f>260*0.6*0.5</f>
        <v>78</v>
      </c>
      <c r="G471" s="463">
        <f>VLOOKUP(A471,'Master List'!$A$4:$F3162,5,FALSE)</f>
        <v>7.15</v>
      </c>
      <c r="H471" s="206">
        <f t="shared" si="26"/>
        <v>557.7</v>
      </c>
      <c r="I471" s="240"/>
    </row>
    <row r="472" outlineLevel="2">
      <c r="A472" s="422" t="str">
        <f>'Master List'!A53</f>
        <v>M-IMP-007</v>
      </c>
      <c r="B472" s="472"/>
      <c r="C472" s="198"/>
      <c r="D472" s="462" t="str">
        <f>VLOOKUP(A472,'Master List'!$A$1:$C$1192,2,FALSE)</f>
        <v>Мембрана дренажна </v>
      </c>
      <c r="E472" s="463" t="str">
        <f>VLOOKUP(A472,'Master List'!$A$1:$C$1192,3,FALSE)</f>
        <v>м2</v>
      </c>
      <c r="F472" s="464">
        <f>F468*1.1</f>
        <v>333.817</v>
      </c>
      <c r="G472" s="463">
        <f>VLOOKUP(A472,'Master List'!$A$4:$F3164,5,FALSE)</f>
        <v>2.574</v>
      </c>
      <c r="H472" s="206">
        <f t="shared" si="26"/>
        <v>859.244958</v>
      </c>
      <c r="I472" s="240"/>
    </row>
    <row r="473" outlineLevel="2">
      <c r="A473" s="422" t="str">
        <f>'Master List'!A54</f>
        <v>M-IMP-008</v>
      </c>
      <c r="B473" s="472"/>
      <c r="C473" s="198"/>
      <c r="D473" s="462" t="str">
        <f>VLOOKUP(A473,'Master List'!$A$1:$C$1192,2,FALSE)</f>
        <v>Притискна планка для дренажної мембрани</v>
      </c>
      <c r="E473" s="463" t="str">
        <f>VLOOKUP(A473,'Master List'!$A$1:$C$1192,3,FALSE)</f>
        <v>м</v>
      </c>
      <c r="F473" s="464">
        <f>260*1.05</f>
        <v>273</v>
      </c>
      <c r="G473" s="463">
        <f>VLOOKUP(A473,'Master List'!$A$4:$F3165,5,FALSE)</f>
        <v>3.25</v>
      </c>
      <c r="H473" s="206">
        <f t="shared" si="26"/>
        <v>887.25</v>
      </c>
      <c r="I473" s="240"/>
    </row>
    <row r="474" outlineLevel="2">
      <c r="A474" s="422" t="str">
        <f>'Master List'!A55</f>
        <v>M-IMP-009</v>
      </c>
      <c r="B474" s="472"/>
      <c r="C474" s="198"/>
      <c r="D474" s="462" t="str">
        <f>VLOOKUP(A474,'Master List'!$A$1:$C$1192,2,FALSE)</f>
        <v>Кріплення для дренажної мембрани</v>
      </c>
      <c r="E474" s="463" t="str">
        <f>VLOOKUP(A474,'Master List'!$A$1:$C$1192,3,FALSE)</f>
        <v>шт</v>
      </c>
      <c r="F474" s="464">
        <f>F468*6</f>
        <v>1820.82</v>
      </c>
      <c r="G474" s="463">
        <f>VLOOKUP(A474,'Master List'!$A$4:$F3160,5,FALSE)</f>
        <v>1.3</v>
      </c>
      <c r="H474" s="206">
        <f t="shared" si="26"/>
        <v>2367.066</v>
      </c>
      <c r="I474" s="240"/>
    </row>
    <row r="475" outlineLevel="2">
      <c r="A475" s="422" t="str">
        <f>'Master List'!A56</f>
        <v>M-IMP-010</v>
      </c>
      <c r="B475" s="472"/>
      <c r="C475" s="198"/>
      <c r="D475" s="462" t="str">
        <f>VLOOKUP(A475,'Master List'!$A$1:$C$1192,2,FALSE)</f>
        <v>Труба дренажна діаметром 200мм</v>
      </c>
      <c r="E475" s="463" t="str">
        <f>VLOOKUP(A475,'Master List'!$A$1:$C$1192,3,FALSE)</f>
        <v>м</v>
      </c>
      <c r="F475" s="464">
        <f t="shared" ref="F475:F476" si="27">F469*1.05</f>
        <v>273</v>
      </c>
      <c r="G475" s="463">
        <f>VLOOKUP(A475,'Master List'!$A$4:$F3161,5,FALSE)</f>
        <v>7.839</v>
      </c>
      <c r="H475" s="206">
        <f t="shared" si="26"/>
        <v>2140.047</v>
      </c>
      <c r="I475" s="240"/>
    </row>
    <row r="476" outlineLevel="2">
      <c r="A476" s="422" t="str">
        <f>'Master List'!A47</f>
        <v>M-ROF-005</v>
      </c>
      <c r="B476" s="472"/>
      <c r="C476" s="198"/>
      <c r="D476" s="462" t="str">
        <f>VLOOKUP(A476,'Master List'!$A$1:$C$1192,2,FALSE)</f>
        <v>Геотекстиль IMPERSEP 200</v>
      </c>
      <c r="E476" s="463" t="str">
        <f>VLOOKUP(A476,'Master List'!$A$1:$C$1192,3,FALSE)</f>
        <v>м2</v>
      </c>
      <c r="F476" s="464">
        <f t="shared" si="27"/>
        <v>546</v>
      </c>
      <c r="G476" s="463">
        <f>VLOOKUP(A476,'Master List'!$A$4:$F3162,5,FALSE)</f>
        <v>1.066</v>
      </c>
      <c r="H476" s="206">
        <f t="shared" si="26"/>
        <v>582.036</v>
      </c>
      <c r="I476" s="240"/>
    </row>
    <row r="477" outlineLevel="2">
      <c r="A477" s="422" t="str">
        <f>'Master List'!A59</f>
        <v>M-IMP-015</v>
      </c>
      <c r="B477" s="472"/>
      <c r="C477" s="198"/>
      <c r="D477" s="462" t="str">
        <f>VLOOKUP(A477,'Master List'!$A$1:$C$1192,2,FALSE)</f>
        <v>Щебень №2</v>
      </c>
      <c r="E477" s="463" t="str">
        <f>VLOOKUP(A477,'Master List'!$A$1:$C$1192,3,FALSE)</f>
        <v>м3</v>
      </c>
      <c r="F477" s="464">
        <f>F471*1.15</f>
        <v>89.7</v>
      </c>
      <c r="G477" s="463">
        <f>VLOOKUP(A477,'Master List'!$A$4:$F3163,5,FALSE)</f>
        <v>31.07</v>
      </c>
      <c r="H477" s="206">
        <f t="shared" si="26"/>
        <v>2786.979</v>
      </c>
      <c r="I477" s="240"/>
    </row>
    <row r="478" outlineLevel="2">
      <c r="A478" s="422"/>
      <c r="B478" s="472"/>
      <c r="C478" s="230"/>
      <c r="D478" s="246"/>
      <c r="E478" s="437"/>
      <c r="F478" s="170"/>
      <c r="G478" s="239"/>
      <c r="H478" s="239"/>
      <c r="I478" s="240"/>
    </row>
    <row r="479" outlineLevel="2">
      <c r="A479" s="422"/>
      <c r="B479" s="428"/>
      <c r="C479" s="429"/>
      <c r="D479" s="428"/>
      <c r="E479" s="431"/>
      <c r="F479" s="432"/>
      <c r="G479" s="433"/>
      <c r="H479" s="220"/>
      <c r="I479" s="227"/>
    </row>
    <row r="480" outlineLevel="1">
      <c r="A480" s="422"/>
      <c r="B480" s="472" t="s">
        <v>125</v>
      </c>
      <c r="C480" s="429"/>
      <c r="D480" s="435" t="s">
        <v>126</v>
      </c>
      <c r="E480" s="431"/>
      <c r="F480" s="432"/>
      <c r="G480" s="436">
        <f>SUM(H484:H487)</f>
        <v>12055.36956</v>
      </c>
      <c r="H480" s="220"/>
      <c r="I480" s="227"/>
    </row>
    <row r="481" outlineLevel="2">
      <c r="A481" s="422"/>
      <c r="B481" s="428"/>
      <c r="C481" s="429"/>
      <c r="D481" s="428"/>
      <c r="E481" s="431"/>
      <c r="F481" s="432"/>
      <c r="G481" s="433"/>
      <c r="H481" s="220"/>
      <c r="I481" s="227"/>
    </row>
    <row r="482" outlineLevel="2">
      <c r="A482" s="422"/>
      <c r="B482" s="472" t="s">
        <v>127</v>
      </c>
      <c r="C482" s="198">
        <v>4.5</v>
      </c>
      <c r="D482" s="202" t="s">
        <v>128</v>
      </c>
      <c r="E482" s="444" t="s">
        <v>40</v>
      </c>
      <c r="F482" s="214">
        <v>320.7</v>
      </c>
      <c r="G482" s="206"/>
      <c r="H482" s="206"/>
      <c r="I482" s="219"/>
    </row>
    <row r="483" outlineLevel="2">
      <c r="A483" s="422"/>
      <c r="B483" s="472"/>
      <c r="C483" s="230"/>
      <c r="D483" s="246"/>
      <c r="E483" s="437"/>
      <c r="F483" s="170"/>
      <c r="G483" s="239"/>
      <c r="H483" s="239"/>
      <c r="I483" s="240"/>
    </row>
    <row r="484" outlineLevel="2">
      <c r="A484" s="422" t="str">
        <f>'Master List'!A546</f>
        <v>W-IMP-010</v>
      </c>
      <c r="B484" s="472"/>
      <c r="C484" s="198"/>
      <c r="D484" s="462" t="str">
        <f>VLOOKUP(A484,'Master List'!$A$1:$C$1192,2,FALSE)</f>
        <v>Укладання шумоізоляційної мембрани</v>
      </c>
      <c r="E484" s="463" t="str">
        <f>VLOOKUP(A484,'Master List'!$A$1:$C$1192,3,FALSE)</f>
        <v>м2</v>
      </c>
      <c r="F484" s="464">
        <f>F482</f>
        <v>320.7</v>
      </c>
      <c r="G484" s="463">
        <f>VLOOKUP(A484,'Master List'!$A$4:$F3170,5,FALSE)</f>
        <v>9.1</v>
      </c>
      <c r="H484" s="206">
        <f t="shared" ref="H484:H487" si="28">G484*F484</f>
        <v>2918.37</v>
      </c>
      <c r="I484" s="240"/>
    </row>
    <row r="485" outlineLevel="2">
      <c r="A485" s="422" t="str">
        <f>'Master List'!A532</f>
        <v>W-ROF-005</v>
      </c>
      <c r="B485" s="472"/>
      <c r="C485" s="198"/>
      <c r="D485" s="462" t="str">
        <f>VLOOKUP(A485,'Master List'!$A$1:$C$1192,2,FALSE)</f>
        <v>Укладання термоізоляції товщиною 80мм</v>
      </c>
      <c r="E485" s="463" t="str">
        <f>VLOOKUP(A485,'Master List'!$A$1:$C$1192,3,FALSE)</f>
        <v>м2</v>
      </c>
      <c r="F485" s="464">
        <f>F482</f>
        <v>320.7</v>
      </c>
      <c r="G485" s="463">
        <f>VLOOKUP(A485,'Master List'!$A$4:$F3171,5,FALSE)</f>
        <v>12.22</v>
      </c>
      <c r="H485" s="206">
        <f t="shared" si="28"/>
        <v>3918.954</v>
      </c>
      <c r="I485" s="240"/>
    </row>
    <row r="486" outlineLevel="2">
      <c r="A486" s="422" t="str">
        <f>'Master List'!A58</f>
        <v>M-IMP-011</v>
      </c>
      <c r="B486" s="472"/>
      <c r="C486" s="198"/>
      <c r="D486" s="462" t="str">
        <f>VLOOKUP(A486,'Master List'!$A$1:$C$1192,2,FALSE)</f>
        <v>Шумоізоляційна мембрана Impactodan</v>
      </c>
      <c r="E486" s="463" t="str">
        <f>VLOOKUP(A486,'Master List'!$A$1:$C$1192,3,FALSE)</f>
        <v>м2</v>
      </c>
      <c r="F486" s="464">
        <f>F482*1.05</f>
        <v>336.735</v>
      </c>
      <c r="G486" s="463">
        <f>VLOOKUP(A486,'Master List'!$A$4:$F3172,5,FALSE)</f>
        <v>3.38</v>
      </c>
      <c r="H486" s="206">
        <f t="shared" si="28"/>
        <v>1138.1643</v>
      </c>
      <c r="I486" s="240"/>
    </row>
    <row r="487" outlineLevel="2">
      <c r="A487" s="422" t="str">
        <f>'Master List'!A64</f>
        <v>M-TER-002</v>
      </c>
      <c r="B487" s="472"/>
      <c r="C487" s="198"/>
      <c r="D487" s="462" t="str">
        <f>VLOOKUP(A487,'Master List'!$A$1:$C$1192,2,FALSE)</f>
        <v>Экструдированный пенополистирол толщиной 80мм</v>
      </c>
      <c r="E487" s="463" t="str">
        <f>VLOOKUP(A487,'Master List'!$A$1:$C$1192,3,FALSE)</f>
        <v>м2</v>
      </c>
      <c r="F487" s="464">
        <f>F485*1.05</f>
        <v>336.735</v>
      </c>
      <c r="G487" s="463">
        <f>VLOOKUP(A487,'Master List'!$A$4:$F3173,5,FALSE)</f>
        <v>12.116</v>
      </c>
      <c r="H487" s="206">
        <f t="shared" si="28"/>
        <v>4079.88126</v>
      </c>
      <c r="I487" s="240"/>
    </row>
    <row r="488" outlineLevel="2">
      <c r="A488" s="422"/>
      <c r="B488" s="428"/>
      <c r="C488" s="429"/>
      <c r="D488" s="428"/>
      <c r="E488" s="431"/>
      <c r="F488" s="432"/>
      <c r="G488" s="433"/>
      <c r="H488" s="220"/>
      <c r="I488" s="227"/>
    </row>
    <row r="489" outlineLevel="1">
      <c r="A489" s="422"/>
      <c r="B489" s="472" t="s">
        <v>129</v>
      </c>
      <c r="C489" s="429"/>
      <c r="D489" s="435" t="s">
        <v>130</v>
      </c>
      <c r="E489" s="431"/>
      <c r="F489" s="432"/>
      <c r="G489" s="436">
        <f>SUM(H493:H495)</f>
        <v>481.5862415</v>
      </c>
      <c r="H489" s="220"/>
      <c r="I489" s="227"/>
    </row>
    <row r="490" outlineLevel="2">
      <c r="A490" s="422"/>
      <c r="B490" s="428"/>
      <c r="C490" s="429"/>
      <c r="D490" s="428"/>
      <c r="E490" s="431"/>
      <c r="F490" s="432"/>
      <c r="G490" s="433"/>
      <c r="H490" s="220"/>
      <c r="I490" s="227"/>
    </row>
    <row r="491" outlineLevel="2">
      <c r="A491" s="422"/>
      <c r="B491" s="472" t="s">
        <v>131</v>
      </c>
      <c r="C491" s="198">
        <v>4.6</v>
      </c>
      <c r="D491" s="202" t="s">
        <v>132</v>
      </c>
      <c r="E491" s="299" t="s">
        <v>40</v>
      </c>
      <c r="F491" s="214">
        <v>22.19</v>
      </c>
      <c r="G491" s="206"/>
      <c r="H491" s="206"/>
      <c r="I491" s="219"/>
    </row>
    <row r="492" outlineLevel="2">
      <c r="A492" s="422"/>
      <c r="B492" s="472"/>
      <c r="C492" s="230"/>
      <c r="D492" s="246"/>
      <c r="E492" s="170"/>
      <c r="F492" s="170"/>
      <c r="G492" s="239"/>
      <c r="H492" s="239"/>
      <c r="I492" s="240"/>
    </row>
    <row r="493" outlineLevel="2">
      <c r="A493" s="422" t="str">
        <f>'Master List'!A541</f>
        <v>W-IMP-005</v>
      </c>
      <c r="B493" s="472"/>
      <c r="C493" s="198"/>
      <c r="D493" s="462" t="str">
        <f>VLOOKUP(A493,'Master List'!$A$1:$C$1192,2,FALSE)</f>
        <v>Устройство обмазочной гидроизоляции в 2 слоя с сеткой</v>
      </c>
      <c r="E493" s="463" t="str">
        <f>VLOOKUP(A493,'Master List'!$A$1:$C$1192,3,FALSE)</f>
        <v>м2</v>
      </c>
      <c r="F493" s="464">
        <f>F491</f>
        <v>22.19</v>
      </c>
      <c r="G493" s="463">
        <f>VLOOKUP(A493,'Master List'!$A$4:$F3179,5,FALSE)</f>
        <v>11.57</v>
      </c>
      <c r="H493" s="206">
        <f t="shared" ref="H493:H495" si="29">G493*F493</f>
        <v>256.7383</v>
      </c>
      <c r="I493" s="240"/>
    </row>
    <row r="494" outlineLevel="2">
      <c r="A494" s="422" t="str">
        <f>'Master List'!A52</f>
        <v>M-IMP-006</v>
      </c>
      <c r="B494" s="472"/>
      <c r="C494" s="198"/>
      <c r="D494" s="462" t="str">
        <f>VLOOKUP(A494,'Master List'!$A$1:$C$1192,2,FALSE)</f>
        <v>Гидроизоляция Weber.tec 824</v>
      </c>
      <c r="E494" s="463" t="str">
        <f>VLOOKUP(A494,'Master List'!$A$1:$C$1192,3,FALSE)</f>
        <v>кг</v>
      </c>
      <c r="F494" s="464">
        <f>F493*2.8</f>
        <v>62.132</v>
      </c>
      <c r="G494" s="463">
        <f>VLOOKUP(A494,'Master List'!$A$4:$F3180,5,FALSE)</f>
        <v>3.302</v>
      </c>
      <c r="H494" s="206">
        <f t="shared" si="29"/>
        <v>205.159864</v>
      </c>
      <c r="I494" s="240"/>
    </row>
    <row r="495" outlineLevel="2">
      <c r="A495" s="422" t="str">
        <f>'Master List'!A98</f>
        <v>M-FIN-055</v>
      </c>
      <c r="B495" s="472"/>
      <c r="C495" s="198"/>
      <c r="D495" s="462" t="str">
        <f>VLOOKUP(A495,'Master List'!$A$1:$C$1192,2,FALSE)</f>
        <v>Сітка штукатурна</v>
      </c>
      <c r="E495" s="463" t="str">
        <f>VLOOKUP(A495,'Master List'!$A$1:$C$1192,3,FALSE)</f>
        <v>м2</v>
      </c>
      <c r="F495" s="464">
        <f>F493*1.05</f>
        <v>23.2995</v>
      </c>
      <c r="G495" s="463">
        <f>VLOOKUP(A495,'Master List'!$A$4:$F3181,5,FALSE)</f>
        <v>0.845</v>
      </c>
      <c r="H495" s="206">
        <f t="shared" si="29"/>
        <v>19.6880775</v>
      </c>
      <c r="I495" s="240"/>
    </row>
    <row r="496" outlineLevel="2">
      <c r="A496" s="422"/>
      <c r="B496" s="428"/>
      <c r="C496" s="429"/>
      <c r="D496" s="428"/>
      <c r="E496" s="431"/>
      <c r="F496" s="432"/>
      <c r="G496" s="433"/>
      <c r="H496" s="220"/>
      <c r="I496" s="227"/>
    </row>
    <row r="497" outlineLevel="1">
      <c r="A497" s="422"/>
      <c r="B497" s="472" t="s">
        <v>133</v>
      </c>
      <c r="C497" s="429"/>
      <c r="D497" s="435" t="s">
        <v>5593</v>
      </c>
      <c r="E497" s="431"/>
      <c r="F497" s="432"/>
      <c r="G497" s="436">
        <f>SUM(H501:H508)</f>
        <v>9219.614232</v>
      </c>
      <c r="H497" s="220"/>
      <c r="I497" s="227"/>
    </row>
    <row r="498" outlineLevel="2">
      <c r="A498" s="422"/>
      <c r="B498" s="428"/>
      <c r="C498" s="429"/>
      <c r="D498" s="428"/>
      <c r="E498" s="431"/>
      <c r="F498" s="432"/>
      <c r="G498" s="433"/>
      <c r="H498" s="220"/>
      <c r="I498" s="227"/>
    </row>
    <row r="499" outlineLevel="2">
      <c r="A499" s="422"/>
      <c r="B499" s="472" t="s">
        <v>135</v>
      </c>
      <c r="C499" s="198">
        <v>4.7</v>
      </c>
      <c r="D499" s="202" t="s">
        <v>136</v>
      </c>
      <c r="E499" s="444" t="s">
        <v>40</v>
      </c>
      <c r="F499" s="214">
        <v>200.6</v>
      </c>
      <c r="G499" s="206"/>
      <c r="H499" s="206"/>
      <c r="I499" s="219"/>
    </row>
    <row r="500" outlineLevel="2">
      <c r="A500" s="422"/>
      <c r="B500" s="472"/>
      <c r="C500" s="230"/>
      <c r="D500" s="246"/>
      <c r="E500" s="437"/>
      <c r="F500" s="170"/>
      <c r="G500" s="239"/>
      <c r="H500" s="239"/>
      <c r="I500" s="240"/>
    </row>
    <row r="501" outlineLevel="2">
      <c r="A501" s="422" t="str">
        <f>'Master List'!A534</f>
        <v>W-ROF-003</v>
      </c>
      <c r="B501" s="472"/>
      <c r="C501" s="198"/>
      <c r="D501" s="462" t="str">
        <f>VLOOKUP(A501,'Master List'!$A$1:$C$1192,2,FALSE)</f>
        <v>Нанесення бітумної емульсії</v>
      </c>
      <c r="E501" s="463" t="str">
        <f>VLOOKUP(A501,'Master List'!$A$1:$C$1192,3,FALSE)</f>
        <v>м2</v>
      </c>
      <c r="F501" s="464">
        <f>F499</f>
        <v>200.6</v>
      </c>
      <c r="G501" s="463">
        <f>VLOOKUP(A501,'Master List'!$A$4:$F3187,5,FALSE)</f>
        <v>10.387</v>
      </c>
      <c r="H501" s="206">
        <f t="shared" ref="H501:H508" si="30">G501*F501</f>
        <v>2083.6322</v>
      </c>
      <c r="I501" s="240"/>
    </row>
    <row r="502" outlineLevel="2">
      <c r="A502" s="422" t="str">
        <f>'Master List'!A540</f>
        <v>W-IMP-003</v>
      </c>
      <c r="B502" s="472"/>
      <c r="C502" s="198"/>
      <c r="D502" s="462" t="str">
        <f>VLOOKUP(A502,'Master List'!$A$1:$C$1192,2,FALSE)</f>
        <v>Устройство гидроизоляции из рубероида в 2 слоя</v>
      </c>
      <c r="E502" s="463" t="str">
        <f>VLOOKUP(A502,'Master List'!$A$1:$C$1192,3,FALSE)</f>
        <v>м2</v>
      </c>
      <c r="F502" s="464">
        <f>F499</f>
        <v>200.6</v>
      </c>
      <c r="G502" s="463">
        <f>VLOOKUP(A502,'Master List'!$A$4:$F3188,5,FALSE)</f>
        <v>13.65</v>
      </c>
      <c r="H502" s="206">
        <f t="shared" si="30"/>
        <v>2738.19</v>
      </c>
      <c r="I502" s="240"/>
    </row>
    <row r="503" outlineLevel="2">
      <c r="A503" s="422" t="str">
        <f>'Master List'!A542</f>
        <v>W-IMP-007</v>
      </c>
      <c r="B503" s="472"/>
      <c r="C503" s="198"/>
      <c r="D503" s="462" t="str">
        <f>VLOOKUP(A503,'Master List'!$A$1:$C$1192,2,FALSE)</f>
        <v>Укладка геотекстиля</v>
      </c>
      <c r="E503" s="463" t="str">
        <f>VLOOKUP(A503,'Master List'!$A$1:$C$1192,3,FALSE)</f>
        <v>м2</v>
      </c>
      <c r="F503" s="464">
        <f>F499</f>
        <v>200.6</v>
      </c>
      <c r="G503" s="463">
        <f>VLOOKUP(A503,'Master List'!$A$4:$F3189,5,FALSE)</f>
        <v>2.73</v>
      </c>
      <c r="H503" s="206">
        <f t="shared" si="30"/>
        <v>547.638</v>
      </c>
      <c r="I503" s="240"/>
    </row>
    <row r="504" outlineLevel="2">
      <c r="A504" s="422" t="str">
        <f>'Master List'!A49</f>
        <v>M-ROF-007</v>
      </c>
      <c r="B504" s="472"/>
      <c r="C504" s="198"/>
      <c r="D504" s="462" t="str">
        <f>VLOOKUP(A504,'Master List'!$A$1:$C$1192,2,FALSE)</f>
        <v>Бітумна емульсія Imperkote F</v>
      </c>
      <c r="E504" s="463" t="str">
        <f>VLOOKUP(A504,'Master List'!$A$1:$C$1192,3,FALSE)</f>
        <v>кг</v>
      </c>
      <c r="F504" s="464">
        <f>F501*0.3</f>
        <v>60.18</v>
      </c>
      <c r="G504" s="463">
        <f>VLOOKUP(A504,'Master List'!$A$4:$F3190,5,FALSE)</f>
        <v>2.925</v>
      </c>
      <c r="H504" s="206">
        <f t="shared" si="30"/>
        <v>176.0265</v>
      </c>
      <c r="I504" s="240"/>
    </row>
    <row r="505" outlineLevel="2">
      <c r="A505" s="422" t="str">
        <f>'Master List'!A41</f>
        <v>M-ROF-004</v>
      </c>
      <c r="B505" s="472"/>
      <c r="C505" s="198"/>
      <c r="D505" s="462" t="str">
        <f>VLOOKUP(A505,'Master List'!$A$1:$C$1192,2,FALSE)</f>
        <v>Руберойд POLYPLAS 30</v>
      </c>
      <c r="E505" s="463" t="str">
        <f>VLOOKUP(A505,'Master List'!$A$1:$C$1192,3,FALSE)</f>
        <v>м2</v>
      </c>
      <c r="F505" s="464">
        <f>F502*1.1</f>
        <v>220.66</v>
      </c>
      <c r="G505" s="463">
        <f>VLOOKUP(A505,'Master List'!$A$4:$F3191,5,FALSE)</f>
        <v>4.225</v>
      </c>
      <c r="H505" s="206">
        <f t="shared" si="30"/>
        <v>932.2885</v>
      </c>
      <c r="I505" s="240"/>
    </row>
    <row r="506" outlineLevel="2">
      <c r="A506" s="422" t="str">
        <f>'Master List'!A42</f>
        <v>M-ROF-008</v>
      </c>
      <c r="B506" s="472"/>
      <c r="C506" s="198"/>
      <c r="D506" s="462" t="str">
        <f>VLOOKUP(A506,'Master List'!$A$1:$C$1192,2,FALSE)</f>
        <v>Руберойд POLYXIS R40</v>
      </c>
      <c r="E506" s="463" t="str">
        <f>VLOOKUP(A506,'Master List'!$A$1:$C$1192,3,FALSE)</f>
        <v>м2</v>
      </c>
      <c r="F506" s="464">
        <f>F502*1.1</f>
        <v>220.66</v>
      </c>
      <c r="G506" s="463">
        <f>VLOOKUP(A506,'Master List'!$A$4:$F3192,5,FALSE)</f>
        <v>8.97</v>
      </c>
      <c r="H506" s="206">
        <f t="shared" si="30"/>
        <v>1979.3202</v>
      </c>
      <c r="I506" s="240"/>
    </row>
    <row r="507" outlineLevel="2">
      <c r="A507" s="422" t="str">
        <f>'Master List'!A51</f>
        <v>M-IMP-002</v>
      </c>
      <c r="B507" s="472"/>
      <c r="C507" s="198"/>
      <c r="D507" s="462" t="str">
        <f>VLOOKUP(A507,'Master List'!$A$1:$C$1192,2,FALSE)</f>
        <v>Газ пропан-бутан в баллонах 40л</v>
      </c>
      <c r="E507" s="463" t="str">
        <f>VLOOKUP(A507,'Master List'!$A$1:$C$1192,3,FALSE)</f>
        <v>шт</v>
      </c>
      <c r="F507" s="464">
        <f>F502*0.18/9.5+0.2</f>
        <v>4.000842105</v>
      </c>
      <c r="G507" s="463">
        <f>VLOOKUP(A507,'Master List'!$A$4:$F3193,5,FALSE)</f>
        <v>140.4</v>
      </c>
      <c r="H507" s="206">
        <f t="shared" si="30"/>
        <v>561.7182316</v>
      </c>
      <c r="I507" s="240"/>
    </row>
    <row r="508" outlineLevel="2">
      <c r="A508" s="422" t="str">
        <f>'Master List'!A48</f>
        <v>M-ROF-0010</v>
      </c>
      <c r="B508" s="472"/>
      <c r="C508" s="198"/>
      <c r="D508" s="462" t="str">
        <f>VLOOKUP(A508,'Master List'!$A$1:$C$1192,2,FALSE)</f>
        <v>Геотекстиль IMPERSEP 150</v>
      </c>
      <c r="E508" s="463" t="str">
        <f>VLOOKUP(A508,'Master List'!$A$1:$C$1192,3,FALSE)</f>
        <v>м2</v>
      </c>
      <c r="F508" s="464">
        <f>F503*1.1</f>
        <v>220.66</v>
      </c>
      <c r="G508" s="463">
        <f>VLOOKUP(A508,'Master List'!$A$4:$F3194,5,FALSE)</f>
        <v>0.91</v>
      </c>
      <c r="H508" s="206">
        <f t="shared" si="30"/>
        <v>200.8006</v>
      </c>
      <c r="I508" s="240"/>
    </row>
    <row r="509" outlineLevel="2">
      <c r="A509" s="422"/>
      <c r="B509" s="472"/>
      <c r="C509" s="230"/>
      <c r="D509" s="466"/>
      <c r="E509" s="467"/>
      <c r="F509" s="468"/>
      <c r="G509" s="467"/>
      <c r="H509" s="239"/>
      <c r="I509" s="240"/>
    </row>
    <row r="510" outlineLevel="1">
      <c r="A510" s="422"/>
      <c r="B510" s="208"/>
      <c r="C510" s="250"/>
      <c r="D510" s="152"/>
      <c r="E510" s="470"/>
      <c r="F510" s="153"/>
      <c r="G510" s="220"/>
      <c r="H510" s="220"/>
      <c r="I510" s="227"/>
    </row>
    <row r="511">
      <c r="A511" s="422"/>
      <c r="B511" s="471"/>
      <c r="C511" s="184">
        <v>5.0</v>
      </c>
      <c r="D511" s="184" t="s">
        <v>5594</v>
      </c>
      <c r="E511" s="425"/>
      <c r="F511" s="425"/>
      <c r="G511" s="425"/>
      <c r="H511" s="426">
        <f>SUM(H515:H667)</f>
        <v>27664.10764</v>
      </c>
      <c r="I511" s="427">
        <f>H511-('Orcamento RU'!C10+'Orcamento RU'!C42)</f>
        <v>-1527.052359</v>
      </c>
    </row>
    <row r="512" outlineLevel="1">
      <c r="A512" s="422"/>
      <c r="B512" s="208"/>
      <c r="C512" s="250"/>
      <c r="D512" s="152"/>
      <c r="E512" s="470"/>
      <c r="F512" s="153"/>
      <c r="G512" s="220"/>
      <c r="H512" s="220"/>
      <c r="I512" s="227"/>
    </row>
    <row r="513" outlineLevel="1">
      <c r="A513" s="422"/>
      <c r="B513" s="472" t="s">
        <v>36</v>
      </c>
      <c r="C513" s="429"/>
      <c r="D513" s="435" t="s">
        <v>37</v>
      </c>
      <c r="E513" s="431"/>
      <c r="F513" s="432"/>
      <c r="G513" s="436">
        <f>SUM(H517:H537)</f>
        <v>11609.17162</v>
      </c>
      <c r="H513" s="220"/>
      <c r="I513" s="227"/>
    </row>
    <row r="514" outlineLevel="2">
      <c r="A514" s="422"/>
      <c r="B514" s="428"/>
      <c r="C514" s="429"/>
      <c r="D514" s="428"/>
      <c r="E514" s="431"/>
      <c r="F514" s="432"/>
      <c r="G514" s="220"/>
      <c r="H514" s="220"/>
      <c r="I514" s="227"/>
    </row>
    <row r="515" outlineLevel="2">
      <c r="A515" s="422"/>
      <c r="B515" s="448" t="s">
        <v>38</v>
      </c>
      <c r="C515" s="198">
        <v>5.1</v>
      </c>
      <c r="D515" s="202" t="s">
        <v>39</v>
      </c>
      <c r="E515" s="444" t="s">
        <v>40</v>
      </c>
      <c r="F515" s="214">
        <v>155.42</v>
      </c>
      <c r="G515" s="206"/>
      <c r="H515" s="206"/>
      <c r="I515" s="219" t="s">
        <v>5595</v>
      </c>
    </row>
    <row r="516" outlineLevel="2">
      <c r="A516" s="422"/>
      <c r="B516" s="448"/>
      <c r="C516" s="230"/>
      <c r="D516" s="246"/>
      <c r="E516" s="437"/>
      <c r="F516" s="170"/>
      <c r="G516" s="239"/>
      <c r="H516" s="239"/>
      <c r="I516" s="240"/>
    </row>
    <row r="517" outlineLevel="2">
      <c r="A517" s="422" t="str">
        <f>'Master List'!A515</f>
        <v>W-BRK-001</v>
      </c>
      <c r="B517" s="448"/>
      <c r="C517" s="198"/>
      <c r="D517" s="462" t="str">
        <f>VLOOKUP(A517,'Master List'!$A$1:$C$1192,2,FALSE)</f>
        <v>Кладка кирпичных стен толщиной 25см</v>
      </c>
      <c r="E517" s="463" t="str">
        <f>VLOOKUP(A517,'Master List'!$A$1:$C$1192,3,FALSE)</f>
        <v>м2</v>
      </c>
      <c r="F517" s="464">
        <f>F515</f>
        <v>155.42</v>
      </c>
      <c r="G517" s="463">
        <f>VLOOKUP(A517,'Master List'!$A$4:$F3202,5,FALSE)</f>
        <v>16.9</v>
      </c>
      <c r="H517" s="206">
        <f t="shared" ref="H517:H521" si="31">G517*F517</f>
        <v>2626.598</v>
      </c>
      <c r="I517" s="240"/>
    </row>
    <row r="518" outlineLevel="2">
      <c r="A518" s="422" t="str">
        <f>'Master List'!A31</f>
        <v>M-BRK-001</v>
      </c>
      <c r="B518" s="448"/>
      <c r="C518" s="198"/>
      <c r="D518" s="462" t="str">
        <f>VLOOKUP(A518,'Master List'!$A$1:$C$1192,2,FALSE)</f>
        <v>Кирпич размером 30х20х25см</v>
      </c>
      <c r="E518" s="463" t="str">
        <f>VLOOKUP(A518,'Master List'!$A$1:$C$1192,3,FALSE)</f>
        <v>шт</v>
      </c>
      <c r="F518" s="464">
        <f>F517*16+0.28</f>
        <v>2487</v>
      </c>
      <c r="G518" s="463">
        <f>VLOOKUP(A518,'Master List'!$A$4:$F3203,5,FALSE)</f>
        <v>1.105</v>
      </c>
      <c r="H518" s="206">
        <f t="shared" si="31"/>
        <v>2748.135</v>
      </c>
      <c r="I518" s="240"/>
    </row>
    <row r="519" outlineLevel="2">
      <c r="A519" s="422" t="str">
        <f>'Master List'!A38</f>
        <v>M-BRK-025</v>
      </c>
      <c r="B519" s="448"/>
      <c r="C519" s="198"/>
      <c r="D519" s="462" t="str">
        <f>VLOOKUP(A519,'Master List'!$A$1:$C$1192,2,FALSE)</f>
        <v>Цемент</v>
      </c>
      <c r="E519" s="463" t="str">
        <f>VLOOKUP(A519,'Master List'!$A$1:$C$1192,3,FALSE)</f>
        <v>т</v>
      </c>
      <c r="F519" s="469">
        <f>F517*0.025*0.3</f>
        <v>1.16565</v>
      </c>
      <c r="G519" s="463">
        <f>VLOOKUP(A519,'Master List'!$A$4:$F3204,5,FALSE)</f>
        <v>189.1032</v>
      </c>
      <c r="H519" s="206">
        <f t="shared" si="31"/>
        <v>220.4281451</v>
      </c>
      <c r="I519" s="240"/>
    </row>
    <row r="520" outlineLevel="2">
      <c r="A520" s="422" t="str">
        <f>'Master List'!A39</f>
        <v>M-BRK-026</v>
      </c>
      <c r="B520" s="448"/>
      <c r="C520" s="198"/>
      <c r="D520" s="462" t="str">
        <f>VLOOKUP(A520,'Master List'!$A$1:$C$1192,2,FALSE)</f>
        <v>Песок</v>
      </c>
      <c r="E520" s="463" t="str">
        <f>VLOOKUP(A520,'Master List'!$A$1:$C$1192,3,FALSE)</f>
        <v>м3</v>
      </c>
      <c r="F520" s="464">
        <f>F517*0.025*1.15</f>
        <v>4.468325</v>
      </c>
      <c r="G520" s="463">
        <f>VLOOKUP(A520,'Master List'!$A$4:$F3205,5,FALSE)</f>
        <v>56.875</v>
      </c>
      <c r="H520" s="206">
        <f t="shared" si="31"/>
        <v>254.1359844</v>
      </c>
      <c r="I520" s="240"/>
    </row>
    <row r="521" outlineLevel="2">
      <c r="A521" s="422" t="str">
        <f>'Master List'!A11</f>
        <v>M-CON-012</v>
      </c>
      <c r="B521" s="448"/>
      <c r="C521" s="198"/>
      <c r="D521" s="462" t="str">
        <f>VLOOKUP(A521,'Master List'!$A$1:$C$1192,2,FALSE)</f>
        <v>Арматура диаметром 12 мм A500NR SD</v>
      </c>
      <c r="E521" s="463" t="str">
        <f>VLOOKUP(A521,'Master List'!$A$1:$C$1192,3,FALSE)</f>
        <v>кг</v>
      </c>
      <c r="F521" s="464">
        <v>50.0</v>
      </c>
      <c r="G521" s="463">
        <f>VLOOKUP(A521,'Master List'!$A$4:$F3206,5,FALSE)</f>
        <v>0.5746</v>
      </c>
      <c r="H521" s="206">
        <f t="shared" si="31"/>
        <v>28.73</v>
      </c>
      <c r="I521" s="240"/>
    </row>
    <row r="522" outlineLevel="2">
      <c r="A522" s="422"/>
      <c r="B522" s="450"/>
      <c r="C522" s="429"/>
      <c r="D522" s="450"/>
      <c r="E522" s="431"/>
      <c r="F522" s="453"/>
      <c r="G522" s="220"/>
      <c r="H522" s="220"/>
      <c r="I522" s="227"/>
    </row>
    <row r="523" outlineLevel="2">
      <c r="A523" s="422"/>
      <c r="B523" s="448" t="s">
        <v>41</v>
      </c>
      <c r="C523" s="198">
        <v>5.2</v>
      </c>
      <c r="D523" s="202" t="s">
        <v>42</v>
      </c>
      <c r="E523" s="444" t="s">
        <v>40</v>
      </c>
      <c r="F523" s="214">
        <v>32.57</v>
      </c>
      <c r="G523" s="205"/>
      <c r="H523" s="206"/>
      <c r="I523" s="219"/>
    </row>
    <row r="524" outlineLevel="2">
      <c r="A524" s="422"/>
      <c r="B524" s="448"/>
      <c r="C524" s="230"/>
      <c r="D524" s="246"/>
      <c r="E524" s="437"/>
      <c r="F524" s="170"/>
      <c r="G524" s="239"/>
      <c r="H524" s="239"/>
      <c r="I524" s="240"/>
    </row>
    <row r="525" outlineLevel="2">
      <c r="A525" s="422" t="str">
        <f>'Master List'!A516</f>
        <v>W-BRK-007</v>
      </c>
      <c r="B525" s="448"/>
      <c r="C525" s="198"/>
      <c r="D525" s="462" t="str">
        <f>VLOOKUP(A525,'Master List'!$A$1:$C$1192,2,FALSE)</f>
        <v>Кладка кирпичных перегородок толщиной 15см</v>
      </c>
      <c r="E525" s="463" t="str">
        <f>VLOOKUP(A525,'Master List'!$A$1:$C$1192,3,FALSE)</f>
        <v>м2</v>
      </c>
      <c r="F525" s="464">
        <f>F523</f>
        <v>32.57</v>
      </c>
      <c r="G525" s="463">
        <f>VLOOKUP(A525,'Master List'!$A$4:$F3209,5,FALSE)</f>
        <v>20.8</v>
      </c>
      <c r="H525" s="206">
        <f t="shared" ref="H525:H529" si="32">G525*F525</f>
        <v>677.456</v>
      </c>
      <c r="I525" s="240"/>
    </row>
    <row r="526" outlineLevel="2">
      <c r="A526" s="422" t="str">
        <f>'Master List'!A32</f>
        <v>M-BRK-002</v>
      </c>
      <c r="B526" s="448"/>
      <c r="C526" s="198"/>
      <c r="D526" s="462" t="str">
        <f>VLOOKUP(A526,'Master List'!$A$1:$C$1192,2,FALSE)</f>
        <v>Кирпич размером 30х20х15см</v>
      </c>
      <c r="E526" s="463" t="str">
        <f>VLOOKUP(A526,'Master List'!$A$1:$C$1192,3,FALSE)</f>
        <v>шт</v>
      </c>
      <c r="F526" s="464">
        <f>F525*16+0.88</f>
        <v>522</v>
      </c>
      <c r="G526" s="463">
        <f>VLOOKUP(A526,'Master List'!$A$4:$F3210,5,FALSE)</f>
        <v>0.728</v>
      </c>
      <c r="H526" s="206">
        <f t="shared" si="32"/>
        <v>380.016</v>
      </c>
      <c r="I526" s="240"/>
    </row>
    <row r="527" outlineLevel="2">
      <c r="A527" s="422" t="str">
        <f>'Master List'!A38</f>
        <v>M-BRK-025</v>
      </c>
      <c r="B527" s="448"/>
      <c r="C527" s="198"/>
      <c r="D527" s="462" t="str">
        <f>VLOOKUP(A527,'Master List'!$A$1:$C$1192,2,FALSE)</f>
        <v>Цемент</v>
      </c>
      <c r="E527" s="463" t="str">
        <f>VLOOKUP(A527,'Master List'!$A$1:$C$1192,3,FALSE)</f>
        <v>т</v>
      </c>
      <c r="F527" s="469">
        <f>F525*0.02*0.3</f>
        <v>0.19542</v>
      </c>
      <c r="G527" s="463">
        <f>VLOOKUP(A527,'Master List'!$A$4:$F3210,5,FALSE)</f>
        <v>189.1032</v>
      </c>
      <c r="H527" s="206">
        <f t="shared" si="32"/>
        <v>36.95454734</v>
      </c>
      <c r="I527" s="240"/>
    </row>
    <row r="528" outlineLevel="2">
      <c r="A528" s="422" t="str">
        <f>'Master List'!A39</f>
        <v>M-BRK-026</v>
      </c>
      <c r="B528" s="448"/>
      <c r="C528" s="198"/>
      <c r="D528" s="462" t="str">
        <f>VLOOKUP(A528,'Master List'!$A$1:$C$1192,2,FALSE)</f>
        <v>Песок</v>
      </c>
      <c r="E528" s="463" t="str">
        <f>VLOOKUP(A528,'Master List'!$A$1:$C$1192,3,FALSE)</f>
        <v>м3</v>
      </c>
      <c r="F528" s="464">
        <f>F525*0.02*1.15</f>
        <v>0.74911</v>
      </c>
      <c r="G528" s="463">
        <f>VLOOKUP(A528,'Master List'!$A$4:$F3211,5,FALSE)</f>
        <v>56.875</v>
      </c>
      <c r="H528" s="206">
        <f t="shared" si="32"/>
        <v>42.60563125</v>
      </c>
      <c r="I528" s="240"/>
    </row>
    <row r="529" outlineLevel="2">
      <c r="A529" s="422" t="str">
        <f>'Master List'!A11</f>
        <v>M-CON-012</v>
      </c>
      <c r="B529" s="448"/>
      <c r="C529" s="198"/>
      <c r="D529" s="462" t="str">
        <f>VLOOKUP(A529,'Master List'!$A$1:$C$1192,2,FALSE)</f>
        <v>Арматура диаметром 12 мм A500NR SD</v>
      </c>
      <c r="E529" s="463" t="str">
        <f>VLOOKUP(A529,'Master List'!$A$1:$C$1192,3,FALSE)</f>
        <v>кг</v>
      </c>
      <c r="F529" s="464">
        <v>20.0</v>
      </c>
      <c r="G529" s="463">
        <f>VLOOKUP(A529,'Master List'!$A$4:$F3212,5,FALSE)</f>
        <v>0.5746</v>
      </c>
      <c r="H529" s="206">
        <f t="shared" si="32"/>
        <v>11.492</v>
      </c>
      <c r="I529" s="240"/>
    </row>
    <row r="530" outlineLevel="2">
      <c r="A530" s="422"/>
      <c r="B530" s="450"/>
      <c r="C530" s="429"/>
      <c r="D530" s="450"/>
      <c r="E530" s="431"/>
      <c r="F530" s="453"/>
      <c r="G530" s="220"/>
      <c r="H530" s="220"/>
      <c r="I530" s="227"/>
    </row>
    <row r="531" outlineLevel="2">
      <c r="A531" s="422"/>
      <c r="B531" s="448" t="s">
        <v>43</v>
      </c>
      <c r="C531" s="198">
        <v>5.3</v>
      </c>
      <c r="D531" s="202" t="s">
        <v>44</v>
      </c>
      <c r="E531" s="444" t="s">
        <v>40</v>
      </c>
      <c r="F531" s="214">
        <v>144.31</v>
      </c>
      <c r="G531" s="205"/>
      <c r="H531" s="206"/>
      <c r="I531" s="219"/>
    </row>
    <row r="532" outlineLevel="2">
      <c r="A532" s="422"/>
      <c r="B532" s="448"/>
      <c r="C532" s="230"/>
      <c r="D532" s="246"/>
      <c r="E532" s="437"/>
      <c r="F532" s="170"/>
      <c r="G532" s="239"/>
      <c r="H532" s="239"/>
      <c r="I532" s="240"/>
    </row>
    <row r="533" outlineLevel="2">
      <c r="A533" s="422" t="str">
        <f>'Master List'!A517</f>
        <v>W-BRK-003</v>
      </c>
      <c r="B533" s="448"/>
      <c r="C533" s="198"/>
      <c r="D533" s="462" t="str">
        <f>VLOOKUP(A533,'Master List'!$A$1:$C$1192,2,FALSE)</f>
        <v>Кладка кирпичных перегородок толщиной 11см</v>
      </c>
      <c r="E533" s="463" t="str">
        <f>VLOOKUP(A533,'Master List'!$A$1:$C$1192,3,FALSE)</f>
        <v>м2</v>
      </c>
      <c r="F533" s="464">
        <f>F531</f>
        <v>144.31</v>
      </c>
      <c r="G533" s="463">
        <f>VLOOKUP(A533,'Master List'!$A$4:$F3216,5,FALSE)</f>
        <v>20.8</v>
      </c>
      <c r="H533" s="206">
        <f t="shared" ref="H533:H537" si="33">G533*F533</f>
        <v>3001.648</v>
      </c>
      <c r="I533" s="240"/>
    </row>
    <row r="534" outlineLevel="2">
      <c r="A534" s="422" t="str">
        <f>'Master List'!A33</f>
        <v>M-BRK-003</v>
      </c>
      <c r="B534" s="448"/>
      <c r="C534" s="198"/>
      <c r="D534" s="462" t="str">
        <f>VLOOKUP(A534,'Master List'!$A$1:$C$1192,2,FALSE)</f>
        <v>Кирпич размером 30х20х11см</v>
      </c>
      <c r="E534" s="463" t="str">
        <f>VLOOKUP(A534,'Master List'!$A$1:$C$1192,3,FALSE)</f>
        <v>шт</v>
      </c>
      <c r="F534" s="464">
        <f>F533*16+0.04</f>
        <v>2309</v>
      </c>
      <c r="G534" s="463">
        <f>VLOOKUP(A534,'Master List'!$A$4:$F3217,5,FALSE)</f>
        <v>0.559</v>
      </c>
      <c r="H534" s="206">
        <f t="shared" si="33"/>
        <v>1290.731</v>
      </c>
      <c r="I534" s="240"/>
    </row>
    <row r="535" outlineLevel="2">
      <c r="A535" s="422" t="str">
        <f>'Master List'!A38</f>
        <v>M-BRK-025</v>
      </c>
      <c r="B535" s="448"/>
      <c r="C535" s="198"/>
      <c r="D535" s="462" t="str">
        <f>VLOOKUP(A535,'Master List'!$A$1:$C$1192,2,FALSE)</f>
        <v>Цемент</v>
      </c>
      <c r="E535" s="463" t="str">
        <f>VLOOKUP(A535,'Master List'!$A$1:$C$1192,3,FALSE)</f>
        <v>т</v>
      </c>
      <c r="F535" s="469">
        <f>F533*0.015*0.3</f>
        <v>0.649395</v>
      </c>
      <c r="G535" s="463">
        <f>VLOOKUP(A535,'Master List'!$A$4:$F3218,5,FALSE)</f>
        <v>189.1032</v>
      </c>
      <c r="H535" s="206">
        <f t="shared" si="33"/>
        <v>122.8026726</v>
      </c>
      <c r="I535" s="240"/>
    </row>
    <row r="536" outlineLevel="2">
      <c r="A536" s="422" t="str">
        <f>'Master List'!A39</f>
        <v>M-BRK-026</v>
      </c>
      <c r="B536" s="448"/>
      <c r="C536" s="198"/>
      <c r="D536" s="462" t="str">
        <f>VLOOKUP(A536,'Master List'!$A$1:$C$1192,2,FALSE)</f>
        <v>Песок</v>
      </c>
      <c r="E536" s="463" t="str">
        <f>VLOOKUP(A536,'Master List'!$A$1:$C$1192,3,FALSE)</f>
        <v>м3</v>
      </c>
      <c r="F536" s="464">
        <f>F533*0.015*1.15</f>
        <v>2.4893475</v>
      </c>
      <c r="G536" s="463">
        <f>VLOOKUP(A536,'Master List'!$A$4:$F3219,5,FALSE)</f>
        <v>56.875</v>
      </c>
      <c r="H536" s="206">
        <f t="shared" si="33"/>
        <v>141.5816391</v>
      </c>
      <c r="I536" s="240"/>
    </row>
    <row r="537" outlineLevel="2">
      <c r="A537" s="422" t="str">
        <f>'Master List'!A11</f>
        <v>M-CON-012</v>
      </c>
      <c r="B537" s="448"/>
      <c r="C537" s="198"/>
      <c r="D537" s="462" t="str">
        <f>VLOOKUP(A537,'Master List'!$A$1:$C$1192,2,FALSE)</f>
        <v>Арматура диаметром 12 мм A500NR SD</v>
      </c>
      <c r="E537" s="463" t="str">
        <f>VLOOKUP(A537,'Master List'!$A$1:$C$1192,3,FALSE)</f>
        <v>кг</v>
      </c>
      <c r="F537" s="464">
        <v>45.0</v>
      </c>
      <c r="G537" s="463">
        <f>VLOOKUP(A537,'Master List'!$A$4:$F3220,5,FALSE)</f>
        <v>0.5746</v>
      </c>
      <c r="H537" s="206">
        <f t="shared" si="33"/>
        <v>25.857</v>
      </c>
      <c r="I537" s="240"/>
    </row>
    <row r="538" outlineLevel="2">
      <c r="A538" s="422"/>
      <c r="B538" s="428"/>
      <c r="C538" s="429"/>
      <c r="D538" s="428"/>
      <c r="E538" s="431"/>
      <c r="F538" s="432"/>
      <c r="G538" s="220"/>
      <c r="H538" s="220"/>
      <c r="I538" s="227"/>
    </row>
    <row r="539" outlineLevel="1">
      <c r="A539" s="422"/>
      <c r="B539" s="472" t="s">
        <v>45</v>
      </c>
      <c r="C539" s="429"/>
      <c r="D539" s="435" t="s">
        <v>46</v>
      </c>
      <c r="E539" s="431"/>
      <c r="F539" s="432"/>
      <c r="G539" s="436">
        <f>SUM(H543:H563)</f>
        <v>8722.730408</v>
      </c>
      <c r="H539" s="220"/>
      <c r="I539" s="227"/>
    </row>
    <row r="540" outlineLevel="2">
      <c r="A540" s="422"/>
      <c r="B540" s="428"/>
      <c r="C540" s="429"/>
      <c r="D540" s="428"/>
      <c r="E540" s="431"/>
      <c r="F540" s="432"/>
      <c r="G540" s="220"/>
      <c r="H540" s="220"/>
      <c r="I540" s="227"/>
    </row>
    <row r="541" outlineLevel="2">
      <c r="A541" s="422"/>
      <c r="B541" s="472" t="s">
        <v>47</v>
      </c>
      <c r="C541" s="198">
        <v>5.4</v>
      </c>
      <c r="D541" s="202" t="s">
        <v>48</v>
      </c>
      <c r="E541" s="444" t="s">
        <v>40</v>
      </c>
      <c r="F541" s="214">
        <v>152.25</v>
      </c>
      <c r="G541" s="205"/>
      <c r="H541" s="206"/>
      <c r="I541" s="219"/>
    </row>
    <row r="542" outlineLevel="2">
      <c r="A542" s="422"/>
      <c r="B542" s="472"/>
      <c r="C542" s="230"/>
      <c r="D542" s="246"/>
      <c r="E542" s="437"/>
      <c r="F542" s="170"/>
      <c r="G542" s="239"/>
      <c r="H542" s="239"/>
      <c r="I542" s="240"/>
    </row>
    <row r="543" outlineLevel="2">
      <c r="A543" s="422" t="str">
        <f>'Master List'!A516</f>
        <v>W-BRK-007</v>
      </c>
      <c r="B543" s="472"/>
      <c r="C543" s="198"/>
      <c r="D543" s="462" t="str">
        <f>VLOOKUP(A543,'Master List'!$A$1:$C$1192,2,FALSE)</f>
        <v>Кладка кирпичных перегородок толщиной 15см</v>
      </c>
      <c r="E543" s="463" t="str">
        <f>VLOOKUP(A543,'Master List'!$A$1:$C$1192,3,FALSE)</f>
        <v>м2</v>
      </c>
      <c r="F543" s="464">
        <f>F541</f>
        <v>152.25</v>
      </c>
      <c r="G543" s="463">
        <f>VLOOKUP(A543,'Master List'!$A$4:$F3226,5,FALSE)</f>
        <v>20.8</v>
      </c>
      <c r="H543" s="206">
        <f t="shared" ref="H543:H547" si="34">G543*F543</f>
        <v>3166.8</v>
      </c>
      <c r="I543" s="240"/>
    </row>
    <row r="544" outlineLevel="2">
      <c r="A544" s="422" t="str">
        <f>'Master List'!A32</f>
        <v>M-BRK-002</v>
      </c>
      <c r="B544" s="472"/>
      <c r="C544" s="198"/>
      <c r="D544" s="462" t="str">
        <f>VLOOKUP(A544,'Master List'!$A$1:$C$1192,2,FALSE)</f>
        <v>Кирпич размером 30х20х15см</v>
      </c>
      <c r="E544" s="463" t="str">
        <f>VLOOKUP(A544,'Master List'!$A$1:$C$1192,3,FALSE)</f>
        <v>шт</v>
      </c>
      <c r="F544" s="464">
        <f>F543*16</f>
        <v>2436</v>
      </c>
      <c r="G544" s="463">
        <f>VLOOKUP(A544,'Master List'!$A$4:$F3227,5,FALSE)</f>
        <v>0.728</v>
      </c>
      <c r="H544" s="206">
        <f t="shared" si="34"/>
        <v>1773.408</v>
      </c>
      <c r="I544" s="240"/>
    </row>
    <row r="545" outlineLevel="2">
      <c r="A545" s="422" t="str">
        <f>'Master List'!A38</f>
        <v>M-BRK-025</v>
      </c>
      <c r="B545" s="472"/>
      <c r="C545" s="198"/>
      <c r="D545" s="462" t="str">
        <f>VLOOKUP(A545,'Master List'!$A$1:$C$1192,2,FALSE)</f>
        <v>Цемент</v>
      </c>
      <c r="E545" s="463" t="str">
        <f>VLOOKUP(A545,'Master List'!$A$1:$C$1192,3,FALSE)</f>
        <v>т</v>
      </c>
      <c r="F545" s="469">
        <f>F543*0.015*0.3</f>
        <v>0.685125</v>
      </c>
      <c r="G545" s="463">
        <f>VLOOKUP(A545,'Master List'!$A$4:$F3228,5,FALSE)</f>
        <v>189.1032</v>
      </c>
      <c r="H545" s="206">
        <f t="shared" si="34"/>
        <v>129.5593299</v>
      </c>
      <c r="I545" s="240"/>
    </row>
    <row r="546" outlineLevel="2">
      <c r="A546" s="422" t="str">
        <f>'Master List'!A39</f>
        <v>M-BRK-026</v>
      </c>
      <c r="B546" s="472"/>
      <c r="C546" s="198"/>
      <c r="D546" s="462" t="str">
        <f>VLOOKUP(A546,'Master List'!$A$1:$C$1192,2,FALSE)</f>
        <v>Песок</v>
      </c>
      <c r="E546" s="463" t="str">
        <f>VLOOKUP(A546,'Master List'!$A$1:$C$1192,3,FALSE)</f>
        <v>м3</v>
      </c>
      <c r="F546" s="464">
        <f>F543*0.015*1.15</f>
        <v>2.6263125</v>
      </c>
      <c r="G546" s="463">
        <f>VLOOKUP(A546,'Master List'!$A$4:$F3229,5,FALSE)</f>
        <v>56.875</v>
      </c>
      <c r="H546" s="206">
        <f t="shared" si="34"/>
        <v>149.3715234</v>
      </c>
      <c r="I546" s="240"/>
    </row>
    <row r="547" outlineLevel="2">
      <c r="A547" s="422" t="str">
        <f>'Master List'!A11</f>
        <v>M-CON-012</v>
      </c>
      <c r="B547" s="472"/>
      <c r="C547" s="198"/>
      <c r="D547" s="462" t="str">
        <f>VLOOKUP(A547,'Master List'!$A$1:$C$1192,2,FALSE)</f>
        <v>Арматура диаметром 12 мм A500NR SD</v>
      </c>
      <c r="E547" s="463" t="str">
        <f>VLOOKUP(A547,'Master List'!$A$1:$C$1192,3,FALSE)</f>
        <v>кг</v>
      </c>
      <c r="F547" s="464">
        <v>50.0</v>
      </c>
      <c r="G547" s="463">
        <f>VLOOKUP(A547,'Master List'!$A$4:$F3230,5,FALSE)</f>
        <v>0.5746</v>
      </c>
      <c r="H547" s="206">
        <f t="shared" si="34"/>
        <v>28.73</v>
      </c>
      <c r="I547" s="240"/>
    </row>
    <row r="548" outlineLevel="2">
      <c r="A548" s="422"/>
      <c r="B548" s="428"/>
      <c r="C548" s="429"/>
      <c r="D548" s="428"/>
      <c r="E548" s="431"/>
      <c r="F548" s="432"/>
      <c r="G548" s="220"/>
      <c r="H548" s="220"/>
      <c r="I548" s="227"/>
    </row>
    <row r="549" outlineLevel="2">
      <c r="A549" s="422"/>
      <c r="B549" s="472" t="s">
        <v>49</v>
      </c>
      <c r="C549" s="198">
        <v>5.5</v>
      </c>
      <c r="D549" s="202" t="s">
        <v>50</v>
      </c>
      <c r="E549" s="444" t="s">
        <v>40</v>
      </c>
      <c r="F549" s="214">
        <v>14.64</v>
      </c>
      <c r="G549" s="205"/>
      <c r="H549" s="206"/>
      <c r="I549" s="219"/>
    </row>
    <row r="550" outlineLevel="2">
      <c r="A550" s="422"/>
      <c r="B550" s="472"/>
      <c r="C550" s="230"/>
      <c r="D550" s="246"/>
      <c r="E550" s="437"/>
      <c r="F550" s="170"/>
      <c r="G550" s="239"/>
      <c r="H550" s="239"/>
      <c r="I550" s="240"/>
    </row>
    <row r="551" outlineLevel="2">
      <c r="A551" s="422" t="str">
        <f>'Master List'!A518</f>
        <v>W-BRK-004</v>
      </c>
      <c r="B551" s="472"/>
      <c r="C551" s="198"/>
      <c r="D551" s="462" t="str">
        <f>VLOOKUP(A551,'Master List'!$A$1:$C$1192,2,FALSE)</f>
        <v>Кладка кирпичных перегородок толщиной 7см</v>
      </c>
      <c r="E551" s="463" t="str">
        <f>VLOOKUP(A551,'Master List'!$A$1:$C$1192,3,FALSE)</f>
        <v>м2</v>
      </c>
      <c r="F551" s="464">
        <f>F549</f>
        <v>14.64</v>
      </c>
      <c r="G551" s="463">
        <f>VLOOKUP(A551,'Master List'!$A$4:$F3233,5,FALSE)</f>
        <v>20.8</v>
      </c>
      <c r="H551" s="206">
        <f t="shared" ref="H551:H555" si="35">G551*F551</f>
        <v>304.512</v>
      </c>
      <c r="I551" s="240"/>
    </row>
    <row r="552" outlineLevel="2">
      <c r="A552" s="422" t="str">
        <f>'Master List'!A34</f>
        <v>M-BRK-008</v>
      </c>
      <c r="B552" s="472"/>
      <c r="C552" s="198"/>
      <c r="D552" s="462" t="str">
        <f>VLOOKUP(A552,'Master List'!$A$1:$C$1192,2,FALSE)</f>
        <v>Кирпич размером 30х20х7см</v>
      </c>
      <c r="E552" s="463" t="str">
        <f>VLOOKUP(A552,'Master List'!$A$1:$C$1192,3,FALSE)</f>
        <v>шт</v>
      </c>
      <c r="F552" s="464">
        <f>F551*16+0.76</f>
        <v>235</v>
      </c>
      <c r="G552" s="463">
        <f>VLOOKUP(A552,'Master List'!$A$4:$F3234,5,FALSE)</f>
        <v>0.351</v>
      </c>
      <c r="H552" s="206">
        <f t="shared" si="35"/>
        <v>82.485</v>
      </c>
      <c r="I552" s="240"/>
    </row>
    <row r="553" outlineLevel="2">
      <c r="A553" s="422" t="str">
        <f>'Master List'!A38</f>
        <v>M-BRK-025</v>
      </c>
      <c r="B553" s="472"/>
      <c r="C553" s="198"/>
      <c r="D553" s="462" t="str">
        <f>VLOOKUP(A553,'Master List'!$A$1:$C$1192,2,FALSE)</f>
        <v>Цемент</v>
      </c>
      <c r="E553" s="463" t="str">
        <f>VLOOKUP(A553,'Master List'!$A$1:$C$1192,3,FALSE)</f>
        <v>т</v>
      </c>
      <c r="F553" s="469">
        <f>F551*0.015*0.3</f>
        <v>0.06588</v>
      </c>
      <c r="G553" s="463">
        <f>VLOOKUP(A553,'Master List'!$A$4:$F3235,5,FALSE)</f>
        <v>189.1032</v>
      </c>
      <c r="H553" s="206">
        <f t="shared" si="35"/>
        <v>12.45811882</v>
      </c>
      <c r="I553" s="240"/>
    </row>
    <row r="554" outlineLevel="2">
      <c r="A554" s="422" t="str">
        <f>'Master List'!A39</f>
        <v>M-BRK-026</v>
      </c>
      <c r="B554" s="472"/>
      <c r="C554" s="198"/>
      <c r="D554" s="462" t="str">
        <f>VLOOKUP(A554,'Master List'!$A$1:$C$1192,2,FALSE)</f>
        <v>Песок</v>
      </c>
      <c r="E554" s="463" t="str">
        <f>VLOOKUP(A554,'Master List'!$A$1:$C$1192,3,FALSE)</f>
        <v>м3</v>
      </c>
      <c r="F554" s="464">
        <f>F551*0.015*1.15</f>
        <v>0.25254</v>
      </c>
      <c r="G554" s="463">
        <f>VLOOKUP(A554,'Master List'!$A$4:$F3235,5,FALSE)</f>
        <v>56.875</v>
      </c>
      <c r="H554" s="206">
        <f t="shared" si="35"/>
        <v>14.3632125</v>
      </c>
      <c r="I554" s="240"/>
    </row>
    <row r="555" outlineLevel="2">
      <c r="A555" s="422" t="str">
        <f>'Master List'!A11</f>
        <v>M-CON-012</v>
      </c>
      <c r="B555" s="472"/>
      <c r="C555" s="198"/>
      <c r="D555" s="462" t="str">
        <f>VLOOKUP(A555,'Master List'!$A$1:$C$1192,2,FALSE)</f>
        <v>Арматура диаметром 12 мм A500NR SD</v>
      </c>
      <c r="E555" s="463" t="str">
        <f>VLOOKUP(A555,'Master List'!$A$1:$C$1192,3,FALSE)</f>
        <v>кг</v>
      </c>
      <c r="F555" s="464">
        <v>10.0</v>
      </c>
      <c r="G555" s="463">
        <f>VLOOKUP(A555,'Master List'!$A$4:$F3236,5,FALSE)</f>
        <v>0.5746</v>
      </c>
      <c r="H555" s="206">
        <f t="shared" si="35"/>
        <v>5.746</v>
      </c>
      <c r="I555" s="240"/>
    </row>
    <row r="556" outlineLevel="2">
      <c r="A556" s="422"/>
      <c r="B556" s="428"/>
      <c r="C556" s="429"/>
      <c r="D556" s="428"/>
      <c r="E556" s="431"/>
      <c r="F556" s="432"/>
      <c r="G556" s="220"/>
      <c r="H556" s="220"/>
      <c r="I556" s="227"/>
    </row>
    <row r="557" outlineLevel="2">
      <c r="A557" s="422"/>
      <c r="B557" s="472" t="s">
        <v>51</v>
      </c>
      <c r="C557" s="198">
        <v>5.6</v>
      </c>
      <c r="D557" s="202" t="s">
        <v>52</v>
      </c>
      <c r="E557" s="444" t="s">
        <v>40</v>
      </c>
      <c r="F557" s="214">
        <v>48.01</v>
      </c>
      <c r="G557" s="205"/>
      <c r="H557" s="206"/>
      <c r="I557" s="219"/>
    </row>
    <row r="558" outlineLevel="2">
      <c r="A558" s="422"/>
      <c r="B558" s="472"/>
      <c r="C558" s="230"/>
      <c r="D558" s="246"/>
      <c r="E558" s="437"/>
      <c r="F558" s="170"/>
      <c r="G558" s="239"/>
      <c r="H558" s="239"/>
      <c r="I558" s="240"/>
    </row>
    <row r="559" outlineLevel="2">
      <c r="A559" s="422" t="str">
        <f>'Master List'!A517</f>
        <v>W-BRK-003</v>
      </c>
      <c r="B559" s="472"/>
      <c r="C559" s="198"/>
      <c r="D559" s="462" t="str">
        <f>VLOOKUP(A559,'Master List'!$A$1:$C$1192,2,FALSE)</f>
        <v>Кладка кирпичных перегородок толщиной 11см</v>
      </c>
      <c r="E559" s="463" t="str">
        <f>VLOOKUP(A559,'Master List'!$A$1:$C$1192,3,FALSE)</f>
        <v>м2</v>
      </c>
      <c r="F559" s="464">
        <f>F557*2</f>
        <v>96.02</v>
      </c>
      <c r="G559" s="463">
        <f>VLOOKUP(A559,'Master List'!$A$4:$F3240,5,FALSE)</f>
        <v>20.8</v>
      </c>
      <c r="H559" s="206">
        <f t="shared" ref="H559:H563" si="36">G559*F559</f>
        <v>1997.216</v>
      </c>
      <c r="I559" s="240"/>
    </row>
    <row r="560" outlineLevel="2">
      <c r="A560" s="422" t="str">
        <f>'Master List'!A33</f>
        <v>M-BRK-003</v>
      </c>
      <c r="B560" s="472"/>
      <c r="C560" s="198"/>
      <c r="D560" s="462" t="str">
        <f>VLOOKUP(A560,'Master List'!$A$1:$C$1192,2,FALSE)</f>
        <v>Кирпич размером 30х20х11см</v>
      </c>
      <c r="E560" s="463" t="str">
        <f>VLOOKUP(A560,'Master List'!$A$1:$C$1192,3,FALSE)</f>
        <v>шт</v>
      </c>
      <c r="F560" s="464">
        <f>F559*16+0.68</f>
        <v>1537</v>
      </c>
      <c r="G560" s="463">
        <f>VLOOKUP(A560,'Master List'!$A$4:$F3241,5,FALSE)</f>
        <v>0.559</v>
      </c>
      <c r="H560" s="206">
        <f t="shared" si="36"/>
        <v>859.183</v>
      </c>
      <c r="I560" s="240"/>
    </row>
    <row r="561" outlineLevel="2">
      <c r="A561" s="422" t="str">
        <f>'Master List'!A38</f>
        <v>M-BRK-025</v>
      </c>
      <c r="B561" s="472"/>
      <c r="C561" s="198"/>
      <c r="D561" s="462" t="str">
        <f>VLOOKUP(A561,'Master List'!$A$1:$C$1192,2,FALSE)</f>
        <v>Цемент</v>
      </c>
      <c r="E561" s="463" t="str">
        <f>VLOOKUP(A561,'Master List'!$A$1:$C$1192,3,FALSE)</f>
        <v>т</v>
      </c>
      <c r="F561" s="469">
        <f>F559*0.015*0.3</f>
        <v>0.43209</v>
      </c>
      <c r="G561" s="463">
        <f>VLOOKUP(A561,'Master List'!$A$4:$F3242,5,FALSE)</f>
        <v>189.1032</v>
      </c>
      <c r="H561" s="206">
        <f t="shared" si="36"/>
        <v>81.70960169</v>
      </c>
      <c r="I561" s="240"/>
    </row>
    <row r="562" outlineLevel="2">
      <c r="A562" s="422" t="str">
        <f>'Master List'!A39</f>
        <v>M-BRK-026</v>
      </c>
      <c r="B562" s="472"/>
      <c r="C562" s="198"/>
      <c r="D562" s="462" t="str">
        <f>VLOOKUP(A562,'Master List'!$A$1:$C$1192,2,FALSE)</f>
        <v>Песок</v>
      </c>
      <c r="E562" s="463" t="str">
        <f>VLOOKUP(A562,'Master List'!$A$1:$C$1192,3,FALSE)</f>
        <v>м3</v>
      </c>
      <c r="F562" s="464">
        <f>F559*0.015*1.15</f>
        <v>1.656345</v>
      </c>
      <c r="G562" s="463">
        <f>VLOOKUP(A562,'Master List'!$A$4:$F3243,5,FALSE)</f>
        <v>56.875</v>
      </c>
      <c r="H562" s="206">
        <f t="shared" si="36"/>
        <v>94.20462188</v>
      </c>
      <c r="I562" s="240"/>
    </row>
    <row r="563" outlineLevel="2">
      <c r="A563" s="422" t="str">
        <f>'Master List'!A11</f>
        <v>M-CON-012</v>
      </c>
      <c r="B563" s="472"/>
      <c r="C563" s="198"/>
      <c r="D563" s="462" t="str">
        <f>VLOOKUP(A563,'Master List'!$A$1:$C$1192,2,FALSE)</f>
        <v>Арматура диаметром 12 мм A500NR SD</v>
      </c>
      <c r="E563" s="463" t="str">
        <f>VLOOKUP(A563,'Master List'!$A$1:$C$1192,3,FALSE)</f>
        <v>кг</v>
      </c>
      <c r="F563" s="464">
        <v>40.0</v>
      </c>
      <c r="G563" s="463">
        <f>VLOOKUP(A563,'Master List'!$A$4:$F3244,5,FALSE)</f>
        <v>0.5746</v>
      </c>
      <c r="H563" s="206">
        <f t="shared" si="36"/>
        <v>22.984</v>
      </c>
      <c r="I563" s="240"/>
    </row>
    <row r="564" outlineLevel="2">
      <c r="A564" s="422"/>
      <c r="B564" s="428"/>
      <c r="C564" s="429"/>
      <c r="D564" s="428"/>
      <c r="E564" s="431"/>
      <c r="F564" s="432"/>
      <c r="G564" s="220"/>
      <c r="H564" s="220"/>
      <c r="I564" s="227"/>
    </row>
    <row r="565" outlineLevel="1">
      <c r="A565" s="422"/>
      <c r="B565" s="472" t="s">
        <v>53</v>
      </c>
      <c r="C565" s="429"/>
      <c r="D565" s="435" t="s">
        <v>5596</v>
      </c>
      <c r="E565" s="431"/>
      <c r="F565" s="432"/>
      <c r="G565" s="436">
        <f>SUM(H569:H641)</f>
        <v>6751.830968</v>
      </c>
      <c r="H565" s="220"/>
      <c r="I565" s="227"/>
    </row>
    <row r="566" outlineLevel="2">
      <c r="A566" s="422"/>
      <c r="B566" s="428"/>
      <c r="C566" s="429"/>
      <c r="D566" s="428"/>
      <c r="E566" s="431"/>
      <c r="F566" s="432"/>
      <c r="G566" s="220"/>
      <c r="H566" s="220"/>
      <c r="I566" s="227"/>
    </row>
    <row r="567" outlineLevel="2">
      <c r="A567" s="422"/>
      <c r="B567" s="472" t="s">
        <v>55</v>
      </c>
      <c r="C567" s="198">
        <v>5.7</v>
      </c>
      <c r="D567" s="202" t="s">
        <v>56</v>
      </c>
      <c r="E567" s="444" t="s">
        <v>40</v>
      </c>
      <c r="F567" s="214">
        <v>19.35</v>
      </c>
      <c r="G567" s="206"/>
      <c r="H567" s="206"/>
      <c r="I567" s="219"/>
    </row>
    <row r="568" outlineLevel="2">
      <c r="A568" s="422"/>
      <c r="B568" s="472"/>
      <c r="C568" s="230"/>
      <c r="D568" s="246"/>
      <c r="E568" s="437"/>
      <c r="F568" s="170"/>
      <c r="G568" s="239"/>
      <c r="H568" s="239"/>
      <c r="I568" s="240"/>
    </row>
    <row r="569" outlineLevel="2">
      <c r="A569" s="422" t="str">
        <f>'Master List'!A523</f>
        <v>W-GKR-001</v>
      </c>
      <c r="B569" s="472"/>
      <c r="C569" s="198"/>
      <c r="D569" s="462" t="str">
        <f>VLOOKUP(A569,'Master List'!$A$1:$C$1192,2,FALSE)</f>
        <v>Облицювання стін гіпсокартонними листами в 2 шари з заповненням каркасу мінватою товщиною 9см </v>
      </c>
      <c r="E569" s="463" t="str">
        <f>VLOOKUP(A569,'Master List'!$A$1:$C$1192,3,FALSE)</f>
        <v>м2</v>
      </c>
      <c r="F569" s="464">
        <f>F567</f>
        <v>19.35</v>
      </c>
      <c r="G569" s="463">
        <f>VLOOKUP(A569,'Master List'!$A$4:$F3250,5,FALSE)</f>
        <v>36.4</v>
      </c>
      <c r="H569" s="206">
        <f t="shared" ref="H569:H578" si="37">G569*F569</f>
        <v>704.34</v>
      </c>
      <c r="I569" s="240"/>
    </row>
    <row r="570" outlineLevel="2">
      <c r="A570" s="422" t="str">
        <f>'Master List'!A83</f>
        <v>M-FIN-043</v>
      </c>
      <c r="B570" s="472"/>
      <c r="C570" s="198"/>
      <c r="D570" s="462" t="str">
        <f>VLOOKUP(A570,'Master List'!$A$1:$C$1192,2,FALSE)</f>
        <v>Лист гипсокартонный размером 2500х1200х12,5 мм</v>
      </c>
      <c r="E570" s="463" t="str">
        <f>VLOOKUP(A570,'Master List'!$A$1:$C$1192,3,FALSE)</f>
        <v>шт</v>
      </c>
      <c r="F570" s="464">
        <f>F569*2/3*1.05+0.45</f>
        <v>13.995</v>
      </c>
      <c r="G570" s="463">
        <f>VLOOKUP(A570,'Master List'!$A$4:$F3251,5,FALSE)</f>
        <v>13.494</v>
      </c>
      <c r="H570" s="206">
        <f t="shared" si="37"/>
        <v>188.84853</v>
      </c>
      <c r="I570" s="240"/>
    </row>
    <row r="571" outlineLevel="2">
      <c r="A571" s="422" t="str">
        <f>'Master List'!A85</f>
        <v>M-FIN-042</v>
      </c>
      <c r="B571" s="472"/>
      <c r="C571" s="198"/>
      <c r="D571" s="462" t="str">
        <f>VLOOKUP(A571,'Master List'!$A$1:$C$1192,2,FALSE)</f>
        <v>Профіль для гіпсокартонних перегородок</v>
      </c>
      <c r="E571" s="463" t="str">
        <f>VLOOKUP(A571,'Master List'!$A$1:$C$1192,3,FALSE)</f>
        <v>м</v>
      </c>
      <c r="F571" s="464">
        <f>F569*3.5</f>
        <v>67.725</v>
      </c>
      <c r="G571" s="463">
        <f>VLOOKUP(A571,'Master List'!$A$4:$F3252,5,FALSE)</f>
        <v>2.587</v>
      </c>
      <c r="H571" s="206">
        <f t="shared" si="37"/>
        <v>175.204575</v>
      </c>
      <c r="I571" s="240"/>
    </row>
    <row r="572" outlineLevel="2">
      <c r="A572" s="422" t="str">
        <f>'Master List'!A67</f>
        <v>M-TER-011</v>
      </c>
      <c r="B572" s="472"/>
      <c r="C572" s="198"/>
      <c r="D572" s="462" t="str">
        <f>VLOOKUP(A572,'Master List'!$A$1:$C$1192,2,FALSE)</f>
        <v>Мінеральна вата товщиною 90мм</v>
      </c>
      <c r="E572" s="463" t="str">
        <f>VLOOKUP(A572,'Master List'!$A$1:$C$1192,3,FALSE)</f>
        <v>м2</v>
      </c>
      <c r="F572" s="464">
        <f>F569*1.05</f>
        <v>20.3175</v>
      </c>
      <c r="G572" s="463">
        <f>VLOOKUP(A572,'Master List'!$A$4:$F3253,5,FALSE)</f>
        <v>4.004</v>
      </c>
      <c r="H572" s="206">
        <f t="shared" si="37"/>
        <v>81.35127</v>
      </c>
      <c r="I572" s="240"/>
    </row>
    <row r="573" outlineLevel="2">
      <c r="A573" s="422" t="str">
        <f>'Master List'!A91</f>
        <v>M-FIN-036</v>
      </c>
      <c r="B573" s="472"/>
      <c r="C573" s="198"/>
      <c r="D573" s="462" t="str">
        <f>VLOOKUP(A573,'Master List'!$A$1:$C$1192,2,FALSE)</f>
        <v>Гвозди Hilti для крепления уголка направляющего 1000шт</v>
      </c>
      <c r="E573" s="463" t="str">
        <f>VLOOKUP(A573,'Master List'!$A$1:$C$1192,3,FALSE)</f>
        <v>уп</v>
      </c>
      <c r="F573" s="464">
        <f>F569*2/1000</f>
        <v>0.0387</v>
      </c>
      <c r="G573" s="463">
        <f>VLOOKUP(A573,'Master List'!$A$4:$F3253,5,FALSE)</f>
        <v>81.9</v>
      </c>
      <c r="H573" s="206">
        <f t="shared" si="37"/>
        <v>3.16953</v>
      </c>
      <c r="I573" s="240"/>
    </row>
    <row r="574" outlineLevel="2">
      <c r="A574" s="422" t="str">
        <f>'Master List'!A92</f>
        <v>M-FIN-037</v>
      </c>
      <c r="B574" s="472"/>
      <c r="C574" s="198"/>
      <c r="D574" s="462" t="str">
        <f>VLOOKUP(A574,'Master List'!$A$1:$C$1192,2,FALSE)</f>
        <v>Саморез для гипсокартона размером 3,5х25мм 1000шт</v>
      </c>
      <c r="E574" s="463" t="str">
        <f>VLOOKUP(A574,'Master List'!$A$1:$C$1192,3,FALSE)</f>
        <v>уп</v>
      </c>
      <c r="F574" s="464">
        <f>F569*20/1000</f>
        <v>0.387</v>
      </c>
      <c r="G574" s="463">
        <f>VLOOKUP(A574,'Master List'!$A$4:$F3254,5,FALSE)</f>
        <v>8.84</v>
      </c>
      <c r="H574" s="206">
        <f t="shared" si="37"/>
        <v>3.42108</v>
      </c>
      <c r="I574" s="240"/>
    </row>
    <row r="575" outlineLevel="2">
      <c r="A575" s="422" t="str">
        <f>'Master List'!A93</f>
        <v>M-FIN-038</v>
      </c>
      <c r="B575" s="472"/>
      <c r="C575" s="198"/>
      <c r="D575" s="462" t="str">
        <f>VLOOKUP(A575,'Master List'!$A$1:$C$1192,2,FALSE)</f>
        <v>Саморез для гипсокартона размером 3,5х9,5мм 1000шт</v>
      </c>
      <c r="E575" s="463" t="str">
        <f>VLOOKUP(A575,'Master List'!$A$1:$C$1192,3,FALSE)</f>
        <v>уп</v>
      </c>
      <c r="F575" s="464">
        <f>F569*3/1000</f>
        <v>0.05805</v>
      </c>
      <c r="G575" s="463">
        <f>VLOOKUP(A575,'Master List'!$A$4:$F3255,5,FALSE)</f>
        <v>11.037</v>
      </c>
      <c r="H575" s="206">
        <f t="shared" si="37"/>
        <v>0.64069785</v>
      </c>
      <c r="I575" s="240"/>
    </row>
    <row r="576" outlineLevel="2">
      <c r="A576" s="422" t="str">
        <f>'Master List'!A94</f>
        <v>M-FIN-039</v>
      </c>
      <c r="B576" s="472"/>
      <c r="C576" s="198"/>
      <c r="D576" s="462" t="str">
        <f>VLOOKUP(A576,'Master List'!$A$1:$C$1192,2,FALSE)</f>
        <v>Сверла по бетону диаметром 6мм</v>
      </c>
      <c r="E576" s="463" t="str">
        <f>VLOOKUP(A576,'Master List'!$A$1:$C$1192,3,FALSE)</f>
        <v>шт</v>
      </c>
      <c r="F576" s="464">
        <f>F569*0.05+0.03</f>
        <v>0.9975</v>
      </c>
      <c r="G576" s="463">
        <f>VLOOKUP(A576,'Master List'!$A$4:$F3256,5,FALSE)</f>
        <v>2.86</v>
      </c>
      <c r="H576" s="206">
        <f t="shared" si="37"/>
        <v>2.85285</v>
      </c>
      <c r="I576" s="240"/>
    </row>
    <row r="577" outlineLevel="2">
      <c r="A577" s="422" t="str">
        <f>'Master List'!A95</f>
        <v>M-FIN-040</v>
      </c>
      <c r="B577" s="472"/>
      <c r="C577" s="198"/>
      <c r="D577" s="462" t="str">
        <f>VLOOKUP(A577,'Master List'!$A$1:$C$1192,2,FALSE)</f>
        <v>Лента бумажная для швов гипсокартона</v>
      </c>
      <c r="E577" s="463" t="str">
        <f>VLOOKUP(A577,'Master List'!$A$1:$C$1192,3,FALSE)</f>
        <v>м</v>
      </c>
      <c r="F577" s="464">
        <f>F569*1.3</f>
        <v>25.155</v>
      </c>
      <c r="G577" s="463">
        <f>VLOOKUP(A577,'Master List'!$A$4:$F3257,5,FALSE)</f>
        <v>0.0351</v>
      </c>
      <c r="H577" s="206">
        <f t="shared" si="37"/>
        <v>0.8829405</v>
      </c>
      <c r="I577" s="240"/>
    </row>
    <row r="578" outlineLevel="2">
      <c r="A578" s="422" t="str">
        <f>'Master List'!A96</f>
        <v>M-FIN-041</v>
      </c>
      <c r="B578" s="472"/>
      <c r="C578" s="198"/>
      <c r="D578" s="462" t="str">
        <f>VLOOKUP(A578,'Master List'!$A$1:$C$1192,2,FALSE)</f>
        <v>Шпаклевка для швов гипсокартона Semin CE-78 25кг</v>
      </c>
      <c r="E578" s="463" t="str">
        <f>VLOOKUP(A578,'Master List'!$A$1:$C$1192,3,FALSE)</f>
        <v>шт</v>
      </c>
      <c r="F578" s="464">
        <f>F569*0.03</f>
        <v>0.5805</v>
      </c>
      <c r="G578" s="463">
        <f>VLOOKUP(A578,'Master List'!$A$4:$F3258,5,FALSE)</f>
        <v>15.262</v>
      </c>
      <c r="H578" s="206">
        <f t="shared" si="37"/>
        <v>8.859591</v>
      </c>
      <c r="I578" s="240"/>
    </row>
    <row r="579" outlineLevel="2">
      <c r="A579" s="422"/>
      <c r="B579" s="428"/>
      <c r="C579" s="429"/>
      <c r="D579" s="428"/>
      <c r="E579" s="431"/>
      <c r="F579" s="432"/>
      <c r="G579" s="220"/>
      <c r="H579" s="220"/>
      <c r="I579" s="227"/>
    </row>
    <row r="580" outlineLevel="2">
      <c r="A580" s="422"/>
      <c r="B580" s="472" t="s">
        <v>57</v>
      </c>
      <c r="C580" s="198">
        <v>5.8</v>
      </c>
      <c r="D580" s="202" t="s">
        <v>58</v>
      </c>
      <c r="E580" s="444" t="s">
        <v>40</v>
      </c>
      <c r="F580" s="214">
        <v>37.64</v>
      </c>
      <c r="G580" s="206"/>
      <c r="H580" s="206"/>
      <c r="I580" s="219"/>
    </row>
    <row r="581" outlineLevel="2">
      <c r="A581" s="422"/>
      <c r="B581" s="472"/>
      <c r="C581" s="230"/>
      <c r="D581" s="246"/>
      <c r="E581" s="437"/>
      <c r="F581" s="170"/>
      <c r="G581" s="239"/>
      <c r="H581" s="239"/>
      <c r="I581" s="240"/>
    </row>
    <row r="582" outlineLevel="2">
      <c r="A582" s="422" t="str">
        <f>'Master List'!A524</f>
        <v>W-GKR-002</v>
      </c>
      <c r="B582" s="472"/>
      <c r="C582" s="198"/>
      <c r="D582" s="462" t="str">
        <f>VLOOKUP(A582,'Master List'!$A$1:$C$1192,2,FALSE)</f>
        <v>Облицювання стін гіпсокартонними листами в 2 шари з заповненням каркасу мінватою товщиною 5см </v>
      </c>
      <c r="E582" s="463" t="str">
        <f>VLOOKUP(A582,'Master List'!$A$1:$C$1192,3,FALSE)</f>
        <v>м2</v>
      </c>
      <c r="F582" s="464">
        <f>F580</f>
        <v>37.64</v>
      </c>
      <c r="G582" s="463">
        <f>VLOOKUP(A582,'Master List'!$A$4:$F3263,5,FALSE)</f>
        <v>24.7</v>
      </c>
      <c r="H582" s="206">
        <f t="shared" ref="H582:H591" si="38">G582*F582</f>
        <v>929.708</v>
      </c>
      <c r="I582" s="240"/>
    </row>
    <row r="583" outlineLevel="2">
      <c r="A583" s="422" t="str">
        <f>'Master List'!A83</f>
        <v>M-FIN-043</v>
      </c>
      <c r="B583" s="472"/>
      <c r="C583" s="198"/>
      <c r="D583" s="462" t="str">
        <f>VLOOKUP(A583,'Master List'!$A$1:$C$1192,2,FALSE)</f>
        <v>Лист гипсокартонный размером 2500х1200х12,5 мм</v>
      </c>
      <c r="E583" s="463" t="str">
        <f>VLOOKUP(A583,'Master List'!$A$1:$C$1192,3,FALSE)</f>
        <v>шт</v>
      </c>
      <c r="F583" s="464">
        <f>F582*2/3*1.05+0.65</f>
        <v>26.998</v>
      </c>
      <c r="G583" s="463">
        <f>VLOOKUP(A583,'Master List'!$A$4:$F3264,5,FALSE)</f>
        <v>13.494</v>
      </c>
      <c r="H583" s="206">
        <f t="shared" si="38"/>
        <v>364.311012</v>
      </c>
      <c r="I583" s="240"/>
    </row>
    <row r="584" outlineLevel="2">
      <c r="A584" s="422" t="str">
        <f>'Master List'!A85</f>
        <v>M-FIN-042</v>
      </c>
      <c r="B584" s="472"/>
      <c r="C584" s="198"/>
      <c r="D584" s="462" t="str">
        <f>VLOOKUP(A584,'Master List'!$A$1:$C$1192,2,FALSE)</f>
        <v>Профіль для гіпсокартонних перегородок</v>
      </c>
      <c r="E584" s="463" t="str">
        <f>VLOOKUP(A584,'Master List'!$A$1:$C$1192,3,FALSE)</f>
        <v>м</v>
      </c>
      <c r="F584" s="464">
        <f>F582*3.5</f>
        <v>131.74</v>
      </c>
      <c r="G584" s="463">
        <f>VLOOKUP(A584,'Master List'!$A$4:$F3265,5,FALSE)</f>
        <v>2.587</v>
      </c>
      <c r="H584" s="206">
        <f t="shared" si="38"/>
        <v>340.81138</v>
      </c>
      <c r="I584" s="240"/>
    </row>
    <row r="585" outlineLevel="2">
      <c r="A585" s="422" t="str">
        <f>'Master List'!A68</f>
        <v>M-TER-012</v>
      </c>
      <c r="B585" s="472"/>
      <c r="C585" s="198"/>
      <c r="D585" s="462" t="str">
        <f>VLOOKUP(A585,'Master List'!$A$1:$C$1192,2,FALSE)</f>
        <v>Мінеральна вата товщиною 50мм</v>
      </c>
      <c r="E585" s="463" t="str">
        <f>VLOOKUP(A585,'Master List'!$A$1:$C$1192,3,FALSE)</f>
        <v>м2</v>
      </c>
      <c r="F585" s="464">
        <f>F582*1.05</f>
        <v>39.522</v>
      </c>
      <c r="G585" s="463">
        <f>VLOOKUP(A585,'Master List'!$A$4:$F3266,5,FALSE)</f>
        <v>2.847</v>
      </c>
      <c r="H585" s="206">
        <f t="shared" si="38"/>
        <v>112.519134</v>
      </c>
      <c r="I585" s="240"/>
    </row>
    <row r="586" outlineLevel="2">
      <c r="A586" s="422" t="str">
        <f>'Master List'!A91</f>
        <v>M-FIN-036</v>
      </c>
      <c r="B586" s="472"/>
      <c r="C586" s="198"/>
      <c r="D586" s="462" t="str">
        <f>VLOOKUP(A586,'Master List'!$A$1:$C$1192,2,FALSE)</f>
        <v>Гвозди Hilti для крепления уголка направляющего 1000шт</v>
      </c>
      <c r="E586" s="463" t="str">
        <f>VLOOKUP(A586,'Master List'!$A$1:$C$1192,3,FALSE)</f>
        <v>уп</v>
      </c>
      <c r="F586" s="464">
        <f>F582*2/1000</f>
        <v>0.07528</v>
      </c>
      <c r="G586" s="463">
        <f>VLOOKUP(A586,'Master List'!$A$4:$F3267,5,FALSE)</f>
        <v>81.9</v>
      </c>
      <c r="H586" s="206">
        <f t="shared" si="38"/>
        <v>6.165432</v>
      </c>
      <c r="I586" s="240"/>
    </row>
    <row r="587" outlineLevel="2">
      <c r="A587" s="422" t="str">
        <f>'Master List'!A92</f>
        <v>M-FIN-037</v>
      </c>
      <c r="B587" s="472"/>
      <c r="C587" s="198"/>
      <c r="D587" s="462" t="str">
        <f>VLOOKUP(A587,'Master List'!$A$1:$C$1192,2,FALSE)</f>
        <v>Саморез для гипсокартона размером 3,5х25мм 1000шт</v>
      </c>
      <c r="E587" s="463" t="str">
        <f>VLOOKUP(A587,'Master List'!$A$1:$C$1192,3,FALSE)</f>
        <v>уп</v>
      </c>
      <c r="F587" s="464">
        <f>F582*20/1000</f>
        <v>0.7528</v>
      </c>
      <c r="G587" s="463">
        <f>VLOOKUP(A587,'Master List'!$A$4:$F3268,5,FALSE)</f>
        <v>8.84</v>
      </c>
      <c r="H587" s="206">
        <f t="shared" si="38"/>
        <v>6.654752</v>
      </c>
      <c r="I587" s="240"/>
    </row>
    <row r="588" outlineLevel="2">
      <c r="A588" s="422" t="str">
        <f>'Master List'!A93</f>
        <v>M-FIN-038</v>
      </c>
      <c r="B588" s="472"/>
      <c r="C588" s="198"/>
      <c r="D588" s="462" t="str">
        <f>VLOOKUP(A588,'Master List'!$A$1:$C$1192,2,FALSE)</f>
        <v>Саморез для гипсокартона размером 3,5х9,5мм 1000шт</v>
      </c>
      <c r="E588" s="463" t="str">
        <f>VLOOKUP(A588,'Master List'!$A$1:$C$1192,3,FALSE)</f>
        <v>уп</v>
      </c>
      <c r="F588" s="464">
        <f>F582*3/1000</f>
        <v>0.11292</v>
      </c>
      <c r="G588" s="463">
        <f>VLOOKUP(A588,'Master List'!$A$4:$F3269,5,FALSE)</f>
        <v>11.037</v>
      </c>
      <c r="H588" s="206">
        <f t="shared" si="38"/>
        <v>1.24629804</v>
      </c>
      <c r="I588" s="240"/>
    </row>
    <row r="589" outlineLevel="2">
      <c r="A589" s="422" t="str">
        <f>'Master List'!A94</f>
        <v>M-FIN-039</v>
      </c>
      <c r="B589" s="472"/>
      <c r="C589" s="198"/>
      <c r="D589" s="462" t="str">
        <f>VLOOKUP(A589,'Master List'!$A$1:$C$1192,2,FALSE)</f>
        <v>Сверла по бетону диаметром 6мм</v>
      </c>
      <c r="E589" s="463" t="str">
        <f>VLOOKUP(A589,'Master List'!$A$1:$C$1192,3,FALSE)</f>
        <v>шт</v>
      </c>
      <c r="F589" s="464">
        <f>F582*0.05+0.12</f>
        <v>2.002</v>
      </c>
      <c r="G589" s="463">
        <f>VLOOKUP(A589,'Master List'!$A$4:$F3270,5,FALSE)</f>
        <v>2.86</v>
      </c>
      <c r="H589" s="206">
        <f t="shared" si="38"/>
        <v>5.72572</v>
      </c>
      <c r="I589" s="240"/>
    </row>
    <row r="590" outlineLevel="2">
      <c r="A590" s="422" t="str">
        <f>'Master List'!A95</f>
        <v>M-FIN-040</v>
      </c>
      <c r="B590" s="472"/>
      <c r="C590" s="198"/>
      <c r="D590" s="462" t="str">
        <f>VLOOKUP(A590,'Master List'!$A$1:$C$1192,2,FALSE)</f>
        <v>Лента бумажная для швов гипсокартона</v>
      </c>
      <c r="E590" s="463" t="str">
        <f>VLOOKUP(A590,'Master List'!$A$1:$C$1192,3,FALSE)</f>
        <v>м</v>
      </c>
      <c r="F590" s="464">
        <f>F582*1.3</f>
        <v>48.932</v>
      </c>
      <c r="G590" s="463">
        <f>VLOOKUP(A590,'Master List'!$A$4:$F3271,5,FALSE)</f>
        <v>0.0351</v>
      </c>
      <c r="H590" s="206">
        <f t="shared" si="38"/>
        <v>1.7175132</v>
      </c>
      <c r="I590" s="240"/>
    </row>
    <row r="591" outlineLevel="2">
      <c r="A591" s="422" t="str">
        <f>'Master List'!A96</f>
        <v>M-FIN-041</v>
      </c>
      <c r="B591" s="472"/>
      <c r="C591" s="198"/>
      <c r="D591" s="462" t="str">
        <f>VLOOKUP(A591,'Master List'!$A$1:$C$1192,2,FALSE)</f>
        <v>Шпаклевка для швов гипсокартона Semin CE-78 25кг</v>
      </c>
      <c r="E591" s="463" t="str">
        <f>VLOOKUP(A591,'Master List'!$A$1:$C$1192,3,FALSE)</f>
        <v>шт</v>
      </c>
      <c r="F591" s="464">
        <f>F582*0.03</f>
        <v>1.1292</v>
      </c>
      <c r="G591" s="463">
        <f>VLOOKUP(A591,'Master List'!$A$4:$F3272,5,FALSE)</f>
        <v>15.262</v>
      </c>
      <c r="H591" s="206">
        <f t="shared" si="38"/>
        <v>17.2338504</v>
      </c>
      <c r="I591" s="240"/>
    </row>
    <row r="592" outlineLevel="2">
      <c r="A592" s="422"/>
      <c r="B592" s="428"/>
      <c r="C592" s="429"/>
      <c r="D592" s="428"/>
      <c r="E592" s="431"/>
      <c r="F592" s="432"/>
      <c r="G592" s="220"/>
      <c r="H592" s="220"/>
      <c r="I592" s="227"/>
    </row>
    <row r="593" outlineLevel="2">
      <c r="A593" s="422"/>
      <c r="B593" s="472" t="s">
        <v>59</v>
      </c>
      <c r="C593" s="198">
        <v>5.9</v>
      </c>
      <c r="D593" s="202" t="s">
        <v>60</v>
      </c>
      <c r="E593" s="444" t="s">
        <v>40</v>
      </c>
      <c r="F593" s="214">
        <v>20.27</v>
      </c>
      <c r="G593" s="206"/>
      <c r="H593" s="206"/>
      <c r="I593" s="219"/>
    </row>
    <row r="594" outlineLevel="2">
      <c r="A594" s="422"/>
      <c r="B594" s="472"/>
      <c r="C594" s="230"/>
      <c r="D594" s="246"/>
      <c r="E594" s="437"/>
      <c r="F594" s="170"/>
      <c r="G594" s="239"/>
      <c r="H594" s="239"/>
      <c r="I594" s="240"/>
    </row>
    <row r="595" outlineLevel="2">
      <c r="A595" s="422" t="str">
        <f>'Master List'!A525</f>
        <v>W-GKR-003</v>
      </c>
      <c r="B595" s="472"/>
      <c r="C595" s="198"/>
      <c r="D595" s="462" t="str">
        <f>VLOOKUP(A595,'Master List'!$A$1:$C$1192,2,FALSE)</f>
        <v>Облицювання стін вологостійкими гіпсокартонними листами в 2 шари з заповненням каркасу мінватою товщиною 5см </v>
      </c>
      <c r="E595" s="463" t="str">
        <f>VLOOKUP(A595,'Master List'!$A$1:$C$1192,3,FALSE)</f>
        <v>м2</v>
      </c>
      <c r="F595" s="464">
        <f>F593</f>
        <v>20.27</v>
      </c>
      <c r="G595" s="463">
        <f>VLOOKUP(A595,'Master List'!$A$4:$F3281,5,FALSE)</f>
        <v>27.3</v>
      </c>
      <c r="H595" s="206">
        <f t="shared" ref="H595:H604" si="39">G595*F595</f>
        <v>553.371</v>
      </c>
      <c r="I595" s="240"/>
    </row>
    <row r="596" outlineLevel="2">
      <c r="A596" s="422" t="str">
        <f>'Master List'!A82</f>
        <v>M-FIN-030</v>
      </c>
      <c r="B596" s="472"/>
      <c r="C596" s="198"/>
      <c r="D596" s="462" t="str">
        <f>VLOOKUP(A596,'Master List'!$A$1:$C$1192,2,FALSE)</f>
        <v>Лист гипсокартонный влагостойкий размером 2500х1200х12,5 мм</v>
      </c>
      <c r="E596" s="463" t="str">
        <f>VLOOKUP(A596,'Master List'!$A$1:$C$1192,3,FALSE)</f>
        <v>шт</v>
      </c>
      <c r="F596" s="464">
        <f>F595*2/3*1.05+0.81</f>
        <v>14.999</v>
      </c>
      <c r="G596" s="463">
        <f>VLOOKUP(A596,'Master List'!$A$4:$F3282,5,FALSE)</f>
        <v>16.9</v>
      </c>
      <c r="H596" s="206">
        <f t="shared" si="39"/>
        <v>253.4831</v>
      </c>
      <c r="I596" s="240"/>
    </row>
    <row r="597" outlineLevel="2">
      <c r="A597" s="422" t="str">
        <f>'Master List'!A85</f>
        <v>M-FIN-042</v>
      </c>
      <c r="B597" s="472"/>
      <c r="C597" s="198"/>
      <c r="D597" s="462" t="str">
        <f>VLOOKUP(A597,'Master List'!$A$1:$C$1192,2,FALSE)</f>
        <v>Профіль для гіпсокартонних перегородок</v>
      </c>
      <c r="E597" s="463" t="str">
        <f>VLOOKUP(A597,'Master List'!$A$1:$C$1192,3,FALSE)</f>
        <v>м</v>
      </c>
      <c r="F597" s="464">
        <f>F595*3.5</f>
        <v>70.945</v>
      </c>
      <c r="G597" s="463">
        <f>VLOOKUP(A597,'Master List'!$A$4:$F3283,5,FALSE)</f>
        <v>2.587</v>
      </c>
      <c r="H597" s="206">
        <f t="shared" si="39"/>
        <v>183.534715</v>
      </c>
      <c r="I597" s="240"/>
    </row>
    <row r="598" outlineLevel="2">
      <c r="A598" s="422" t="str">
        <f>'Master List'!A68</f>
        <v>M-TER-012</v>
      </c>
      <c r="B598" s="472"/>
      <c r="C598" s="198"/>
      <c r="D598" s="462" t="str">
        <f>VLOOKUP(A598,'Master List'!$A$1:$C$1192,2,FALSE)</f>
        <v>Мінеральна вата товщиною 50мм</v>
      </c>
      <c r="E598" s="463" t="str">
        <f>VLOOKUP(A598,'Master List'!$A$1:$C$1192,3,FALSE)</f>
        <v>м2</v>
      </c>
      <c r="F598" s="464">
        <f>F595*1.05</f>
        <v>21.2835</v>
      </c>
      <c r="G598" s="463">
        <f>VLOOKUP(A598,'Master List'!$A$4:$F3284,5,FALSE)</f>
        <v>2.847</v>
      </c>
      <c r="H598" s="206">
        <f t="shared" si="39"/>
        <v>60.5941245</v>
      </c>
      <c r="I598" s="240"/>
    </row>
    <row r="599" outlineLevel="2">
      <c r="A599" s="422" t="str">
        <f>'Master List'!A91</f>
        <v>M-FIN-036</v>
      </c>
      <c r="B599" s="472"/>
      <c r="C599" s="198"/>
      <c r="D599" s="462" t="str">
        <f>VLOOKUP(A599,'Master List'!$A$1:$C$1192,2,FALSE)</f>
        <v>Гвозди Hilti для крепления уголка направляющего 1000шт</v>
      </c>
      <c r="E599" s="463" t="str">
        <f>VLOOKUP(A599,'Master List'!$A$1:$C$1192,3,FALSE)</f>
        <v>уп</v>
      </c>
      <c r="F599" s="464">
        <f>F595*2/1000</f>
        <v>0.04054</v>
      </c>
      <c r="G599" s="463">
        <f>VLOOKUP(A599,'Master List'!$A$4:$F3285,5,FALSE)</f>
        <v>81.9</v>
      </c>
      <c r="H599" s="206">
        <f t="shared" si="39"/>
        <v>3.320226</v>
      </c>
      <c r="I599" s="240"/>
    </row>
    <row r="600" outlineLevel="2">
      <c r="A600" s="422" t="str">
        <f>'Master List'!A92</f>
        <v>M-FIN-037</v>
      </c>
      <c r="B600" s="472"/>
      <c r="C600" s="198"/>
      <c r="D600" s="462" t="str">
        <f>VLOOKUP(A600,'Master List'!$A$1:$C$1192,2,FALSE)</f>
        <v>Саморез для гипсокартона размером 3,5х25мм 1000шт</v>
      </c>
      <c r="E600" s="463" t="str">
        <f>VLOOKUP(A600,'Master List'!$A$1:$C$1192,3,FALSE)</f>
        <v>уп</v>
      </c>
      <c r="F600" s="464">
        <f>F595*20/1000</f>
        <v>0.4054</v>
      </c>
      <c r="G600" s="463">
        <f>VLOOKUP(A600,'Master List'!$A$4:$F3286,5,FALSE)</f>
        <v>8.84</v>
      </c>
      <c r="H600" s="206">
        <f t="shared" si="39"/>
        <v>3.583736</v>
      </c>
      <c r="I600" s="240"/>
    </row>
    <row r="601" outlineLevel="2">
      <c r="A601" s="422" t="str">
        <f>'Master List'!A93</f>
        <v>M-FIN-038</v>
      </c>
      <c r="B601" s="472"/>
      <c r="C601" s="198"/>
      <c r="D601" s="462" t="str">
        <f>VLOOKUP(A601,'Master List'!$A$1:$C$1192,2,FALSE)</f>
        <v>Саморез для гипсокартона размером 3,5х9,5мм 1000шт</v>
      </c>
      <c r="E601" s="463" t="str">
        <f>VLOOKUP(A601,'Master List'!$A$1:$C$1192,3,FALSE)</f>
        <v>уп</v>
      </c>
      <c r="F601" s="464">
        <f>F595*3/1000</f>
        <v>0.06081</v>
      </c>
      <c r="G601" s="463">
        <f>VLOOKUP(A601,'Master List'!$A$4:$F3287,5,FALSE)</f>
        <v>11.037</v>
      </c>
      <c r="H601" s="206">
        <f t="shared" si="39"/>
        <v>0.67115997</v>
      </c>
      <c r="I601" s="240"/>
    </row>
    <row r="602" outlineLevel="2">
      <c r="A602" s="422" t="str">
        <f>'Master List'!A94</f>
        <v>M-FIN-039</v>
      </c>
      <c r="B602" s="472"/>
      <c r="C602" s="198"/>
      <c r="D602" s="462" t="str">
        <f>VLOOKUP(A602,'Master List'!$A$1:$C$1192,2,FALSE)</f>
        <v>Сверла по бетону диаметром 6мм</v>
      </c>
      <c r="E602" s="463" t="str">
        <f>VLOOKUP(A602,'Master List'!$A$1:$C$1192,3,FALSE)</f>
        <v>шт</v>
      </c>
      <c r="F602" s="464">
        <f>F595*0.05-0.01</f>
        <v>1.0035</v>
      </c>
      <c r="G602" s="463">
        <f>VLOOKUP(A602,'Master List'!$A$4:$F3288,5,FALSE)</f>
        <v>2.86</v>
      </c>
      <c r="H602" s="206">
        <f t="shared" si="39"/>
        <v>2.87001</v>
      </c>
      <c r="I602" s="240"/>
    </row>
    <row r="603" outlineLevel="2">
      <c r="A603" s="422" t="str">
        <f>'Master List'!A95</f>
        <v>M-FIN-040</v>
      </c>
      <c r="B603" s="472"/>
      <c r="C603" s="198"/>
      <c r="D603" s="462" t="str">
        <f>VLOOKUP(A603,'Master List'!$A$1:$C$1192,2,FALSE)</f>
        <v>Лента бумажная для швов гипсокартона</v>
      </c>
      <c r="E603" s="463" t="str">
        <f>VLOOKUP(A603,'Master List'!$A$1:$C$1192,3,FALSE)</f>
        <v>м</v>
      </c>
      <c r="F603" s="464">
        <f>F595*1.3</f>
        <v>26.351</v>
      </c>
      <c r="G603" s="463">
        <f>VLOOKUP(A603,'Master List'!$A$4:$F3289,5,FALSE)</f>
        <v>0.0351</v>
      </c>
      <c r="H603" s="206">
        <f t="shared" si="39"/>
        <v>0.9249201</v>
      </c>
      <c r="I603" s="240"/>
    </row>
    <row r="604" outlineLevel="2">
      <c r="A604" s="422" t="str">
        <f>'Master List'!A96</f>
        <v>M-FIN-041</v>
      </c>
      <c r="B604" s="472"/>
      <c r="C604" s="198"/>
      <c r="D604" s="462" t="str">
        <f>VLOOKUP(A604,'Master List'!$A$1:$C$1192,2,FALSE)</f>
        <v>Шпаклевка для швов гипсокартона Semin CE-78 25кг</v>
      </c>
      <c r="E604" s="463" t="str">
        <f>VLOOKUP(A604,'Master List'!$A$1:$C$1192,3,FALSE)</f>
        <v>шт</v>
      </c>
      <c r="F604" s="464">
        <f>F595*0.03</f>
        <v>0.6081</v>
      </c>
      <c r="G604" s="463">
        <f>VLOOKUP(A604,'Master List'!$A$4:$F3290,5,FALSE)</f>
        <v>15.262</v>
      </c>
      <c r="H604" s="206">
        <f t="shared" si="39"/>
        <v>9.2808222</v>
      </c>
      <c r="I604" s="240"/>
    </row>
    <row r="605" outlineLevel="2">
      <c r="A605" s="422"/>
      <c r="B605" s="428"/>
      <c r="C605" s="429"/>
      <c r="D605" s="428"/>
      <c r="E605" s="431"/>
      <c r="F605" s="432"/>
      <c r="G605" s="220"/>
      <c r="H605" s="220"/>
      <c r="I605" s="227"/>
    </row>
    <row r="606" outlineLevel="2">
      <c r="A606" s="422"/>
      <c r="B606" s="472" t="s">
        <v>61</v>
      </c>
      <c r="C606" s="198">
        <v>5.1</v>
      </c>
      <c r="D606" s="202" t="s">
        <v>62</v>
      </c>
      <c r="E606" s="444" t="s">
        <v>40</v>
      </c>
      <c r="F606" s="214">
        <v>10.99</v>
      </c>
      <c r="G606" s="206"/>
      <c r="H606" s="206"/>
      <c r="I606" s="219"/>
    </row>
    <row r="607" outlineLevel="2">
      <c r="A607" s="422"/>
      <c r="B607" s="472"/>
      <c r="C607" s="230"/>
      <c r="D607" s="246"/>
      <c r="E607" s="437"/>
      <c r="F607" s="170"/>
      <c r="G607" s="239"/>
      <c r="H607" s="239"/>
      <c r="I607" s="240"/>
    </row>
    <row r="608" outlineLevel="2">
      <c r="A608" s="422" t="str">
        <f>'Master List'!A526</f>
        <v>W-GKR-004</v>
      </c>
      <c r="B608" s="472"/>
      <c r="C608" s="198"/>
      <c r="D608" s="462" t="str">
        <f>VLOOKUP(A608,'Master List'!$A$1:$C$1192,2,FALSE)</f>
        <v>Облицювання стін вологостійкими гіпсокартонними листами в 2 шари з заповненням каркасу мінватою товщиною 3см </v>
      </c>
      <c r="E608" s="463" t="str">
        <f>VLOOKUP(A608,'Master List'!$A$1:$C$1192,3,FALSE)</f>
        <v>м2</v>
      </c>
      <c r="F608" s="464">
        <f>F606</f>
        <v>10.99</v>
      </c>
      <c r="G608" s="463">
        <f>VLOOKUP(A608,'Master List'!$A$4:$F3297,5,FALSE)</f>
        <v>32.5</v>
      </c>
      <c r="H608" s="206">
        <f t="shared" ref="H608:H617" si="40">G608*F608</f>
        <v>357.175</v>
      </c>
      <c r="I608" s="240"/>
    </row>
    <row r="609" outlineLevel="2">
      <c r="A609" s="422" t="str">
        <f>'Master List'!A82</f>
        <v>M-FIN-030</v>
      </c>
      <c r="B609" s="472"/>
      <c r="C609" s="198"/>
      <c r="D609" s="462" t="str">
        <f>VLOOKUP(A609,'Master List'!$A$1:$C$1192,2,FALSE)</f>
        <v>Лист гипсокартонный влагостойкий размером 2500х1200х12,5 мм</v>
      </c>
      <c r="E609" s="463" t="str">
        <f>VLOOKUP(A609,'Master List'!$A$1:$C$1192,3,FALSE)</f>
        <v>шт</v>
      </c>
      <c r="F609" s="464">
        <f>F608*2/3*1.05+0.31</f>
        <v>8.003</v>
      </c>
      <c r="G609" s="463">
        <f>VLOOKUP(A609,'Master List'!$A$4:$F3298,5,FALSE)</f>
        <v>16.9</v>
      </c>
      <c r="H609" s="206">
        <f t="shared" si="40"/>
        <v>135.2507</v>
      </c>
      <c r="I609" s="240"/>
    </row>
    <row r="610" outlineLevel="2">
      <c r="A610" s="422" t="str">
        <f>'Master List'!A85</f>
        <v>M-FIN-042</v>
      </c>
      <c r="B610" s="472"/>
      <c r="C610" s="198"/>
      <c r="D610" s="462" t="str">
        <f>VLOOKUP(A610,'Master List'!$A$1:$C$1192,2,FALSE)</f>
        <v>Профіль для гіпсокартонних перегородок</v>
      </c>
      <c r="E610" s="463" t="str">
        <f>VLOOKUP(A610,'Master List'!$A$1:$C$1192,3,FALSE)</f>
        <v>м</v>
      </c>
      <c r="F610" s="464">
        <f>F608*3.5</f>
        <v>38.465</v>
      </c>
      <c r="G610" s="463">
        <f>VLOOKUP(A610,'Master List'!$A$4:$F3299,5,FALSE)</f>
        <v>2.587</v>
      </c>
      <c r="H610" s="206">
        <f t="shared" si="40"/>
        <v>99.508955</v>
      </c>
      <c r="I610" s="240"/>
    </row>
    <row r="611" outlineLevel="2">
      <c r="A611" s="422" t="str">
        <f>'Master List'!A70</f>
        <v>M-TER-014</v>
      </c>
      <c r="B611" s="472"/>
      <c r="C611" s="198"/>
      <c r="D611" s="462" t="str">
        <f>VLOOKUP(A611,'Master List'!$A$1:$C$1192,2,FALSE)</f>
        <v>Мінеральна вата товщиною 30мм</v>
      </c>
      <c r="E611" s="463" t="str">
        <f>VLOOKUP(A611,'Master List'!$A$1:$C$1192,3,FALSE)</f>
        <v>м2</v>
      </c>
      <c r="F611" s="464">
        <f>F608*1.05</f>
        <v>11.5395</v>
      </c>
      <c r="G611" s="463">
        <f>VLOOKUP(A611,'Master List'!$A$4:$F3300,5,FALSE)</f>
        <v>3.627</v>
      </c>
      <c r="H611" s="206">
        <f t="shared" si="40"/>
        <v>41.8537665</v>
      </c>
      <c r="I611" s="240"/>
    </row>
    <row r="612" outlineLevel="2">
      <c r="A612" s="422" t="str">
        <f>'Master List'!A91</f>
        <v>M-FIN-036</v>
      </c>
      <c r="B612" s="472"/>
      <c r="C612" s="198"/>
      <c r="D612" s="462" t="str">
        <f>VLOOKUP(A612,'Master List'!$A$1:$C$1192,2,FALSE)</f>
        <v>Гвозди Hilti для крепления уголка направляющего 1000шт</v>
      </c>
      <c r="E612" s="463" t="str">
        <f>VLOOKUP(A612,'Master List'!$A$1:$C$1192,3,FALSE)</f>
        <v>уп</v>
      </c>
      <c r="F612" s="464">
        <f>F608*2/1000</f>
        <v>0.02198</v>
      </c>
      <c r="G612" s="463">
        <f>VLOOKUP(A612,'Master List'!$A$4:$F3301,5,FALSE)</f>
        <v>81.9</v>
      </c>
      <c r="H612" s="206">
        <f t="shared" si="40"/>
        <v>1.800162</v>
      </c>
      <c r="I612" s="240"/>
    </row>
    <row r="613" outlineLevel="2">
      <c r="A613" s="422" t="str">
        <f>'Master List'!A92</f>
        <v>M-FIN-037</v>
      </c>
      <c r="B613" s="472"/>
      <c r="C613" s="198"/>
      <c r="D613" s="462" t="str">
        <f>VLOOKUP(A613,'Master List'!$A$1:$C$1192,2,FALSE)</f>
        <v>Саморез для гипсокартона размером 3,5х25мм 1000шт</v>
      </c>
      <c r="E613" s="463" t="str">
        <f>VLOOKUP(A613,'Master List'!$A$1:$C$1192,3,FALSE)</f>
        <v>уп</v>
      </c>
      <c r="F613" s="464">
        <f>F608*20/1000</f>
        <v>0.2198</v>
      </c>
      <c r="G613" s="463">
        <f>VLOOKUP(A613,'Master List'!$A$4:$F3302,5,FALSE)</f>
        <v>8.84</v>
      </c>
      <c r="H613" s="206">
        <f t="shared" si="40"/>
        <v>1.943032</v>
      </c>
      <c r="I613" s="240"/>
    </row>
    <row r="614" outlineLevel="2">
      <c r="A614" s="422" t="str">
        <f>'Master List'!A93</f>
        <v>M-FIN-038</v>
      </c>
      <c r="B614" s="472"/>
      <c r="C614" s="198"/>
      <c r="D614" s="462" t="str">
        <f>VLOOKUP(A614,'Master List'!$A$1:$C$1192,2,FALSE)</f>
        <v>Саморез для гипсокартона размером 3,5х9,5мм 1000шт</v>
      </c>
      <c r="E614" s="463" t="str">
        <f>VLOOKUP(A614,'Master List'!$A$1:$C$1192,3,FALSE)</f>
        <v>уп</v>
      </c>
      <c r="F614" s="464">
        <f>F608*3/1000</f>
        <v>0.03297</v>
      </c>
      <c r="G614" s="463">
        <f>VLOOKUP(A614,'Master List'!$A$4:$F3303,5,FALSE)</f>
        <v>11.037</v>
      </c>
      <c r="H614" s="206">
        <f t="shared" si="40"/>
        <v>0.36388989</v>
      </c>
      <c r="I614" s="240"/>
    </row>
    <row r="615" outlineLevel="2">
      <c r="A615" s="422" t="str">
        <f>'Master List'!A94</f>
        <v>M-FIN-039</v>
      </c>
      <c r="B615" s="472"/>
      <c r="C615" s="198"/>
      <c r="D615" s="462" t="str">
        <f>VLOOKUP(A615,'Master List'!$A$1:$C$1192,2,FALSE)</f>
        <v>Сверла по бетону диаметром 6мм</v>
      </c>
      <c r="E615" s="463" t="str">
        <f>VLOOKUP(A615,'Master List'!$A$1:$C$1192,3,FALSE)</f>
        <v>шт</v>
      </c>
      <c r="F615" s="464">
        <f>F608*0.05+0.45</f>
        <v>0.9995</v>
      </c>
      <c r="G615" s="463">
        <f>VLOOKUP(A615,'Master List'!$A$4:$F3304,5,FALSE)</f>
        <v>2.86</v>
      </c>
      <c r="H615" s="206">
        <f t="shared" si="40"/>
        <v>2.85857</v>
      </c>
      <c r="I615" s="240"/>
    </row>
    <row r="616" outlineLevel="2">
      <c r="A616" s="422" t="str">
        <f>'Master List'!A95</f>
        <v>M-FIN-040</v>
      </c>
      <c r="B616" s="472"/>
      <c r="C616" s="198"/>
      <c r="D616" s="462" t="str">
        <f>VLOOKUP(A616,'Master List'!$A$1:$C$1192,2,FALSE)</f>
        <v>Лента бумажная для швов гипсокартона</v>
      </c>
      <c r="E616" s="463" t="str">
        <f>VLOOKUP(A616,'Master List'!$A$1:$C$1192,3,FALSE)</f>
        <v>м</v>
      </c>
      <c r="F616" s="464">
        <f>F608*1.3</f>
        <v>14.287</v>
      </c>
      <c r="G616" s="463">
        <f>VLOOKUP(A616,'Master List'!$A$4:$F3305,5,FALSE)</f>
        <v>0.0351</v>
      </c>
      <c r="H616" s="206">
        <f t="shared" si="40"/>
        <v>0.5014737</v>
      </c>
      <c r="I616" s="240"/>
    </row>
    <row r="617" outlineLevel="2">
      <c r="A617" s="422" t="str">
        <f>'Master List'!A96</f>
        <v>M-FIN-041</v>
      </c>
      <c r="B617" s="472"/>
      <c r="C617" s="198"/>
      <c r="D617" s="462" t="str">
        <f>VLOOKUP(A617,'Master List'!$A$1:$C$1192,2,FALSE)</f>
        <v>Шпаклевка для швов гипсокартона Semin CE-78 25кг</v>
      </c>
      <c r="E617" s="463" t="str">
        <f>VLOOKUP(A617,'Master List'!$A$1:$C$1192,3,FALSE)</f>
        <v>шт</v>
      </c>
      <c r="F617" s="464">
        <f>F608*0.03</f>
        <v>0.3297</v>
      </c>
      <c r="G617" s="463">
        <f>VLOOKUP(A617,'Master List'!$A$4:$F3306,5,FALSE)</f>
        <v>15.262</v>
      </c>
      <c r="H617" s="206">
        <f t="shared" si="40"/>
        <v>5.0318814</v>
      </c>
      <c r="I617" s="240"/>
    </row>
    <row r="618" outlineLevel="2">
      <c r="A618" s="422"/>
      <c r="B618" s="428"/>
      <c r="C618" s="429"/>
      <c r="D618" s="428"/>
      <c r="E618" s="431"/>
      <c r="F618" s="432"/>
      <c r="G618" s="220"/>
      <c r="H618" s="220"/>
      <c r="I618" s="227"/>
    </row>
    <row r="619" outlineLevel="2">
      <c r="A619" s="422"/>
      <c r="B619" s="472" t="s">
        <v>63</v>
      </c>
      <c r="C619" s="198">
        <v>5.11</v>
      </c>
      <c r="D619" s="202" t="s">
        <v>64</v>
      </c>
      <c r="E619" s="444" t="s">
        <v>40</v>
      </c>
      <c r="F619" s="214">
        <v>17.94</v>
      </c>
      <c r="G619" s="206"/>
      <c r="H619" s="206"/>
      <c r="I619" s="219"/>
    </row>
    <row r="620" outlineLevel="2">
      <c r="A620" s="422"/>
      <c r="B620" s="472"/>
      <c r="C620" s="230"/>
      <c r="D620" s="246"/>
      <c r="E620" s="437"/>
      <c r="F620" s="170"/>
      <c r="G620" s="239"/>
      <c r="H620" s="239"/>
      <c r="I620" s="240"/>
    </row>
    <row r="621" outlineLevel="2">
      <c r="A621" s="422" t="str">
        <f>'Master List'!A527</f>
        <v>W-GKR-005</v>
      </c>
      <c r="B621" s="472"/>
      <c r="C621" s="198"/>
      <c r="D621" s="462" t="str">
        <f>VLOOKUP(A621,'Master List'!$A$1:$C$1192,2,FALSE)</f>
        <v>Монтаж вологостійких гіпсокартонних перегородок в 2 шари з заповненням каркасу мінватою товщиною 5см</v>
      </c>
      <c r="E621" s="463" t="str">
        <f>VLOOKUP(A621,'Master List'!$A$1:$C$1192,3,FALSE)</f>
        <v>м2</v>
      </c>
      <c r="F621" s="464">
        <f>F619</f>
        <v>17.94</v>
      </c>
      <c r="G621" s="463">
        <f>VLOOKUP(A621,'Master List'!$A$4:$F3311,5,FALSE)</f>
        <v>32.5</v>
      </c>
      <c r="H621" s="206">
        <f t="shared" ref="H621:H630" si="41">G621*F621</f>
        <v>583.05</v>
      </c>
      <c r="I621" s="240"/>
    </row>
    <row r="622" outlineLevel="2">
      <c r="A622" s="422" t="str">
        <f>'Master List'!A82</f>
        <v>M-FIN-030</v>
      </c>
      <c r="B622" s="472"/>
      <c r="C622" s="198"/>
      <c r="D622" s="462" t="str">
        <f>VLOOKUP(A622,'Master List'!$A$1:$C$1192,2,FALSE)</f>
        <v>Лист гипсокартонный влагостойкий размером 2500х1200х12,5 мм</v>
      </c>
      <c r="E622" s="463" t="str">
        <f>VLOOKUP(A622,'Master List'!$A$1:$C$1192,3,FALSE)</f>
        <v>шт</v>
      </c>
      <c r="F622" s="464">
        <f>F621*4/3*1.05+0.88</f>
        <v>25.996</v>
      </c>
      <c r="G622" s="463">
        <f>VLOOKUP(A622,'Master List'!$A$4:$F3312,5,FALSE)</f>
        <v>16.9</v>
      </c>
      <c r="H622" s="206">
        <f t="shared" si="41"/>
        <v>439.3324</v>
      </c>
      <c r="I622" s="240"/>
    </row>
    <row r="623" outlineLevel="2">
      <c r="A623" s="422" t="str">
        <f>'Master List'!A85</f>
        <v>M-FIN-042</v>
      </c>
      <c r="B623" s="472"/>
      <c r="C623" s="198"/>
      <c r="D623" s="462" t="str">
        <f>VLOOKUP(A623,'Master List'!$A$1:$C$1192,2,FALSE)</f>
        <v>Профіль для гіпсокартонних перегородок</v>
      </c>
      <c r="E623" s="463" t="str">
        <f>VLOOKUP(A623,'Master List'!$A$1:$C$1192,3,FALSE)</f>
        <v>м</v>
      </c>
      <c r="F623" s="464">
        <f>F621*4</f>
        <v>71.76</v>
      </c>
      <c r="G623" s="463">
        <f>VLOOKUP(A623,'Master List'!$A$4:$F3313,5,FALSE)</f>
        <v>2.587</v>
      </c>
      <c r="H623" s="206">
        <f t="shared" si="41"/>
        <v>185.64312</v>
      </c>
      <c r="I623" s="240"/>
    </row>
    <row r="624" outlineLevel="2">
      <c r="A624" s="422" t="str">
        <f>'Master List'!A68</f>
        <v>M-TER-012</v>
      </c>
      <c r="B624" s="472"/>
      <c r="C624" s="198"/>
      <c r="D624" s="462" t="str">
        <f>VLOOKUP(A624,'Master List'!$A$1:$C$1192,2,FALSE)</f>
        <v>Мінеральна вата товщиною 50мм</v>
      </c>
      <c r="E624" s="463" t="str">
        <f>VLOOKUP(A624,'Master List'!$A$1:$C$1192,3,FALSE)</f>
        <v>м2</v>
      </c>
      <c r="F624" s="464">
        <f>F621*1.05</f>
        <v>18.837</v>
      </c>
      <c r="G624" s="463">
        <f>VLOOKUP(A624,'Master List'!$A$4:$F3314,5,FALSE)</f>
        <v>2.847</v>
      </c>
      <c r="H624" s="206">
        <f t="shared" si="41"/>
        <v>53.628939</v>
      </c>
      <c r="I624" s="240"/>
    </row>
    <row r="625" outlineLevel="2">
      <c r="A625" s="422" t="str">
        <f>'Master List'!A91</f>
        <v>M-FIN-036</v>
      </c>
      <c r="B625" s="472"/>
      <c r="C625" s="198"/>
      <c r="D625" s="462" t="str">
        <f>VLOOKUP(A625,'Master List'!$A$1:$C$1192,2,FALSE)</f>
        <v>Гвозди Hilti для крепления уголка направляющего 1000шт</v>
      </c>
      <c r="E625" s="463" t="str">
        <f>VLOOKUP(A625,'Master List'!$A$1:$C$1192,3,FALSE)</f>
        <v>уп</v>
      </c>
      <c r="F625" s="464">
        <f>F621*2/1000</f>
        <v>0.03588</v>
      </c>
      <c r="G625" s="463">
        <f>VLOOKUP(A625,'Master List'!$A$4:$F3315,5,FALSE)</f>
        <v>81.9</v>
      </c>
      <c r="H625" s="206">
        <f t="shared" si="41"/>
        <v>2.938572</v>
      </c>
      <c r="I625" s="240"/>
    </row>
    <row r="626" outlineLevel="2">
      <c r="A626" s="422" t="str">
        <f>'Master List'!A92</f>
        <v>M-FIN-037</v>
      </c>
      <c r="B626" s="472"/>
      <c r="C626" s="198"/>
      <c r="D626" s="462" t="str">
        <f>VLOOKUP(A626,'Master List'!$A$1:$C$1192,2,FALSE)</f>
        <v>Саморез для гипсокартона размером 3,5х25мм 1000шт</v>
      </c>
      <c r="E626" s="463" t="str">
        <f>VLOOKUP(A626,'Master List'!$A$1:$C$1192,3,FALSE)</f>
        <v>уп</v>
      </c>
      <c r="F626" s="464">
        <f>F621*40/1000</f>
        <v>0.7176</v>
      </c>
      <c r="G626" s="463">
        <f>VLOOKUP(A626,'Master List'!$A$4:$F3316,5,FALSE)</f>
        <v>8.84</v>
      </c>
      <c r="H626" s="206">
        <f t="shared" si="41"/>
        <v>6.343584</v>
      </c>
      <c r="I626" s="240"/>
    </row>
    <row r="627" outlineLevel="2">
      <c r="A627" s="422" t="str">
        <f>'Master List'!A93</f>
        <v>M-FIN-038</v>
      </c>
      <c r="B627" s="472"/>
      <c r="C627" s="198"/>
      <c r="D627" s="462" t="str">
        <f>VLOOKUP(A627,'Master List'!$A$1:$C$1192,2,FALSE)</f>
        <v>Саморез для гипсокартона размером 3,5х9,5мм 1000шт</v>
      </c>
      <c r="E627" s="463" t="str">
        <f>VLOOKUP(A627,'Master List'!$A$1:$C$1192,3,FALSE)</f>
        <v>уп</v>
      </c>
      <c r="F627" s="464">
        <f>F621*5/1000</f>
        <v>0.0897</v>
      </c>
      <c r="G627" s="463">
        <f>VLOOKUP(A627,'Master List'!$A$4:$F3317,5,FALSE)</f>
        <v>11.037</v>
      </c>
      <c r="H627" s="206">
        <f t="shared" si="41"/>
        <v>0.9900189</v>
      </c>
      <c r="I627" s="240"/>
    </row>
    <row r="628" outlineLevel="2">
      <c r="A628" s="422" t="str">
        <f>'Master List'!A94</f>
        <v>M-FIN-039</v>
      </c>
      <c r="B628" s="472"/>
      <c r="C628" s="198"/>
      <c r="D628" s="462" t="str">
        <f>VLOOKUP(A628,'Master List'!$A$1:$C$1192,2,FALSE)</f>
        <v>Сверла по бетону диаметром 6мм</v>
      </c>
      <c r="E628" s="463" t="str">
        <f>VLOOKUP(A628,'Master List'!$A$1:$C$1192,3,FALSE)</f>
        <v>шт</v>
      </c>
      <c r="F628" s="464">
        <f>F621*0.05+0.1</f>
        <v>0.997</v>
      </c>
      <c r="G628" s="463">
        <f>VLOOKUP(A628,'Master List'!$A$4:$F3318,5,FALSE)</f>
        <v>2.86</v>
      </c>
      <c r="H628" s="206">
        <f t="shared" si="41"/>
        <v>2.85142</v>
      </c>
      <c r="I628" s="240"/>
    </row>
    <row r="629" outlineLevel="2">
      <c r="A629" s="422" t="str">
        <f>'Master List'!A95</f>
        <v>M-FIN-040</v>
      </c>
      <c r="B629" s="472"/>
      <c r="C629" s="198"/>
      <c r="D629" s="462" t="str">
        <f>VLOOKUP(A629,'Master List'!$A$1:$C$1192,2,FALSE)</f>
        <v>Лента бумажная для швов гипсокартона</v>
      </c>
      <c r="E629" s="463" t="str">
        <f>VLOOKUP(A629,'Master List'!$A$1:$C$1192,3,FALSE)</f>
        <v>м</v>
      </c>
      <c r="F629" s="464">
        <f>F621*2.6</f>
        <v>46.644</v>
      </c>
      <c r="G629" s="463">
        <f>VLOOKUP(A629,'Master List'!$A$4:$F3319,5,FALSE)</f>
        <v>0.0351</v>
      </c>
      <c r="H629" s="206">
        <f t="shared" si="41"/>
        <v>1.6372044</v>
      </c>
      <c r="I629" s="240"/>
    </row>
    <row r="630" outlineLevel="2">
      <c r="A630" s="422" t="str">
        <f>'Master List'!A96</f>
        <v>M-FIN-041</v>
      </c>
      <c r="B630" s="472"/>
      <c r="C630" s="198"/>
      <c r="D630" s="462" t="str">
        <f>VLOOKUP(A630,'Master List'!$A$1:$C$1192,2,FALSE)</f>
        <v>Шпаклевка для швов гипсокартона Semin CE-78 25кг</v>
      </c>
      <c r="E630" s="463" t="str">
        <f>VLOOKUP(A630,'Master List'!$A$1:$C$1192,3,FALSE)</f>
        <v>шт</v>
      </c>
      <c r="F630" s="464">
        <f>F621*0.06</f>
        <v>1.0764</v>
      </c>
      <c r="G630" s="463">
        <f>VLOOKUP(A630,'Master List'!$A$4:$F3320,5,FALSE)</f>
        <v>15.262</v>
      </c>
      <c r="H630" s="206">
        <f t="shared" si="41"/>
        <v>16.4280168</v>
      </c>
      <c r="I630" s="240"/>
    </row>
    <row r="631" outlineLevel="2">
      <c r="A631" s="422"/>
      <c r="B631" s="428"/>
      <c r="C631" s="429"/>
      <c r="D631" s="428"/>
      <c r="E631" s="431"/>
      <c r="F631" s="432"/>
      <c r="G631" s="220"/>
      <c r="H631" s="220"/>
      <c r="I631" s="227"/>
    </row>
    <row r="632" outlineLevel="2">
      <c r="A632" s="422"/>
      <c r="B632" s="472" t="s">
        <v>65</v>
      </c>
      <c r="C632" s="198">
        <v>5.12</v>
      </c>
      <c r="D632" s="202" t="s">
        <v>66</v>
      </c>
      <c r="E632" s="444" t="s">
        <v>40</v>
      </c>
      <c r="F632" s="214">
        <v>12.91</v>
      </c>
      <c r="G632" s="206"/>
      <c r="H632" s="206"/>
      <c r="I632" s="219"/>
    </row>
    <row r="633" outlineLevel="2">
      <c r="A633" s="422"/>
      <c r="B633" s="472"/>
      <c r="C633" s="230"/>
      <c r="D633" s="246"/>
      <c r="E633" s="437"/>
      <c r="F633" s="170"/>
      <c r="G633" s="239"/>
      <c r="H633" s="239"/>
      <c r="I633" s="240"/>
    </row>
    <row r="634" outlineLevel="2">
      <c r="A634" s="422" t="str">
        <f>'Master List'!A528</f>
        <v>W-GKR-006</v>
      </c>
      <c r="B634" s="472"/>
      <c r="C634" s="198"/>
      <c r="D634" s="462" t="str">
        <f>VLOOKUP(A634,'Master List'!$A$1:$C$1192,2,FALSE)</f>
        <v>Монтаж перегородок з обшиванням плитами МДФ в 2 шари з заповненням каркасу мінватою товщиною 4см </v>
      </c>
      <c r="E634" s="463" t="str">
        <f>VLOOKUP(A634,'Master List'!$A$1:$C$1192,3,FALSE)</f>
        <v>м2</v>
      </c>
      <c r="F634" s="464">
        <f>F632</f>
        <v>12.91</v>
      </c>
      <c r="G634" s="463">
        <f>VLOOKUP(A634,'Master List'!$A$4:$F3325,5,FALSE)</f>
        <v>36.92</v>
      </c>
      <c r="H634" s="206">
        <f t="shared" ref="H634:H641" si="42">G634*F634</f>
        <v>476.6372</v>
      </c>
      <c r="I634" s="240"/>
    </row>
    <row r="635" outlineLevel="2">
      <c r="A635" s="422" t="str">
        <f>'Master List'!A84</f>
        <v>M-FIN-044</v>
      </c>
      <c r="B635" s="472"/>
      <c r="C635" s="198"/>
      <c r="D635" s="462" t="str">
        <f>VLOOKUP(A635,'Master List'!$A$1:$C$1192,2,FALSE)</f>
        <v>Плити МДФ товщиною 19мм</v>
      </c>
      <c r="E635" s="463" t="str">
        <f>VLOOKUP(A635,'Master List'!$A$1:$C$1192,3,FALSE)</f>
        <v>м2</v>
      </c>
      <c r="F635" s="464">
        <f>F634*1.05</f>
        <v>13.5555</v>
      </c>
      <c r="G635" s="463">
        <f>VLOOKUP(A635,'Master List'!$A$4:$F3326,5,FALSE)</f>
        <v>8.593</v>
      </c>
      <c r="H635" s="206">
        <f t="shared" si="42"/>
        <v>116.4824115</v>
      </c>
      <c r="I635" s="240"/>
    </row>
    <row r="636" outlineLevel="2">
      <c r="A636" s="422" t="str">
        <f>'Master List'!A85</f>
        <v>M-FIN-042</v>
      </c>
      <c r="B636" s="472"/>
      <c r="C636" s="198"/>
      <c r="D636" s="462" t="str">
        <f>VLOOKUP(A636,'Master List'!$A$1:$C$1192,2,FALSE)</f>
        <v>Профіль для гіпсокартонних перегородок</v>
      </c>
      <c r="E636" s="463" t="str">
        <f>VLOOKUP(A636,'Master List'!$A$1:$C$1192,3,FALSE)</f>
        <v>м</v>
      </c>
      <c r="F636" s="464">
        <f>F634*4</f>
        <v>51.64</v>
      </c>
      <c r="G636" s="463">
        <f>VLOOKUP(A636,'Master List'!$A$4:$F3327,5,FALSE)</f>
        <v>2.587</v>
      </c>
      <c r="H636" s="206">
        <f t="shared" si="42"/>
        <v>133.59268</v>
      </c>
      <c r="I636" s="240"/>
    </row>
    <row r="637" outlineLevel="2">
      <c r="A637" s="422" t="str">
        <f>'Master List'!A69</f>
        <v>M-TER-013</v>
      </c>
      <c r="B637" s="472"/>
      <c r="C637" s="198"/>
      <c r="D637" s="462" t="str">
        <f>VLOOKUP(A637,'Master List'!$A$1:$C$1192,2,FALSE)</f>
        <v>Мінеральна вата товщиною 40мм</v>
      </c>
      <c r="E637" s="463" t="str">
        <f>VLOOKUP(A637,'Master List'!$A$1:$C$1192,3,FALSE)</f>
        <v>м2</v>
      </c>
      <c r="F637" s="464">
        <f>F634*1.05</f>
        <v>13.5555</v>
      </c>
      <c r="G637" s="463">
        <f>VLOOKUP(A637,'Master List'!$A$4:$F3328,5,FALSE)</f>
        <v>3.627</v>
      </c>
      <c r="H637" s="206">
        <f t="shared" si="42"/>
        <v>49.1657985</v>
      </c>
      <c r="I637" s="240"/>
    </row>
    <row r="638" outlineLevel="2">
      <c r="A638" s="422" t="str">
        <f>'Master List'!A91</f>
        <v>M-FIN-036</v>
      </c>
      <c r="B638" s="472"/>
      <c r="C638" s="198"/>
      <c r="D638" s="462" t="str">
        <f>VLOOKUP(A638,'Master List'!$A$1:$C$1192,2,FALSE)</f>
        <v>Гвозди Hilti для крепления уголка направляющего 1000шт</v>
      </c>
      <c r="E638" s="463" t="str">
        <f>VLOOKUP(A638,'Master List'!$A$1:$C$1192,3,FALSE)</f>
        <v>уп</v>
      </c>
      <c r="F638" s="464">
        <f>F634*2/1000</f>
        <v>0.02582</v>
      </c>
      <c r="G638" s="463">
        <f>VLOOKUP(A638,'Master List'!$A$4:$F3329,5,FALSE)</f>
        <v>81.9</v>
      </c>
      <c r="H638" s="206">
        <f t="shared" si="42"/>
        <v>2.114658</v>
      </c>
      <c r="I638" s="240"/>
    </row>
    <row r="639" outlineLevel="2">
      <c r="A639" s="422" t="str">
        <f>'Master List'!A92</f>
        <v>M-FIN-037</v>
      </c>
      <c r="B639" s="472"/>
      <c r="C639" s="198"/>
      <c r="D639" s="462" t="str">
        <f>VLOOKUP(A639,'Master List'!$A$1:$C$1192,2,FALSE)</f>
        <v>Саморез для гипсокартона размером 3,5х25мм 1000шт</v>
      </c>
      <c r="E639" s="463" t="str">
        <f>VLOOKUP(A639,'Master List'!$A$1:$C$1192,3,FALSE)</f>
        <v>уп</v>
      </c>
      <c r="F639" s="464">
        <f>F634*40/1000</f>
        <v>0.5164</v>
      </c>
      <c r="G639" s="463">
        <f>VLOOKUP(A639,'Master List'!$A$4:$F3330,5,FALSE)</f>
        <v>8.84</v>
      </c>
      <c r="H639" s="206">
        <f t="shared" si="42"/>
        <v>4.564976</v>
      </c>
      <c r="I639" s="240"/>
    </row>
    <row r="640" outlineLevel="2">
      <c r="A640" s="422" t="str">
        <f>'Master List'!A93</f>
        <v>M-FIN-038</v>
      </c>
      <c r="B640" s="472"/>
      <c r="C640" s="198"/>
      <c r="D640" s="462" t="str">
        <f>VLOOKUP(A640,'Master List'!$A$1:$C$1192,2,FALSE)</f>
        <v>Саморез для гипсокартона размером 3,5х9,5мм 1000шт</v>
      </c>
      <c r="E640" s="463" t="str">
        <f>VLOOKUP(A640,'Master List'!$A$1:$C$1192,3,FALSE)</f>
        <v>уп</v>
      </c>
      <c r="F640" s="464">
        <f>F634*5/1000</f>
        <v>0.06455</v>
      </c>
      <c r="G640" s="463">
        <f>VLOOKUP(A640,'Master List'!$A$4:$F3331,5,FALSE)</f>
        <v>11.037</v>
      </c>
      <c r="H640" s="206">
        <f t="shared" si="42"/>
        <v>0.71243835</v>
      </c>
      <c r="I640" s="240"/>
    </row>
    <row r="641" outlineLevel="2">
      <c r="A641" s="422" t="str">
        <f>'Master List'!A94</f>
        <v>M-FIN-039</v>
      </c>
      <c r="B641" s="472"/>
      <c r="C641" s="198"/>
      <c r="D641" s="462" t="str">
        <f>VLOOKUP(A641,'Master List'!$A$1:$C$1192,2,FALSE)</f>
        <v>Сверла по бетону диаметром 6мм</v>
      </c>
      <c r="E641" s="463" t="str">
        <f>VLOOKUP(A641,'Master List'!$A$1:$C$1192,3,FALSE)</f>
        <v>шт</v>
      </c>
      <c r="F641" s="464">
        <f>F634*0.05+0.1</f>
        <v>0.7455</v>
      </c>
      <c r="G641" s="463">
        <f>VLOOKUP(A641,'Master List'!$A$4:$F3332,5,FALSE)</f>
        <v>2.86</v>
      </c>
      <c r="H641" s="206">
        <f t="shared" si="42"/>
        <v>2.13213</v>
      </c>
      <c r="I641" s="240"/>
    </row>
    <row r="642" outlineLevel="2">
      <c r="A642" s="422"/>
      <c r="B642" s="472"/>
      <c r="C642" s="230"/>
      <c r="D642" s="246"/>
      <c r="E642" s="437"/>
      <c r="F642" s="170"/>
      <c r="G642" s="239"/>
      <c r="H642" s="239"/>
      <c r="I642" s="240"/>
    </row>
    <row r="643" outlineLevel="1">
      <c r="A643" s="422"/>
      <c r="B643" s="472" t="s">
        <v>69</v>
      </c>
      <c r="C643" s="429"/>
      <c r="D643" s="474" t="s">
        <v>70</v>
      </c>
      <c r="E643" s="431"/>
      <c r="F643" s="432"/>
      <c r="G643" s="436">
        <f>SUM(H647:H662)</f>
        <v>351.9123335</v>
      </c>
      <c r="H643" s="428"/>
      <c r="I643" s="475" t="s">
        <v>5597</v>
      </c>
    </row>
    <row r="644" outlineLevel="2">
      <c r="A644" s="422"/>
      <c r="B644" s="428"/>
      <c r="C644" s="429"/>
      <c r="D644" s="428"/>
      <c r="E644" s="431"/>
      <c r="F644" s="432"/>
      <c r="G644" s="433"/>
      <c r="H644" s="433"/>
      <c r="I644" s="240"/>
    </row>
    <row r="645" outlineLevel="2">
      <c r="A645" s="422"/>
      <c r="B645" s="472" t="s">
        <v>71</v>
      </c>
      <c r="C645" s="248">
        <v>5.13</v>
      </c>
      <c r="D645" s="245" t="s">
        <v>72</v>
      </c>
      <c r="E645" s="431"/>
      <c r="F645" s="432"/>
      <c r="G645" s="433"/>
      <c r="H645" s="433"/>
      <c r="I645" s="240"/>
    </row>
    <row r="646" outlineLevel="2">
      <c r="A646" s="422"/>
      <c r="B646" s="428"/>
      <c r="C646" s="429"/>
      <c r="D646" s="428"/>
      <c r="E646" s="431"/>
      <c r="F646" s="432"/>
      <c r="G646" s="433"/>
      <c r="H646" s="433"/>
      <c r="I646" s="240"/>
    </row>
    <row r="647" outlineLevel="2">
      <c r="A647" s="422"/>
      <c r="B647" s="472" t="s">
        <v>73</v>
      </c>
      <c r="C647" s="198" t="s">
        <v>2181</v>
      </c>
      <c r="D647" s="202" t="s">
        <v>74</v>
      </c>
      <c r="E647" s="444" t="s">
        <v>75</v>
      </c>
      <c r="F647" s="214">
        <v>1.0</v>
      </c>
      <c r="G647" s="205"/>
      <c r="H647" s="206"/>
      <c r="I647" s="240"/>
    </row>
    <row r="648" outlineLevel="2">
      <c r="A648" s="422"/>
      <c r="B648" s="472" t="s">
        <v>76</v>
      </c>
      <c r="C648" s="198" t="s">
        <v>2183</v>
      </c>
      <c r="D648" s="202" t="s">
        <v>77</v>
      </c>
      <c r="E648" s="444" t="s">
        <v>75</v>
      </c>
      <c r="F648" s="214">
        <v>1.0</v>
      </c>
      <c r="G648" s="205"/>
      <c r="H648" s="206"/>
      <c r="I648" s="240"/>
    </row>
    <row r="649" outlineLevel="2">
      <c r="A649" s="422"/>
      <c r="B649" s="472" t="s">
        <v>78</v>
      </c>
      <c r="C649" s="198" t="s">
        <v>2185</v>
      </c>
      <c r="D649" s="202" t="s">
        <v>79</v>
      </c>
      <c r="E649" s="444" t="s">
        <v>75</v>
      </c>
      <c r="F649" s="214">
        <v>1.0</v>
      </c>
      <c r="G649" s="205"/>
      <c r="H649" s="206"/>
      <c r="I649" s="240"/>
    </row>
    <row r="650" outlineLevel="2">
      <c r="A650" s="422"/>
      <c r="B650" s="472" t="s">
        <v>80</v>
      </c>
      <c r="C650" s="198" t="s">
        <v>2187</v>
      </c>
      <c r="D650" s="202" t="s">
        <v>81</v>
      </c>
      <c r="E650" s="444" t="s">
        <v>75</v>
      </c>
      <c r="F650" s="214">
        <v>1.0</v>
      </c>
      <c r="G650" s="205"/>
      <c r="H650" s="206"/>
      <c r="I650" s="240"/>
    </row>
    <row r="651" outlineLevel="2">
      <c r="A651" s="422"/>
      <c r="B651" s="472"/>
      <c r="C651" s="230"/>
      <c r="D651" s="246"/>
      <c r="E651" s="437"/>
      <c r="F651" s="170"/>
      <c r="G651" s="239"/>
      <c r="H651" s="239"/>
      <c r="I651" s="240"/>
    </row>
    <row r="652" outlineLevel="2">
      <c r="A652" s="422" t="str">
        <f>'Master List'!A550</f>
        <v>W-FIN-020</v>
      </c>
      <c r="B652" s="472"/>
      <c r="C652" s="198"/>
      <c r="D652" s="462" t="str">
        <f>VLOOKUP(A652,'Master List'!$A$1:$C$1192,2,FALSE)</f>
        <v>Устройство бетонных порогов шириной 20см</v>
      </c>
      <c r="E652" s="463" t="str">
        <f>VLOOKUP(A652,'Master List'!$A$1:$C$1192,3,FALSE)</f>
        <v>м</v>
      </c>
      <c r="F652" s="464">
        <v>13.43</v>
      </c>
      <c r="G652" s="463">
        <f>VLOOKUP(A652,'Master List'!$A$4:$F3343,5,FALSE)</f>
        <v>19.5</v>
      </c>
      <c r="H652" s="206">
        <f t="shared" ref="H652:H654" si="43">G652*F652</f>
        <v>261.885</v>
      </c>
      <c r="I652" s="240"/>
    </row>
    <row r="653" outlineLevel="2">
      <c r="A653" s="422" t="str">
        <f>'Master List'!A219</f>
        <v>AC-8</v>
      </c>
      <c r="B653" s="472"/>
      <c r="C653" s="198"/>
      <c r="D653" s="462" t="str">
        <f>VLOOKUP(A653,'Master List'!$A$1:$C$1192,2,FALSE)</f>
        <v>Бетонный порог шириной 20см</v>
      </c>
      <c r="E653" s="463" t="str">
        <f>VLOOKUP(A653,'Master List'!$A$1:$C$1192,3,FALSE)</f>
        <v>м</v>
      </c>
      <c r="F653" s="464">
        <f>F652*1.05</f>
        <v>14.1015</v>
      </c>
      <c r="G653" s="463">
        <f>VLOOKUP(A653,'Master List'!$A$4:$F3344,5,FALSE)</f>
        <v>5.057</v>
      </c>
      <c r="H653" s="206">
        <f t="shared" si="43"/>
        <v>71.3112855</v>
      </c>
      <c r="I653" s="240"/>
    </row>
    <row r="654" outlineLevel="2">
      <c r="A654" s="422" t="str">
        <f>'Master List'!A75</f>
        <v>M-FIN-004</v>
      </c>
      <c r="B654" s="472"/>
      <c r="C654" s="198"/>
      <c r="D654" s="462" t="str">
        <f>VLOOKUP(A654,'Master List'!$A$1:$C$1192,2,FALSE)</f>
        <v>Клей для природного камня Kerakoll H40</v>
      </c>
      <c r="E654" s="463" t="str">
        <f>VLOOKUP(A654,'Master List'!$A$1:$C$1192,3,FALSE)</f>
        <v>кг</v>
      </c>
      <c r="F654" s="464">
        <f>F652*0.2*8</f>
        <v>21.488</v>
      </c>
      <c r="G654" s="463">
        <f>VLOOKUP(A654,'Master List'!$A$4:$F3345,5,FALSE)</f>
        <v>0.871</v>
      </c>
      <c r="H654" s="206">
        <f t="shared" si="43"/>
        <v>18.716048</v>
      </c>
      <c r="I654" s="240"/>
    </row>
    <row r="655" outlineLevel="2">
      <c r="A655" s="422"/>
      <c r="B655" s="428"/>
      <c r="C655" s="429"/>
      <c r="D655" s="428"/>
      <c r="E655" s="431"/>
      <c r="F655" s="432"/>
      <c r="G655" s="241"/>
      <c r="H655" s="433"/>
      <c r="I655" s="240"/>
    </row>
    <row r="656" outlineLevel="2">
      <c r="A656" s="422"/>
      <c r="B656" s="472" t="s">
        <v>82</v>
      </c>
      <c r="C656" s="248">
        <v>5.14</v>
      </c>
      <c r="D656" s="245" t="s">
        <v>83</v>
      </c>
      <c r="E656" s="431"/>
      <c r="F656" s="432"/>
      <c r="G656" s="241"/>
      <c r="H656" s="433"/>
      <c r="I656" s="240"/>
    </row>
    <row r="657" outlineLevel="2">
      <c r="A657" s="422"/>
      <c r="B657" s="428"/>
      <c r="C657" s="429"/>
      <c r="D657" s="428"/>
      <c r="E657" s="431"/>
      <c r="F657" s="432"/>
      <c r="G657" s="241"/>
      <c r="H657" s="433"/>
      <c r="I657" s="240"/>
    </row>
    <row r="658" outlineLevel="2">
      <c r="A658" s="422"/>
      <c r="B658" s="472" t="s">
        <v>84</v>
      </c>
      <c r="C658" s="198" t="s">
        <v>2190</v>
      </c>
      <c r="D658" s="202" t="s">
        <v>85</v>
      </c>
      <c r="E658" s="444" t="s">
        <v>75</v>
      </c>
      <c r="F658" s="214">
        <v>1.0</v>
      </c>
      <c r="G658" s="205"/>
      <c r="H658" s="206"/>
      <c r="I658" s="240"/>
    </row>
    <row r="659" outlineLevel="2">
      <c r="A659" s="422"/>
      <c r="B659" s="472" t="s">
        <v>86</v>
      </c>
      <c r="C659" s="198" t="s">
        <v>2192</v>
      </c>
      <c r="D659" s="202" t="s">
        <v>87</v>
      </c>
      <c r="E659" s="444" t="s">
        <v>75</v>
      </c>
      <c r="F659" s="214">
        <v>1.0</v>
      </c>
      <c r="G659" s="205"/>
      <c r="H659" s="206"/>
      <c r="I659" s="240"/>
    </row>
    <row r="660" outlineLevel="2">
      <c r="A660" s="422"/>
      <c r="B660" s="472" t="s">
        <v>88</v>
      </c>
      <c r="C660" s="198" t="s">
        <v>2194</v>
      </c>
      <c r="D660" s="202" t="s">
        <v>89</v>
      </c>
      <c r="E660" s="444" t="s">
        <v>75</v>
      </c>
      <c r="F660" s="214">
        <v>1.0</v>
      </c>
      <c r="G660" s="205"/>
      <c r="H660" s="206"/>
      <c r="I660" s="240"/>
    </row>
    <row r="661" outlineLevel="2">
      <c r="A661" s="422"/>
      <c r="B661" s="472" t="s">
        <v>90</v>
      </c>
      <c r="C661" s="198" t="s">
        <v>2196</v>
      </c>
      <c r="D661" s="202" t="s">
        <v>91</v>
      </c>
      <c r="E661" s="444" t="s">
        <v>75</v>
      </c>
      <c r="F661" s="214">
        <v>1.0</v>
      </c>
      <c r="G661" s="205"/>
      <c r="H661" s="206"/>
      <c r="I661" s="240"/>
    </row>
    <row r="662" outlineLevel="2">
      <c r="A662" s="422"/>
      <c r="B662" s="472" t="s">
        <v>92</v>
      </c>
      <c r="C662" s="198" t="s">
        <v>2198</v>
      </c>
      <c r="D662" s="202" t="s">
        <v>93</v>
      </c>
      <c r="E662" s="444" t="s">
        <v>75</v>
      </c>
      <c r="F662" s="214">
        <v>1.0</v>
      </c>
      <c r="G662" s="205"/>
      <c r="H662" s="206"/>
      <c r="I662" s="240"/>
    </row>
    <row r="663" outlineLevel="2">
      <c r="A663" s="422"/>
      <c r="B663" s="472"/>
      <c r="C663" s="230"/>
      <c r="D663" s="246"/>
      <c r="E663" s="437"/>
      <c r="F663" s="170"/>
      <c r="G663" s="239"/>
      <c r="H663" s="239"/>
      <c r="I663" s="240"/>
    </row>
    <row r="664" outlineLevel="2">
      <c r="A664" s="422" t="str">
        <f>'Master List'!A551</f>
        <v>W-FIN-021</v>
      </c>
      <c r="B664" s="472"/>
      <c r="C664" s="198"/>
      <c r="D664" s="462" t="str">
        <f>VLOOKUP(A664,'Master List'!$A$1:$C$1192,2,FALSE)</f>
        <v>Устройство бетонных порогов шириной 7см</v>
      </c>
      <c r="E664" s="463" t="str">
        <f>VLOOKUP(A664,'Master List'!$A$1:$C$1192,3,FALSE)</f>
        <v>м</v>
      </c>
      <c r="F664" s="464">
        <v>12.09</v>
      </c>
      <c r="G664" s="463">
        <f>VLOOKUP(A664,'Master List'!$A$4:$F3355,5,FALSE)</f>
        <v>18.2</v>
      </c>
      <c r="H664" s="206">
        <f t="shared" ref="H664:H666" si="44">G664*F664</f>
        <v>220.038</v>
      </c>
      <c r="I664" s="240"/>
    </row>
    <row r="665" outlineLevel="2">
      <c r="A665" s="422" t="str">
        <f>'Master List'!A220</f>
        <v>AC-10</v>
      </c>
      <c r="B665" s="472"/>
      <c r="C665" s="198"/>
      <c r="D665" s="462" t="str">
        <f>VLOOKUP(A665,'Master List'!$A$1:$C$1192,2,FALSE)</f>
        <v>Бетонный порог шириной 7см</v>
      </c>
      <c r="E665" s="463" t="str">
        <f>VLOOKUP(A665,'Master List'!$A$1:$C$1192,3,FALSE)</f>
        <v>м</v>
      </c>
      <c r="F665" s="464">
        <f>F664*1.05</f>
        <v>12.6945</v>
      </c>
      <c r="G665" s="463">
        <f>VLOOKUP(A665,'Master List'!$A$4:$F3356,5,FALSE)</f>
        <v>0</v>
      </c>
      <c r="H665" s="206">
        <f t="shared" si="44"/>
        <v>0</v>
      </c>
      <c r="I665" s="240"/>
    </row>
    <row r="666" outlineLevel="2">
      <c r="A666" s="422" t="str">
        <f>'Master List'!A75</f>
        <v>M-FIN-004</v>
      </c>
      <c r="B666" s="472"/>
      <c r="C666" s="198"/>
      <c r="D666" s="462" t="str">
        <f>VLOOKUP(A666,'Master List'!$A$1:$C$1192,2,FALSE)</f>
        <v>Клей для природного камня Kerakoll H40</v>
      </c>
      <c r="E666" s="463" t="str">
        <f>VLOOKUP(A666,'Master List'!$A$1:$C$1192,3,FALSE)</f>
        <v>кг</v>
      </c>
      <c r="F666" s="464">
        <f>F664*0.1*8</f>
        <v>9.672</v>
      </c>
      <c r="G666" s="463">
        <f>VLOOKUP(A666,'Master List'!$A$4:$F3357,5,FALSE)</f>
        <v>0.871</v>
      </c>
      <c r="H666" s="206">
        <f t="shared" si="44"/>
        <v>8.424312</v>
      </c>
      <c r="I666" s="240"/>
    </row>
    <row r="667" outlineLevel="2">
      <c r="A667" s="422"/>
      <c r="B667" s="472"/>
      <c r="C667" s="230"/>
      <c r="D667" s="246"/>
      <c r="E667" s="437"/>
      <c r="F667" s="170"/>
      <c r="G667" s="239"/>
      <c r="H667" s="239"/>
      <c r="I667" s="240"/>
    </row>
    <row r="668" outlineLevel="1">
      <c r="A668" s="422"/>
      <c r="B668" s="167"/>
      <c r="C668" s="167"/>
      <c r="D668" s="252"/>
      <c r="E668" s="171"/>
      <c r="F668" s="170"/>
      <c r="G668" s="239"/>
      <c r="H668" s="253"/>
      <c r="I668" s="169"/>
    </row>
    <row r="669">
      <c r="A669" s="422"/>
      <c r="B669" s="184"/>
      <c r="C669" s="184">
        <v>6.0</v>
      </c>
      <c r="D669" s="184" t="s">
        <v>137</v>
      </c>
      <c r="E669" s="425"/>
      <c r="F669" s="425"/>
      <c r="G669" s="425"/>
      <c r="H669" s="426">
        <f>SUM(H673:H698)</f>
        <v>56228.09335</v>
      </c>
      <c r="I669" s="427">
        <f>H669-'Orcamento RU'!C114</f>
        <v>-3805.64665</v>
      </c>
    </row>
    <row r="670" outlineLevel="1">
      <c r="A670" s="422"/>
      <c r="B670" s="472"/>
      <c r="C670" s="230"/>
      <c r="D670" s="246"/>
      <c r="E670" s="437"/>
      <c r="F670" s="170"/>
      <c r="G670" s="239"/>
      <c r="H670" s="239"/>
      <c r="I670" s="240"/>
    </row>
    <row r="671" outlineLevel="1">
      <c r="A671" s="422"/>
      <c r="B671" s="472"/>
      <c r="C671" s="230"/>
      <c r="D671" s="476" t="s">
        <v>137</v>
      </c>
      <c r="E671" s="437"/>
      <c r="F671" s="170"/>
      <c r="G671" s="436">
        <f>SUM(H673:H698)</f>
        <v>56228.09335</v>
      </c>
      <c r="H671" s="239"/>
      <c r="I671" s="240"/>
    </row>
    <row r="672" outlineLevel="2">
      <c r="A672" s="422"/>
      <c r="B672" s="472"/>
      <c r="C672" s="230"/>
      <c r="D672" s="246"/>
      <c r="E672" s="437"/>
      <c r="F672" s="170"/>
      <c r="G672" s="239"/>
      <c r="H672" s="239"/>
      <c r="I672" s="240"/>
    </row>
    <row r="673" outlineLevel="2">
      <c r="A673" s="422"/>
      <c r="B673" s="472" t="s">
        <v>138</v>
      </c>
      <c r="C673" s="477">
        <v>6.1</v>
      </c>
      <c r="D673" s="478" t="s">
        <v>139</v>
      </c>
      <c r="E673" s="444" t="s">
        <v>40</v>
      </c>
      <c r="F673" s="464">
        <v>181.91</v>
      </c>
      <c r="G673" s="463"/>
      <c r="H673" s="479"/>
      <c r="I673" s="219"/>
    </row>
    <row r="674" outlineLevel="2">
      <c r="A674" s="422"/>
      <c r="B674" s="472"/>
      <c r="C674" s="437"/>
      <c r="D674" s="480"/>
      <c r="E674" s="437"/>
      <c r="F674" s="468"/>
      <c r="G674" s="467"/>
      <c r="H674" s="467"/>
      <c r="I674" s="481"/>
    </row>
    <row r="675" outlineLevel="2">
      <c r="A675" s="422" t="str">
        <f>'Master List'!A533</f>
        <v>W-ROF-006</v>
      </c>
      <c r="B675" s="472"/>
      <c r="C675" s="198"/>
      <c r="D675" s="462" t="str">
        <f>VLOOKUP(A675,'Master List'!$A$1:$C$1192,2,FALSE)</f>
        <v>Укладання плит OSB</v>
      </c>
      <c r="E675" s="463" t="str">
        <f>VLOOKUP(A675,'Master List'!$A$1:$C$1192,3,FALSE)</f>
        <v>м2</v>
      </c>
      <c r="F675" s="464">
        <f>F673*2</f>
        <v>363.82</v>
      </c>
      <c r="G675" s="463">
        <f>VLOOKUP(A675,'Master List'!$A$4:$F3360,5,FALSE)</f>
        <v>11.05</v>
      </c>
      <c r="H675" s="206">
        <f t="shared" ref="H675:H685" si="45">G675*F675</f>
        <v>4020.211</v>
      </c>
      <c r="I675" s="481"/>
    </row>
    <row r="676" outlineLevel="2">
      <c r="A676" s="422" t="str">
        <f>'Master List'!A535</f>
        <v>W-ROF-010</v>
      </c>
      <c r="B676" s="472"/>
      <c r="C676" s="198"/>
      <c r="D676" s="462" t="str">
        <f>VLOOKUP(A676,'Master List'!$A$1:$C$1192,2,FALSE)</f>
        <v>Влаштування гідроізоляційної мембрани</v>
      </c>
      <c r="E676" s="463" t="str">
        <f>VLOOKUP(A676,'Master List'!$A$1:$C$1192,3,FALSE)</f>
        <v>м2</v>
      </c>
      <c r="F676" s="464">
        <f>F673</f>
        <v>181.91</v>
      </c>
      <c r="G676" s="463">
        <f>VLOOKUP(A676,'Master List'!$A$4:$F3361,5,FALSE)</f>
        <v>12.35</v>
      </c>
      <c r="H676" s="206">
        <f t="shared" si="45"/>
        <v>2246.5885</v>
      </c>
      <c r="I676" s="481"/>
    </row>
    <row r="677" outlineLevel="2">
      <c r="A677" s="422" t="str">
        <f>'Master List'!A532</f>
        <v>W-ROF-005</v>
      </c>
      <c r="B677" s="472"/>
      <c r="C677" s="198"/>
      <c r="D677" s="462" t="str">
        <f>VLOOKUP(A677,'Master List'!$A$1:$C$1192,2,FALSE)</f>
        <v>Укладання термоізоляції товщиною 80мм</v>
      </c>
      <c r="E677" s="463" t="str">
        <f>VLOOKUP(A677,'Master List'!$A$1:$C$1192,3,FALSE)</f>
        <v>м2</v>
      </c>
      <c r="F677" s="464">
        <f>F673</f>
        <v>181.91</v>
      </c>
      <c r="G677" s="463">
        <f>VLOOKUP(A677,'Master List'!$A$4:$F3362,5,FALSE)</f>
        <v>12.22</v>
      </c>
      <c r="H677" s="206">
        <f t="shared" si="45"/>
        <v>2222.9402</v>
      </c>
      <c r="I677" s="481"/>
    </row>
    <row r="678" outlineLevel="2">
      <c r="A678" s="422" t="str">
        <f>'Master List'!A531</f>
        <v>W-ROF-002</v>
      </c>
      <c r="B678" s="472"/>
      <c r="C678" s="198"/>
      <c r="D678" s="462" t="str">
        <f>VLOOKUP(A678,'Master List'!$A$1:$C$1192,2,FALSE)</f>
        <v>Укладання термоізоляції товщиною 170мм</v>
      </c>
      <c r="E678" s="463" t="str">
        <f>VLOOKUP(A678,'Master List'!$A$1:$C$1192,3,FALSE)</f>
        <v>м2</v>
      </c>
      <c r="F678" s="464">
        <f>F673</f>
        <v>181.91</v>
      </c>
      <c r="G678" s="463">
        <f>VLOOKUP(A678,'Master List'!$A$4:$F3363,5,FALSE)</f>
        <v>18.85</v>
      </c>
      <c r="H678" s="206">
        <f t="shared" si="45"/>
        <v>3429.0035</v>
      </c>
      <c r="I678" s="481"/>
    </row>
    <row r="679" outlineLevel="2">
      <c r="A679" s="422" t="str">
        <f>'Master List'!A536</f>
        <v>W-ROF-004</v>
      </c>
      <c r="B679" s="472"/>
      <c r="C679" s="198"/>
      <c r="D679" s="462" t="str">
        <f>VLOOKUP(A679,'Master List'!$A$1:$C$1192,2,FALSE)</f>
        <v>Влаштування покриття даху з оцинкованих листів</v>
      </c>
      <c r="E679" s="463" t="str">
        <f>VLOOKUP(A679,'Master List'!$A$1:$C$1192,3,FALSE)</f>
        <v>м2</v>
      </c>
      <c r="F679" s="464">
        <f>F673</f>
        <v>181.91</v>
      </c>
      <c r="G679" s="463">
        <f>VLOOKUP(A679,'Master List'!$A$4:$F3364,5,FALSE)</f>
        <v>39.65</v>
      </c>
      <c r="H679" s="206">
        <f t="shared" si="45"/>
        <v>7212.7315</v>
      </c>
      <c r="I679" s="481"/>
    </row>
    <row r="680" outlineLevel="2">
      <c r="A680" s="422" t="str">
        <f>'Master List'!A44</f>
        <v>M-ROF-017</v>
      </c>
      <c r="B680" s="472"/>
      <c r="C680" s="198"/>
      <c r="D680" s="462" t="str">
        <f>VLOOKUP(A680,'Master List'!$A$1:$C$1192,2,FALSE)</f>
        <v>Плити OSB товщиною 22мм</v>
      </c>
      <c r="E680" s="463" t="str">
        <f>VLOOKUP(A680,'Master List'!$A$1:$C$1192,3,FALSE)</f>
        <v>м2</v>
      </c>
      <c r="F680" s="464">
        <f>F675*1.05</f>
        <v>382.011</v>
      </c>
      <c r="G680" s="463">
        <f>VLOOKUP(A680,'Master List'!$A$4:$F3365,5,FALSE)</f>
        <v>26.767</v>
      </c>
      <c r="H680" s="206">
        <f t="shared" si="45"/>
        <v>10225.28844</v>
      </c>
      <c r="I680" s="481"/>
    </row>
    <row r="681" outlineLevel="2">
      <c r="A681" s="422" t="str">
        <f>'Master List'!A43</f>
        <v>M-ROF-015</v>
      </c>
      <c r="B681" s="472"/>
      <c r="C681" s="198"/>
      <c r="D681" s="462" t="str">
        <f>VLOOKUP(A681,'Master List'!$A$1:$C$1192,2,FALSE)</f>
        <v>Гідроізоляційна мембрана RHENOFOL CV</v>
      </c>
      <c r="E681" s="463" t="str">
        <f>VLOOKUP(A681,'Master List'!$A$1:$C$1192,3,FALSE)</f>
        <v>м2</v>
      </c>
      <c r="F681" s="464">
        <f>F676*1.1</f>
        <v>200.101</v>
      </c>
      <c r="G681" s="463">
        <f>VLOOKUP(A681,'Master List'!$A$4:$F3366,5,FALSE)</f>
        <v>12.597</v>
      </c>
      <c r="H681" s="206">
        <f t="shared" si="45"/>
        <v>2520.672297</v>
      </c>
      <c r="I681" s="481"/>
    </row>
    <row r="682" outlineLevel="2">
      <c r="A682" s="422" t="str">
        <f>'Master List'!A64</f>
        <v>M-TER-002</v>
      </c>
      <c r="B682" s="472"/>
      <c r="C682" s="198"/>
      <c r="D682" s="462" t="str">
        <f>VLOOKUP(A682,'Master List'!$A$1:$C$1192,2,FALSE)</f>
        <v>Экструдированный пенополистирол толщиной 80мм</v>
      </c>
      <c r="E682" s="463" t="str">
        <f>VLOOKUP(A682,'Master List'!$A$1:$C$1192,3,FALSE)</f>
        <v>м2</v>
      </c>
      <c r="F682" s="464">
        <f t="shared" ref="F682:F683" si="46">F677*1.05</f>
        <v>191.0055</v>
      </c>
      <c r="G682" s="463">
        <f>VLOOKUP(A682,'Master List'!$A$4:$F3367,5,FALSE)</f>
        <v>12.116</v>
      </c>
      <c r="H682" s="206">
        <f t="shared" si="45"/>
        <v>2314.222638</v>
      </c>
      <c r="I682" s="481"/>
    </row>
    <row r="683" outlineLevel="2">
      <c r="A683" s="422" t="str">
        <f>'Master List'!A66</f>
        <v>M-TER-010</v>
      </c>
      <c r="B683" s="472"/>
      <c r="C683" s="198"/>
      <c r="D683" s="462" t="str">
        <f>VLOOKUP(A683,'Master List'!$A$1:$C$1192,2,FALSE)</f>
        <v>Мінеральна вата товщиною 170мм</v>
      </c>
      <c r="E683" s="463" t="str">
        <f>VLOOKUP(A683,'Master List'!$A$1:$C$1192,3,FALSE)</f>
        <v>м2</v>
      </c>
      <c r="F683" s="464">
        <f t="shared" si="46"/>
        <v>191.0055</v>
      </c>
      <c r="G683" s="463">
        <f>VLOOKUP(A683,'Master List'!$A$4:$F3362,5,FALSE)</f>
        <v>20.8</v>
      </c>
      <c r="H683" s="206">
        <f t="shared" si="45"/>
        <v>3972.9144</v>
      </c>
      <c r="I683" s="481"/>
    </row>
    <row r="684" outlineLevel="2">
      <c r="A684" s="422" t="str">
        <f>'Master List'!A45</f>
        <v>M-ROF-016</v>
      </c>
      <c r="B684" s="472"/>
      <c r="C684" s="198"/>
      <c r="D684" s="462" t="str">
        <f>VLOOKUP(A684,'Master List'!$A$1:$C$1192,2,FALSE)</f>
        <v>Оцинковані листи для покрівлі</v>
      </c>
      <c r="E684" s="463" t="str">
        <f>VLOOKUP(A684,'Master List'!$A$1:$C$1192,3,FALSE)</f>
        <v>м2</v>
      </c>
      <c r="F684" s="464">
        <f>F679*1.1</f>
        <v>200.101</v>
      </c>
      <c r="G684" s="463">
        <f>VLOOKUP(A684,'Master List'!$A$4:$F3363,5,FALSE)</f>
        <v>67.6</v>
      </c>
      <c r="H684" s="206">
        <f t="shared" si="45"/>
        <v>13526.8276</v>
      </c>
      <c r="I684" s="481"/>
    </row>
    <row r="685" outlineLevel="2">
      <c r="A685" s="422" t="str">
        <f>'Master List'!A46</f>
        <v>M-ROF-018</v>
      </c>
      <c r="B685" s="472"/>
      <c r="C685" s="198"/>
      <c r="D685" s="462" t="str">
        <f>VLOOKUP(A685,'Master List'!$A$1:$C$1192,2,FALSE)</f>
        <v>Кріплення для оцинкованих листів</v>
      </c>
      <c r="E685" s="463" t="str">
        <f>VLOOKUP(A685,'Master List'!$A$1:$C$1192,3,FALSE)</f>
        <v>шт</v>
      </c>
      <c r="F685" s="464">
        <f>F679*6+0.54</f>
        <v>1092</v>
      </c>
      <c r="G685" s="463">
        <f>VLOOKUP(A685,'Master List'!$A$4:$F3364,5,FALSE)</f>
        <v>0.507</v>
      </c>
      <c r="H685" s="206">
        <f t="shared" si="45"/>
        <v>553.644</v>
      </c>
      <c r="I685" s="481"/>
    </row>
    <row r="686" outlineLevel="2">
      <c r="A686" s="422"/>
      <c r="B686" s="428"/>
      <c r="C686" s="429"/>
      <c r="D686" s="428"/>
      <c r="E686" s="431"/>
      <c r="F686" s="432"/>
      <c r="G686" s="433"/>
      <c r="H686" s="433"/>
      <c r="I686" s="240"/>
    </row>
    <row r="687" outlineLevel="2">
      <c r="A687" s="422"/>
      <c r="B687" s="472" t="s">
        <v>140</v>
      </c>
      <c r="C687" s="198">
        <v>6.2</v>
      </c>
      <c r="D687" s="202" t="s">
        <v>141</v>
      </c>
      <c r="E687" s="444" t="s">
        <v>40</v>
      </c>
      <c r="F687" s="214">
        <v>37.14</v>
      </c>
      <c r="G687" s="205"/>
      <c r="H687" s="206"/>
      <c r="I687" s="219"/>
    </row>
    <row r="688" outlineLevel="2">
      <c r="A688" s="422"/>
      <c r="B688" s="472"/>
      <c r="C688" s="230"/>
      <c r="D688" s="246"/>
      <c r="E688" s="437"/>
      <c r="F688" s="170"/>
      <c r="G688" s="239"/>
      <c r="H688" s="239"/>
      <c r="I688" s="240"/>
    </row>
    <row r="689" outlineLevel="2">
      <c r="A689" s="422" t="str">
        <f>'Master List'!A537</f>
        <v>W-ROF-008</v>
      </c>
      <c r="B689" s="472"/>
      <c r="C689" s="198"/>
      <c r="D689" s="462" t="str">
        <f>VLOOKUP(A689,'Master List'!$A$1:$C$1192,2,FALSE)</f>
        <v>Влаштування покриття даху з гравію товщиною 10см</v>
      </c>
      <c r="E689" s="463" t="str">
        <f>VLOOKUP(A689,'Master List'!$A$1:$C$1192,3,FALSE)</f>
        <v>м2</v>
      </c>
      <c r="F689" s="464">
        <f>F687</f>
        <v>37.14</v>
      </c>
      <c r="G689" s="463">
        <f>VLOOKUP(A689,'Master List'!$A$4:$F3368,5,FALSE)</f>
        <v>24.7</v>
      </c>
      <c r="H689" s="206">
        <f t="shared" ref="H689:H690" si="47">G689*F689</f>
        <v>917.358</v>
      </c>
      <c r="I689" s="240"/>
    </row>
    <row r="690" outlineLevel="2">
      <c r="A690" s="422" t="str">
        <f>'Master List'!A60</f>
        <v>M-IMP-020</v>
      </c>
      <c r="B690" s="472"/>
      <c r="C690" s="198"/>
      <c r="D690" s="462" t="str">
        <f>VLOOKUP(A690,'Master List'!$A$1:$C$1192,2,FALSE)</f>
        <v>Гравій №2</v>
      </c>
      <c r="E690" s="463" t="str">
        <f>VLOOKUP(A690,'Master List'!$A$1:$C$1192,3,FALSE)</f>
        <v>м3</v>
      </c>
      <c r="F690" s="464">
        <f>F689*0.1*1.1</f>
        <v>4.0854</v>
      </c>
      <c r="G690" s="463">
        <f>VLOOKUP(A690,'Master List'!$A$4:$F3369,5,FALSE)</f>
        <v>31.07</v>
      </c>
      <c r="H690" s="206">
        <f t="shared" si="47"/>
        <v>126.933378</v>
      </c>
      <c r="I690" s="240"/>
    </row>
    <row r="691" outlineLevel="2">
      <c r="A691" s="422"/>
      <c r="B691" s="428"/>
      <c r="C691" s="429"/>
      <c r="D691" s="428"/>
      <c r="E691" s="431"/>
      <c r="F691" s="432"/>
      <c r="G691" s="433"/>
      <c r="H691" s="433"/>
      <c r="I691" s="240"/>
    </row>
    <row r="692" outlineLevel="2">
      <c r="A692" s="422"/>
      <c r="B692" s="472" t="s">
        <v>142</v>
      </c>
      <c r="C692" s="477">
        <v>6.3</v>
      </c>
      <c r="D692" s="478" t="s">
        <v>143</v>
      </c>
      <c r="E692" s="444" t="s">
        <v>40</v>
      </c>
      <c r="F692" s="464">
        <v>15.09</v>
      </c>
      <c r="G692" s="463"/>
      <c r="H692" s="479"/>
      <c r="I692" s="219"/>
    </row>
    <row r="693" outlineLevel="2">
      <c r="A693" s="422"/>
      <c r="B693" s="472"/>
      <c r="C693" s="437"/>
      <c r="D693" s="480"/>
      <c r="E693" s="437"/>
      <c r="F693" s="468"/>
      <c r="G693" s="467"/>
      <c r="H693" s="467"/>
      <c r="I693" s="481"/>
    </row>
    <row r="694" outlineLevel="2">
      <c r="A694" s="422" t="str">
        <f>'Master List'!A536</f>
        <v>W-ROF-004</v>
      </c>
      <c r="B694" s="472"/>
      <c r="C694" s="198"/>
      <c r="D694" s="462" t="str">
        <f>VLOOKUP(A694,'Master List'!$A$1:$C$1192,2,FALSE)</f>
        <v>Влаштування покриття даху з оцинкованих листів</v>
      </c>
      <c r="E694" s="463" t="str">
        <f>VLOOKUP(A694,'Master List'!$A$1:$C$1192,3,FALSE)</f>
        <v>м2</v>
      </c>
      <c r="F694" s="464">
        <f>F692</f>
        <v>15.09</v>
      </c>
      <c r="G694" s="463">
        <f>VLOOKUP(A694,'Master List'!$A$4:$F3378,5,FALSE)</f>
        <v>39.65</v>
      </c>
      <c r="H694" s="206">
        <f t="shared" ref="H694:H696" si="48">G694*F694</f>
        <v>598.3185</v>
      </c>
      <c r="I694" s="481"/>
    </row>
    <row r="695" outlineLevel="2">
      <c r="A695" s="422" t="str">
        <f>'Master List'!A45</f>
        <v>M-ROF-016</v>
      </c>
      <c r="B695" s="472"/>
      <c r="C695" s="198"/>
      <c r="D695" s="462" t="str">
        <f>VLOOKUP(A695,'Master List'!$A$1:$C$1192,2,FALSE)</f>
        <v>Оцинковані листи для покрівлі</v>
      </c>
      <c r="E695" s="463" t="str">
        <f>VLOOKUP(A695,'Master List'!$A$1:$C$1192,3,FALSE)</f>
        <v>м2</v>
      </c>
      <c r="F695" s="464">
        <f>F694*1.1</f>
        <v>16.599</v>
      </c>
      <c r="G695" s="463">
        <f>VLOOKUP(A695,'Master List'!$A$4:$F3379,5,FALSE)</f>
        <v>67.6</v>
      </c>
      <c r="H695" s="206">
        <f t="shared" si="48"/>
        <v>1122.0924</v>
      </c>
      <c r="I695" s="481"/>
    </row>
    <row r="696" outlineLevel="2">
      <c r="A696" s="422" t="str">
        <f>'Master List'!A46</f>
        <v>M-ROF-018</v>
      </c>
      <c r="B696" s="472"/>
      <c r="C696" s="198"/>
      <c r="D696" s="462" t="str">
        <f>VLOOKUP(A696,'Master List'!$A$1:$C$1192,2,FALSE)</f>
        <v>Кріплення для оцинкованих листів</v>
      </c>
      <c r="E696" s="463" t="str">
        <f>VLOOKUP(A696,'Master List'!$A$1:$C$1192,3,FALSE)</f>
        <v>шт</v>
      </c>
      <c r="F696" s="464">
        <f>F694*8+0.28</f>
        <v>121</v>
      </c>
      <c r="G696" s="463">
        <f>VLOOKUP(A696,'Master List'!$A$4:$F3380,5,FALSE)</f>
        <v>0.507</v>
      </c>
      <c r="H696" s="206">
        <f t="shared" si="48"/>
        <v>61.347</v>
      </c>
      <c r="I696" s="481"/>
    </row>
    <row r="697" outlineLevel="2">
      <c r="A697" s="422"/>
      <c r="B697" s="428"/>
      <c r="C697" s="429"/>
      <c r="D697" s="428"/>
      <c r="E697" s="431"/>
      <c r="F697" s="432"/>
      <c r="G697" s="433"/>
      <c r="H697" s="433"/>
      <c r="I697" s="240"/>
    </row>
    <row r="698" outlineLevel="2">
      <c r="A698" s="422" t="str">
        <f>'Master List'!A538</f>
        <v>W-ROF-012</v>
      </c>
      <c r="B698" s="472" t="s">
        <v>144</v>
      </c>
      <c r="C698" s="198">
        <v>6.4</v>
      </c>
      <c r="D698" s="202" t="s">
        <v>145</v>
      </c>
      <c r="E698" s="444" t="s">
        <v>75</v>
      </c>
      <c r="F698" s="214">
        <v>2.0</v>
      </c>
      <c r="G698" s="463">
        <f>VLOOKUP(A698,'Master List'!$A$4:$F3382,5,FALSE)</f>
        <v>578.5</v>
      </c>
      <c r="H698" s="206">
        <f>F698*G698</f>
        <v>1157</v>
      </c>
      <c r="I698" s="219"/>
    </row>
    <row r="699" outlineLevel="2">
      <c r="A699" s="422"/>
      <c r="B699" s="472"/>
      <c r="C699" s="230"/>
      <c r="D699" s="246"/>
      <c r="E699" s="437"/>
      <c r="F699" s="170"/>
      <c r="G699" s="239"/>
      <c r="H699" s="239"/>
      <c r="I699" s="240"/>
    </row>
    <row r="700" outlineLevel="1">
      <c r="A700" s="422"/>
      <c r="B700" s="472"/>
      <c r="C700" s="230"/>
      <c r="D700" s="246"/>
      <c r="E700" s="437"/>
      <c r="F700" s="170"/>
      <c r="G700" s="239"/>
      <c r="H700" s="239"/>
      <c r="I700" s="240"/>
    </row>
    <row r="701">
      <c r="A701" s="422"/>
      <c r="B701" s="184"/>
      <c r="C701" s="184">
        <v>7.0</v>
      </c>
      <c r="D701" s="184" t="s">
        <v>146</v>
      </c>
      <c r="E701" s="425"/>
      <c r="F701" s="425"/>
      <c r="G701" s="425"/>
      <c r="H701" s="426">
        <f>SUM(H705:H766)</f>
        <v>14727.36837</v>
      </c>
      <c r="I701" s="427">
        <f>H701-Resumo!J30</f>
        <v>-729.5016338</v>
      </c>
    </row>
    <row r="702" outlineLevel="1">
      <c r="A702" s="422"/>
      <c r="B702" s="472"/>
      <c r="C702" s="230"/>
      <c r="D702" s="246"/>
      <c r="E702" s="437"/>
      <c r="F702" s="170"/>
      <c r="G702" s="239"/>
      <c r="H702" s="239"/>
      <c r="I702" s="240"/>
    </row>
    <row r="703" outlineLevel="1">
      <c r="A703" s="422"/>
      <c r="B703" s="472" t="s">
        <v>147</v>
      </c>
      <c r="C703" s="429"/>
      <c r="D703" s="435" t="s">
        <v>148</v>
      </c>
      <c r="E703" s="431"/>
      <c r="F703" s="432"/>
      <c r="G703" s="436">
        <f>SUM(H707:H708)</f>
        <v>543.154976</v>
      </c>
      <c r="H703" s="433"/>
      <c r="I703" s="240"/>
    </row>
    <row r="704" outlineLevel="2">
      <c r="A704" s="422"/>
      <c r="B704" s="428"/>
      <c r="C704" s="429"/>
      <c r="D704" s="428"/>
      <c r="E704" s="431"/>
      <c r="F704" s="432"/>
      <c r="G704" s="433"/>
      <c r="H704" s="433"/>
      <c r="I704" s="240"/>
    </row>
    <row r="705" outlineLevel="2">
      <c r="A705" s="422"/>
      <c r="B705" s="472" t="s">
        <v>149</v>
      </c>
      <c r="C705" s="198">
        <v>7.1</v>
      </c>
      <c r="D705" s="202" t="s">
        <v>150</v>
      </c>
      <c r="E705" s="444" t="s">
        <v>40</v>
      </c>
      <c r="F705" s="214">
        <v>42.56</v>
      </c>
      <c r="G705" s="205"/>
      <c r="H705" s="206"/>
      <c r="I705" s="219"/>
    </row>
    <row r="706" outlineLevel="2">
      <c r="A706" s="422"/>
      <c r="B706" s="472"/>
      <c r="C706" s="230"/>
      <c r="D706" s="246"/>
      <c r="E706" s="437"/>
      <c r="F706" s="170"/>
      <c r="G706" s="239"/>
      <c r="H706" s="239"/>
      <c r="I706" s="240"/>
    </row>
    <row r="707" outlineLevel="2">
      <c r="A707" s="422" t="str">
        <f>'Master List'!A566</f>
        <v>W-FIN-060</v>
      </c>
      <c r="B707" s="472"/>
      <c r="C707" s="198"/>
      <c r="D707" s="462" t="str">
        <f>VLOOKUP(A707,'Master List'!$A$1:$C$1192,2,FALSE)</f>
        <v>Нанесення захисного покриття на бетонні поверхні</v>
      </c>
      <c r="E707" s="463" t="str">
        <f>VLOOKUP(A707,'Master List'!$A$1:$C$1192,3,FALSE)</f>
        <v>м2</v>
      </c>
      <c r="F707" s="464">
        <f>F705</f>
        <v>42.56</v>
      </c>
      <c r="G707" s="463">
        <f>VLOOKUP(A707,'Master List'!$A$4:$F3386,5,FALSE)</f>
        <v>9.1</v>
      </c>
      <c r="H707" s="206">
        <f t="shared" ref="H707:H708" si="49">G707*F707</f>
        <v>387.296</v>
      </c>
      <c r="I707" s="240"/>
    </row>
    <row r="708" outlineLevel="2">
      <c r="A708" s="422" t="str">
        <f>'Master List'!A102</f>
        <v>M-FIN-070</v>
      </c>
      <c r="B708" s="472"/>
      <c r="C708" s="198"/>
      <c r="D708" s="462" t="str">
        <f>VLOOKUP(A708,'Master List'!$A$1:$C$1192,2,FALSE)</f>
        <v>Захисне покриття для бетону SIKAGARD 680-S PT</v>
      </c>
      <c r="E708" s="463" t="str">
        <f>VLOOKUP(A708,'Master List'!$A$1:$C$1192,3,FALSE)</f>
        <v>кг</v>
      </c>
      <c r="F708" s="464">
        <f>F707*0.3</f>
        <v>12.768</v>
      </c>
      <c r="G708" s="463">
        <f>VLOOKUP(A708,'Master List'!$A$4:$F3387,5,FALSE)</f>
        <v>12.207</v>
      </c>
      <c r="H708" s="206">
        <f t="shared" si="49"/>
        <v>155.858976</v>
      </c>
      <c r="I708" s="240"/>
    </row>
    <row r="709" outlineLevel="2">
      <c r="A709" s="422"/>
      <c r="B709" s="428"/>
      <c r="C709" s="429"/>
      <c r="D709" s="428"/>
      <c r="E709" s="431"/>
      <c r="F709" s="432"/>
      <c r="G709" s="433"/>
      <c r="H709" s="433"/>
      <c r="I709" s="240"/>
    </row>
    <row r="710" outlineLevel="1">
      <c r="A710" s="422"/>
      <c r="B710" s="472" t="s">
        <v>151</v>
      </c>
      <c r="C710" s="429"/>
      <c r="D710" s="435" t="s">
        <v>152</v>
      </c>
      <c r="E710" s="431"/>
      <c r="F710" s="432"/>
      <c r="G710" s="436">
        <f>SUM(H712:H766)</f>
        <v>14184.21339</v>
      </c>
      <c r="H710" s="433"/>
      <c r="I710" s="240"/>
    </row>
    <row r="711" outlineLevel="2">
      <c r="A711" s="422"/>
      <c r="B711" s="428"/>
      <c r="C711" s="429"/>
      <c r="D711" s="428"/>
      <c r="E711" s="431"/>
      <c r="F711" s="432"/>
      <c r="G711" s="433"/>
      <c r="H711" s="433"/>
      <c r="I711" s="240"/>
    </row>
    <row r="712" outlineLevel="2">
      <c r="A712" s="422"/>
      <c r="B712" s="472" t="s">
        <v>153</v>
      </c>
      <c r="C712" s="198">
        <v>7.2</v>
      </c>
      <c r="D712" s="202" t="s">
        <v>154</v>
      </c>
      <c r="E712" s="444" t="s">
        <v>40</v>
      </c>
      <c r="F712" s="214">
        <v>331.34</v>
      </c>
      <c r="G712" s="205"/>
      <c r="H712" s="206"/>
      <c r="I712" s="219"/>
    </row>
    <row r="713" outlineLevel="2">
      <c r="A713" s="422"/>
      <c r="B713" s="472"/>
      <c r="C713" s="230"/>
      <c r="D713" s="246"/>
      <c r="E713" s="437"/>
      <c r="F713" s="170"/>
      <c r="G713" s="239"/>
      <c r="H713" s="239"/>
      <c r="I713" s="240"/>
    </row>
    <row r="714" outlineLevel="2">
      <c r="A714" s="422" t="str">
        <f>'Master List'!A566</f>
        <v>W-FIN-060</v>
      </c>
      <c r="B714" s="472"/>
      <c r="C714" s="198"/>
      <c r="D714" s="462" t="str">
        <f>VLOOKUP(A714,'Master List'!$A$1:$C$1192,2,FALSE)</f>
        <v>Нанесення захисного покриття на бетонні поверхні</v>
      </c>
      <c r="E714" s="463" t="str">
        <f>VLOOKUP(A714,'Master List'!$A$1:$C$1192,3,FALSE)</f>
        <v>м2</v>
      </c>
      <c r="F714" s="464">
        <f>F712</f>
        <v>331.34</v>
      </c>
      <c r="G714" s="463">
        <f>VLOOKUP(A714,'Master List'!$A$4:$F3393,5,FALSE)</f>
        <v>9.1</v>
      </c>
      <c r="H714" s="206">
        <f t="shared" ref="H714:H715" si="50">G714*F714</f>
        <v>3015.194</v>
      </c>
      <c r="I714" s="240"/>
    </row>
    <row r="715" outlineLevel="2">
      <c r="A715" s="422" t="str">
        <f>'Master List'!A102</f>
        <v>M-FIN-070</v>
      </c>
      <c r="B715" s="472"/>
      <c r="C715" s="198"/>
      <c r="D715" s="462" t="str">
        <f>VLOOKUP(A715,'Master List'!$A$1:$C$1192,2,FALSE)</f>
        <v>Захисне покриття для бетону SIKAGARD 680-S PT</v>
      </c>
      <c r="E715" s="463" t="str">
        <f>VLOOKUP(A715,'Master List'!$A$1:$C$1192,3,FALSE)</f>
        <v>кг</v>
      </c>
      <c r="F715" s="464">
        <f>F714*0.3</f>
        <v>99.402</v>
      </c>
      <c r="G715" s="463">
        <f>VLOOKUP(A715,'Master List'!$A$4:$F3394,5,FALSE)</f>
        <v>12.207</v>
      </c>
      <c r="H715" s="206">
        <f t="shared" si="50"/>
        <v>1213.400214</v>
      </c>
      <c r="I715" s="240"/>
    </row>
    <row r="716" outlineLevel="2">
      <c r="A716" s="422"/>
      <c r="B716" s="428"/>
      <c r="C716" s="429"/>
      <c r="D716" s="428"/>
      <c r="E716" s="431"/>
      <c r="F716" s="432"/>
      <c r="G716" s="433"/>
      <c r="H716" s="433"/>
      <c r="I716" s="240"/>
    </row>
    <row r="717" outlineLevel="2">
      <c r="A717" s="422"/>
      <c r="B717" s="472" t="s">
        <v>155</v>
      </c>
      <c r="C717" s="198">
        <v>7.3</v>
      </c>
      <c r="D717" s="202" t="s">
        <v>156</v>
      </c>
      <c r="E717" s="444" t="s">
        <v>40</v>
      </c>
      <c r="F717" s="214">
        <v>170.41</v>
      </c>
      <c r="G717" s="205"/>
      <c r="H717" s="206"/>
      <c r="I717" s="219" t="s">
        <v>5598</v>
      </c>
    </row>
    <row r="718" outlineLevel="2">
      <c r="A718" s="422"/>
      <c r="B718" s="472"/>
      <c r="C718" s="230"/>
      <c r="D718" s="246"/>
      <c r="E718" s="437"/>
      <c r="F718" s="170"/>
      <c r="G718" s="239"/>
      <c r="H718" s="239"/>
      <c r="I718" s="240"/>
    </row>
    <row r="719" outlineLevel="2">
      <c r="A719" s="422" t="str">
        <f>'Master List'!A564</f>
        <v>W-FIN-034</v>
      </c>
      <c r="B719" s="472"/>
      <c r="C719" s="198"/>
      <c r="D719" s="462" t="str">
        <f>VLOOKUP(A719,'Master List'!$A$1:$C$1192,2,FALSE)</f>
        <v>Устройство подвесного потолка из гипсокартона</v>
      </c>
      <c r="E719" s="463" t="str">
        <f>VLOOKUP(A719,'Master List'!$A$1:$C$1192,3,FALSE)</f>
        <v>м2</v>
      </c>
      <c r="F719" s="464">
        <f>F717</f>
        <v>170.41</v>
      </c>
      <c r="G719" s="463">
        <f>VLOOKUP(A719,'Master List'!$A$4:$F3398,5,FALSE)</f>
        <v>18.2</v>
      </c>
      <c r="H719" s="206">
        <f t="shared" ref="H719:H731" si="51">G719*F719</f>
        <v>3101.462</v>
      </c>
      <c r="I719" s="240"/>
    </row>
    <row r="720" outlineLevel="2">
      <c r="A720" s="422" t="str">
        <f>'Master List'!A83</f>
        <v>M-FIN-043</v>
      </c>
      <c r="B720" s="472"/>
      <c r="C720" s="198"/>
      <c r="D720" s="462" t="str">
        <f>VLOOKUP(A720,'Master List'!$A$1:$C$1192,2,FALSE)</f>
        <v>Лист гипсокартонный размером 2500х1200х12,5 мм</v>
      </c>
      <c r="E720" s="463" t="str">
        <f>VLOOKUP(A720,'Master List'!$A$1:$C$1192,3,FALSE)</f>
        <v>шт</v>
      </c>
      <c r="F720" s="464">
        <f>F717*1.05/3+0.36</f>
        <v>60.0035</v>
      </c>
      <c r="G720" s="463">
        <f>VLOOKUP(A720,'Master List'!$A$4:$F3399,5,FALSE)</f>
        <v>13.494</v>
      </c>
      <c r="H720" s="206">
        <f t="shared" si="51"/>
        <v>809.687229</v>
      </c>
      <c r="I720" s="240"/>
    </row>
    <row r="721" outlineLevel="2">
      <c r="A721" s="422" t="str">
        <f>'Master List'!A86</f>
        <v>M-FIN-031</v>
      </c>
      <c r="B721" s="472"/>
      <c r="C721" s="198"/>
      <c r="D721" s="462" t="str">
        <f>VLOOKUP(A721,'Master List'!$A$1:$C$1192,2,FALSE)</f>
        <v>Уголок направляющий размером 30х30 мм</v>
      </c>
      <c r="E721" s="463" t="str">
        <f>VLOOKUP(A721,'Master List'!$A$1:$C$1192,3,FALSE)</f>
        <v>м</v>
      </c>
      <c r="F721" s="464">
        <f>F720*3</f>
        <v>180.0105</v>
      </c>
      <c r="G721" s="463">
        <f>VLOOKUP(A721,'Master List'!$A$4:$F3400,5,FALSE)</f>
        <v>0.429</v>
      </c>
      <c r="H721" s="206">
        <f t="shared" si="51"/>
        <v>77.2245045</v>
      </c>
      <c r="I721" s="240"/>
    </row>
    <row r="722" outlineLevel="2">
      <c r="A722" s="422" t="str">
        <f>'Master List'!A87</f>
        <v>M-FIN-032</v>
      </c>
      <c r="B722" s="472"/>
      <c r="C722" s="198"/>
      <c r="D722" s="462" t="str">
        <f>VLOOKUP(A722,'Master List'!$A$1:$C$1192,2,FALSE)</f>
        <v>Профиль потолочный</v>
      </c>
      <c r="E722" s="463" t="str">
        <f>VLOOKUP(A722,'Master List'!$A$1:$C$1192,3,FALSE)</f>
        <v>м</v>
      </c>
      <c r="F722" s="464">
        <f>F720*8.5</f>
        <v>510.02975</v>
      </c>
      <c r="G722" s="463">
        <f>VLOOKUP(A722,'Master List'!$A$4:$F3401,5,FALSE)</f>
        <v>0.611</v>
      </c>
      <c r="H722" s="206">
        <f t="shared" si="51"/>
        <v>311.6281773</v>
      </c>
      <c r="I722" s="240"/>
    </row>
    <row r="723" outlineLevel="2">
      <c r="A723" s="422" t="str">
        <f>'Master List'!A88</f>
        <v>M-FIN-033</v>
      </c>
      <c r="B723" s="472"/>
      <c r="C723" s="198"/>
      <c r="D723" s="462" t="str">
        <f>VLOOKUP(A723,'Master List'!$A$1:$C$1192,2,FALSE)</f>
        <v>Резьба М6 длиной 1м</v>
      </c>
      <c r="E723" s="463" t="str">
        <f>VLOOKUP(A723,'Master List'!$A$1:$C$1192,3,FALSE)</f>
        <v>шт</v>
      </c>
      <c r="F723" s="464">
        <f>F720*0.72</f>
        <v>43.20252</v>
      </c>
      <c r="G723" s="463">
        <f>VLOOKUP(A723,'Master List'!$A$4:$F3402,5,FALSE)</f>
        <v>0.338</v>
      </c>
      <c r="H723" s="206">
        <f t="shared" si="51"/>
        <v>14.60245176</v>
      </c>
      <c r="I723" s="240"/>
    </row>
    <row r="724" outlineLevel="2">
      <c r="A724" s="422" t="str">
        <f>'Master List'!A89</f>
        <v>M-FIN-034</v>
      </c>
      <c r="B724" s="472"/>
      <c r="C724" s="198"/>
      <c r="D724" s="462" t="str">
        <f>VLOOKUP(A724,'Master List'!$A$1:$C$1192,2,FALSE)</f>
        <v>Латунная втулка</v>
      </c>
      <c r="E724" s="463" t="str">
        <f>VLOOKUP(A724,'Master List'!$A$1:$C$1192,3,FALSE)</f>
        <v>шт</v>
      </c>
      <c r="F724" s="464">
        <f>F720*6.5</f>
        <v>390.02275</v>
      </c>
      <c r="G724" s="463">
        <f>VLOOKUP(A724,'Master List'!$A$4:$F3403,5,FALSE)</f>
        <v>0.078</v>
      </c>
      <c r="H724" s="206">
        <f t="shared" si="51"/>
        <v>30.4217745</v>
      </c>
      <c r="I724" s="240"/>
    </row>
    <row r="725" outlineLevel="2">
      <c r="A725" s="422" t="str">
        <f>'Master List'!A90</f>
        <v>M-FIN-035</v>
      </c>
      <c r="B725" s="472"/>
      <c r="C725" s="198"/>
      <c r="D725" s="462" t="str">
        <f>VLOOKUP(A725,'Master List'!$A$1:$C$1192,2,FALSE)</f>
        <v>Крепление типа "бабочка"</v>
      </c>
      <c r="E725" s="463" t="str">
        <f>VLOOKUP(A725,'Master List'!$A$1:$C$1192,3,FALSE)</f>
        <v>шт</v>
      </c>
      <c r="F725" s="464">
        <f>F720*6.5</f>
        <v>390.02275</v>
      </c>
      <c r="G725" s="463">
        <f>VLOOKUP(A725,'Master List'!$A$4:$F3404,5,FALSE)</f>
        <v>0.078</v>
      </c>
      <c r="H725" s="206">
        <f t="shared" si="51"/>
        <v>30.4217745</v>
      </c>
      <c r="I725" s="240"/>
    </row>
    <row r="726" outlineLevel="2">
      <c r="A726" s="422" t="str">
        <f>'Master List'!A91</f>
        <v>M-FIN-036</v>
      </c>
      <c r="B726" s="472"/>
      <c r="C726" s="198"/>
      <c r="D726" s="462" t="str">
        <f>VLOOKUP(A726,'Master List'!$A$1:$C$1192,2,FALSE)</f>
        <v>Гвозди Hilti для крепления уголка направляющего 1000шт</v>
      </c>
      <c r="E726" s="463" t="str">
        <f>VLOOKUP(A726,'Master List'!$A$1:$C$1192,3,FALSE)</f>
        <v>уп</v>
      </c>
      <c r="F726" s="464">
        <f>F720*0.028</f>
        <v>1.680098</v>
      </c>
      <c r="G726" s="463">
        <f>VLOOKUP(A726,'Master List'!$A$4:$F3405,5,FALSE)</f>
        <v>81.9</v>
      </c>
      <c r="H726" s="206">
        <f t="shared" si="51"/>
        <v>137.6000262</v>
      </c>
      <c r="I726" s="240"/>
    </row>
    <row r="727" outlineLevel="2">
      <c r="A727" s="422" t="str">
        <f>'Master List'!A92</f>
        <v>M-FIN-037</v>
      </c>
      <c r="B727" s="472"/>
      <c r="C727" s="198"/>
      <c r="D727" s="462" t="str">
        <f>VLOOKUP(A727,'Master List'!$A$1:$C$1192,2,FALSE)</f>
        <v>Саморез для гипсокартона размером 3,5х25мм 1000шт</v>
      </c>
      <c r="E727" s="463" t="str">
        <f>VLOOKUP(A727,'Master List'!$A$1:$C$1192,3,FALSE)</f>
        <v>уп</v>
      </c>
      <c r="F727" s="464">
        <f>F720*0.08</f>
        <v>4.80028</v>
      </c>
      <c r="G727" s="463">
        <f>VLOOKUP(A727,'Master List'!$A$4:$F3406,5,FALSE)</f>
        <v>8.84</v>
      </c>
      <c r="H727" s="206">
        <f t="shared" si="51"/>
        <v>42.4344752</v>
      </c>
      <c r="I727" s="240"/>
    </row>
    <row r="728" outlineLevel="2">
      <c r="A728" s="422" t="str">
        <f>'Master List'!A93</f>
        <v>M-FIN-038</v>
      </c>
      <c r="B728" s="472"/>
      <c r="C728" s="198"/>
      <c r="D728" s="462" t="str">
        <f>VLOOKUP(A728,'Master List'!$A$1:$C$1192,2,FALSE)</f>
        <v>Саморез для гипсокартона размером 3,5х9,5мм 1000шт</v>
      </c>
      <c r="E728" s="463" t="str">
        <f>VLOOKUP(A728,'Master List'!$A$1:$C$1192,3,FALSE)</f>
        <v>уп</v>
      </c>
      <c r="F728" s="464">
        <f>F720*0.028</f>
        <v>1.680098</v>
      </c>
      <c r="G728" s="463">
        <f>VLOOKUP(A728,'Master List'!$A$4:$F3407,5,FALSE)</f>
        <v>11.037</v>
      </c>
      <c r="H728" s="206">
        <f t="shared" si="51"/>
        <v>18.54324163</v>
      </c>
      <c r="I728" s="240"/>
    </row>
    <row r="729" outlineLevel="2">
      <c r="A729" s="422" t="str">
        <f>'Master List'!A94</f>
        <v>M-FIN-039</v>
      </c>
      <c r="B729" s="472"/>
      <c r="C729" s="198"/>
      <c r="D729" s="462" t="str">
        <f>VLOOKUP(A729,'Master List'!$A$1:$C$1192,2,FALSE)</f>
        <v>Сверла по бетону диаметром 6мм</v>
      </c>
      <c r="E729" s="463" t="str">
        <f>VLOOKUP(A729,'Master List'!$A$1:$C$1192,3,FALSE)</f>
        <v>шт</v>
      </c>
      <c r="F729" s="464">
        <f>F720*0.13</f>
        <v>7.800455</v>
      </c>
      <c r="G729" s="463">
        <f>VLOOKUP(A729,'Master List'!$A$4:$F3408,5,FALSE)</f>
        <v>2.86</v>
      </c>
      <c r="H729" s="206">
        <f t="shared" si="51"/>
        <v>22.3093013</v>
      </c>
      <c r="I729" s="240"/>
    </row>
    <row r="730" outlineLevel="2">
      <c r="A730" s="422" t="str">
        <f>'Master List'!A95</f>
        <v>M-FIN-040</v>
      </c>
      <c r="B730" s="472"/>
      <c r="C730" s="198"/>
      <c r="D730" s="462" t="str">
        <f>VLOOKUP(A730,'Master List'!$A$1:$C$1192,2,FALSE)</f>
        <v>Лента бумажная для швов гипсокартона</v>
      </c>
      <c r="E730" s="463" t="str">
        <f>VLOOKUP(A730,'Master List'!$A$1:$C$1192,3,FALSE)</f>
        <v>м</v>
      </c>
      <c r="F730" s="464">
        <f>F720*3.5</f>
        <v>210.01225</v>
      </c>
      <c r="G730" s="463">
        <f>VLOOKUP(A730,'Master List'!$A$4:$F3409,5,FALSE)</f>
        <v>0.0351</v>
      </c>
      <c r="H730" s="206">
        <f t="shared" si="51"/>
        <v>7.371429975</v>
      </c>
      <c r="I730" s="240"/>
    </row>
    <row r="731" outlineLevel="2">
      <c r="A731" s="422" t="str">
        <f>'Master List'!A96</f>
        <v>M-FIN-041</v>
      </c>
      <c r="B731" s="472"/>
      <c r="C731" s="198"/>
      <c r="D731" s="462" t="str">
        <f>VLOOKUP(A731,'Master List'!$A$1:$C$1192,2,FALSE)</f>
        <v>Шпаклевка для швов гипсокартона Semin CE-78 25кг</v>
      </c>
      <c r="E731" s="463" t="str">
        <f>VLOOKUP(A731,'Master List'!$A$1:$C$1192,3,FALSE)</f>
        <v>шт</v>
      </c>
      <c r="F731" s="464">
        <f>F720*0.074</f>
        <v>4.440259</v>
      </c>
      <c r="G731" s="463">
        <f>VLOOKUP(A731,'Master List'!$A$4:$F3410,5,FALSE)</f>
        <v>15.262</v>
      </c>
      <c r="H731" s="206">
        <f t="shared" si="51"/>
        <v>67.76723286</v>
      </c>
      <c r="I731" s="240"/>
    </row>
    <row r="732" outlineLevel="2">
      <c r="A732" s="422"/>
      <c r="B732" s="428"/>
      <c r="C732" s="429"/>
      <c r="D732" s="428"/>
      <c r="E732" s="431"/>
      <c r="F732" s="432"/>
      <c r="G732" s="433"/>
      <c r="H732" s="433"/>
      <c r="I732" s="240"/>
    </row>
    <row r="733" outlineLevel="2">
      <c r="A733" s="422"/>
      <c r="B733" s="472" t="s">
        <v>157</v>
      </c>
      <c r="C733" s="198">
        <v>7.4</v>
      </c>
      <c r="D733" s="202" t="s">
        <v>158</v>
      </c>
      <c r="E733" s="444" t="s">
        <v>40</v>
      </c>
      <c r="F733" s="214">
        <v>59.45</v>
      </c>
      <c r="G733" s="205"/>
      <c r="H733" s="206"/>
      <c r="I733" s="219"/>
    </row>
    <row r="734" outlineLevel="2">
      <c r="A734" s="422"/>
      <c r="B734" s="472"/>
      <c r="C734" s="230"/>
      <c r="D734" s="246"/>
      <c r="E734" s="437"/>
      <c r="F734" s="170"/>
      <c r="G734" s="239"/>
      <c r="H734" s="239"/>
      <c r="I734" s="240"/>
    </row>
    <row r="735" outlineLevel="2">
      <c r="A735" s="422" t="str">
        <f>'Master List'!A564</f>
        <v>W-FIN-034</v>
      </c>
      <c r="B735" s="472"/>
      <c r="C735" s="198"/>
      <c r="D735" s="462" t="str">
        <f>VLOOKUP(A735,'Master List'!$A$1:$C$1192,2,FALSE)</f>
        <v>Устройство подвесного потолка из гипсокартона</v>
      </c>
      <c r="E735" s="463" t="str">
        <f>VLOOKUP(A735,'Master List'!$A$1:$C$1192,3,FALSE)</f>
        <v>м2</v>
      </c>
      <c r="F735" s="464">
        <f>F733</f>
        <v>59.45</v>
      </c>
      <c r="G735" s="463">
        <f>VLOOKUP(A735,'Master List'!$A$4:$F3416,5,FALSE)</f>
        <v>18.2</v>
      </c>
      <c r="H735" s="206">
        <f t="shared" ref="H735:H747" si="52">G735*F735</f>
        <v>1081.99</v>
      </c>
      <c r="I735" s="240"/>
    </row>
    <row r="736" outlineLevel="2">
      <c r="A736" s="422" t="str">
        <f>'Master List'!A82</f>
        <v>M-FIN-030</v>
      </c>
      <c r="B736" s="472"/>
      <c r="C736" s="198"/>
      <c r="D736" s="462" t="str">
        <f>VLOOKUP(A736,'Master List'!$A$1:$C$1192,2,FALSE)</f>
        <v>Лист гипсокартонный влагостойкий размером 2500х1200х12,5 мм</v>
      </c>
      <c r="E736" s="463" t="str">
        <f>VLOOKUP(A736,'Master List'!$A$1:$C$1192,3,FALSE)</f>
        <v>шт</v>
      </c>
      <c r="F736" s="464">
        <f>F733*1.05/3+0.19</f>
        <v>20.9975</v>
      </c>
      <c r="G736" s="463">
        <f>VLOOKUP(A736,'Master List'!$A$4:$F3417,5,FALSE)</f>
        <v>16.9</v>
      </c>
      <c r="H736" s="206">
        <f t="shared" si="52"/>
        <v>354.85775</v>
      </c>
      <c r="I736" s="240"/>
    </row>
    <row r="737" outlineLevel="2">
      <c r="A737" s="422" t="str">
        <f>'Master List'!A86</f>
        <v>M-FIN-031</v>
      </c>
      <c r="B737" s="472"/>
      <c r="C737" s="198"/>
      <c r="D737" s="462" t="str">
        <f>VLOOKUP(A737,'Master List'!$A$1:$C$1192,2,FALSE)</f>
        <v>Уголок направляющий размером 30х30 мм</v>
      </c>
      <c r="E737" s="463" t="str">
        <f>VLOOKUP(A737,'Master List'!$A$1:$C$1192,3,FALSE)</f>
        <v>м</v>
      </c>
      <c r="F737" s="464">
        <f>F736*3</f>
        <v>62.9925</v>
      </c>
      <c r="G737" s="463">
        <f>VLOOKUP(A737,'Master List'!$A$4:$F3418,5,FALSE)</f>
        <v>0.429</v>
      </c>
      <c r="H737" s="206">
        <f t="shared" si="52"/>
        <v>27.0237825</v>
      </c>
      <c r="I737" s="240"/>
    </row>
    <row r="738" outlineLevel="2">
      <c r="A738" s="422" t="str">
        <f>'Master List'!A87</f>
        <v>M-FIN-032</v>
      </c>
      <c r="B738" s="472"/>
      <c r="C738" s="198"/>
      <c r="D738" s="462" t="str">
        <f>VLOOKUP(A738,'Master List'!$A$1:$C$1192,2,FALSE)</f>
        <v>Профиль потолочный</v>
      </c>
      <c r="E738" s="463" t="str">
        <f>VLOOKUP(A738,'Master List'!$A$1:$C$1192,3,FALSE)</f>
        <v>м</v>
      </c>
      <c r="F738" s="464">
        <f>F736*8.5</f>
        <v>178.47875</v>
      </c>
      <c r="G738" s="463">
        <f>VLOOKUP(A738,'Master List'!$A$4:$F3419,5,FALSE)</f>
        <v>0.611</v>
      </c>
      <c r="H738" s="206">
        <f t="shared" si="52"/>
        <v>109.0505163</v>
      </c>
      <c r="I738" s="240"/>
    </row>
    <row r="739" outlineLevel="2">
      <c r="A739" s="422" t="str">
        <f>'Master List'!A88</f>
        <v>M-FIN-033</v>
      </c>
      <c r="B739" s="472"/>
      <c r="C739" s="198"/>
      <c r="D739" s="462" t="str">
        <f>VLOOKUP(A739,'Master List'!$A$1:$C$1192,2,FALSE)</f>
        <v>Резьба М6 длиной 1м</v>
      </c>
      <c r="E739" s="463" t="str">
        <f>VLOOKUP(A739,'Master List'!$A$1:$C$1192,3,FALSE)</f>
        <v>шт</v>
      </c>
      <c r="F739" s="464">
        <f>F736*0.72</f>
        <v>15.1182</v>
      </c>
      <c r="G739" s="463">
        <f>VLOOKUP(A739,'Master List'!$A$4:$F3420,5,FALSE)</f>
        <v>0.338</v>
      </c>
      <c r="H739" s="206">
        <f t="shared" si="52"/>
        <v>5.1099516</v>
      </c>
      <c r="I739" s="240"/>
    </row>
    <row r="740" outlineLevel="2">
      <c r="A740" s="422" t="str">
        <f>'Master List'!A89</f>
        <v>M-FIN-034</v>
      </c>
      <c r="B740" s="472"/>
      <c r="C740" s="198"/>
      <c r="D740" s="462" t="str">
        <f>VLOOKUP(A740,'Master List'!$A$1:$C$1192,2,FALSE)</f>
        <v>Латунная втулка</v>
      </c>
      <c r="E740" s="463" t="str">
        <f>VLOOKUP(A740,'Master List'!$A$1:$C$1192,3,FALSE)</f>
        <v>шт</v>
      </c>
      <c r="F740" s="464">
        <f>F736*6.5</f>
        <v>136.48375</v>
      </c>
      <c r="G740" s="463">
        <f>VLOOKUP(A740,'Master List'!$A$4:$F3421,5,FALSE)</f>
        <v>0.078</v>
      </c>
      <c r="H740" s="206">
        <f t="shared" si="52"/>
        <v>10.6457325</v>
      </c>
      <c r="I740" s="240"/>
    </row>
    <row r="741" outlineLevel="2">
      <c r="A741" s="422" t="str">
        <f>'Master List'!A90</f>
        <v>M-FIN-035</v>
      </c>
      <c r="B741" s="472"/>
      <c r="C741" s="198"/>
      <c r="D741" s="462" t="str">
        <f>VLOOKUP(A741,'Master List'!$A$1:$C$1192,2,FALSE)</f>
        <v>Крепление типа "бабочка"</v>
      </c>
      <c r="E741" s="463" t="str">
        <f>VLOOKUP(A741,'Master List'!$A$1:$C$1192,3,FALSE)</f>
        <v>шт</v>
      </c>
      <c r="F741" s="464">
        <f>F736*6.5</f>
        <v>136.48375</v>
      </c>
      <c r="G741" s="463">
        <f>VLOOKUP(A741,'Master List'!$A$4:$F3422,5,FALSE)</f>
        <v>0.078</v>
      </c>
      <c r="H741" s="206">
        <f t="shared" si="52"/>
        <v>10.6457325</v>
      </c>
      <c r="I741" s="240"/>
    </row>
    <row r="742" outlineLevel="2">
      <c r="A742" s="422" t="str">
        <f>'Master List'!A91</f>
        <v>M-FIN-036</v>
      </c>
      <c r="B742" s="472"/>
      <c r="C742" s="198"/>
      <c r="D742" s="462" t="str">
        <f>VLOOKUP(A742,'Master List'!$A$1:$C$1192,2,FALSE)</f>
        <v>Гвозди Hilti для крепления уголка направляющего 1000шт</v>
      </c>
      <c r="E742" s="463" t="str">
        <f>VLOOKUP(A742,'Master List'!$A$1:$C$1192,3,FALSE)</f>
        <v>уп</v>
      </c>
      <c r="F742" s="464">
        <f>F736*0.028</f>
        <v>0.58793</v>
      </c>
      <c r="G742" s="463">
        <f>VLOOKUP(A742,'Master List'!$A$4:$F3423,5,FALSE)</f>
        <v>81.9</v>
      </c>
      <c r="H742" s="206">
        <f t="shared" si="52"/>
        <v>48.151467</v>
      </c>
      <c r="I742" s="240"/>
    </row>
    <row r="743" outlineLevel="2">
      <c r="A743" s="422" t="str">
        <f>'Master List'!A92</f>
        <v>M-FIN-037</v>
      </c>
      <c r="B743" s="472"/>
      <c r="C743" s="198"/>
      <c r="D743" s="462" t="str">
        <f>VLOOKUP(A743,'Master List'!$A$1:$C$1192,2,FALSE)</f>
        <v>Саморез для гипсокартона размером 3,5х25мм 1000шт</v>
      </c>
      <c r="E743" s="463" t="str">
        <f>VLOOKUP(A743,'Master List'!$A$1:$C$1192,3,FALSE)</f>
        <v>уп</v>
      </c>
      <c r="F743" s="464">
        <f>F736*0.08</f>
        <v>1.6798</v>
      </c>
      <c r="G743" s="463">
        <f>VLOOKUP(A743,'Master List'!$A$4:$F3424,5,FALSE)</f>
        <v>8.84</v>
      </c>
      <c r="H743" s="206">
        <f t="shared" si="52"/>
        <v>14.849432</v>
      </c>
      <c r="I743" s="240"/>
    </row>
    <row r="744" outlineLevel="2">
      <c r="A744" s="422" t="str">
        <f>'Master List'!A93</f>
        <v>M-FIN-038</v>
      </c>
      <c r="B744" s="472"/>
      <c r="C744" s="198"/>
      <c r="D744" s="462" t="str">
        <f>VLOOKUP(A744,'Master List'!$A$1:$C$1192,2,FALSE)</f>
        <v>Саморез для гипсокартона размером 3,5х9,5мм 1000шт</v>
      </c>
      <c r="E744" s="463" t="str">
        <f>VLOOKUP(A744,'Master List'!$A$1:$C$1192,3,FALSE)</f>
        <v>уп</v>
      </c>
      <c r="F744" s="464">
        <f>F736*0.028</f>
        <v>0.58793</v>
      </c>
      <c r="G744" s="463">
        <f>VLOOKUP(A744,'Master List'!$A$4:$F3425,5,FALSE)</f>
        <v>11.037</v>
      </c>
      <c r="H744" s="206">
        <f t="shared" si="52"/>
        <v>6.48898341</v>
      </c>
      <c r="I744" s="240"/>
    </row>
    <row r="745" outlineLevel="2">
      <c r="A745" s="422" t="str">
        <f>'Master List'!A94</f>
        <v>M-FIN-039</v>
      </c>
      <c r="B745" s="472"/>
      <c r="C745" s="198"/>
      <c r="D745" s="462" t="str">
        <f>VLOOKUP(A745,'Master List'!$A$1:$C$1192,2,FALSE)</f>
        <v>Сверла по бетону диаметром 6мм</v>
      </c>
      <c r="E745" s="463" t="str">
        <f>VLOOKUP(A745,'Master List'!$A$1:$C$1192,3,FALSE)</f>
        <v>шт</v>
      </c>
      <c r="F745" s="464">
        <f>F736*0.13</f>
        <v>2.729675</v>
      </c>
      <c r="G745" s="463">
        <f>VLOOKUP(A745,'Master List'!$A$4:$F3426,5,FALSE)</f>
        <v>2.86</v>
      </c>
      <c r="H745" s="206">
        <f t="shared" si="52"/>
        <v>7.8068705</v>
      </c>
      <c r="I745" s="240"/>
    </row>
    <row r="746" outlineLevel="2">
      <c r="A746" s="422" t="str">
        <f>'Master List'!A95</f>
        <v>M-FIN-040</v>
      </c>
      <c r="B746" s="472"/>
      <c r="C746" s="198"/>
      <c r="D746" s="462" t="str">
        <f>VLOOKUP(A746,'Master List'!$A$1:$C$1192,2,FALSE)</f>
        <v>Лента бумажная для швов гипсокартона</v>
      </c>
      <c r="E746" s="463" t="str">
        <f>VLOOKUP(A746,'Master List'!$A$1:$C$1192,3,FALSE)</f>
        <v>м</v>
      </c>
      <c r="F746" s="464">
        <f>F736*3.5</f>
        <v>73.49125</v>
      </c>
      <c r="G746" s="463">
        <f>VLOOKUP(A746,'Master List'!$A$4:$F3427,5,FALSE)</f>
        <v>0.0351</v>
      </c>
      <c r="H746" s="206">
        <f t="shared" si="52"/>
        <v>2.579542875</v>
      </c>
      <c r="I746" s="240"/>
    </row>
    <row r="747" outlineLevel="2">
      <c r="A747" s="422" t="str">
        <f>'Master List'!A96</f>
        <v>M-FIN-041</v>
      </c>
      <c r="B747" s="472"/>
      <c r="C747" s="198"/>
      <c r="D747" s="462" t="str">
        <f>VLOOKUP(A747,'Master List'!$A$1:$C$1192,2,FALSE)</f>
        <v>Шпаклевка для швов гипсокартона Semin CE-78 25кг</v>
      </c>
      <c r="E747" s="463" t="str">
        <f>VLOOKUP(A747,'Master List'!$A$1:$C$1192,3,FALSE)</f>
        <v>шт</v>
      </c>
      <c r="F747" s="464">
        <f>F736*0.074</f>
        <v>1.553815</v>
      </c>
      <c r="G747" s="463">
        <f>VLOOKUP(A747,'Master List'!$A$4:$F3428,5,FALSE)</f>
        <v>15.262</v>
      </c>
      <c r="H747" s="206">
        <f t="shared" si="52"/>
        <v>23.71432453</v>
      </c>
      <c r="I747" s="240"/>
    </row>
    <row r="748" outlineLevel="2">
      <c r="A748" s="422"/>
      <c r="B748" s="428"/>
      <c r="C748" s="429"/>
      <c r="D748" s="428"/>
      <c r="E748" s="431"/>
      <c r="F748" s="432"/>
      <c r="G748" s="433"/>
      <c r="H748" s="433"/>
      <c r="I748" s="240"/>
    </row>
    <row r="749" outlineLevel="2">
      <c r="A749" s="422"/>
      <c r="B749" s="472" t="s">
        <v>159</v>
      </c>
      <c r="C749" s="198">
        <v>7.5</v>
      </c>
      <c r="D749" s="202" t="s">
        <v>160</v>
      </c>
      <c r="E749" s="444" t="s">
        <v>161</v>
      </c>
      <c r="F749" s="214">
        <v>11.9</v>
      </c>
      <c r="G749" s="205"/>
      <c r="H749" s="206"/>
      <c r="I749" s="219"/>
    </row>
    <row r="750" outlineLevel="2">
      <c r="A750" s="422"/>
      <c r="B750" s="472"/>
      <c r="C750" s="230"/>
      <c r="D750" s="246"/>
      <c r="E750" s="437"/>
      <c r="F750" s="170"/>
      <c r="G750" s="239"/>
      <c r="H750" s="239"/>
      <c r="I750" s="240"/>
    </row>
    <row r="751" outlineLevel="2">
      <c r="A751" s="422" t="str">
        <f>'Master List'!A565</f>
        <v>W-FIN-040</v>
      </c>
      <c r="B751" s="472"/>
      <c r="C751" s="198"/>
      <c r="D751" s="462" t="str">
        <f>VLOOKUP(A751,'Master List'!$A$1:$C$1192,2,FALSE)</f>
        <v>Влаштування карниза з гіпсокартону</v>
      </c>
      <c r="E751" s="463" t="str">
        <f>VLOOKUP(A751,'Master List'!$A$1:$C$1192,3,FALSE)</f>
        <v>м</v>
      </c>
      <c r="F751" s="464">
        <f>F749</f>
        <v>11.9</v>
      </c>
      <c r="G751" s="463">
        <f>VLOOKUP(A751,'Master List'!$A$4:$F3433,5,FALSE)</f>
        <v>31.2</v>
      </c>
      <c r="H751" s="206">
        <f t="shared" ref="H751:H760" si="53">G751*F751</f>
        <v>371.28</v>
      </c>
      <c r="I751" s="240"/>
    </row>
    <row r="752" outlineLevel="2">
      <c r="A752" s="422" t="str">
        <f>'Master List'!A83</f>
        <v>M-FIN-043</v>
      </c>
      <c r="B752" s="472"/>
      <c r="C752" s="198"/>
      <c r="D752" s="462" t="str">
        <f>VLOOKUP(A752,'Master List'!$A$1:$C$1192,2,FALSE)</f>
        <v>Лист гипсокартонный размером 2500х1200х12,5 мм</v>
      </c>
      <c r="E752" s="463" t="str">
        <f>VLOOKUP(A752,'Master List'!$A$1:$C$1192,3,FALSE)</f>
        <v>шт</v>
      </c>
      <c r="F752" s="464">
        <f>F751*0.8*1.05/3+0.67</f>
        <v>4.002</v>
      </c>
      <c r="G752" s="463">
        <f>VLOOKUP(A752,'Master List'!$A$4:$F3434,5,FALSE)</f>
        <v>13.494</v>
      </c>
      <c r="H752" s="206">
        <f t="shared" si="53"/>
        <v>54.002988</v>
      </c>
      <c r="I752" s="240"/>
    </row>
    <row r="753" outlineLevel="2">
      <c r="A753" s="422" t="str">
        <f>'Master List'!A86</f>
        <v>M-FIN-031</v>
      </c>
      <c r="B753" s="472"/>
      <c r="C753" s="198"/>
      <c r="D753" s="462" t="str">
        <f>VLOOKUP(A753,'Master List'!$A$1:$C$1192,2,FALSE)</f>
        <v>Уголок направляющий размером 30х30 мм</v>
      </c>
      <c r="E753" s="463" t="str">
        <f>VLOOKUP(A753,'Master List'!$A$1:$C$1192,3,FALSE)</f>
        <v>м</v>
      </c>
      <c r="F753" s="464">
        <f>F751*2</f>
        <v>23.8</v>
      </c>
      <c r="G753" s="463">
        <f>VLOOKUP(A753,'Master List'!$A$4:$F3435,5,FALSE)</f>
        <v>0.429</v>
      </c>
      <c r="H753" s="206">
        <f t="shared" si="53"/>
        <v>10.2102</v>
      </c>
      <c r="I753" s="240"/>
    </row>
    <row r="754" outlineLevel="2">
      <c r="A754" s="422" t="str">
        <f>'Master List'!A87</f>
        <v>M-FIN-032</v>
      </c>
      <c r="B754" s="472"/>
      <c r="C754" s="198"/>
      <c r="D754" s="462" t="str">
        <f>VLOOKUP(A754,'Master List'!$A$1:$C$1192,2,FALSE)</f>
        <v>Профиль потолочный</v>
      </c>
      <c r="E754" s="463" t="str">
        <f>VLOOKUP(A754,'Master List'!$A$1:$C$1192,3,FALSE)</f>
        <v>м</v>
      </c>
      <c r="F754" s="464">
        <f>F751*3</f>
        <v>35.7</v>
      </c>
      <c r="G754" s="463">
        <f>VLOOKUP(A754,'Master List'!$A$4:$F3436,5,FALSE)</f>
        <v>0.611</v>
      </c>
      <c r="H754" s="206">
        <f t="shared" si="53"/>
        <v>21.8127</v>
      </c>
      <c r="I754" s="240"/>
    </row>
    <row r="755" outlineLevel="2">
      <c r="A755" s="422" t="str">
        <f>'Master List'!A91</f>
        <v>M-FIN-036</v>
      </c>
      <c r="B755" s="472"/>
      <c r="C755" s="198"/>
      <c r="D755" s="462" t="str">
        <f>VLOOKUP(A755,'Master List'!$A$1:$C$1192,2,FALSE)</f>
        <v>Гвозди Hilti для крепления уголка направляющего 1000шт</v>
      </c>
      <c r="E755" s="463" t="str">
        <f>VLOOKUP(A755,'Master List'!$A$1:$C$1192,3,FALSE)</f>
        <v>уп</v>
      </c>
      <c r="F755" s="464">
        <f>F752*0.05</f>
        <v>0.2001</v>
      </c>
      <c r="G755" s="463">
        <f>VLOOKUP(A755,'Master List'!$A$4:$F3440,5,FALSE)</f>
        <v>81.9</v>
      </c>
      <c r="H755" s="206">
        <f t="shared" si="53"/>
        <v>16.38819</v>
      </c>
      <c r="I755" s="240"/>
    </row>
    <row r="756" outlineLevel="2">
      <c r="A756" s="422" t="str">
        <f>'Master List'!A92</f>
        <v>M-FIN-037</v>
      </c>
      <c r="B756" s="472"/>
      <c r="C756" s="198"/>
      <c r="D756" s="462" t="str">
        <f>VLOOKUP(A756,'Master List'!$A$1:$C$1192,2,FALSE)</f>
        <v>Саморез для гипсокартона размером 3,5х25мм 1000шт</v>
      </c>
      <c r="E756" s="463" t="str">
        <f>VLOOKUP(A756,'Master List'!$A$1:$C$1192,3,FALSE)</f>
        <v>уп</v>
      </c>
      <c r="F756" s="464">
        <f>F752*0.09</f>
        <v>0.36018</v>
      </c>
      <c r="G756" s="463">
        <f>VLOOKUP(A756,'Master List'!$A$4:$F3441,5,FALSE)</f>
        <v>8.84</v>
      </c>
      <c r="H756" s="206">
        <f t="shared" si="53"/>
        <v>3.1839912</v>
      </c>
      <c r="I756" s="240"/>
    </row>
    <row r="757" outlineLevel="2">
      <c r="A757" s="422" t="str">
        <f>'Master List'!A93</f>
        <v>M-FIN-038</v>
      </c>
      <c r="B757" s="472"/>
      <c r="C757" s="198"/>
      <c r="D757" s="462" t="str">
        <f>VLOOKUP(A757,'Master List'!$A$1:$C$1192,2,FALSE)</f>
        <v>Саморез для гипсокартона размером 3,5х9,5мм 1000шт</v>
      </c>
      <c r="E757" s="463" t="str">
        <f>VLOOKUP(A757,'Master List'!$A$1:$C$1192,3,FALSE)</f>
        <v>уп</v>
      </c>
      <c r="F757" s="464">
        <f>F752*0.03</f>
        <v>0.12006</v>
      </c>
      <c r="G757" s="463">
        <f>VLOOKUP(A757,'Master List'!$A$4:$F3442,5,FALSE)</f>
        <v>11.037</v>
      </c>
      <c r="H757" s="206">
        <f t="shared" si="53"/>
        <v>1.32510222</v>
      </c>
      <c r="I757" s="240"/>
    </row>
    <row r="758" outlineLevel="2">
      <c r="A758" s="422" t="str">
        <f>'Master List'!A94</f>
        <v>M-FIN-039</v>
      </c>
      <c r="B758" s="472"/>
      <c r="C758" s="198"/>
      <c r="D758" s="462" t="str">
        <f>VLOOKUP(A758,'Master List'!$A$1:$C$1192,2,FALSE)</f>
        <v>Сверла по бетону диаметром 6мм</v>
      </c>
      <c r="E758" s="463" t="str">
        <f>VLOOKUP(A758,'Master List'!$A$1:$C$1192,3,FALSE)</f>
        <v>шт</v>
      </c>
      <c r="F758" s="464">
        <v>1.0</v>
      </c>
      <c r="G758" s="463">
        <f>VLOOKUP(A758,'Master List'!$A$4:$F3443,5,FALSE)</f>
        <v>2.86</v>
      </c>
      <c r="H758" s="206">
        <f t="shared" si="53"/>
        <v>2.86</v>
      </c>
      <c r="I758" s="240"/>
    </row>
    <row r="759" outlineLevel="2">
      <c r="A759" s="422" t="str">
        <f>'Master List'!A95</f>
        <v>M-FIN-040</v>
      </c>
      <c r="B759" s="472"/>
      <c r="C759" s="198"/>
      <c r="D759" s="462" t="str">
        <f>VLOOKUP(A759,'Master List'!$A$1:$C$1192,2,FALSE)</f>
        <v>Лента бумажная для швов гипсокартона</v>
      </c>
      <c r="E759" s="463" t="str">
        <f>VLOOKUP(A759,'Master List'!$A$1:$C$1192,3,FALSE)</f>
        <v>м</v>
      </c>
      <c r="F759" s="464">
        <f>F752*3.5</f>
        <v>14.007</v>
      </c>
      <c r="G759" s="463">
        <f>VLOOKUP(A759,'Master List'!$A$4:$F3444,5,FALSE)</f>
        <v>0.0351</v>
      </c>
      <c r="H759" s="206">
        <f t="shared" si="53"/>
        <v>0.4916457</v>
      </c>
      <c r="I759" s="240"/>
    </row>
    <row r="760" outlineLevel="2">
      <c r="A760" s="422" t="str">
        <f>'Master List'!A96</f>
        <v>M-FIN-041</v>
      </c>
      <c r="B760" s="472"/>
      <c r="C760" s="198"/>
      <c r="D760" s="462" t="str">
        <f>VLOOKUP(A760,'Master List'!$A$1:$C$1192,2,FALSE)</f>
        <v>Шпаклевка для швов гипсокартона Semin CE-78 25кг</v>
      </c>
      <c r="E760" s="463" t="str">
        <f>VLOOKUP(A760,'Master List'!$A$1:$C$1192,3,FALSE)</f>
        <v>шт</v>
      </c>
      <c r="F760" s="464">
        <f>F752*0.074</f>
        <v>0.296148</v>
      </c>
      <c r="G760" s="463">
        <f>VLOOKUP(A760,'Master List'!$A$4:$F3445,5,FALSE)</f>
        <v>15.262</v>
      </c>
      <c r="H760" s="206">
        <f t="shared" si="53"/>
        <v>4.519810776</v>
      </c>
      <c r="I760" s="240"/>
    </row>
    <row r="761" outlineLevel="2">
      <c r="A761" s="422"/>
      <c r="B761" s="428"/>
      <c r="C761" s="429"/>
      <c r="D761" s="428"/>
      <c r="E761" s="431"/>
      <c r="F761" s="432"/>
      <c r="G761" s="433"/>
      <c r="H761" s="433"/>
      <c r="I761" s="240"/>
    </row>
    <row r="762" outlineLevel="2">
      <c r="A762" s="422"/>
      <c r="B762" s="472" t="s">
        <v>162</v>
      </c>
      <c r="C762" s="198">
        <v>7.6</v>
      </c>
      <c r="D762" s="202" t="s">
        <v>163</v>
      </c>
      <c r="E762" s="444" t="s">
        <v>40</v>
      </c>
      <c r="F762" s="214">
        <v>229.86</v>
      </c>
      <c r="G762" s="205"/>
      <c r="H762" s="206"/>
      <c r="I762" s="219"/>
    </row>
    <row r="763" outlineLevel="2">
      <c r="A763" s="422"/>
      <c r="B763" s="472"/>
      <c r="C763" s="230"/>
      <c r="D763" s="246"/>
      <c r="E763" s="437"/>
      <c r="F763" s="170"/>
      <c r="G763" s="239"/>
      <c r="H763" s="239"/>
      <c r="I763" s="240"/>
    </row>
    <row r="764" outlineLevel="2">
      <c r="A764" s="422" t="str">
        <f>'Master List'!A571</f>
        <v>W-FIN-036</v>
      </c>
      <c r="B764" s="472"/>
      <c r="C764" s="198"/>
      <c r="D764" s="462" t="str">
        <f>VLOOKUP(A764,'Master List'!$A$1:$C$1192,2,FALSE)</f>
        <v>Окраска потолка</v>
      </c>
      <c r="E764" s="463" t="str">
        <f>VLOOKUP(A764,'Master List'!$A$1:$C$1192,3,FALSE)</f>
        <v>м2</v>
      </c>
      <c r="F764" s="464">
        <f>F762</f>
        <v>229.86</v>
      </c>
      <c r="G764" s="463">
        <f>VLOOKUP(A764,'Master List'!$A$4:$F3451,5,FALSE)</f>
        <v>8.06</v>
      </c>
      <c r="H764" s="206">
        <f t="shared" ref="H764:H766" si="54">G764*F764</f>
        <v>1852.6716</v>
      </c>
      <c r="I764" s="240"/>
    </row>
    <row r="765" outlineLevel="2">
      <c r="A765" s="422" t="str">
        <f>'Master List'!A106</f>
        <v>M-FIN-062</v>
      </c>
      <c r="B765" s="472"/>
      <c r="C765" s="198"/>
      <c r="D765" s="462" t="str">
        <f>VLOOKUP(A765,'Master List'!$A$1:$C$1192,2,FALSE)</f>
        <v>Грунтовка для краски Cin</v>
      </c>
      <c r="E765" s="463" t="str">
        <f>VLOOKUP(A765,'Master List'!$A$1:$C$1192,3,FALSE)</f>
        <v>л</v>
      </c>
      <c r="F765" s="464">
        <f>F762*0.2</f>
        <v>45.972</v>
      </c>
      <c r="G765" s="463">
        <f>VLOOKUP(A765,'Master List'!$A$4:$F3452,5,FALSE)</f>
        <v>10.387</v>
      </c>
      <c r="H765" s="206">
        <f t="shared" si="54"/>
        <v>477.511164</v>
      </c>
      <c r="I765" s="240"/>
    </row>
    <row r="766" outlineLevel="2">
      <c r="A766" s="422" t="str">
        <f>'Master List'!A107</f>
        <v>M-FIN-063</v>
      </c>
      <c r="B766" s="472"/>
      <c r="C766" s="198"/>
      <c r="D766" s="462" t="str">
        <f>VLOOKUP(A766,'Master List'!$A$1:$C$1192,2,FALSE)</f>
        <v>Краска водоэмульсионная для внутренних работ CIN</v>
      </c>
      <c r="E766" s="463" t="str">
        <f>VLOOKUP(A766,'Master List'!$A$1:$C$1192,3,FALSE)</f>
        <v>л</v>
      </c>
      <c r="F766" s="464">
        <f>F762*0.4</f>
        <v>91.944</v>
      </c>
      <c r="G766" s="463">
        <f>VLOOKUP(A766,'Master List'!$A$4:$F3453,5,FALSE)</f>
        <v>8.32</v>
      </c>
      <c r="H766" s="206">
        <f t="shared" si="54"/>
        <v>764.97408</v>
      </c>
      <c r="I766" s="240"/>
    </row>
    <row r="767" outlineLevel="2">
      <c r="A767" s="422"/>
      <c r="B767" s="472"/>
      <c r="C767" s="230"/>
      <c r="D767" s="246"/>
      <c r="E767" s="437"/>
      <c r="F767" s="170"/>
      <c r="G767" s="239"/>
      <c r="H767" s="239"/>
      <c r="I767" s="240"/>
    </row>
    <row r="768" outlineLevel="1">
      <c r="A768" s="422"/>
      <c r="B768" s="472"/>
      <c r="C768" s="230"/>
      <c r="D768" s="246"/>
      <c r="E768" s="437"/>
      <c r="F768" s="170"/>
      <c r="G768" s="239"/>
      <c r="H768" s="239"/>
      <c r="I768" s="240"/>
    </row>
    <row r="769">
      <c r="A769" s="422"/>
      <c r="B769" s="184"/>
      <c r="C769" s="184">
        <v>8.0</v>
      </c>
      <c r="D769" s="184" t="s">
        <v>165</v>
      </c>
      <c r="E769" s="425"/>
      <c r="F769" s="425"/>
      <c r="G769" s="425"/>
      <c r="H769" s="426">
        <f>SUM(H773:H854)</f>
        <v>127239.0575</v>
      </c>
      <c r="I769" s="427">
        <f>H769-'Orcamento RU'!C142</f>
        <v>36513.73751</v>
      </c>
    </row>
    <row r="770" outlineLevel="1">
      <c r="A770" s="422"/>
      <c r="B770" s="472"/>
      <c r="C770" s="262"/>
      <c r="D770" s="246"/>
      <c r="E770" s="437"/>
      <c r="F770" s="170"/>
      <c r="G770" s="239"/>
      <c r="H770" s="239"/>
      <c r="I770" s="240"/>
    </row>
    <row r="771" outlineLevel="1">
      <c r="A771" s="422"/>
      <c r="B771" s="472" t="s">
        <v>166</v>
      </c>
      <c r="C771" s="482"/>
      <c r="D771" s="435" t="s">
        <v>167</v>
      </c>
      <c r="E771" s="431"/>
      <c r="F771" s="432"/>
      <c r="G771" s="436">
        <f>SUM(H773:H807)</f>
        <v>101554.7822</v>
      </c>
      <c r="H771" s="433"/>
      <c r="I771" s="240"/>
    </row>
    <row r="772" outlineLevel="2">
      <c r="A772" s="422"/>
      <c r="B772" s="428"/>
      <c r="C772" s="482"/>
      <c r="D772" s="428"/>
      <c r="E772" s="431"/>
      <c r="F772" s="432"/>
      <c r="G772" s="433"/>
      <c r="H772" s="433"/>
      <c r="I772" s="240"/>
    </row>
    <row r="773" outlineLevel="2">
      <c r="A773" s="422"/>
      <c r="B773" s="472" t="s">
        <v>168</v>
      </c>
      <c r="C773" s="264">
        <v>8.1</v>
      </c>
      <c r="D773" s="202" t="s">
        <v>169</v>
      </c>
      <c r="E773" s="444" t="s">
        <v>40</v>
      </c>
      <c r="F773" s="214">
        <v>110.6</v>
      </c>
      <c r="G773" s="205"/>
      <c r="H773" s="206"/>
      <c r="I773" s="219"/>
    </row>
    <row r="774" outlineLevel="2">
      <c r="A774" s="422"/>
      <c r="B774" s="472"/>
      <c r="C774" s="483"/>
      <c r="D774" s="246"/>
      <c r="E774" s="437"/>
      <c r="F774" s="170"/>
      <c r="G774" s="239"/>
      <c r="H774" s="239"/>
      <c r="I774" s="240"/>
    </row>
    <row r="775" outlineLevel="2">
      <c r="A775" s="422" t="str">
        <f>'Master List'!A566</f>
        <v>W-FIN-060</v>
      </c>
      <c r="B775" s="472"/>
      <c r="C775" s="198"/>
      <c r="D775" s="462" t="str">
        <f>VLOOKUP(A775,'Master List'!$A$1:$C$1192,2,FALSE)</f>
        <v>Нанесення захисного покриття на бетонні поверхні</v>
      </c>
      <c r="E775" s="463" t="str">
        <f>VLOOKUP(A775,'Master List'!$A$1:$C$1192,3,FALSE)</f>
        <v>м2</v>
      </c>
      <c r="F775" s="464">
        <f>F773</f>
        <v>110.6</v>
      </c>
      <c r="G775" s="463">
        <f>VLOOKUP(A775,'Master List'!$A$4:$F3454,5,FALSE)</f>
        <v>9.1</v>
      </c>
      <c r="H775" s="206">
        <f t="shared" ref="H775:H776" si="55">G775*F775</f>
        <v>1006.46</v>
      </c>
      <c r="I775" s="240"/>
    </row>
    <row r="776" outlineLevel="2">
      <c r="A776" s="422" t="str">
        <f>'Master List'!A102</f>
        <v>M-FIN-070</v>
      </c>
      <c r="B776" s="472"/>
      <c r="C776" s="198"/>
      <c r="D776" s="462" t="str">
        <f>VLOOKUP(A776,'Master List'!$A$1:$C$1192,2,FALSE)</f>
        <v>Захисне покриття для бетону SIKAGARD 680-S PT</v>
      </c>
      <c r="E776" s="463" t="str">
        <f>VLOOKUP(A776,'Master List'!$A$1:$C$1192,3,FALSE)</f>
        <v>кг</v>
      </c>
      <c r="F776" s="464">
        <f>F775*0.3</f>
        <v>33.18</v>
      </c>
      <c r="G776" s="463">
        <f>VLOOKUP(A776,'Master List'!$A$4:$F3455,5,FALSE)</f>
        <v>12.207</v>
      </c>
      <c r="H776" s="206">
        <f t="shared" si="55"/>
        <v>405.02826</v>
      </c>
      <c r="I776" s="240"/>
    </row>
    <row r="777" outlineLevel="2">
      <c r="A777" s="422"/>
      <c r="B777" s="428"/>
      <c r="C777" s="482"/>
      <c r="D777" s="428"/>
      <c r="E777" s="431"/>
      <c r="F777" s="432"/>
      <c r="G777" s="433"/>
      <c r="H777" s="433"/>
      <c r="I777" s="240"/>
    </row>
    <row r="778" outlineLevel="2">
      <c r="A778" s="422"/>
      <c r="B778" s="472" t="s">
        <v>170</v>
      </c>
      <c r="C778" s="264">
        <v>8.2</v>
      </c>
      <c r="D778" s="202" t="s">
        <v>171</v>
      </c>
      <c r="E778" s="444" t="s">
        <v>40</v>
      </c>
      <c r="F778" s="214">
        <v>319.19</v>
      </c>
      <c r="G778" s="205"/>
      <c r="H778" s="206"/>
      <c r="I778" s="219"/>
    </row>
    <row r="779" outlineLevel="2">
      <c r="A779" s="422"/>
      <c r="B779" s="472"/>
      <c r="C779" s="483"/>
      <c r="D779" s="246"/>
      <c r="E779" s="437"/>
      <c r="F779" s="170"/>
      <c r="G779" s="239"/>
      <c r="H779" s="239"/>
      <c r="I779" s="240"/>
    </row>
    <row r="780" outlineLevel="2">
      <c r="A780" s="422" t="str">
        <f>'Master List'!A563</f>
        <v>W-FIN-043</v>
      </c>
      <c r="B780" s="472"/>
      <c r="C780" s="198"/>
      <c r="D780" s="462" t="str">
        <f>VLOOKUP(A780,'Master List'!$A$1:$C$1192,2,FALSE)</f>
        <v>Нанесення декоративної штукатурки на фасад</v>
      </c>
      <c r="E780" s="463" t="str">
        <f>VLOOKUP(A780,'Master List'!$A$1:$C$1192,3,FALSE)</f>
        <v>м2</v>
      </c>
      <c r="F780" s="464">
        <f>F778</f>
        <v>319.19</v>
      </c>
      <c r="G780" s="463">
        <f>VLOOKUP(A780,'Master List'!$A$4:$F3459,5,FALSE)</f>
        <v>23.66</v>
      </c>
      <c r="H780" s="206">
        <f t="shared" ref="H780:H781" si="56">G780*F780</f>
        <v>7552.0354</v>
      </c>
      <c r="I780" s="240"/>
    </row>
    <row r="781" outlineLevel="2">
      <c r="A781" s="422" t="str">
        <f>'Master List'!A103</f>
        <v>M-FIN-071</v>
      </c>
      <c r="B781" s="472"/>
      <c r="C781" s="198"/>
      <c r="D781" s="462" t="str">
        <f>VLOOKUP(A781,'Master List'!$A$1:$C$1192,2,FALSE)</f>
        <v>Декоративна штукатурка WEBER REV PASTA 15кг</v>
      </c>
      <c r="E781" s="463" t="str">
        <f>VLOOKUP(A781,'Master List'!$A$1:$C$1192,3,FALSE)</f>
        <v>шт</v>
      </c>
      <c r="F781" s="464">
        <f>F780*3.5/15</f>
        <v>74.47766667</v>
      </c>
      <c r="G781" s="463">
        <f>VLOOKUP(A781,'Master List'!$A$4:$F3460,5,FALSE)</f>
        <v>37.44</v>
      </c>
      <c r="H781" s="206">
        <f t="shared" si="56"/>
        <v>2788.44384</v>
      </c>
      <c r="I781" s="240"/>
    </row>
    <row r="782" outlineLevel="2">
      <c r="A782" s="422"/>
      <c r="B782" s="428"/>
      <c r="C782" s="482"/>
      <c r="D782" s="428"/>
      <c r="E782" s="431"/>
      <c r="F782" s="432"/>
      <c r="G782" s="433"/>
      <c r="H782" s="433"/>
      <c r="I782" s="240"/>
    </row>
    <row r="783" outlineLevel="2">
      <c r="A783" s="422"/>
      <c r="B783" s="472" t="s">
        <v>172</v>
      </c>
      <c r="C783" s="264">
        <v>8.3</v>
      </c>
      <c r="D783" s="202" t="s">
        <v>173</v>
      </c>
      <c r="E783" s="444" t="s">
        <v>40</v>
      </c>
      <c r="F783" s="214">
        <v>131.48</v>
      </c>
      <c r="G783" s="205"/>
      <c r="H783" s="206"/>
      <c r="I783" s="219"/>
    </row>
    <row r="784" outlineLevel="2">
      <c r="A784" s="422"/>
      <c r="B784" s="472"/>
      <c r="C784" s="483"/>
      <c r="D784" s="246"/>
      <c r="E784" s="437"/>
      <c r="F784" s="170"/>
      <c r="G784" s="239"/>
      <c r="H784" s="239"/>
      <c r="I784" s="240"/>
    </row>
    <row r="785" outlineLevel="2">
      <c r="A785" s="422" t="str">
        <f>'Master List'!A567</f>
        <v>W-FIN-063</v>
      </c>
      <c r="B785" s="472"/>
      <c r="C785" s="198"/>
      <c r="D785" s="462" t="str">
        <f>VLOOKUP(A785,'Master List'!$A$1:$C$1192,2,FALSE)</f>
        <v>Влаштування теплоізоляційної фасадної системи ETICS</v>
      </c>
      <c r="E785" s="463" t="str">
        <f>VLOOKUP(A785,'Master List'!$A$1:$C$1192,3,FALSE)</f>
        <v>м2</v>
      </c>
      <c r="F785" s="464">
        <f>F783</f>
        <v>131.48</v>
      </c>
      <c r="G785" s="463">
        <f>VLOOKUP(A785,'Master List'!$A$4:$F3467,5,FALSE)</f>
        <v>49.4</v>
      </c>
      <c r="H785" s="206">
        <f t="shared" ref="H785:H791" si="57">G785*F785</f>
        <v>6495.112</v>
      </c>
      <c r="I785" s="240"/>
    </row>
    <row r="786" outlineLevel="2">
      <c r="A786" s="422" t="str">
        <f>'Master List'!A65</f>
        <v>M-TER-004</v>
      </c>
      <c r="B786" s="472"/>
      <c r="C786" s="198"/>
      <c r="D786" s="462" t="str">
        <f>VLOOKUP(A786,'Master List'!$A$1:$C$1192,2,FALSE)</f>
        <v>Экструдированный пенополистирол толщиной 70мм</v>
      </c>
      <c r="E786" s="463" t="str">
        <f>VLOOKUP(A786,'Master List'!$A$1:$C$1192,3,FALSE)</f>
        <v>м2</v>
      </c>
      <c r="F786" s="464">
        <f>F785*1.05</f>
        <v>138.054</v>
      </c>
      <c r="G786" s="463">
        <f>VLOOKUP(A786,'Master List'!$A$4:$F3468,5,FALSE)</f>
        <v>10.712</v>
      </c>
      <c r="H786" s="206">
        <f t="shared" si="57"/>
        <v>1478.834448</v>
      </c>
      <c r="I786" s="240"/>
    </row>
    <row r="787" outlineLevel="2">
      <c r="A787" s="422" t="str">
        <f>'Master List'!A72</f>
        <v>M-TER-006</v>
      </c>
      <c r="B787" s="472"/>
      <c r="C787" s="198"/>
      <c r="D787" s="462" t="str">
        <f>VLOOKUP(A787,'Master List'!$A$1:$C$1192,2,FALSE)</f>
        <v>Клей для пенопласта</v>
      </c>
      <c r="E787" s="463" t="str">
        <f>VLOOKUP(A787,'Master List'!$A$1:$C$1192,3,FALSE)</f>
        <v>кг</v>
      </c>
      <c r="F787" s="464">
        <f>F785*12</f>
        <v>1577.76</v>
      </c>
      <c r="G787" s="463">
        <f>VLOOKUP(A787,'Master List'!$A$4:$F3469,5,FALSE)</f>
        <v>0.897</v>
      </c>
      <c r="H787" s="206">
        <f t="shared" si="57"/>
        <v>1415.25072</v>
      </c>
      <c r="I787" s="240"/>
    </row>
    <row r="788" outlineLevel="2">
      <c r="A788" s="422" t="str">
        <f>'Master List'!A71</f>
        <v>M-TER-005</v>
      </c>
      <c r="B788" s="472"/>
      <c r="C788" s="198"/>
      <c r="D788" s="462" t="str">
        <f>VLOOKUP(A788,'Master List'!$A$1:$C$1192,2,FALSE)</f>
        <v>Дюбели для пенопласта</v>
      </c>
      <c r="E788" s="463" t="str">
        <f>VLOOKUP(A788,'Master List'!$A$1:$C$1192,3,FALSE)</f>
        <v>шт</v>
      </c>
      <c r="F788" s="464">
        <f>F785*6</f>
        <v>788.88</v>
      </c>
      <c r="G788" s="463">
        <f>VLOOKUP(A788,'Master List'!$A$4:$F3470,5,FALSE)</f>
        <v>0.078</v>
      </c>
      <c r="H788" s="206">
        <f t="shared" si="57"/>
        <v>61.53264</v>
      </c>
      <c r="I788" s="240"/>
    </row>
    <row r="789" outlineLevel="2">
      <c r="A789" s="422" t="str">
        <f>'Master List'!A98</f>
        <v>M-FIN-055</v>
      </c>
      <c r="B789" s="472"/>
      <c r="C789" s="198"/>
      <c r="D789" s="462" t="str">
        <f>VLOOKUP(A789,'Master List'!$A$1:$C$1192,2,FALSE)</f>
        <v>Сітка штукатурна</v>
      </c>
      <c r="E789" s="463" t="str">
        <f>VLOOKUP(A789,'Master List'!$A$1:$C$1192,3,FALSE)</f>
        <v>м2</v>
      </c>
      <c r="F789" s="464">
        <f>F785*1.05</f>
        <v>138.054</v>
      </c>
      <c r="G789" s="463">
        <f>VLOOKUP(A789,'Master List'!$A$4:$F3471,5,FALSE)</f>
        <v>0.845</v>
      </c>
      <c r="H789" s="206">
        <f t="shared" si="57"/>
        <v>116.65563</v>
      </c>
      <c r="I789" s="240"/>
    </row>
    <row r="790" outlineLevel="2">
      <c r="A790" s="422" t="str">
        <f>'Master List'!A100</f>
        <v>M-FIN-061</v>
      </c>
      <c r="B790" s="472"/>
      <c r="C790" s="198"/>
      <c r="D790" s="462" t="str">
        <f>VLOOKUP(A790,'Master List'!$A$1:$C$1192,2,FALSE)</f>
        <v>Уголки штукатурные</v>
      </c>
      <c r="E790" s="463" t="str">
        <f>VLOOKUP(A790,'Master List'!$A$1:$C$1192,3,FALSE)</f>
        <v>м</v>
      </c>
      <c r="F790" s="464">
        <v>96.0</v>
      </c>
      <c r="G790" s="463">
        <f>VLOOKUP(A790,'Master List'!$A$4:$F3469,5,FALSE)</f>
        <v>1.209</v>
      </c>
      <c r="H790" s="206">
        <f t="shared" si="57"/>
        <v>116.064</v>
      </c>
      <c r="I790" s="240"/>
    </row>
    <row r="791" outlineLevel="2">
      <c r="A791" s="422" t="str">
        <f>'Master List'!A103</f>
        <v>M-FIN-071</v>
      </c>
      <c r="B791" s="472"/>
      <c r="C791" s="198"/>
      <c r="D791" s="462" t="str">
        <f>VLOOKUP(A791,'Master List'!$A$1:$C$1192,2,FALSE)</f>
        <v>Декоративна штукатурка WEBER REV PASTA 15кг</v>
      </c>
      <c r="E791" s="463" t="str">
        <f>VLOOKUP(A791,'Master List'!$A$1:$C$1192,3,FALSE)</f>
        <v>шт</v>
      </c>
      <c r="F791" s="464">
        <f>F785*3.5/15</f>
        <v>30.67866667</v>
      </c>
      <c r="G791" s="463">
        <f>VLOOKUP(A791,'Master List'!$A$4:$F3470,5,FALSE)</f>
        <v>37.44</v>
      </c>
      <c r="H791" s="206">
        <f t="shared" si="57"/>
        <v>1148.60928</v>
      </c>
      <c r="I791" s="240"/>
    </row>
    <row r="792" outlineLevel="2">
      <c r="A792" s="422"/>
      <c r="B792" s="428"/>
      <c r="C792" s="482"/>
      <c r="D792" s="428"/>
      <c r="E792" s="431"/>
      <c r="F792" s="432"/>
      <c r="G792" s="433"/>
      <c r="H792" s="433"/>
      <c r="I792" s="240"/>
    </row>
    <row r="793" outlineLevel="2">
      <c r="A793" s="422"/>
      <c r="B793" s="472" t="s">
        <v>174</v>
      </c>
      <c r="C793" s="484">
        <v>8.4</v>
      </c>
      <c r="D793" s="478" t="s">
        <v>175</v>
      </c>
      <c r="E793" s="444" t="s">
        <v>40</v>
      </c>
      <c r="F793" s="464">
        <v>106.79</v>
      </c>
      <c r="G793" s="463"/>
      <c r="H793" s="479"/>
      <c r="I793" s="481" t="s">
        <v>5599</v>
      </c>
    </row>
    <row r="794" outlineLevel="2">
      <c r="A794" s="422"/>
      <c r="B794" s="472"/>
      <c r="C794" s="485"/>
      <c r="D794" s="480"/>
      <c r="E794" s="437"/>
      <c r="F794" s="468"/>
      <c r="G794" s="467"/>
      <c r="H794" s="467"/>
      <c r="I794" s="481"/>
    </row>
    <row r="795" outlineLevel="2">
      <c r="A795" s="422" t="str">
        <f>'Master List'!A568</f>
        <v>W-FIN-064</v>
      </c>
      <c r="B795" s="472"/>
      <c r="C795" s="198"/>
      <c r="D795" s="462" t="str">
        <f>VLOOKUP(A795,'Master List'!$A$1:$C$1192,2,FALSE)</f>
        <v>Влаштування фасадної системи з алюмінієвих листів по конструкціях з Т-профіля</v>
      </c>
      <c r="E795" s="463" t="str">
        <f>VLOOKUP(A795,'Master List'!$A$1:$C$1192,3,FALSE)</f>
        <v>м2</v>
      </c>
      <c r="F795" s="464">
        <f>F793</f>
        <v>106.79</v>
      </c>
      <c r="G795" s="463">
        <f>VLOOKUP(A795,'Master List'!$A$4:$F3476,5,FALSE)</f>
        <v>110.5</v>
      </c>
      <c r="H795" s="206">
        <f t="shared" ref="H795:H796" si="58">G795*F795</f>
        <v>11800.295</v>
      </c>
      <c r="I795" s="481"/>
    </row>
    <row r="796" outlineLevel="2">
      <c r="A796" s="422" t="str">
        <f>'Master List'!A104</f>
        <v>M-FIN-090</v>
      </c>
      <c r="B796" s="472"/>
      <c r="C796" s="198"/>
      <c r="D796" s="462" t="str">
        <f>VLOOKUP(A796,'Master List'!$A$1:$C$1192,2,FALSE)</f>
        <v>Фасадна система з алюмінієвих листів по конструкціях з Т-профіля</v>
      </c>
      <c r="E796" s="463" t="str">
        <f>VLOOKUP(A796,'Master List'!$A$1:$C$1192,3,FALSE)</f>
        <v>м2</v>
      </c>
      <c r="F796" s="464">
        <f>F795</f>
        <v>106.79</v>
      </c>
      <c r="G796" s="463">
        <f>VLOOKUP(A796,'Master List'!$A$4:$F3477,5,FALSE)</f>
        <v>563.355</v>
      </c>
      <c r="H796" s="206">
        <f t="shared" si="58"/>
        <v>60160.68045</v>
      </c>
      <c r="I796" s="481"/>
    </row>
    <row r="797" outlineLevel="2">
      <c r="A797" s="422"/>
      <c r="B797" s="428"/>
      <c r="C797" s="482"/>
      <c r="D797" s="428"/>
      <c r="E797" s="431"/>
      <c r="F797" s="432"/>
      <c r="G797" s="433"/>
      <c r="H797" s="433"/>
      <c r="I797" s="240"/>
    </row>
    <row r="798" outlineLevel="2">
      <c r="A798" s="422"/>
      <c r="B798" s="472" t="s">
        <v>176</v>
      </c>
      <c r="C798" s="264">
        <v>8.5</v>
      </c>
      <c r="D798" s="202" t="s">
        <v>177</v>
      </c>
      <c r="E798" s="444" t="s">
        <v>40</v>
      </c>
      <c r="F798" s="214">
        <v>353.75</v>
      </c>
      <c r="G798" s="205"/>
      <c r="H798" s="206"/>
      <c r="I798" s="219"/>
    </row>
    <row r="799" outlineLevel="2">
      <c r="A799" s="422"/>
      <c r="B799" s="472"/>
      <c r="C799" s="483"/>
      <c r="D799" s="246"/>
      <c r="E799" s="437"/>
      <c r="F799" s="170"/>
      <c r="G799" s="239"/>
      <c r="H799" s="239"/>
      <c r="I799" s="240"/>
    </row>
    <row r="800" outlineLevel="2">
      <c r="A800" s="422" t="str">
        <f>'Master List'!A562</f>
        <v>W-FIN-031</v>
      </c>
      <c r="B800" s="472"/>
      <c r="C800" s="198"/>
      <c r="D800" s="462" t="str">
        <f>VLOOKUP(A800,'Master List'!$A$1:$C$1192,2,FALSE)</f>
        <v>Оштукатуривание фасадов толщиной 2см</v>
      </c>
      <c r="E800" s="463" t="str">
        <f>VLOOKUP(A800,'Master List'!$A$1:$C$1192,3,FALSE)</f>
        <v>м2</v>
      </c>
      <c r="F800" s="464">
        <f>F798</f>
        <v>353.75</v>
      </c>
      <c r="G800" s="463">
        <f>VLOOKUP(A800,'Master List'!$A$4:$F3482,5,FALSE)</f>
        <v>14.17</v>
      </c>
      <c r="H800" s="206">
        <f t="shared" ref="H800:H801" si="59">G800*F800</f>
        <v>5012.6375</v>
      </c>
      <c r="I800" s="240"/>
    </row>
    <row r="801" outlineLevel="2">
      <c r="A801" s="422" t="str">
        <f>'Master List'!A99</f>
        <v>M-FIN-060</v>
      </c>
      <c r="B801" s="472"/>
      <c r="C801" s="198"/>
      <c r="D801" s="462" t="str">
        <f>VLOOKUP(A801,'Master List'!$A$1:$C$1192,2,FALSE)</f>
        <v>Смесь для штукатурки 25кг</v>
      </c>
      <c r="E801" s="463" t="str">
        <f>VLOOKUP(A801,'Master List'!$A$1:$C$1192,3,FALSE)</f>
        <v>шт</v>
      </c>
      <c r="F801" s="464">
        <f>F800*34/25+0.9</f>
        <v>482</v>
      </c>
      <c r="G801" s="463">
        <f>VLOOKUP(A801,'Master List'!$A$4:$F3483,5,FALSE)</f>
        <v>2.977</v>
      </c>
      <c r="H801" s="206">
        <f t="shared" si="59"/>
        <v>1434.914</v>
      </c>
      <c r="I801" s="240"/>
    </row>
    <row r="802" outlineLevel="2">
      <c r="A802" s="422"/>
      <c r="B802" s="428"/>
      <c r="C802" s="482"/>
      <c r="D802" s="428"/>
      <c r="E802" s="431"/>
      <c r="F802" s="432"/>
      <c r="G802" s="433"/>
      <c r="H802" s="433"/>
      <c r="I802" s="240"/>
    </row>
    <row r="803" outlineLevel="2">
      <c r="A803" s="422"/>
      <c r="B803" s="472" t="s">
        <v>178</v>
      </c>
      <c r="C803" s="264">
        <v>8.6</v>
      </c>
      <c r="D803" s="202" t="s">
        <v>179</v>
      </c>
      <c r="E803" s="444" t="s">
        <v>40</v>
      </c>
      <c r="F803" s="214">
        <v>34.56</v>
      </c>
      <c r="G803" s="205"/>
      <c r="H803" s="206"/>
      <c r="I803" s="219"/>
    </row>
    <row r="804" outlineLevel="2">
      <c r="A804" s="422"/>
      <c r="B804" s="472"/>
      <c r="C804" s="483"/>
      <c r="D804" s="246"/>
      <c r="E804" s="437"/>
      <c r="F804" s="170"/>
      <c r="G804" s="239"/>
      <c r="H804" s="239"/>
      <c r="I804" s="240"/>
    </row>
    <row r="805" outlineLevel="2">
      <c r="A805" s="422" t="str">
        <f>'Master List'!A572</f>
        <v>W-FIN-037</v>
      </c>
      <c r="B805" s="472"/>
      <c r="C805" s="198"/>
      <c r="D805" s="462" t="str">
        <f>VLOOKUP(A805,'Master List'!$A$1:$C$1192,2,FALSE)</f>
        <v>Окраска фасадов</v>
      </c>
      <c r="E805" s="463" t="str">
        <f>VLOOKUP(A805,'Master List'!$A$1:$C$1192,3,FALSE)</f>
        <v>м2</v>
      </c>
      <c r="F805" s="464">
        <f>F803</f>
        <v>34.56</v>
      </c>
      <c r="G805" s="463">
        <f>VLOOKUP(A805,'Master List'!$A$4:$F3490,5,FALSE)</f>
        <v>9.1</v>
      </c>
      <c r="H805" s="206">
        <f t="shared" ref="H805:H807" si="60">G805*F805</f>
        <v>314.496</v>
      </c>
      <c r="I805" s="240"/>
    </row>
    <row r="806" outlineLevel="2">
      <c r="A806" s="422" t="str">
        <f>'Master List'!A106</f>
        <v>M-FIN-062</v>
      </c>
      <c r="B806" s="472"/>
      <c r="C806" s="198"/>
      <c r="D806" s="462" t="str">
        <f>VLOOKUP(A806,'Master List'!$A$1:$C$1192,2,FALSE)</f>
        <v>Грунтовка для краски Cin</v>
      </c>
      <c r="E806" s="463" t="str">
        <f>VLOOKUP(A806,'Master List'!$A$1:$C$1192,3,FALSE)</f>
        <v>л</v>
      </c>
      <c r="F806" s="464">
        <f>F805*0.2</f>
        <v>6.912</v>
      </c>
      <c r="G806" s="463">
        <f>VLOOKUP(A806,'Master List'!$A$4:$F3491,5,FALSE)</f>
        <v>10.387</v>
      </c>
      <c r="H806" s="206">
        <f t="shared" si="60"/>
        <v>71.794944</v>
      </c>
      <c r="I806" s="240"/>
    </row>
    <row r="807" outlineLevel="2">
      <c r="A807" s="422" t="str">
        <f>'Master List'!A108</f>
        <v>M-FIN-064</v>
      </c>
      <c r="B807" s="472"/>
      <c r="C807" s="198"/>
      <c r="D807" s="462" t="str">
        <f>VLOOKUP(A807,'Master List'!$A$1:$C$1192,2,FALSE)</f>
        <v>Краска фасадная Cin</v>
      </c>
      <c r="E807" s="463" t="str">
        <f>VLOOKUP(A807,'Master List'!$A$1:$C$1192,3,FALSE)</f>
        <v>л</v>
      </c>
      <c r="F807" s="464">
        <f>F805*0.4</f>
        <v>13.824</v>
      </c>
      <c r="G807" s="463">
        <f>VLOOKUP(A807,'Master List'!$A$4:$F3492,5,FALSE)</f>
        <v>12.727</v>
      </c>
      <c r="H807" s="206">
        <f t="shared" si="60"/>
        <v>175.938048</v>
      </c>
      <c r="I807" s="240"/>
    </row>
    <row r="808" outlineLevel="2">
      <c r="A808" s="422"/>
      <c r="B808" s="472"/>
      <c r="C808" s="483"/>
      <c r="D808" s="246"/>
      <c r="E808" s="437"/>
      <c r="F808" s="170"/>
      <c r="G808" s="239"/>
      <c r="H808" s="239"/>
      <c r="I808" s="240"/>
    </row>
    <row r="809" outlineLevel="2">
      <c r="A809" s="422"/>
      <c r="B809" s="428"/>
      <c r="C809" s="482"/>
      <c r="D809" s="428"/>
      <c r="E809" s="431"/>
      <c r="F809" s="432"/>
      <c r="G809" s="433"/>
      <c r="H809" s="433"/>
      <c r="I809" s="240"/>
    </row>
    <row r="810" outlineLevel="1">
      <c r="A810" s="422"/>
      <c r="B810" s="472" t="s">
        <v>180</v>
      </c>
      <c r="C810" s="482"/>
      <c r="D810" s="435" t="s">
        <v>181</v>
      </c>
      <c r="E810" s="431"/>
      <c r="F810" s="432"/>
      <c r="G810" s="436">
        <f>SUM(H812:H854)</f>
        <v>25684.27535</v>
      </c>
      <c r="H810" s="433"/>
      <c r="I810" s="428"/>
    </row>
    <row r="811" outlineLevel="2">
      <c r="A811" s="422"/>
      <c r="B811" s="428"/>
      <c r="C811" s="482"/>
      <c r="D811" s="428"/>
      <c r="E811" s="431"/>
      <c r="F811" s="432"/>
      <c r="G811" s="433"/>
      <c r="H811" s="433"/>
      <c r="I811" s="240"/>
    </row>
    <row r="812" outlineLevel="2">
      <c r="A812" s="422"/>
      <c r="B812" s="472" t="s">
        <v>182</v>
      </c>
      <c r="C812" s="264">
        <v>8.7</v>
      </c>
      <c r="D812" s="202" t="s">
        <v>183</v>
      </c>
      <c r="E812" s="444" t="s">
        <v>40</v>
      </c>
      <c r="F812" s="214">
        <v>52.0</v>
      </c>
      <c r="G812" s="205"/>
      <c r="H812" s="206"/>
      <c r="I812" s="219"/>
    </row>
    <row r="813" outlineLevel="2">
      <c r="A813" s="422"/>
      <c r="B813" s="472"/>
      <c r="C813" s="483"/>
      <c r="D813" s="246"/>
      <c r="E813" s="437"/>
      <c r="F813" s="170"/>
      <c r="G813" s="239"/>
      <c r="H813" s="239"/>
      <c r="I813" s="240"/>
    </row>
    <row r="814" outlineLevel="2">
      <c r="A814" s="422" t="str">
        <f>'Master List'!A566</f>
        <v>W-FIN-060</v>
      </c>
      <c r="B814" s="472"/>
      <c r="C814" s="198"/>
      <c r="D814" s="462" t="str">
        <f>VLOOKUP(A814,'Master List'!$A$1:$C$1192,2,FALSE)</f>
        <v>Нанесення захисного покриття на бетонні поверхні</v>
      </c>
      <c r="E814" s="463" t="str">
        <f>VLOOKUP(A814,'Master List'!$A$1:$C$1192,3,FALSE)</f>
        <v>м2</v>
      </c>
      <c r="F814" s="464">
        <f>F812</f>
        <v>52</v>
      </c>
      <c r="G814" s="463">
        <f>VLOOKUP(A814,'Master List'!$A$4:$F3499,5,FALSE)</f>
        <v>9.1</v>
      </c>
      <c r="H814" s="206">
        <f t="shared" ref="H814:H815" si="61">G814*F814</f>
        <v>473.2</v>
      </c>
      <c r="I814" s="240"/>
    </row>
    <row r="815" outlineLevel="2">
      <c r="A815" s="422" t="str">
        <f>'Master List'!A102</f>
        <v>M-FIN-070</v>
      </c>
      <c r="B815" s="472"/>
      <c r="C815" s="198"/>
      <c r="D815" s="462" t="str">
        <f>VLOOKUP(A815,'Master List'!$A$1:$C$1192,2,FALSE)</f>
        <v>Захисне покриття для бетону SIKAGARD 680-S PT</v>
      </c>
      <c r="E815" s="463" t="str">
        <f>VLOOKUP(A815,'Master List'!$A$1:$C$1192,3,FALSE)</f>
        <v>кг</v>
      </c>
      <c r="F815" s="464">
        <f>F814*0.3</f>
        <v>15.6</v>
      </c>
      <c r="G815" s="463">
        <f>VLOOKUP(A815,'Master List'!$A$4:$F3500,5,FALSE)</f>
        <v>12.207</v>
      </c>
      <c r="H815" s="206">
        <f t="shared" si="61"/>
        <v>190.4292</v>
      </c>
      <c r="I815" s="240"/>
    </row>
    <row r="816" outlineLevel="2">
      <c r="A816" s="422"/>
      <c r="B816" s="428"/>
      <c r="C816" s="482"/>
      <c r="D816" s="428"/>
      <c r="E816" s="431"/>
      <c r="F816" s="432"/>
      <c r="G816" s="433"/>
      <c r="H816" s="433"/>
      <c r="I816" s="240"/>
    </row>
    <row r="817" outlineLevel="2">
      <c r="A817" s="422"/>
      <c r="B817" s="472" t="s">
        <v>184</v>
      </c>
      <c r="C817" s="264">
        <v>8.8</v>
      </c>
      <c r="D817" s="202" t="s">
        <v>185</v>
      </c>
      <c r="E817" s="444" t="s">
        <v>40</v>
      </c>
      <c r="F817" s="214">
        <v>466.94</v>
      </c>
      <c r="G817" s="205"/>
      <c r="H817" s="206"/>
      <c r="I817" s="219"/>
    </row>
    <row r="818" outlineLevel="2">
      <c r="A818" s="422"/>
      <c r="B818" s="472"/>
      <c r="C818" s="483"/>
      <c r="D818" s="246"/>
      <c r="E818" s="437"/>
      <c r="F818" s="170"/>
      <c r="G818" s="239"/>
      <c r="H818" s="239"/>
      <c r="I818" s="240"/>
    </row>
    <row r="819" outlineLevel="2">
      <c r="A819" s="422" t="str">
        <f>'Master List'!A561</f>
        <v>W-FIN-030</v>
      </c>
      <c r="B819" s="472"/>
      <c r="C819" s="198"/>
      <c r="D819" s="462" t="str">
        <f>VLOOKUP(A819,'Master List'!$A$1:$C$1192,2,FALSE)</f>
        <v>Оштукатуривание стен толщиной 2см</v>
      </c>
      <c r="E819" s="463" t="str">
        <f>VLOOKUP(A819,'Master List'!$A$1:$C$1192,3,FALSE)</f>
        <v>м2</v>
      </c>
      <c r="F819" s="464">
        <f>F817</f>
        <v>466.94</v>
      </c>
      <c r="G819" s="463">
        <f>VLOOKUP(A819,'Master List'!$A$4:$F3504,5,FALSE)</f>
        <v>15.73</v>
      </c>
      <c r="H819" s="206">
        <f t="shared" ref="H819:H821" si="62">G819*F819</f>
        <v>7344.9662</v>
      </c>
      <c r="I819" s="240"/>
    </row>
    <row r="820" outlineLevel="2">
      <c r="A820" s="422" t="str">
        <f>'Master List'!A99</f>
        <v>M-FIN-060</v>
      </c>
      <c r="B820" s="472"/>
      <c r="C820" s="198"/>
      <c r="D820" s="462" t="str">
        <f>VLOOKUP(A820,'Master List'!$A$1:$C$1192,2,FALSE)</f>
        <v>Смесь для штукатурки 25кг</v>
      </c>
      <c r="E820" s="463" t="str">
        <f>VLOOKUP(A820,'Master List'!$A$1:$C$1192,3,FALSE)</f>
        <v>шт</v>
      </c>
      <c r="F820" s="464">
        <f>F819*34/25</f>
        <v>635.0384</v>
      </c>
      <c r="G820" s="463">
        <f>VLOOKUP(A820,'Master List'!$A$4:$F3505,5,FALSE)</f>
        <v>2.977</v>
      </c>
      <c r="H820" s="206">
        <f t="shared" si="62"/>
        <v>1890.509317</v>
      </c>
      <c r="I820" s="240"/>
    </row>
    <row r="821" outlineLevel="2">
      <c r="A821" s="422" t="str">
        <f>'Master List'!A98</f>
        <v>M-FIN-055</v>
      </c>
      <c r="B821" s="472"/>
      <c r="C821" s="198"/>
      <c r="D821" s="462" t="str">
        <f>VLOOKUP(A821,'Master List'!$A$1:$C$1192,2,FALSE)</f>
        <v>Сітка штукатурна</v>
      </c>
      <c r="E821" s="463" t="str">
        <f>VLOOKUP(A821,'Master List'!$A$1:$C$1192,3,FALSE)</f>
        <v>м2</v>
      </c>
      <c r="F821" s="464">
        <f>F819*0.15</f>
        <v>70.041</v>
      </c>
      <c r="G821" s="463">
        <f>VLOOKUP(A821,'Master List'!$A$4:$F3506,5,FALSE)</f>
        <v>0.845</v>
      </c>
      <c r="H821" s="206">
        <f t="shared" si="62"/>
        <v>59.184645</v>
      </c>
      <c r="I821" s="240"/>
    </row>
    <row r="822" outlineLevel="2">
      <c r="A822" s="422" t="s">
        <v>5600</v>
      </c>
      <c r="B822" s="428"/>
      <c r="C822" s="482"/>
      <c r="D822" s="428"/>
      <c r="E822" s="431"/>
      <c r="F822" s="432"/>
      <c r="G822" s="433"/>
      <c r="H822" s="433"/>
      <c r="I822" s="240"/>
    </row>
    <row r="823" outlineLevel="2">
      <c r="A823" s="422"/>
      <c r="B823" s="472" t="s">
        <v>186</v>
      </c>
      <c r="C823" s="264">
        <v>8.9</v>
      </c>
      <c r="D823" s="202" t="s">
        <v>187</v>
      </c>
      <c r="E823" s="444" t="s">
        <v>40</v>
      </c>
      <c r="F823" s="214">
        <v>81.43</v>
      </c>
      <c r="G823" s="205"/>
      <c r="H823" s="206"/>
      <c r="I823" s="219"/>
    </row>
    <row r="824" outlineLevel="2">
      <c r="A824" s="422"/>
      <c r="B824" s="472"/>
      <c r="C824" s="483"/>
      <c r="D824" s="246"/>
      <c r="E824" s="437"/>
      <c r="F824" s="170"/>
      <c r="G824" s="239"/>
      <c r="H824" s="239"/>
      <c r="I824" s="240"/>
    </row>
    <row r="825" outlineLevel="2">
      <c r="A825" s="422" t="str">
        <f>'Master List'!A548</f>
        <v>W-FIN-003</v>
      </c>
      <c r="B825" s="472"/>
      <c r="C825" s="198"/>
      <c r="D825" s="462" t="str">
        <f>VLOOKUP(A825,'Master List'!$A$1:$C$1192,2,FALSE)</f>
        <v>Укладка керамической плитки размером 30х30см</v>
      </c>
      <c r="E825" s="463" t="str">
        <f>VLOOKUP(A825,'Master List'!$A$1:$C$1192,3,FALSE)</f>
        <v>м2</v>
      </c>
      <c r="F825" s="464">
        <f>F823</f>
        <v>81.43</v>
      </c>
      <c r="G825" s="463">
        <f>VLOOKUP(A825,'Master List'!$A$4:$F3509,5,FALSE)</f>
        <v>27.3</v>
      </c>
      <c r="H825" s="206">
        <f t="shared" ref="H825:H829" si="63">G825*F825</f>
        <v>2223.039</v>
      </c>
      <c r="I825" s="240"/>
    </row>
    <row r="826" outlineLevel="2">
      <c r="A826" s="422" t="str">
        <f>'Master List'!A206</f>
        <v>AC-3</v>
      </c>
      <c r="B826" s="472"/>
      <c r="C826" s="198"/>
      <c r="D826" s="462" t="str">
        <f>VLOOKUP(A826,'Master List'!$A$1:$C$1192,2,FALSE)</f>
        <v>Плитка керамическая размером 300x300 мм</v>
      </c>
      <c r="E826" s="463" t="str">
        <f>VLOOKUP(A826,'Master List'!$A$1:$C$1192,3,FALSE)</f>
        <v>м2</v>
      </c>
      <c r="F826" s="464">
        <f>F825*1.05</f>
        <v>85.5015</v>
      </c>
      <c r="G826" s="463">
        <f>VLOOKUP(A826,'Master List'!$A$4:$F3510,5,FALSE)</f>
        <v>20.8</v>
      </c>
      <c r="H826" s="206">
        <f t="shared" si="63"/>
        <v>1778.4312</v>
      </c>
      <c r="I826" s="240"/>
    </row>
    <row r="827" outlineLevel="2">
      <c r="A827" s="422" t="str">
        <f>'Master List'!A74</f>
        <v>M-FIN-001</v>
      </c>
      <c r="B827" s="472"/>
      <c r="C827" s="198"/>
      <c r="D827" s="462" t="str">
        <f>VLOOKUP(A827,'Master List'!$A$1:$C$1192,2,FALSE)</f>
        <v>Клей для плитки Weber.col flex M</v>
      </c>
      <c r="E827" s="463" t="str">
        <f>VLOOKUP(A827,'Master List'!$A$1:$C$1192,3,FALSE)</f>
        <v>кг</v>
      </c>
      <c r="F827" s="464">
        <f>F825*7.2</f>
        <v>586.296</v>
      </c>
      <c r="G827" s="463">
        <f>VLOOKUP(A827,'Master List'!$A$4:$F3511,5,FALSE)</f>
        <v>0.715</v>
      </c>
      <c r="H827" s="206">
        <f t="shared" si="63"/>
        <v>419.20164</v>
      </c>
      <c r="I827" s="240"/>
    </row>
    <row r="828" outlineLevel="2">
      <c r="A828" s="422" t="str">
        <f>'Master List'!A77</f>
        <v>M-FIN-007</v>
      </c>
      <c r="B828" s="472"/>
      <c r="C828" s="198"/>
      <c r="D828" s="462" t="str">
        <f>VLOOKUP(A828,'Master List'!$A$1:$C$1192,2,FALSE)</f>
        <v>Затирка для плитки Weber Premium</v>
      </c>
      <c r="E828" s="463" t="str">
        <f>VLOOKUP(A828,'Master List'!$A$1:$C$1192,3,FALSE)</f>
        <v>кг</v>
      </c>
      <c r="F828" s="464">
        <f>F825*0.6</f>
        <v>48.858</v>
      </c>
      <c r="G828" s="463">
        <f>VLOOKUP(A828,'Master List'!$A$4:$F3511,5,FALSE)</f>
        <v>1.937</v>
      </c>
      <c r="H828" s="206">
        <f t="shared" si="63"/>
        <v>94.637946</v>
      </c>
      <c r="I828" s="240"/>
    </row>
    <row r="829" outlineLevel="2">
      <c r="A829" s="422" t="str">
        <f>'Master List'!A80</f>
        <v>M-FIN-008</v>
      </c>
      <c r="B829" s="472"/>
      <c r="C829" s="198"/>
      <c r="D829" s="462" t="str">
        <f>VLOOKUP(A829,'Master List'!$A$1:$C$1192,2,FALSE)</f>
        <v>Система выравнивания плитки СВП (300шт)</v>
      </c>
      <c r="E829" s="463" t="str">
        <f>VLOOKUP(A829,'Master List'!$A$1:$C$1192,3,FALSE)</f>
        <v>уп</v>
      </c>
      <c r="F829" s="464">
        <v>3.0</v>
      </c>
      <c r="G829" s="463">
        <f>VLOOKUP(A829,'Master List'!$A$4:$F3512,5,FALSE)</f>
        <v>17.94</v>
      </c>
      <c r="H829" s="206">
        <f t="shared" si="63"/>
        <v>53.82</v>
      </c>
      <c r="I829" s="240"/>
    </row>
    <row r="830" outlineLevel="2">
      <c r="A830" s="422"/>
      <c r="B830" s="428"/>
      <c r="C830" s="482"/>
      <c r="D830" s="428"/>
      <c r="E830" s="431"/>
      <c r="F830" s="432"/>
      <c r="G830" s="433"/>
      <c r="H830" s="433"/>
      <c r="I830" s="240"/>
    </row>
    <row r="831" outlineLevel="2">
      <c r="A831" s="422"/>
      <c r="B831" s="472" t="s">
        <v>188</v>
      </c>
      <c r="C831" s="267">
        <v>8.1</v>
      </c>
      <c r="D831" s="268" t="s">
        <v>189</v>
      </c>
      <c r="E831" s="486" t="s">
        <v>40</v>
      </c>
      <c r="F831" s="270">
        <v>46.05</v>
      </c>
      <c r="G831" s="205"/>
      <c r="H831" s="206"/>
      <c r="I831" s="219"/>
    </row>
    <row r="832" outlineLevel="2">
      <c r="A832" s="422"/>
      <c r="B832" s="472"/>
      <c r="C832" s="275"/>
      <c r="D832" s="285"/>
      <c r="E832" s="487"/>
      <c r="F832" s="275"/>
      <c r="G832" s="239"/>
      <c r="H832" s="239"/>
      <c r="I832" s="240"/>
    </row>
    <row r="833" outlineLevel="2">
      <c r="A833" s="422" t="str">
        <f>'Master List'!A548</f>
        <v>W-FIN-003</v>
      </c>
      <c r="B833" s="472"/>
      <c r="C833" s="198"/>
      <c r="D833" s="462" t="str">
        <f>VLOOKUP(A833,'Master List'!$A$1:$C$1192,2,FALSE)</f>
        <v>Укладка керамической плитки размером 30х30см</v>
      </c>
      <c r="E833" s="463" t="str">
        <f>VLOOKUP(A833,'Master List'!$A$1:$C$1192,3,FALSE)</f>
        <v>м2</v>
      </c>
      <c r="F833" s="464">
        <f>F831</f>
        <v>46.05</v>
      </c>
      <c r="G833" s="463">
        <f>VLOOKUP(A833,'Master List'!$A$4:$F3516,5,FALSE)</f>
        <v>27.3</v>
      </c>
      <c r="H833" s="206">
        <f t="shared" ref="H833:H837" si="64">G833*F833</f>
        <v>1257.165</v>
      </c>
      <c r="I833" s="240"/>
    </row>
    <row r="834" outlineLevel="2">
      <c r="A834" s="422" t="str">
        <f>'Master List'!A206</f>
        <v>AC-3</v>
      </c>
      <c r="B834" s="472"/>
      <c r="C834" s="198"/>
      <c r="D834" s="462" t="str">
        <f>VLOOKUP(A834,'Master List'!$A$1:$C$1192,2,FALSE)</f>
        <v>Плитка керамическая размером 300x300 мм</v>
      </c>
      <c r="E834" s="463" t="str">
        <f>VLOOKUP(A834,'Master List'!$A$1:$C$1192,3,FALSE)</f>
        <v>м2</v>
      </c>
      <c r="F834" s="464">
        <f>F833*1.05</f>
        <v>48.3525</v>
      </c>
      <c r="G834" s="463">
        <f>VLOOKUP(A834,'Master List'!$A$4:$F3517,5,FALSE)</f>
        <v>20.8</v>
      </c>
      <c r="H834" s="206">
        <f t="shared" si="64"/>
        <v>1005.732</v>
      </c>
      <c r="I834" s="240"/>
    </row>
    <row r="835" outlineLevel="2">
      <c r="A835" s="422" t="str">
        <f>'Master List'!A74</f>
        <v>M-FIN-001</v>
      </c>
      <c r="B835" s="472"/>
      <c r="C835" s="198"/>
      <c r="D835" s="462" t="str">
        <f>VLOOKUP(A835,'Master List'!$A$1:$C$1192,2,FALSE)</f>
        <v>Клей для плитки Weber.col flex M</v>
      </c>
      <c r="E835" s="463" t="str">
        <f>VLOOKUP(A835,'Master List'!$A$1:$C$1192,3,FALSE)</f>
        <v>кг</v>
      </c>
      <c r="F835" s="464">
        <f>F833*7.2</f>
        <v>331.56</v>
      </c>
      <c r="G835" s="463">
        <f>VLOOKUP(A835,'Master List'!$A$4:$F3518,5,FALSE)</f>
        <v>0.715</v>
      </c>
      <c r="H835" s="206">
        <f t="shared" si="64"/>
        <v>237.0654</v>
      </c>
      <c r="I835" s="240"/>
    </row>
    <row r="836" outlineLevel="2">
      <c r="A836" s="422" t="str">
        <f>'Master List'!A77</f>
        <v>M-FIN-007</v>
      </c>
      <c r="B836" s="472"/>
      <c r="C836" s="198"/>
      <c r="D836" s="462" t="str">
        <f>VLOOKUP(A836,'Master List'!$A$1:$C$1192,2,FALSE)</f>
        <v>Затирка для плитки Weber Premium</v>
      </c>
      <c r="E836" s="463" t="str">
        <f>VLOOKUP(A836,'Master List'!$A$1:$C$1192,3,FALSE)</f>
        <v>кг</v>
      </c>
      <c r="F836" s="464">
        <f>F833*0.6</f>
        <v>27.63</v>
      </c>
      <c r="G836" s="463">
        <f>VLOOKUP(A836,'Master List'!$A$4:$F3519,5,FALSE)</f>
        <v>1.937</v>
      </c>
      <c r="H836" s="206">
        <f t="shared" si="64"/>
        <v>53.51931</v>
      </c>
      <c r="I836" s="240"/>
    </row>
    <row r="837" outlineLevel="2">
      <c r="A837" s="422" t="str">
        <f>'Master List'!A80</f>
        <v>M-FIN-008</v>
      </c>
      <c r="B837" s="472"/>
      <c r="C837" s="198"/>
      <c r="D837" s="462" t="str">
        <f>VLOOKUP(A837,'Master List'!$A$1:$C$1192,2,FALSE)</f>
        <v>Система выравнивания плитки СВП (300шт)</v>
      </c>
      <c r="E837" s="463" t="str">
        <f>VLOOKUP(A837,'Master List'!$A$1:$C$1192,3,FALSE)</f>
        <v>уп</v>
      </c>
      <c r="F837" s="464">
        <v>2.0</v>
      </c>
      <c r="G837" s="463">
        <f>VLOOKUP(A837,'Master List'!$A$4:$F3520,5,FALSE)</f>
        <v>17.94</v>
      </c>
      <c r="H837" s="206">
        <f t="shared" si="64"/>
        <v>35.88</v>
      </c>
      <c r="I837" s="240"/>
    </row>
    <row r="838" outlineLevel="2">
      <c r="A838" s="422"/>
      <c r="B838" s="428"/>
      <c r="C838" s="482"/>
      <c r="D838" s="428"/>
      <c r="E838" s="431"/>
      <c r="F838" s="432"/>
      <c r="G838" s="433"/>
      <c r="H838" s="433"/>
      <c r="I838" s="240"/>
    </row>
    <row r="839" outlineLevel="2">
      <c r="A839" s="422"/>
      <c r="B839" s="472" t="s">
        <v>190</v>
      </c>
      <c r="C839" s="267">
        <v>8.11</v>
      </c>
      <c r="D839" s="268" t="s">
        <v>191</v>
      </c>
      <c r="E839" s="486" t="s">
        <v>40</v>
      </c>
      <c r="F839" s="270">
        <v>50.7</v>
      </c>
      <c r="G839" s="205"/>
      <c r="H839" s="206"/>
      <c r="I839" s="271"/>
    </row>
    <row r="840" outlineLevel="2">
      <c r="A840" s="422"/>
      <c r="B840" s="472"/>
      <c r="C840" s="275"/>
      <c r="D840" s="285"/>
      <c r="E840" s="487"/>
      <c r="F840" s="275"/>
      <c r="G840" s="239"/>
      <c r="H840" s="239"/>
      <c r="I840" s="276"/>
    </row>
    <row r="841" outlineLevel="2">
      <c r="A841" s="422" t="str">
        <f>'Master List'!A561</f>
        <v>W-FIN-030</v>
      </c>
      <c r="B841" s="472"/>
      <c r="C841" s="198"/>
      <c r="D841" s="462" t="str">
        <f>VLOOKUP(A841,'Master List'!$A$1:$C$1192,2,FALSE)</f>
        <v>Оштукатуривание стен толщиной 2см</v>
      </c>
      <c r="E841" s="463" t="str">
        <f>VLOOKUP(A841,'Master List'!$A$1:$C$1192,3,FALSE)</f>
        <v>м2</v>
      </c>
      <c r="F841" s="464">
        <f>F839</f>
        <v>50.7</v>
      </c>
      <c r="G841" s="463">
        <f>VLOOKUP(A841,'Master List'!$A$4:$F3522,5,FALSE)</f>
        <v>15.73</v>
      </c>
      <c r="H841" s="206">
        <f t="shared" ref="H841:H842" si="65">G841*F841</f>
        <v>797.511</v>
      </c>
      <c r="I841" s="276"/>
    </row>
    <row r="842" outlineLevel="2">
      <c r="A842" s="422" t="str">
        <f>'Master List'!A99</f>
        <v>M-FIN-060</v>
      </c>
      <c r="B842" s="472"/>
      <c r="C842" s="198"/>
      <c r="D842" s="462" t="str">
        <f>VLOOKUP(A842,'Master List'!$A$1:$C$1192,2,FALSE)</f>
        <v>Смесь для штукатурки 25кг</v>
      </c>
      <c r="E842" s="463" t="str">
        <f>VLOOKUP(A842,'Master List'!$A$1:$C$1192,3,FALSE)</f>
        <v>шт</v>
      </c>
      <c r="F842" s="464">
        <f>F841*34/25</f>
        <v>68.952</v>
      </c>
      <c r="G842" s="463">
        <f>VLOOKUP(A842,'Master List'!$A$4:$F3523,5,FALSE)</f>
        <v>2.977</v>
      </c>
      <c r="H842" s="206">
        <f t="shared" si="65"/>
        <v>205.270104</v>
      </c>
      <c r="I842" s="276"/>
    </row>
    <row r="843" outlineLevel="2">
      <c r="A843" s="422"/>
      <c r="B843" s="428"/>
      <c r="C843" s="482"/>
      <c r="D843" s="428"/>
      <c r="E843" s="431"/>
      <c r="F843" s="432"/>
      <c r="G843" s="433"/>
      <c r="H843" s="433"/>
      <c r="I843" s="240"/>
    </row>
    <row r="844" outlineLevel="2">
      <c r="A844" s="422"/>
      <c r="B844" s="472" t="s">
        <v>192</v>
      </c>
      <c r="C844" s="267">
        <v>8.12</v>
      </c>
      <c r="D844" s="268" t="s">
        <v>193</v>
      </c>
      <c r="E844" s="486" t="s">
        <v>40</v>
      </c>
      <c r="F844" s="270">
        <v>551.51</v>
      </c>
      <c r="G844" s="205"/>
      <c r="H844" s="206"/>
      <c r="I844" s="271"/>
    </row>
    <row r="845" outlineLevel="2">
      <c r="A845" s="422"/>
      <c r="B845" s="472"/>
      <c r="C845" s="275"/>
      <c r="D845" s="285"/>
      <c r="E845" s="487"/>
      <c r="F845" s="275"/>
      <c r="G845" s="239"/>
      <c r="H845" s="239"/>
      <c r="I845" s="276"/>
    </row>
    <row r="846" outlineLevel="2">
      <c r="A846" s="422" t="str">
        <f>'Master List'!A570</f>
        <v>W-FIN-035</v>
      </c>
      <c r="B846" s="472"/>
      <c r="C846" s="198"/>
      <c r="D846" s="462" t="str">
        <f>VLOOKUP(A846,'Master List'!$A$1:$C$1192,2,FALSE)</f>
        <v>Окраска стен</v>
      </c>
      <c r="E846" s="463" t="str">
        <f>VLOOKUP(A846,'Master List'!$A$1:$C$1192,3,FALSE)</f>
        <v>м2</v>
      </c>
      <c r="F846" s="464">
        <f>F844</f>
        <v>551.51</v>
      </c>
      <c r="G846" s="463">
        <f>VLOOKUP(A846,'Master List'!$A$4:$F3527,5,FALSE)</f>
        <v>7.8</v>
      </c>
      <c r="H846" s="206">
        <f t="shared" ref="H846:H848" si="66">G846*F846</f>
        <v>4301.778</v>
      </c>
      <c r="I846" s="276"/>
    </row>
    <row r="847" outlineLevel="2">
      <c r="A847" s="422" t="str">
        <f>'Master List'!A106</f>
        <v>M-FIN-062</v>
      </c>
      <c r="B847" s="472"/>
      <c r="C847" s="198"/>
      <c r="D847" s="462" t="str">
        <f>VLOOKUP(A847,'Master List'!$A$1:$C$1192,2,FALSE)</f>
        <v>Грунтовка для краски Cin</v>
      </c>
      <c r="E847" s="463" t="str">
        <f>VLOOKUP(A847,'Master List'!$A$1:$C$1192,3,FALSE)</f>
        <v>л</v>
      </c>
      <c r="F847" s="464">
        <f>F846*0.2</f>
        <v>110.302</v>
      </c>
      <c r="G847" s="463">
        <f>VLOOKUP(A847,'Master List'!$A$4:$F3528,5,FALSE)</f>
        <v>10.387</v>
      </c>
      <c r="H847" s="206">
        <f t="shared" si="66"/>
        <v>1145.706874</v>
      </c>
      <c r="I847" s="276"/>
    </row>
    <row r="848" outlineLevel="2">
      <c r="A848" s="422" t="str">
        <f>'Master List'!A107</f>
        <v>M-FIN-063</v>
      </c>
      <c r="B848" s="472"/>
      <c r="C848" s="198"/>
      <c r="D848" s="462" t="str">
        <f>VLOOKUP(A848,'Master List'!$A$1:$C$1192,2,FALSE)</f>
        <v>Краска водоэмульсионная для внутренних работ CIN</v>
      </c>
      <c r="E848" s="463" t="str">
        <f>VLOOKUP(A848,'Master List'!$A$1:$C$1192,3,FALSE)</f>
        <v>л</v>
      </c>
      <c r="F848" s="464">
        <f>F846*0.4</f>
        <v>220.604</v>
      </c>
      <c r="G848" s="463">
        <f>VLOOKUP(A848,'Master List'!$A$4:$F3529,5,FALSE)</f>
        <v>8.32</v>
      </c>
      <c r="H848" s="206">
        <f t="shared" si="66"/>
        <v>1835.42528</v>
      </c>
      <c r="I848" s="276"/>
    </row>
    <row r="849" outlineLevel="2">
      <c r="A849" s="422"/>
      <c r="B849" s="428"/>
      <c r="C849" s="482"/>
      <c r="D849" s="428"/>
      <c r="E849" s="431"/>
      <c r="F849" s="432"/>
      <c r="G849" s="433"/>
      <c r="H849" s="433"/>
      <c r="I849" s="240"/>
    </row>
    <row r="850" outlineLevel="2">
      <c r="A850" s="422"/>
      <c r="B850" s="472" t="s">
        <v>194</v>
      </c>
      <c r="C850" s="267">
        <v>8.13</v>
      </c>
      <c r="D850" s="268" t="s">
        <v>195</v>
      </c>
      <c r="E850" s="486" t="s">
        <v>40</v>
      </c>
      <c r="F850" s="270">
        <v>21.34</v>
      </c>
      <c r="G850" s="205"/>
      <c r="H850" s="206"/>
      <c r="I850" s="271"/>
    </row>
    <row r="851" outlineLevel="2">
      <c r="A851" s="422"/>
      <c r="B851" s="472"/>
      <c r="C851" s="275"/>
      <c r="D851" s="285"/>
      <c r="E851" s="487"/>
      <c r="F851" s="275"/>
      <c r="G851" s="239"/>
      <c r="H851" s="239"/>
      <c r="I851" s="276"/>
    </row>
    <row r="852" outlineLevel="2">
      <c r="A852" s="422" t="str">
        <f>'Master List'!A570</f>
        <v>W-FIN-035</v>
      </c>
      <c r="B852" s="472"/>
      <c r="C852" s="198"/>
      <c r="D852" s="462" t="str">
        <f>VLOOKUP(A852,'Master List'!$A$1:$C$1192,2,FALSE)</f>
        <v>Окраска стен</v>
      </c>
      <c r="E852" s="463" t="str">
        <f>VLOOKUP(A852,'Master List'!$A$1:$C$1192,3,FALSE)</f>
        <v>м2</v>
      </c>
      <c r="F852" s="464">
        <f>F850</f>
        <v>21.34</v>
      </c>
      <c r="G852" s="463">
        <f>VLOOKUP(A852,'Master List'!$A$4:$F3532,5,FALSE)</f>
        <v>7.8</v>
      </c>
      <c r="H852" s="206">
        <f t="shared" ref="H852:H854" si="67">G852*F852</f>
        <v>166.452</v>
      </c>
      <c r="I852" s="276"/>
    </row>
    <row r="853" outlineLevel="2">
      <c r="A853" s="422" t="str">
        <f>'Master List'!A106</f>
        <v>M-FIN-062</v>
      </c>
      <c r="B853" s="472"/>
      <c r="C853" s="198"/>
      <c r="D853" s="462" t="str">
        <f>VLOOKUP(A853,'Master List'!$A$1:$C$1192,2,FALSE)</f>
        <v>Грунтовка для краски Cin</v>
      </c>
      <c r="E853" s="463" t="str">
        <f>VLOOKUP(A853,'Master List'!$A$1:$C$1192,3,FALSE)</f>
        <v>л</v>
      </c>
      <c r="F853" s="464">
        <f>F852*0.2</f>
        <v>4.268</v>
      </c>
      <c r="G853" s="463">
        <f>VLOOKUP(A853,'Master List'!$A$4:$F3533,5,FALSE)</f>
        <v>10.387</v>
      </c>
      <c r="H853" s="206">
        <f t="shared" si="67"/>
        <v>44.331716</v>
      </c>
      <c r="I853" s="276"/>
    </row>
    <row r="854" outlineLevel="2">
      <c r="A854" s="422" t="str">
        <f>'Master List'!A107</f>
        <v>M-FIN-063</v>
      </c>
      <c r="B854" s="472"/>
      <c r="C854" s="198"/>
      <c r="D854" s="462" t="str">
        <f>VLOOKUP(A854,'Master List'!$A$1:$C$1192,2,FALSE)</f>
        <v>Краска водоэмульсионная для внутренних работ CIN</v>
      </c>
      <c r="E854" s="463" t="str">
        <f>VLOOKUP(A854,'Master List'!$A$1:$C$1192,3,FALSE)</f>
        <v>л</v>
      </c>
      <c r="F854" s="464">
        <f>F852*0.4</f>
        <v>8.536</v>
      </c>
      <c r="G854" s="463">
        <f>VLOOKUP(A854,'Master List'!$A$4:$F3534,5,FALSE)</f>
        <v>8.32</v>
      </c>
      <c r="H854" s="206">
        <f t="shared" si="67"/>
        <v>71.01952</v>
      </c>
      <c r="I854" s="276"/>
    </row>
    <row r="855" outlineLevel="2">
      <c r="A855" s="422"/>
      <c r="B855" s="472"/>
      <c r="C855" s="230"/>
      <c r="D855" s="466"/>
      <c r="E855" s="467"/>
      <c r="F855" s="468"/>
      <c r="G855" s="467"/>
      <c r="H855" s="239"/>
      <c r="I855" s="276"/>
    </row>
    <row r="856" outlineLevel="1">
      <c r="A856" s="422"/>
      <c r="B856" s="472"/>
      <c r="C856" s="262"/>
      <c r="D856" s="246"/>
      <c r="E856" s="437"/>
      <c r="F856" s="170"/>
      <c r="G856" s="239"/>
      <c r="H856" s="239"/>
      <c r="I856" s="240"/>
    </row>
    <row r="857">
      <c r="A857" s="422"/>
      <c r="B857" s="184"/>
      <c r="C857" s="184">
        <v>9.0</v>
      </c>
      <c r="D857" s="184" t="s">
        <v>197</v>
      </c>
      <c r="E857" s="425"/>
      <c r="F857" s="425"/>
      <c r="G857" s="425"/>
      <c r="H857" s="426">
        <f>SUM(H861:H1004)</f>
        <v>101274.8515</v>
      </c>
      <c r="I857" s="427">
        <f>H857-'Orcamento RU'!C174</f>
        <v>-24469.45849</v>
      </c>
    </row>
    <row r="858" outlineLevel="1">
      <c r="A858" s="422"/>
      <c r="B858" s="472"/>
      <c r="C858" s="230"/>
      <c r="D858" s="246"/>
      <c r="E858" s="437"/>
      <c r="F858" s="170"/>
      <c r="G858" s="239"/>
      <c r="H858" s="239"/>
      <c r="I858" s="240"/>
    </row>
    <row r="859" outlineLevel="1">
      <c r="A859" s="422"/>
      <c r="B859" s="472" t="s">
        <v>198</v>
      </c>
      <c r="C859" s="429"/>
      <c r="D859" s="435" t="s">
        <v>199</v>
      </c>
      <c r="E859" s="431"/>
      <c r="F859" s="432"/>
      <c r="G859" s="488">
        <f>SUM(H861:H955)</f>
        <v>57461.63923</v>
      </c>
      <c r="H859" s="434"/>
      <c r="I859" s="240"/>
    </row>
    <row r="860" outlineLevel="2">
      <c r="A860" s="422"/>
      <c r="B860" s="428"/>
      <c r="C860" s="429"/>
      <c r="D860" s="428"/>
      <c r="E860" s="431"/>
      <c r="F860" s="432"/>
      <c r="G860" s="434"/>
      <c r="H860" s="434"/>
      <c r="I860" s="240"/>
    </row>
    <row r="861" outlineLevel="2">
      <c r="A861" s="422"/>
      <c r="B861" s="472" t="s">
        <v>200</v>
      </c>
      <c r="C861" s="272">
        <v>9.1</v>
      </c>
      <c r="D861" s="268" t="s">
        <v>201</v>
      </c>
      <c r="E861" s="486" t="s">
        <v>40</v>
      </c>
      <c r="F861" s="270">
        <v>228.22</v>
      </c>
      <c r="G861" s="205"/>
      <c r="H861" s="206"/>
      <c r="I861" s="271"/>
    </row>
    <row r="862" outlineLevel="2">
      <c r="A862" s="422"/>
      <c r="B862" s="472"/>
      <c r="C862" s="489"/>
      <c r="D862" s="285"/>
      <c r="E862" s="487"/>
      <c r="F862" s="275"/>
      <c r="G862" s="239"/>
      <c r="H862" s="239"/>
      <c r="I862" s="276"/>
    </row>
    <row r="863" outlineLevel="2">
      <c r="A863" s="422" t="str">
        <f>'Master List'!A494</f>
        <v>W-CON-001</v>
      </c>
      <c r="B863" s="472"/>
      <c r="C863" s="198"/>
      <c r="D863" s="462" t="str">
        <f>VLOOKUP(A863,'Master List'!$A$1:$C$1192,2,FALSE)</f>
        <v>Устройство щебеночного основания</v>
      </c>
      <c r="E863" s="463" t="str">
        <f>VLOOKUP(A863,'Master List'!$A$1:$C$1192,3,FALSE)</f>
        <v>м3</v>
      </c>
      <c r="F863" s="464">
        <f>F861*0.15</f>
        <v>34.233</v>
      </c>
      <c r="G863" s="463">
        <f>VLOOKUP(A863,'Master List'!$A$4:$F3542,5,FALSE)</f>
        <v>7.15</v>
      </c>
      <c r="H863" s="206">
        <f t="shared" ref="H863:H872" si="68">G863*F863</f>
        <v>244.76595</v>
      </c>
      <c r="I863" s="276"/>
    </row>
    <row r="864" outlineLevel="2">
      <c r="A864" s="422" t="str">
        <f>'Master List'!A497</f>
        <v>W-CON-003</v>
      </c>
      <c r="B864" s="472"/>
      <c r="C864" s="198"/>
      <c r="D864" s="462" t="str">
        <f>VLOOKUP(A864,'Master List'!$A$1:$C$1192,2,FALSE)</f>
        <v>Сборка и разборка опалубки</v>
      </c>
      <c r="E864" s="463" t="str">
        <f>VLOOKUP(A864,'Master List'!$A$1:$C$1192,3,FALSE)</f>
        <v>м2</v>
      </c>
      <c r="F864" s="464">
        <v>38.0</v>
      </c>
      <c r="G864" s="463">
        <f>VLOOKUP(A864,'Master List'!$A$4:$F3543,5,FALSE)</f>
        <v>45.5</v>
      </c>
      <c r="H864" s="206">
        <f t="shared" si="68"/>
        <v>1729</v>
      </c>
      <c r="I864" s="276"/>
    </row>
    <row r="865" outlineLevel="2">
      <c r="A865" s="422" t="str">
        <f>'Master List'!A498</f>
        <v>W-CON-004</v>
      </c>
      <c r="B865" s="472"/>
      <c r="C865" s="198"/>
      <c r="D865" s="462" t="str">
        <f>VLOOKUP(A865,'Master List'!$A$1:$C$1192,2,FALSE)</f>
        <v>Изготовление и установка арматурных каркасов</v>
      </c>
      <c r="E865" s="463" t="str">
        <f>VLOOKUP(A865,'Master List'!$A$1:$C$1192,3,FALSE)</f>
        <v>кг</v>
      </c>
      <c r="F865" s="464">
        <v>1374.0</v>
      </c>
      <c r="G865" s="463">
        <f>VLOOKUP(A865,'Master List'!$A$4:$F3544,5,FALSE)</f>
        <v>0.975</v>
      </c>
      <c r="H865" s="206">
        <f t="shared" si="68"/>
        <v>1339.65</v>
      </c>
      <c r="I865" s="276"/>
    </row>
    <row r="866" outlineLevel="2">
      <c r="A866" s="422" t="str">
        <f>'Master List'!A499</f>
        <v>W-CON-005</v>
      </c>
      <c r="B866" s="472"/>
      <c r="C866" s="198"/>
      <c r="D866" s="462" t="str">
        <f>VLOOKUP(A866,'Master List'!$A$1:$C$1192,2,FALSE)</f>
        <v>Укладка чистового бетона в опалубку</v>
      </c>
      <c r="E866" s="463" t="str">
        <f>VLOOKUP(A866,'Master List'!$A$1:$C$1192,3,FALSE)</f>
        <v>м3</v>
      </c>
      <c r="F866" s="464">
        <f>F861*0.15</f>
        <v>34.233</v>
      </c>
      <c r="G866" s="463">
        <f>VLOOKUP(A866,'Master List'!$A$4:$F3545,5,FALSE)</f>
        <v>16.25</v>
      </c>
      <c r="H866" s="206">
        <f t="shared" si="68"/>
        <v>556.28625</v>
      </c>
      <c r="I866" s="276"/>
    </row>
    <row r="867" outlineLevel="2">
      <c r="A867" s="422" t="str">
        <f>'Master List'!A59</f>
        <v>M-IMP-015</v>
      </c>
      <c r="B867" s="472"/>
      <c r="C867" s="198"/>
      <c r="D867" s="462" t="str">
        <f>VLOOKUP(A867,'Master List'!$A$1:$C$1192,2,FALSE)</f>
        <v>Щебень №2</v>
      </c>
      <c r="E867" s="463" t="str">
        <f>VLOOKUP(A867,'Master List'!$A$1:$C$1192,3,FALSE)</f>
        <v>м3</v>
      </c>
      <c r="F867" s="464">
        <f>F863*1.15</f>
        <v>39.36795</v>
      </c>
      <c r="G867" s="463">
        <f>VLOOKUP(A867,'Master List'!$A$4:$F3542,5,FALSE)</f>
        <v>31.07</v>
      </c>
      <c r="H867" s="206">
        <f t="shared" si="68"/>
        <v>1223.162207</v>
      </c>
      <c r="I867" s="276"/>
    </row>
    <row r="868" outlineLevel="2">
      <c r="A868" s="422" t="str">
        <f>'Master List'!A18</f>
        <v>M-CON-030</v>
      </c>
      <c r="B868" s="472"/>
      <c r="C868" s="198"/>
      <c r="D868" s="462" t="str">
        <f>VLOOKUP(A868,'Master List'!$A$1:$C$1192,2,FALSE)</f>
        <v>Деревянные щиты опалубки</v>
      </c>
      <c r="E868" s="463" t="str">
        <f>VLOOKUP(A868,'Master List'!$A$1:$C$1192,3,FALSE)</f>
        <v>м2</v>
      </c>
      <c r="F868" s="464">
        <f>F864</f>
        <v>38</v>
      </c>
      <c r="G868" s="463">
        <f>VLOOKUP(A868,'Master List'!$A$4:$F3543,5,FALSE)</f>
        <v>0</v>
      </c>
      <c r="H868" s="206">
        <f t="shared" si="68"/>
        <v>0</v>
      </c>
      <c r="I868" s="276"/>
    </row>
    <row r="869" outlineLevel="2">
      <c r="A869" s="422" t="str">
        <f>'Master List'!A14</f>
        <v>M-CON-014</v>
      </c>
      <c r="B869" s="472"/>
      <c r="C869" s="198"/>
      <c r="D869" s="462" t="str">
        <f>VLOOKUP(A869,'Master List'!$A$1:$C$1192,2,FALSE)</f>
        <v>Арматура диаметром 8 мм A500NR SD</v>
      </c>
      <c r="E869" s="463" t="str">
        <f>VLOOKUP(A869,'Master List'!$A$1:$C$1192,3,FALSE)</f>
        <v>кг</v>
      </c>
      <c r="F869" s="464">
        <f>F865*1.05</f>
        <v>1442.7</v>
      </c>
      <c r="G869" s="463">
        <f>VLOOKUP(A869,'Master List'!$A$4:$F3544,5,FALSE)</f>
        <v>0.61685</v>
      </c>
      <c r="H869" s="206">
        <f t="shared" si="68"/>
        <v>889.929495</v>
      </c>
      <c r="I869" s="276"/>
    </row>
    <row r="870" outlineLevel="2">
      <c r="A870" s="422" t="str">
        <f>'Master List'!A15</f>
        <v>M-CON-020</v>
      </c>
      <c r="B870" s="472"/>
      <c r="C870" s="198"/>
      <c r="D870" s="462" t="str">
        <f>VLOOKUP(A870,'Master List'!$A$1:$C$1192,2,FALSE)</f>
        <v>Вязальная проволока</v>
      </c>
      <c r="E870" s="463" t="str">
        <f>VLOOKUP(A870,'Master List'!$A$1:$C$1192,3,FALSE)</f>
        <v>кг</v>
      </c>
      <c r="F870" s="464">
        <f>F865*15/1000</f>
        <v>20.61</v>
      </c>
      <c r="G870" s="463">
        <f>VLOOKUP(A870,'Master List'!$A$4:$F3545,5,FALSE)</f>
        <v>2.054</v>
      </c>
      <c r="H870" s="206">
        <f t="shared" si="68"/>
        <v>42.33294</v>
      </c>
      <c r="I870" s="276"/>
    </row>
    <row r="871" outlineLevel="2">
      <c r="A871" s="422" t="str">
        <f>'Master List'!A16</f>
        <v>M-CON-022</v>
      </c>
      <c r="B871" s="472"/>
      <c r="C871" s="198"/>
      <c r="D871" s="462" t="str">
        <f>VLOOKUP(A871,'Master List'!$A$1:$C$1192,2,FALSE)</f>
        <v>Круги отрезные по металлу диаметром 230мм</v>
      </c>
      <c r="E871" s="463" t="str">
        <f>VLOOKUP(A871,'Master List'!$A$1:$C$1192,3,FALSE)</f>
        <v>шт</v>
      </c>
      <c r="F871" s="464">
        <f>F865*3/1000</f>
        <v>4.122</v>
      </c>
      <c r="G871" s="463">
        <f>VLOOKUP(A871,'Master List'!$A$4:$F3546,5,FALSE)</f>
        <v>0</v>
      </c>
      <c r="H871" s="206">
        <f t="shared" si="68"/>
        <v>0</v>
      </c>
      <c r="I871" s="276"/>
    </row>
    <row r="872" outlineLevel="2">
      <c r="A872" s="422" t="str">
        <f>'Master List'!A5</f>
        <v>M-CON-002</v>
      </c>
      <c r="B872" s="472"/>
      <c r="C872" s="198"/>
      <c r="D872" s="462" t="str">
        <f>VLOOKUP(A872,'Master List'!$A$1:$C$1192,2,FALSE)</f>
        <v>Бетон C16/20 X0(P) Cl0.40 Dmáx 15mm S2</v>
      </c>
      <c r="E872" s="463" t="str">
        <f>VLOOKUP(A872,'Master List'!$A$1:$C$1192,3,FALSE)</f>
        <v>м3</v>
      </c>
      <c r="F872" s="464">
        <f>F866*1.02</f>
        <v>34.91766</v>
      </c>
      <c r="G872" s="463">
        <f>VLOOKUP(A872,'Master List'!$A$4:$F3543,5,FALSE)</f>
        <v>114.218</v>
      </c>
      <c r="H872" s="206">
        <f t="shared" si="68"/>
        <v>3988.22529</v>
      </c>
      <c r="I872" s="276"/>
    </row>
    <row r="873" outlineLevel="2">
      <c r="A873" s="422"/>
      <c r="B873" s="428"/>
      <c r="C873" s="429"/>
      <c r="D873" s="428"/>
      <c r="E873" s="431"/>
      <c r="F873" s="432"/>
      <c r="G873" s="434"/>
      <c r="H873" s="434"/>
      <c r="I873" s="240"/>
    </row>
    <row r="874" outlineLevel="2">
      <c r="A874" s="422"/>
      <c r="B874" s="472" t="s">
        <v>202</v>
      </c>
      <c r="C874" s="272">
        <v>9.2</v>
      </c>
      <c r="D874" s="268" t="s">
        <v>203</v>
      </c>
      <c r="E874" s="486" t="s">
        <v>40</v>
      </c>
      <c r="F874" s="270">
        <v>153.22</v>
      </c>
      <c r="G874" s="205"/>
      <c r="H874" s="206"/>
      <c r="I874" s="271"/>
    </row>
    <row r="875" outlineLevel="2">
      <c r="A875" s="422"/>
      <c r="B875" s="472"/>
      <c r="C875" s="489"/>
      <c r="D875" s="285"/>
      <c r="E875" s="487"/>
      <c r="F875" s="275"/>
      <c r="G875" s="239"/>
      <c r="H875" s="239"/>
      <c r="I875" s="276"/>
    </row>
    <row r="876" outlineLevel="2">
      <c r="A876" s="422" t="str">
        <f>'Master List'!A573</f>
        <v>W-FIN-050</v>
      </c>
      <c r="B876" s="472"/>
      <c r="C876" s="198"/>
      <c r="D876" s="462" t="str">
        <f>VLOOKUP(A876,'Master List'!$A$1:$C$1192,2,FALSE)</f>
        <v>Устройство черновой стяжки толщиной 100 мм</v>
      </c>
      <c r="E876" s="463" t="str">
        <f>VLOOKUP(A876,'Master List'!$A$1:$C$1192,3,FALSE)</f>
        <v>м2</v>
      </c>
      <c r="F876" s="464">
        <f>F874</f>
        <v>153.22</v>
      </c>
      <c r="G876" s="463">
        <f>VLOOKUP(A876,'Master List'!$A$4:$F3552,5,FALSE)</f>
        <v>13</v>
      </c>
      <c r="H876" s="206">
        <f t="shared" ref="H876:H881" si="69">G876*F876</f>
        <v>1991.86</v>
      </c>
      <c r="I876" s="276"/>
    </row>
    <row r="877" outlineLevel="2">
      <c r="A877" s="422" t="str">
        <f>'Master List'!A574</f>
        <v>W-FIN-052</v>
      </c>
      <c r="B877" s="472"/>
      <c r="C877" s="198"/>
      <c r="D877" s="462" t="str">
        <f>VLOOKUP(A877,'Master List'!$A$1:$C$1192,2,FALSE)</f>
        <v>Устройство чистовой стяжки толщиной 50 мм</v>
      </c>
      <c r="E877" s="463" t="str">
        <f>VLOOKUP(A877,'Master List'!$A$1:$C$1192,3,FALSE)</f>
        <v>м2</v>
      </c>
      <c r="F877" s="464">
        <f>F874</f>
        <v>153.22</v>
      </c>
      <c r="G877" s="463">
        <f>VLOOKUP(A877,'Master List'!$A$4:$F3553,5,FALSE)</f>
        <v>10.4</v>
      </c>
      <c r="H877" s="206">
        <f t="shared" si="69"/>
        <v>1593.488</v>
      </c>
      <c r="I877" s="276"/>
    </row>
    <row r="878" outlineLevel="2">
      <c r="A878" s="422" t="str">
        <f>'Master List'!A575</f>
        <v>W-FIN-053</v>
      </c>
      <c r="B878" s="472"/>
      <c r="C878" s="198"/>
      <c r="D878" s="462" t="str">
        <f>VLOOKUP(A878,'Master List'!$A$1:$C$1192,2,FALSE)</f>
        <v>Шліфування покриття підлоги</v>
      </c>
      <c r="E878" s="463" t="str">
        <f>VLOOKUP(A878,'Master List'!$A$1:$C$1192,3,FALSE)</f>
        <v>м2</v>
      </c>
      <c r="F878" s="464">
        <f>F874</f>
        <v>153.22</v>
      </c>
      <c r="G878" s="463">
        <f>VLOOKUP(A878,'Master List'!$A$4:$F3554,5,FALSE)</f>
        <v>11.05</v>
      </c>
      <c r="H878" s="206">
        <f t="shared" si="69"/>
        <v>1693.081</v>
      </c>
      <c r="I878" s="276"/>
    </row>
    <row r="879" outlineLevel="2">
      <c r="A879" s="422" t="str">
        <f>'Master List'!A97</f>
        <v>M-FIN-052</v>
      </c>
      <c r="B879" s="472"/>
      <c r="C879" s="198"/>
      <c r="D879" s="462" t="str">
        <f>VLOOKUP(A879,'Master List'!$A$1:$C$1192,2,FALSE)</f>
        <v>Раствор для черновой стяжки</v>
      </c>
      <c r="E879" s="463" t="str">
        <f>VLOOKUP(A879,'Master List'!$A$1:$C$1192,3,FALSE)</f>
        <v>м3</v>
      </c>
      <c r="F879" s="464">
        <f>F876*0.1*1.02</f>
        <v>15.62844</v>
      </c>
      <c r="G879" s="463">
        <f>VLOOKUP(A879,'Master List'!$A$4:$F3555,5,FALSE)</f>
        <v>116.493</v>
      </c>
      <c r="H879" s="206">
        <f t="shared" si="69"/>
        <v>1820.603861</v>
      </c>
      <c r="I879" s="276"/>
    </row>
    <row r="880" outlineLevel="2">
      <c r="A880" s="422" t="str">
        <f>'Master List'!A38</f>
        <v>M-BRK-025</v>
      </c>
      <c r="B880" s="472"/>
      <c r="C880" s="198"/>
      <c r="D880" s="462" t="str">
        <f>VLOOKUP(A880,'Master List'!$A$1:$C$1192,2,FALSE)</f>
        <v>Цемент</v>
      </c>
      <c r="E880" s="463" t="str">
        <f>VLOOKUP(A880,'Master List'!$A$1:$C$1192,3,FALSE)</f>
        <v>т</v>
      </c>
      <c r="F880" s="469">
        <f>F877*0.05*0.42</f>
        <v>3.21762</v>
      </c>
      <c r="G880" s="463">
        <f>VLOOKUP(A880,'Master List'!$A$4:$F3553,5,FALSE)</f>
        <v>189.1032</v>
      </c>
      <c r="H880" s="206">
        <f t="shared" si="69"/>
        <v>608.4622384</v>
      </c>
      <c r="I880" s="276"/>
    </row>
    <row r="881" outlineLevel="2">
      <c r="A881" s="422" t="str">
        <f>'Master List'!A39</f>
        <v>M-BRK-026</v>
      </c>
      <c r="B881" s="472"/>
      <c r="C881" s="198"/>
      <c r="D881" s="462" t="str">
        <f>VLOOKUP(A881,'Master List'!$A$1:$C$1192,2,FALSE)</f>
        <v>Песок</v>
      </c>
      <c r="E881" s="463" t="str">
        <f>VLOOKUP(A881,'Master List'!$A$1:$C$1192,3,FALSE)</f>
        <v>м3</v>
      </c>
      <c r="F881" s="464">
        <f>F877*0.05*1.15</f>
        <v>8.81015</v>
      </c>
      <c r="G881" s="463">
        <f>VLOOKUP(A881,'Master List'!$A$4:$F3554,5,FALSE)</f>
        <v>56.875</v>
      </c>
      <c r="H881" s="206">
        <f t="shared" si="69"/>
        <v>501.0772813</v>
      </c>
      <c r="I881" s="276"/>
    </row>
    <row r="882" outlineLevel="2">
      <c r="A882" s="422"/>
      <c r="B882" s="428"/>
      <c r="C882" s="429"/>
      <c r="D882" s="428"/>
      <c r="E882" s="431"/>
      <c r="F882" s="432"/>
      <c r="G882" s="434"/>
      <c r="H882" s="434"/>
      <c r="I882" s="240"/>
    </row>
    <row r="883" outlineLevel="2">
      <c r="A883" s="422"/>
      <c r="B883" s="472" t="s">
        <v>204</v>
      </c>
      <c r="C883" s="272">
        <v>9.3</v>
      </c>
      <c r="D883" s="268" t="s">
        <v>205</v>
      </c>
      <c r="E883" s="486" t="s">
        <v>40</v>
      </c>
      <c r="F883" s="270">
        <v>50.95</v>
      </c>
      <c r="G883" s="205"/>
      <c r="H883" s="206"/>
      <c r="I883" s="271"/>
    </row>
    <row r="884" outlineLevel="2">
      <c r="A884" s="422"/>
      <c r="B884" s="472"/>
      <c r="C884" s="489"/>
      <c r="D884" s="285"/>
      <c r="E884" s="487"/>
      <c r="F884" s="275"/>
      <c r="G884" s="239"/>
      <c r="H884" s="239"/>
      <c r="I884" s="276"/>
    </row>
    <row r="885" outlineLevel="2">
      <c r="A885" s="422" t="str">
        <f>'Master List'!A552</f>
        <v>W-FIN-022</v>
      </c>
      <c r="B885" s="472"/>
      <c r="C885" s="198"/>
      <c r="D885" s="462" t="str">
        <f>VLOOKUP(A885,'Master List'!$A$1:$C$1192,2,FALSE)</f>
        <v>Влаштування покриття з бетонних плит і блоків</v>
      </c>
      <c r="E885" s="463" t="str">
        <f>VLOOKUP(A885,'Master List'!$A$1:$C$1192,3,FALSE)</f>
        <v>м2</v>
      </c>
      <c r="F885" s="464">
        <f>F883</f>
        <v>50.95</v>
      </c>
      <c r="G885" s="463">
        <f>VLOOKUP(A885,'Master List'!$A$4:$F3558,5,FALSE)</f>
        <v>32.5</v>
      </c>
      <c r="H885" s="206">
        <f t="shared" ref="H885:H888" si="70">G885*F885</f>
        <v>1655.875</v>
      </c>
      <c r="I885" s="276"/>
    </row>
    <row r="886" outlineLevel="2">
      <c r="A886" s="422" t="str">
        <f>'Master List'!A207</f>
        <v>AC-4</v>
      </c>
      <c r="B886" s="472"/>
      <c r="C886" s="198"/>
      <c r="D886" s="462" t="str">
        <f>VLOOKUP(A886,'Master List'!$A$1:$C$1192,2,FALSE)</f>
        <v>Плити бетонні розміром 50х50х6см</v>
      </c>
      <c r="E886" s="463" t="str">
        <f>VLOOKUP(A886,'Master List'!$A$1:$C$1192,3,FALSE)</f>
        <v>м2</v>
      </c>
      <c r="F886" s="464">
        <f>F885*1.05</f>
        <v>53.4975</v>
      </c>
      <c r="G886" s="463">
        <f>VLOOKUP(A886,'Master List'!$A$4:$F3559,5,FALSE)</f>
        <v>21.58</v>
      </c>
      <c r="H886" s="206">
        <f t="shared" si="70"/>
        <v>1154.47605</v>
      </c>
      <c r="I886" s="276"/>
    </row>
    <row r="887" outlineLevel="2">
      <c r="A887" s="422" t="str">
        <f>'Master List'!A38</f>
        <v>M-BRK-025</v>
      </c>
      <c r="B887" s="472"/>
      <c r="C887" s="198"/>
      <c r="D887" s="462" t="str">
        <f>VLOOKUP(A887,'Master List'!$A$1:$C$1192,2,FALSE)</f>
        <v>Цемент</v>
      </c>
      <c r="E887" s="463" t="str">
        <f>VLOOKUP(A887,'Master List'!$A$1:$C$1192,3,FALSE)</f>
        <v>т</v>
      </c>
      <c r="F887" s="469">
        <f>F885*0.05*0.42</f>
        <v>1.06995</v>
      </c>
      <c r="G887" s="463">
        <f>VLOOKUP(A887,'Master List'!$A$4:$F3560,5,FALSE)</f>
        <v>189.1032</v>
      </c>
      <c r="H887" s="206">
        <f t="shared" si="70"/>
        <v>202.3309688</v>
      </c>
      <c r="I887" s="276"/>
    </row>
    <row r="888" outlineLevel="2">
      <c r="A888" s="422" t="str">
        <f>'Master List'!A39</f>
        <v>M-BRK-026</v>
      </c>
      <c r="B888" s="472"/>
      <c r="C888" s="198"/>
      <c r="D888" s="462" t="str">
        <f>VLOOKUP(A888,'Master List'!$A$1:$C$1192,2,FALSE)</f>
        <v>Песок</v>
      </c>
      <c r="E888" s="463" t="str">
        <f>VLOOKUP(A888,'Master List'!$A$1:$C$1192,3,FALSE)</f>
        <v>м3</v>
      </c>
      <c r="F888" s="464">
        <f>F885*0.05*1.15</f>
        <v>2.929625</v>
      </c>
      <c r="G888" s="463">
        <f>VLOOKUP(A888,'Master List'!$A$4:$F3561,5,FALSE)</f>
        <v>56.875</v>
      </c>
      <c r="H888" s="206">
        <f t="shared" si="70"/>
        <v>166.6224219</v>
      </c>
      <c r="I888" s="276"/>
    </row>
    <row r="889" outlineLevel="2">
      <c r="A889" s="422"/>
      <c r="B889" s="428"/>
      <c r="C889" s="429"/>
      <c r="D889" s="428"/>
      <c r="E889" s="431"/>
      <c r="F889" s="432"/>
      <c r="G889" s="434"/>
      <c r="H889" s="434"/>
      <c r="I889" s="240"/>
    </row>
    <row r="890" outlineLevel="2">
      <c r="A890" s="422"/>
      <c r="B890" s="472" t="s">
        <v>206</v>
      </c>
      <c r="C890" s="272">
        <v>9.4</v>
      </c>
      <c r="D890" s="273" t="s">
        <v>207</v>
      </c>
      <c r="E890" s="487"/>
      <c r="F890" s="275"/>
      <c r="G890" s="239"/>
      <c r="H890" s="239"/>
      <c r="I890" s="276"/>
    </row>
    <row r="891" outlineLevel="3">
      <c r="A891" s="422"/>
      <c r="B891" s="428"/>
      <c r="C891" s="429"/>
      <c r="D891" s="428"/>
      <c r="E891" s="431"/>
      <c r="F891" s="432"/>
      <c r="G891" s="434"/>
      <c r="H891" s="434"/>
      <c r="I891" s="240"/>
    </row>
    <row r="892" outlineLevel="3">
      <c r="A892" s="422"/>
      <c r="B892" s="472" t="s">
        <v>208</v>
      </c>
      <c r="C892" s="272" t="s">
        <v>2240</v>
      </c>
      <c r="D892" s="268" t="s">
        <v>209</v>
      </c>
      <c r="E892" s="486" t="s">
        <v>40</v>
      </c>
      <c r="F892" s="270">
        <v>1.27</v>
      </c>
      <c r="G892" s="205"/>
      <c r="H892" s="206"/>
      <c r="I892" s="271"/>
    </row>
    <row r="893" outlineLevel="3">
      <c r="A893" s="422"/>
      <c r="B893" s="472"/>
      <c r="C893" s="489"/>
      <c r="D893" s="285"/>
      <c r="E893" s="487"/>
      <c r="F893" s="275"/>
      <c r="G893" s="239"/>
      <c r="H893" s="239"/>
      <c r="I893" s="276"/>
    </row>
    <row r="894" outlineLevel="3">
      <c r="A894" s="422" t="str">
        <f>'Master List'!A553</f>
        <v>W-FIN-023</v>
      </c>
      <c r="B894" s="472"/>
      <c r="C894" s="198"/>
      <c r="D894" s="462" t="str">
        <f>VLOOKUP(A894,'Master List'!$A$1:$C$1192,2,FALSE)</f>
        <v>Встановлення бетонних плит на залізобетонні опори</v>
      </c>
      <c r="E894" s="463" t="str">
        <f>VLOOKUP(A894,'Master List'!$A$1:$C$1192,3,FALSE)</f>
        <v>шт</v>
      </c>
      <c r="F894" s="464">
        <v>3.0</v>
      </c>
      <c r="G894" s="463">
        <f>VLOOKUP(A894,'Master List'!$A$4:$F3566,5,FALSE)</f>
        <v>48.1</v>
      </c>
      <c r="H894" s="206">
        <f t="shared" ref="H894:H896" si="71">G894*F894</f>
        <v>144.3</v>
      </c>
      <c r="I894" s="276"/>
    </row>
    <row r="895" outlineLevel="3">
      <c r="A895" s="422" t="str">
        <f>'Master List'!A208</f>
        <v>AC-5</v>
      </c>
      <c r="B895" s="472"/>
      <c r="C895" s="198"/>
      <c r="D895" s="462" t="str">
        <f>VLOOKUP(A895,'Master List'!$A$1:$C$1192,2,FALSE)</f>
        <v>Плити бетонні розміром 65х65х7см</v>
      </c>
      <c r="E895" s="463" t="str">
        <f>VLOOKUP(A895,'Master List'!$A$1:$C$1192,3,FALSE)</f>
        <v>шт</v>
      </c>
      <c r="F895" s="464">
        <f>F894</f>
        <v>3</v>
      </c>
      <c r="G895" s="463">
        <f>VLOOKUP(A895,'Master List'!$A$4:$F3567,5,FALSE)</f>
        <v>0</v>
      </c>
      <c r="H895" s="206">
        <f t="shared" si="71"/>
        <v>0</v>
      </c>
      <c r="I895" s="276"/>
    </row>
    <row r="896" outlineLevel="3">
      <c r="A896" s="422" t="str">
        <f>'Master List'!A26</f>
        <v>M-CON-041</v>
      </c>
      <c r="B896" s="472"/>
      <c r="C896" s="198"/>
      <c r="D896" s="462" t="str">
        <f>VLOOKUP(A896,'Master List'!$A$1:$C$1192,2,FALSE)</f>
        <v>Залізобетонні опори під плити</v>
      </c>
      <c r="E896" s="463" t="str">
        <f>VLOOKUP(A896,'Master List'!$A$1:$C$1192,3,FALSE)</f>
        <v>шт</v>
      </c>
      <c r="F896" s="464">
        <v>4.0</v>
      </c>
      <c r="G896" s="463">
        <f>VLOOKUP(A896,'Master List'!$A$4:$F3568,5,FALSE)</f>
        <v>163.67</v>
      </c>
      <c r="H896" s="206">
        <f t="shared" si="71"/>
        <v>654.68</v>
      </c>
      <c r="I896" s="276"/>
    </row>
    <row r="897" outlineLevel="3">
      <c r="A897" s="422"/>
      <c r="B897" s="428"/>
      <c r="C897" s="429"/>
      <c r="D897" s="428"/>
      <c r="E897" s="431"/>
      <c r="F897" s="432"/>
      <c r="G897" s="434"/>
      <c r="H897" s="434"/>
      <c r="I897" s="240"/>
    </row>
    <row r="898" outlineLevel="3">
      <c r="A898" s="422"/>
      <c r="B898" s="472" t="s">
        <v>210</v>
      </c>
      <c r="C898" s="272" t="s">
        <v>2242</v>
      </c>
      <c r="D898" s="268" t="s">
        <v>211</v>
      </c>
      <c r="E898" s="486" t="s">
        <v>40</v>
      </c>
      <c r="F898" s="270">
        <v>5.38</v>
      </c>
      <c r="G898" s="205"/>
      <c r="H898" s="206"/>
      <c r="I898" s="271"/>
    </row>
    <row r="899" outlineLevel="3">
      <c r="A899" s="422"/>
      <c r="B899" s="472"/>
      <c r="C899" s="489"/>
      <c r="D899" s="285"/>
      <c r="E899" s="487"/>
      <c r="F899" s="275"/>
      <c r="G899" s="239"/>
      <c r="H899" s="239"/>
      <c r="I899" s="276"/>
    </row>
    <row r="900" outlineLevel="3">
      <c r="A900" s="422" t="str">
        <f>'Master List'!A553</f>
        <v>W-FIN-023</v>
      </c>
      <c r="B900" s="472"/>
      <c r="C900" s="198"/>
      <c r="D900" s="462" t="str">
        <f>VLOOKUP(A900,'Master List'!$A$1:$C$1192,2,FALSE)</f>
        <v>Встановлення бетонних плит на залізобетонні опори</v>
      </c>
      <c r="E900" s="463" t="str">
        <f>VLOOKUP(A900,'Master List'!$A$1:$C$1192,3,FALSE)</f>
        <v>шт</v>
      </c>
      <c r="F900" s="464">
        <v>13.0</v>
      </c>
      <c r="G900" s="463">
        <f>VLOOKUP(A900,'Master List'!$A$4:$F3572,5,FALSE)</f>
        <v>48.1</v>
      </c>
      <c r="H900" s="206">
        <f t="shared" ref="H900:H903" si="72">G900*F900</f>
        <v>625.3</v>
      </c>
      <c r="I900" s="276"/>
    </row>
    <row r="901" outlineLevel="3">
      <c r="A901" s="422" t="str">
        <f>'Master List'!A209</f>
        <v>AC-6</v>
      </c>
      <c r="B901" s="472"/>
      <c r="C901" s="198"/>
      <c r="D901" s="462" t="str">
        <f>VLOOKUP(A901,'Master List'!$A$1:$C$1192,2,FALSE)</f>
        <v>Плити бетонні розміром 125х50х5см</v>
      </c>
      <c r="E901" s="463" t="str">
        <f>VLOOKUP(A901,'Master List'!$A$1:$C$1192,3,FALSE)</f>
        <v>шт</v>
      </c>
      <c r="F901" s="464">
        <v>2.0</v>
      </c>
      <c r="G901" s="463">
        <f>VLOOKUP(A901,'Master List'!$A$4:$F3573,5,FALSE)</f>
        <v>0</v>
      </c>
      <c r="H901" s="206">
        <f t="shared" si="72"/>
        <v>0</v>
      </c>
      <c r="I901" s="276"/>
    </row>
    <row r="902" outlineLevel="3">
      <c r="A902" s="422" t="str">
        <f>'Master List'!A210</f>
        <v>AC-7</v>
      </c>
      <c r="B902" s="472"/>
      <c r="C902" s="198"/>
      <c r="D902" s="462" t="str">
        <f>VLOOKUP(A902,'Master List'!$A$1:$C$1192,2,FALSE)</f>
        <v>Плити бетонні розміром 125х30х5см</v>
      </c>
      <c r="E902" s="463" t="str">
        <f>VLOOKUP(A902,'Master List'!$A$1:$C$1192,3,FALSE)</f>
        <v>шт</v>
      </c>
      <c r="F902" s="464">
        <v>11.0</v>
      </c>
      <c r="G902" s="463">
        <f>VLOOKUP(A902,'Master List'!$A$4:$F3574,5,FALSE)</f>
        <v>0</v>
      </c>
      <c r="H902" s="206">
        <f t="shared" si="72"/>
        <v>0</v>
      </c>
      <c r="I902" s="276"/>
    </row>
    <row r="903" outlineLevel="3">
      <c r="A903" s="422" t="str">
        <f>'Master List'!A26</f>
        <v>M-CON-041</v>
      </c>
      <c r="B903" s="472"/>
      <c r="C903" s="198"/>
      <c r="D903" s="462" t="str">
        <f>VLOOKUP(A903,'Master List'!$A$1:$C$1192,2,FALSE)</f>
        <v>Залізобетонні опори під плити</v>
      </c>
      <c r="E903" s="463" t="str">
        <f>VLOOKUP(A903,'Master List'!$A$1:$C$1192,3,FALSE)</f>
        <v>шт</v>
      </c>
      <c r="F903" s="464">
        <v>14.0</v>
      </c>
      <c r="G903" s="463">
        <f>VLOOKUP(A903,'Master List'!$A$4:$F3575,5,FALSE)</f>
        <v>163.67</v>
      </c>
      <c r="H903" s="206">
        <f t="shared" si="72"/>
        <v>2291.38</v>
      </c>
      <c r="I903" s="276"/>
    </row>
    <row r="904" outlineLevel="3">
      <c r="A904" s="422"/>
      <c r="B904" s="428"/>
      <c r="C904" s="429"/>
      <c r="D904" s="428"/>
      <c r="E904" s="431"/>
      <c r="F904" s="432"/>
      <c r="G904" s="434"/>
      <c r="H904" s="434"/>
      <c r="I904" s="240"/>
    </row>
    <row r="905" outlineLevel="3">
      <c r="A905" s="422"/>
      <c r="B905" s="472" t="s">
        <v>212</v>
      </c>
      <c r="C905" s="272" t="s">
        <v>2244</v>
      </c>
      <c r="D905" s="268" t="s">
        <v>213</v>
      </c>
      <c r="E905" s="486" t="s">
        <v>40</v>
      </c>
      <c r="F905" s="270">
        <v>5.54</v>
      </c>
      <c r="G905" s="205"/>
      <c r="H905" s="206"/>
      <c r="I905" s="271"/>
    </row>
    <row r="906" outlineLevel="3">
      <c r="A906" s="422"/>
      <c r="B906" s="472"/>
      <c r="C906" s="489"/>
      <c r="D906" s="285"/>
      <c r="E906" s="487"/>
      <c r="F906" s="275"/>
      <c r="G906" s="239"/>
      <c r="H906" s="239"/>
      <c r="I906" s="276"/>
    </row>
    <row r="907" outlineLevel="3">
      <c r="A907" s="422" t="str">
        <f>'Master List'!A494</f>
        <v>W-CON-001</v>
      </c>
      <c r="B907" s="472"/>
      <c r="C907" s="198"/>
      <c r="D907" s="462" t="str">
        <f>VLOOKUP(A907,'Master List'!$A$1:$C$1192,2,FALSE)</f>
        <v>Устройство щебеночного основания</v>
      </c>
      <c r="E907" s="463" t="str">
        <f>VLOOKUP(A907,'Master List'!$A$1:$C$1192,3,FALSE)</f>
        <v>м3</v>
      </c>
      <c r="F907" s="464">
        <f>F905*0.15</f>
        <v>0.831</v>
      </c>
      <c r="G907" s="463">
        <f>VLOOKUP(A907,'Master List'!$A$4:$F3579,5,FALSE)</f>
        <v>7.15</v>
      </c>
      <c r="H907" s="206">
        <f t="shared" ref="H907:H910" si="73">G907*F907</f>
        <v>5.94165</v>
      </c>
      <c r="I907" s="276"/>
    </row>
    <row r="908" outlineLevel="3">
      <c r="A908" s="422" t="str">
        <f>'Master List'!A554</f>
        <v>W-FIN-024</v>
      </c>
      <c r="B908" s="472"/>
      <c r="C908" s="198"/>
      <c r="D908" s="462" t="str">
        <f>VLOOKUP(A908,'Master List'!$A$1:$C$1192,2,FALSE)</f>
        <v>Встановлення бетонних плит розміром 205х30см</v>
      </c>
      <c r="E908" s="463" t="str">
        <f>VLOOKUP(A908,'Master List'!$A$1:$C$1192,3,FALSE)</f>
        <v>шт</v>
      </c>
      <c r="F908" s="464">
        <v>9.0</v>
      </c>
      <c r="G908" s="463">
        <f>VLOOKUP(A908,'Master List'!$A$4:$F3580,5,FALSE)</f>
        <v>37.7</v>
      </c>
      <c r="H908" s="206">
        <f t="shared" si="73"/>
        <v>339.3</v>
      </c>
      <c r="I908" s="276"/>
    </row>
    <row r="909" outlineLevel="3">
      <c r="A909" s="422" t="str">
        <f>'Master List'!A211</f>
        <v>AC-11</v>
      </c>
      <c r="B909" s="472"/>
      <c r="C909" s="198"/>
      <c r="D909" s="462" t="str">
        <f>VLOOKUP(A909,'Master List'!$A$1:$C$1192,2,FALSE)</f>
        <v>Плити бетонні розміром 205х30х10см</v>
      </c>
      <c r="E909" s="463" t="str">
        <f>VLOOKUP(A909,'Master List'!$A$1:$C$1192,3,FALSE)</f>
        <v>шт</v>
      </c>
      <c r="F909" s="464">
        <f>F908</f>
        <v>9</v>
      </c>
      <c r="G909" s="463">
        <f>VLOOKUP(A909,'Master List'!$A$4:$F3580,5,FALSE)</f>
        <v>0</v>
      </c>
      <c r="H909" s="206">
        <f t="shared" si="73"/>
        <v>0</v>
      </c>
      <c r="I909" s="276"/>
    </row>
    <row r="910" outlineLevel="3">
      <c r="A910" s="422" t="str">
        <f>'Master List'!A60</f>
        <v>M-IMP-020</v>
      </c>
      <c r="B910" s="428"/>
      <c r="C910" s="198"/>
      <c r="D910" s="462" t="str">
        <f>VLOOKUP(A910,'Master List'!$A$1:$C$1192,2,FALSE)</f>
        <v>Гравій №2</v>
      </c>
      <c r="E910" s="463" t="str">
        <f>VLOOKUP(A910,'Master List'!$A$1:$C$1192,3,FALSE)</f>
        <v>м3</v>
      </c>
      <c r="F910" s="464">
        <f>F907*1.15</f>
        <v>0.95565</v>
      </c>
      <c r="G910" s="463">
        <f>VLOOKUP(A910,'Master List'!$A$4:$F3581,5,FALSE)</f>
        <v>31.07</v>
      </c>
      <c r="H910" s="206">
        <f t="shared" si="73"/>
        <v>29.6920455</v>
      </c>
      <c r="I910" s="240"/>
    </row>
    <row r="911" outlineLevel="2">
      <c r="A911" s="422"/>
      <c r="B911" s="428"/>
      <c r="C911" s="429"/>
      <c r="D911" s="428"/>
      <c r="E911" s="431"/>
      <c r="F911" s="432"/>
      <c r="G911" s="434"/>
      <c r="H911" s="434"/>
      <c r="I911" s="240"/>
    </row>
    <row r="912" outlineLevel="2">
      <c r="A912" s="422"/>
      <c r="B912" s="472" t="s">
        <v>214</v>
      </c>
      <c r="C912" s="272">
        <v>9.5</v>
      </c>
      <c r="D912" s="268" t="s">
        <v>215</v>
      </c>
      <c r="E912" s="486" t="s">
        <v>40</v>
      </c>
      <c r="F912" s="270">
        <v>116.49</v>
      </c>
      <c r="G912" s="205"/>
      <c r="H912" s="206"/>
      <c r="I912" s="271"/>
    </row>
    <row r="913" outlineLevel="2">
      <c r="A913" s="422"/>
      <c r="B913" s="472"/>
      <c r="C913" s="489"/>
      <c r="D913" s="285"/>
      <c r="E913" s="487"/>
      <c r="F913" s="275"/>
      <c r="G913" s="239"/>
      <c r="H913" s="239"/>
      <c r="I913" s="276"/>
    </row>
    <row r="914" outlineLevel="2">
      <c r="A914" s="422" t="str">
        <f>'Master List'!A494</f>
        <v>W-CON-001</v>
      </c>
      <c r="B914" s="472"/>
      <c r="C914" s="198"/>
      <c r="D914" s="462" t="str">
        <f>VLOOKUP(A914,'Master List'!$A$1:$C$1192,2,FALSE)</f>
        <v>Устройство щебеночного основания</v>
      </c>
      <c r="E914" s="463" t="str">
        <f>VLOOKUP(A914,'Master List'!$A$1:$C$1192,3,FALSE)</f>
        <v>м3</v>
      </c>
      <c r="F914" s="464">
        <f>F912*0.15</f>
        <v>17.4735</v>
      </c>
      <c r="G914" s="463">
        <f>VLOOKUP(A914,'Master List'!$A$4:$F3585,5,FALSE)</f>
        <v>7.15</v>
      </c>
      <c r="H914" s="206">
        <f t="shared" ref="H914:H919" si="74">G914*F914</f>
        <v>124.935525</v>
      </c>
      <c r="I914" s="276"/>
    </row>
    <row r="915" outlineLevel="2">
      <c r="A915" s="422" t="str">
        <f>'Master List'!A552</f>
        <v>W-FIN-022</v>
      </c>
      <c r="B915" s="472"/>
      <c r="C915" s="198"/>
      <c r="D915" s="462" t="str">
        <f>VLOOKUP(A915,'Master List'!$A$1:$C$1192,2,FALSE)</f>
        <v>Влаштування покриття з бетонних плит і блоків</v>
      </c>
      <c r="E915" s="463" t="str">
        <f>VLOOKUP(A915,'Master List'!$A$1:$C$1192,3,FALSE)</f>
        <v>м2</v>
      </c>
      <c r="F915" s="464">
        <f>F912</f>
        <v>116.49</v>
      </c>
      <c r="G915" s="463">
        <f>VLOOKUP(A915,'Master List'!$A$4:$F3586,5,FALSE)</f>
        <v>32.5</v>
      </c>
      <c r="H915" s="206">
        <f t="shared" si="74"/>
        <v>3785.925</v>
      </c>
      <c r="I915" s="276"/>
    </row>
    <row r="916" outlineLevel="2">
      <c r="A916" s="422" t="str">
        <f>'Master List'!A59</f>
        <v>M-IMP-015</v>
      </c>
      <c r="B916" s="472"/>
      <c r="C916" s="198"/>
      <c r="D916" s="462" t="str">
        <f>VLOOKUP(A916,'Master List'!$A$1:$C$1192,2,FALSE)</f>
        <v>Щебень №2</v>
      </c>
      <c r="E916" s="463" t="str">
        <f>VLOOKUP(A916,'Master List'!$A$1:$C$1192,3,FALSE)</f>
        <v>м3</v>
      </c>
      <c r="F916" s="464">
        <f>F914*1.15</f>
        <v>20.094525</v>
      </c>
      <c r="G916" s="463">
        <f>VLOOKUP(A916,'Master List'!$A$4:$F3585,5,FALSE)</f>
        <v>31.07</v>
      </c>
      <c r="H916" s="206">
        <f t="shared" si="74"/>
        <v>624.3368918</v>
      </c>
      <c r="I916" s="276"/>
    </row>
    <row r="917" outlineLevel="2">
      <c r="A917" s="422" t="str">
        <f>'Master List'!A212</f>
        <v>AC-12</v>
      </c>
      <c r="B917" s="472"/>
      <c r="C917" s="198"/>
      <c r="D917" s="462" t="str">
        <f>VLOOKUP(A917,'Master List'!$A$1:$C$1192,2,FALSE)</f>
        <v>Блоки бетонні для покриття підлоги</v>
      </c>
      <c r="E917" s="463" t="str">
        <f>VLOOKUP(A917,'Master List'!$A$1:$C$1192,3,FALSE)</f>
        <v>м2</v>
      </c>
      <c r="F917" s="464">
        <f>F915*1.05</f>
        <v>122.3145</v>
      </c>
      <c r="G917" s="463">
        <f>VLOOKUP(A917,'Master List'!$A$4:$F3586,5,FALSE)</f>
        <v>0</v>
      </c>
      <c r="H917" s="206">
        <f t="shared" si="74"/>
        <v>0</v>
      </c>
      <c r="I917" s="276"/>
    </row>
    <row r="918" outlineLevel="2">
      <c r="A918" s="422" t="str">
        <f>'Master List'!A38</f>
        <v>M-BRK-025</v>
      </c>
      <c r="B918" s="472"/>
      <c r="C918" s="198"/>
      <c r="D918" s="462" t="str">
        <f>VLOOKUP(A918,'Master List'!$A$1:$C$1192,2,FALSE)</f>
        <v>Цемент</v>
      </c>
      <c r="E918" s="463" t="str">
        <f>VLOOKUP(A918,'Master List'!$A$1:$C$1192,3,FALSE)</f>
        <v>т</v>
      </c>
      <c r="F918" s="469">
        <f>F915*0.05*0.42</f>
        <v>2.44629</v>
      </c>
      <c r="G918" s="463">
        <f>VLOOKUP(A918,'Master List'!$A$4:$F3587,5,FALSE)</f>
        <v>189.1032</v>
      </c>
      <c r="H918" s="206">
        <f t="shared" si="74"/>
        <v>462.6012671</v>
      </c>
      <c r="I918" s="276"/>
    </row>
    <row r="919" outlineLevel="2">
      <c r="A919" s="422" t="str">
        <f>'Master List'!A39</f>
        <v>M-BRK-026</v>
      </c>
      <c r="B919" s="472"/>
      <c r="C919" s="198"/>
      <c r="D919" s="462" t="str">
        <f>VLOOKUP(A919,'Master List'!$A$1:$C$1192,2,FALSE)</f>
        <v>Песок</v>
      </c>
      <c r="E919" s="463" t="str">
        <f>VLOOKUP(A919,'Master List'!$A$1:$C$1192,3,FALSE)</f>
        <v>м3</v>
      </c>
      <c r="F919" s="464">
        <f>F915*0.05*1.15</f>
        <v>6.698175</v>
      </c>
      <c r="G919" s="463">
        <f>VLOOKUP(A919,'Master List'!$A$4:$F3588,5,FALSE)</f>
        <v>56.875</v>
      </c>
      <c r="H919" s="206">
        <f t="shared" si="74"/>
        <v>380.9587031</v>
      </c>
      <c r="I919" s="276"/>
    </row>
    <row r="920" outlineLevel="2">
      <c r="A920" s="422"/>
      <c r="B920" s="428"/>
      <c r="C920" s="429"/>
      <c r="D920" s="428"/>
      <c r="E920" s="431"/>
      <c r="F920" s="432"/>
      <c r="G920" s="434"/>
      <c r="H920" s="434"/>
      <c r="I920" s="240"/>
    </row>
    <row r="921" outlineLevel="2">
      <c r="A921" s="422"/>
      <c r="B921" s="472" t="s">
        <v>216</v>
      </c>
      <c r="C921" s="272">
        <v>9.6</v>
      </c>
      <c r="D921" s="268" t="s">
        <v>217</v>
      </c>
      <c r="E921" s="490" t="s">
        <v>40</v>
      </c>
      <c r="F921" s="270">
        <v>50.0</v>
      </c>
      <c r="G921" s="205"/>
      <c r="H921" s="206"/>
      <c r="I921" s="271" t="s">
        <v>5601</v>
      </c>
    </row>
    <row r="922" outlineLevel="2">
      <c r="A922" s="422"/>
      <c r="B922" s="472"/>
      <c r="C922" s="472"/>
      <c r="D922" s="472"/>
      <c r="E922" s="472"/>
      <c r="F922" s="472"/>
      <c r="G922" s="472"/>
      <c r="H922" s="472"/>
      <c r="I922" s="472"/>
      <c r="J922" s="89"/>
    </row>
    <row r="923" outlineLevel="2">
      <c r="A923" s="422" t="str">
        <f>'Master List'!A574</f>
        <v>W-FIN-052</v>
      </c>
      <c r="B923" s="472"/>
      <c r="C923" s="198"/>
      <c r="D923" s="462" t="str">
        <f>VLOOKUP(A923,'Master List'!$A$1:$C$1192,2,FALSE)</f>
        <v>Устройство чистовой стяжки толщиной 50 мм</v>
      </c>
      <c r="E923" s="463" t="str">
        <f>VLOOKUP(A923,'Master List'!$A$1:$C$1192,3,FALSE)</f>
        <v>м2</v>
      </c>
      <c r="F923" s="464">
        <f>F921</f>
        <v>50</v>
      </c>
      <c r="G923" s="463">
        <f>VLOOKUP(A923,'Master List'!$A$4:$F3592,5,FALSE)</f>
        <v>10.4</v>
      </c>
      <c r="H923" s="206">
        <f t="shared" ref="H923:H928" si="75">G923*F923</f>
        <v>520</v>
      </c>
      <c r="I923" s="472"/>
      <c r="J923" s="89"/>
    </row>
    <row r="924" outlineLevel="2">
      <c r="A924" s="422" t="str">
        <f>'Master List'!A555</f>
        <v>W-FIN-025</v>
      </c>
      <c r="B924" s="472"/>
      <c r="C924" s="198"/>
      <c r="D924" s="462" t="str">
        <f>VLOOKUP(A924,'Master List'!$A$1:$C$1192,2,FALSE)</f>
        <v>Устройство покрытия из сосновых досок</v>
      </c>
      <c r="E924" s="463" t="str">
        <f>VLOOKUP(A924,'Master List'!$A$1:$C$1192,3,FALSE)</f>
        <v>м2</v>
      </c>
      <c r="F924" s="464">
        <f>F921</f>
        <v>50</v>
      </c>
      <c r="G924" s="463">
        <f>VLOOKUP(A924,'Master List'!$A$4:$F3593,5,FALSE)</f>
        <v>40.3</v>
      </c>
      <c r="H924" s="206">
        <f t="shared" si="75"/>
        <v>2015</v>
      </c>
      <c r="I924" s="472"/>
      <c r="J924" s="89"/>
    </row>
    <row r="925" outlineLevel="2">
      <c r="A925" s="422" t="str">
        <f>'Master List'!A213</f>
        <v>AC-14</v>
      </c>
      <c r="B925" s="472"/>
      <c r="C925" s="198"/>
      <c r="D925" s="462" t="str">
        <f>VLOOKUP(A925,'Master List'!$A$1:$C$1192,2,FALSE)</f>
        <v>Соснові дошки для тераси</v>
      </c>
      <c r="E925" s="463" t="str">
        <f>VLOOKUP(A925,'Master List'!$A$1:$C$1192,3,FALSE)</f>
        <v>м2</v>
      </c>
      <c r="F925" s="464">
        <f>F924*1.05</f>
        <v>52.5</v>
      </c>
      <c r="G925" s="463">
        <f>VLOOKUP(A925,'Master List'!$A$4:$F3594,5,FALSE)</f>
        <v>0</v>
      </c>
      <c r="H925" s="206">
        <f t="shared" si="75"/>
        <v>0</v>
      </c>
      <c r="I925" s="472"/>
      <c r="J925" s="89"/>
    </row>
    <row r="926" outlineLevel="2">
      <c r="A926" s="422" t="str">
        <f>'Master List'!A214</f>
        <v>AC-15</v>
      </c>
      <c r="B926" s="472"/>
      <c r="C926" s="198"/>
      <c r="D926" s="462" t="str">
        <f>VLOOKUP(A926,'Master List'!$A$1:$C$1192,2,FALSE)</f>
        <v>Рейки для крепления сосновой доски</v>
      </c>
      <c r="E926" s="463" t="str">
        <f>VLOOKUP(A926,'Master List'!$A$1:$C$1192,3,FALSE)</f>
        <v>м</v>
      </c>
      <c r="F926" s="464">
        <f>F924*2</f>
        <v>100</v>
      </c>
      <c r="G926" s="463">
        <f>VLOOKUP(A926,'Master List'!$A$4:$F3595,5,FALSE)</f>
        <v>0</v>
      </c>
      <c r="H926" s="206">
        <f t="shared" si="75"/>
        <v>0</v>
      </c>
      <c r="I926" s="472"/>
      <c r="J926" s="89"/>
    </row>
    <row r="927" outlineLevel="2">
      <c r="A927" s="422" t="str">
        <f>'Master List'!A215</f>
        <v>AC-16</v>
      </c>
      <c r="B927" s="472"/>
      <c r="C927" s="198"/>
      <c r="D927" s="462" t="str">
        <f>VLOOKUP(A927,'Master List'!$A$1:$C$1192,2,FALSE)</f>
        <v>Клипсы для крепления сосновой доски</v>
      </c>
      <c r="E927" s="463" t="str">
        <f>VLOOKUP(A927,'Master List'!$A$1:$C$1192,3,FALSE)</f>
        <v>шт</v>
      </c>
      <c r="F927" s="464">
        <f>F924*8</f>
        <v>400</v>
      </c>
      <c r="G927" s="463">
        <f>VLOOKUP(A927,'Master List'!$A$4:$F3596,5,FALSE)</f>
        <v>0</v>
      </c>
      <c r="H927" s="206">
        <f t="shared" si="75"/>
        <v>0</v>
      </c>
      <c r="I927" s="472"/>
      <c r="J927" s="89"/>
    </row>
    <row r="928" outlineLevel="2">
      <c r="A928" s="422" t="str">
        <f>'Master List'!A216</f>
        <v>AC-17</v>
      </c>
      <c r="B928" s="472"/>
      <c r="C928" s="198"/>
      <c r="D928" s="462" t="str">
        <f>VLOOKUP(A928,'Master List'!$A$1:$C$1192,2,FALSE)</f>
        <v>Шурупы для крепления сосновой доски</v>
      </c>
      <c r="E928" s="463" t="str">
        <f>VLOOKUP(A928,'Master List'!$A$1:$C$1192,3,FALSE)</f>
        <v>шт</v>
      </c>
      <c r="F928" s="464">
        <f>F924*8</f>
        <v>400</v>
      </c>
      <c r="G928" s="463">
        <f>VLOOKUP(A928,'Master List'!$A$4:$F3597,5,FALSE)</f>
        <v>0</v>
      </c>
      <c r="H928" s="206">
        <f t="shared" si="75"/>
        <v>0</v>
      </c>
      <c r="I928" s="472"/>
      <c r="J928" s="89"/>
    </row>
    <row r="929" outlineLevel="2">
      <c r="A929" s="422"/>
      <c r="B929" s="428"/>
      <c r="C929" s="429"/>
      <c r="D929" s="428"/>
      <c r="E929" s="431"/>
      <c r="F929" s="432"/>
      <c r="G929" s="434"/>
      <c r="H929" s="434"/>
      <c r="I929" s="240"/>
    </row>
    <row r="930" outlineLevel="2">
      <c r="A930" s="422"/>
      <c r="B930" s="472" t="s">
        <v>218</v>
      </c>
      <c r="C930" s="272">
        <v>9.7</v>
      </c>
      <c r="D930" s="268" t="s">
        <v>219</v>
      </c>
      <c r="E930" s="486" t="s">
        <v>40</v>
      </c>
      <c r="F930" s="270">
        <v>5.75</v>
      </c>
      <c r="G930" s="205"/>
      <c r="H930" s="206"/>
      <c r="I930" s="271"/>
    </row>
    <row r="931" outlineLevel="2">
      <c r="A931" s="422"/>
      <c r="B931" s="472"/>
      <c r="C931" s="489"/>
      <c r="D931" s="285"/>
      <c r="E931" s="487"/>
      <c r="F931" s="275"/>
      <c r="G931" s="239"/>
      <c r="H931" s="239"/>
      <c r="I931" s="276"/>
    </row>
    <row r="932" outlineLevel="2">
      <c r="A932" s="422" t="str">
        <f>'Master List'!A556</f>
        <v>W-FIN-026</v>
      </c>
      <c r="B932" s="472"/>
      <c r="C932" s="198"/>
      <c r="D932" s="462" t="str">
        <f>VLOOKUP(A932,'Master List'!$A$1:$C$1192,2,FALSE)</f>
        <v>Влаштування покриття з гравію товщиною 10см</v>
      </c>
      <c r="E932" s="463" t="str">
        <f>VLOOKUP(A932,'Master List'!$A$1:$C$1192,3,FALSE)</f>
        <v>м2</v>
      </c>
      <c r="F932" s="464">
        <f>F930</f>
        <v>5.75</v>
      </c>
      <c r="G932" s="463">
        <f>VLOOKUP(A932,'Master List'!$A$4:$F3600,5,FALSE)</f>
        <v>11.05</v>
      </c>
      <c r="H932" s="206">
        <f t="shared" ref="H932:H933" si="76">G932*F932</f>
        <v>63.5375</v>
      </c>
      <c r="I932" s="276"/>
    </row>
    <row r="933" outlineLevel="2">
      <c r="A933" s="422" t="str">
        <f>'Master List'!A60</f>
        <v>M-IMP-020</v>
      </c>
      <c r="B933" s="472"/>
      <c r="C933" s="198"/>
      <c r="D933" s="462" t="str">
        <f>VLOOKUP(A933,'Master List'!$A$1:$C$1192,2,FALSE)</f>
        <v>Гравій №2</v>
      </c>
      <c r="E933" s="463" t="str">
        <f>VLOOKUP(A933,'Master List'!$A$1:$C$1192,3,FALSE)</f>
        <v>м3</v>
      </c>
      <c r="F933" s="464">
        <f>F932*0.1*1.15</f>
        <v>0.66125</v>
      </c>
      <c r="G933" s="463">
        <f>VLOOKUP(A933,'Master List'!$A$4:$F3601,5,FALSE)</f>
        <v>31.07</v>
      </c>
      <c r="H933" s="206">
        <f t="shared" si="76"/>
        <v>20.5450375</v>
      </c>
      <c r="I933" s="276"/>
    </row>
    <row r="934" outlineLevel="2">
      <c r="A934" s="422"/>
      <c r="B934" s="428"/>
      <c r="C934" s="429"/>
      <c r="D934" s="428"/>
      <c r="E934" s="431"/>
      <c r="F934" s="432"/>
      <c r="G934" s="434"/>
      <c r="H934" s="434"/>
      <c r="I934" s="240"/>
    </row>
    <row r="935" outlineLevel="2">
      <c r="A935" s="422"/>
      <c r="B935" s="472" t="s">
        <v>220</v>
      </c>
      <c r="C935" s="272">
        <v>9.8</v>
      </c>
      <c r="D935" s="268" t="s">
        <v>221</v>
      </c>
      <c r="E935" s="486" t="s">
        <v>40</v>
      </c>
      <c r="F935" s="270">
        <v>17.54</v>
      </c>
      <c r="G935" s="205"/>
      <c r="H935" s="206"/>
      <c r="I935" s="271"/>
    </row>
    <row r="936" outlineLevel="2">
      <c r="A936" s="422"/>
      <c r="B936" s="472"/>
      <c r="C936" s="489"/>
      <c r="D936" s="285"/>
      <c r="E936" s="487"/>
      <c r="F936" s="275"/>
      <c r="G936" s="239"/>
      <c r="H936" s="239"/>
      <c r="I936" s="276"/>
    </row>
    <row r="937" outlineLevel="2">
      <c r="A937" s="422" t="str">
        <f>'Master List'!A557</f>
        <v>W-FIN-027</v>
      </c>
      <c r="B937" s="472"/>
      <c r="C937" s="198"/>
      <c r="D937" s="462" t="str">
        <f>VLOOKUP(A937,'Master List'!$A$1:$C$1192,2,FALSE)</f>
        <v>Влаштування покриття з соснової кори</v>
      </c>
      <c r="E937" s="463" t="str">
        <f>VLOOKUP(A937,'Master List'!$A$1:$C$1192,3,FALSE)</f>
        <v>м2</v>
      </c>
      <c r="F937" s="464">
        <f>F935</f>
        <v>17.54</v>
      </c>
      <c r="G937" s="463">
        <f>VLOOKUP(A937,'Master List'!$A$4:$F3607,5,FALSE)</f>
        <v>8.06</v>
      </c>
      <c r="H937" s="206">
        <f t="shared" ref="H937:H938" si="77">G937*F937</f>
        <v>141.3724</v>
      </c>
      <c r="I937" s="276"/>
    </row>
    <row r="938" outlineLevel="2">
      <c r="A938" s="422" t="str">
        <f>'Master List'!A61</f>
        <v>M-IMP-021</v>
      </c>
      <c r="B938" s="472"/>
      <c r="C938" s="198"/>
      <c r="D938" s="462" t="str">
        <f>VLOOKUP(A938,'Master List'!$A$1:$C$1192,2,FALSE)</f>
        <v>Соснова кора</v>
      </c>
      <c r="E938" s="463" t="str">
        <f>VLOOKUP(A938,'Master List'!$A$1:$C$1192,3,FALSE)</f>
        <v>м3</v>
      </c>
      <c r="F938" s="464">
        <f>F937*0.1*1.05</f>
        <v>1.8417</v>
      </c>
      <c r="G938" s="463">
        <f>VLOOKUP(A938,'Master List'!$A$4:$F3608,5,FALSE)</f>
        <v>304.07</v>
      </c>
      <c r="H938" s="206">
        <f t="shared" si="77"/>
        <v>560.005719</v>
      </c>
      <c r="I938" s="276"/>
    </row>
    <row r="939" outlineLevel="2">
      <c r="A939" s="422"/>
      <c r="B939" s="428"/>
      <c r="C939" s="429"/>
      <c r="D939" s="428"/>
      <c r="E939" s="431"/>
      <c r="F939" s="432"/>
      <c r="G939" s="434"/>
      <c r="H939" s="434"/>
      <c r="I939" s="240"/>
    </row>
    <row r="940" outlineLevel="2">
      <c r="A940" s="422"/>
      <c r="B940" s="491" t="s">
        <v>222</v>
      </c>
      <c r="C940" s="272">
        <v>9.9</v>
      </c>
      <c r="D940" s="268" t="s">
        <v>223</v>
      </c>
      <c r="E940" s="486" t="s">
        <v>40</v>
      </c>
      <c r="F940" s="270">
        <v>200.6</v>
      </c>
      <c r="G940" s="205"/>
      <c r="H940" s="206"/>
      <c r="I940" s="271" t="s">
        <v>5602</v>
      </c>
    </row>
    <row r="941" outlineLevel="2">
      <c r="A941" s="422"/>
      <c r="B941" s="491"/>
      <c r="C941" s="489"/>
      <c r="D941" s="489"/>
      <c r="E941" s="489"/>
      <c r="F941" s="489"/>
      <c r="G941" s="489"/>
      <c r="H941" s="489"/>
      <c r="I941" s="276"/>
    </row>
    <row r="942" outlineLevel="2">
      <c r="A942" s="422" t="str">
        <f>'Master List'!A561</f>
        <v>W-FIN-030</v>
      </c>
      <c r="B942" s="491"/>
      <c r="C942" s="198"/>
      <c r="D942" s="462" t="str">
        <f>VLOOKUP(A942,'Master List'!$A$1:$C$1192,2,FALSE)</f>
        <v>Оштукатуривание стен толщиной 2см</v>
      </c>
      <c r="E942" s="463" t="str">
        <f>VLOOKUP(A942,'Master List'!$A$1:$C$1192,3,FALSE)</f>
        <v>м2</v>
      </c>
      <c r="F942" s="464">
        <v>96.6</v>
      </c>
      <c r="G942" s="463">
        <f>VLOOKUP(A942,'Master List'!$A$4:$F3614,5,FALSE)</f>
        <v>15.73</v>
      </c>
      <c r="H942" s="206">
        <f t="shared" ref="H942:H951" si="78">G942*F942</f>
        <v>1519.518</v>
      </c>
      <c r="I942" s="276"/>
    </row>
    <row r="943" outlineLevel="2">
      <c r="A943" s="422" t="str">
        <f>'Master List'!A574</f>
        <v>W-FIN-052</v>
      </c>
      <c r="B943" s="491"/>
      <c r="C943" s="198"/>
      <c r="D943" s="462" t="str">
        <f>VLOOKUP(A943,'Master List'!$A$1:$C$1192,2,FALSE)</f>
        <v>Устройство чистовой стяжки толщиной 50 мм</v>
      </c>
      <c r="E943" s="463" t="str">
        <f>VLOOKUP(A943,'Master List'!$A$1:$C$1192,3,FALSE)</f>
        <v>м2</v>
      </c>
      <c r="F943" s="464">
        <v>104.0</v>
      </c>
      <c r="G943" s="463">
        <f>VLOOKUP(A943,'Master List'!$A$4:$F3615,5,FALSE)</f>
        <v>10.4</v>
      </c>
      <c r="H943" s="206">
        <f t="shared" si="78"/>
        <v>1081.6</v>
      </c>
      <c r="I943" s="276"/>
    </row>
    <row r="944" outlineLevel="2">
      <c r="A944" s="422" t="str">
        <f>'Master List'!A549</f>
        <v>W-FIN-015</v>
      </c>
      <c r="B944" s="491"/>
      <c r="C944" s="198"/>
      <c r="D944" s="462" t="str">
        <f>VLOOKUP(A944,'Master List'!$A$1:$C$1192,2,FALSE)</f>
        <v>Облицовка чаши бассейна мозаикой размером 30х30см</v>
      </c>
      <c r="E944" s="463" t="str">
        <f>VLOOKUP(A944,'Master List'!$A$1:$C$1192,3,FALSE)</f>
        <v>м2</v>
      </c>
      <c r="F944" s="464">
        <f>F940</f>
        <v>200.6</v>
      </c>
      <c r="G944" s="463">
        <f>VLOOKUP(A944,'Master List'!$A$4:$F3616,5,FALSE)</f>
        <v>32.5</v>
      </c>
      <c r="H944" s="206">
        <f t="shared" si="78"/>
        <v>6519.5</v>
      </c>
      <c r="I944" s="276"/>
    </row>
    <row r="945" outlineLevel="2">
      <c r="A945" s="422" t="str">
        <f>'Master List'!A569</f>
        <v>W-FIN-065</v>
      </c>
      <c r="B945" s="491"/>
      <c r="C945" s="198"/>
      <c r="D945" s="462" t="str">
        <f>VLOOKUP(A945,'Master List'!$A$1:$C$1192,2,FALSE)</f>
        <v>Встановлення кутника з нержавіючої сталі</v>
      </c>
      <c r="E945" s="463" t="str">
        <f>VLOOKUP(A945,'Master List'!$A$1:$C$1192,3,FALSE)</f>
        <v>м</v>
      </c>
      <c r="F945" s="464">
        <v>154.0</v>
      </c>
      <c r="G945" s="463">
        <f>VLOOKUP(A945,'Master List'!$A$4:$F3617,5,FALSE)</f>
        <v>22.1</v>
      </c>
      <c r="H945" s="206">
        <f t="shared" si="78"/>
        <v>3403.4</v>
      </c>
      <c r="I945" s="276"/>
    </row>
    <row r="946" outlineLevel="2">
      <c r="A946" s="422" t="str">
        <f>'Master List'!A99</f>
        <v>M-FIN-060</v>
      </c>
      <c r="B946" s="491"/>
      <c r="C946" s="198"/>
      <c r="D946" s="462" t="str">
        <f>VLOOKUP(A946,'Master List'!$A$1:$C$1192,2,FALSE)</f>
        <v>Смесь для штукатурки 25кг</v>
      </c>
      <c r="E946" s="463" t="str">
        <f>VLOOKUP(A946,'Master List'!$A$1:$C$1192,3,FALSE)</f>
        <v>шт</v>
      </c>
      <c r="F946" s="464">
        <f>F942*34/25</f>
        <v>131.376</v>
      </c>
      <c r="G946" s="463">
        <f>VLOOKUP(A946,'Master List'!$A$4:$F3618,5,FALSE)</f>
        <v>2.977</v>
      </c>
      <c r="H946" s="206">
        <f t="shared" si="78"/>
        <v>391.106352</v>
      </c>
      <c r="I946" s="276"/>
    </row>
    <row r="947" outlineLevel="2">
      <c r="A947" s="422" t="str">
        <f>'Master List'!A38</f>
        <v>M-BRK-025</v>
      </c>
      <c r="B947" s="491"/>
      <c r="C947" s="198"/>
      <c r="D947" s="462" t="str">
        <f>VLOOKUP(A947,'Master List'!$A$1:$C$1192,2,FALSE)</f>
        <v>Цемент</v>
      </c>
      <c r="E947" s="463" t="str">
        <f>VLOOKUP(A947,'Master List'!$A$1:$C$1192,3,FALSE)</f>
        <v>т</v>
      </c>
      <c r="F947" s="469">
        <f>F943*0.05*0.42</f>
        <v>2.184</v>
      </c>
      <c r="G947" s="463">
        <f>VLOOKUP(A947,'Master List'!$A$4:$F3617,5,FALSE)</f>
        <v>189.1032</v>
      </c>
      <c r="H947" s="206">
        <f t="shared" si="78"/>
        <v>413.0013888</v>
      </c>
      <c r="I947" s="276"/>
    </row>
    <row r="948" outlineLevel="2">
      <c r="A948" s="422" t="str">
        <f>'Master List'!A39</f>
        <v>M-BRK-026</v>
      </c>
      <c r="B948" s="491"/>
      <c r="C948" s="198"/>
      <c r="D948" s="462" t="str">
        <f>VLOOKUP(A948,'Master List'!$A$1:$C$1192,2,FALSE)</f>
        <v>Песок</v>
      </c>
      <c r="E948" s="463" t="str">
        <f>VLOOKUP(A948,'Master List'!$A$1:$C$1192,3,FALSE)</f>
        <v>м3</v>
      </c>
      <c r="F948" s="464">
        <f>F943*0.05*1.15</f>
        <v>5.98</v>
      </c>
      <c r="G948" s="463">
        <f>VLOOKUP(A948,'Master List'!$A$4:$F3618,5,FALSE)</f>
        <v>56.875</v>
      </c>
      <c r="H948" s="206">
        <f t="shared" si="78"/>
        <v>340.1125</v>
      </c>
      <c r="I948" s="276"/>
    </row>
    <row r="949" outlineLevel="2">
      <c r="A949" s="422" t="str">
        <f>'Master List'!A217</f>
        <v>AC-18</v>
      </c>
      <c r="B949" s="491"/>
      <c r="C949" s="198"/>
      <c r="D949" s="462" t="str">
        <f>VLOOKUP(A949,'Master List'!$A$1:$C$1192,2,FALSE)</f>
        <v>Мозаика для облицовки бассейнов Classic Cinza размером 30х30см</v>
      </c>
      <c r="E949" s="463" t="str">
        <f>VLOOKUP(A949,'Master List'!$A$1:$C$1192,3,FALSE)</f>
        <v>м2</v>
      </c>
      <c r="F949" s="464">
        <f>F944*1.05</f>
        <v>210.63</v>
      </c>
      <c r="G949" s="463">
        <f>VLOOKUP(A949,'Master List'!$A$4:$F3619,5,FALSE)</f>
        <v>0</v>
      </c>
      <c r="H949" s="206">
        <f t="shared" si="78"/>
        <v>0</v>
      </c>
      <c r="I949" s="276"/>
    </row>
    <row r="950" outlineLevel="2">
      <c r="A950" s="422" t="str">
        <f>'Master List'!A76</f>
        <v>M-FIN-005</v>
      </c>
      <c r="B950" s="491"/>
      <c r="C950" s="198"/>
      <c r="D950" s="462" t="str">
        <f>VLOOKUP(A950,'Master List'!$A$1:$C$1192,2,FALSE)</f>
        <v>Клей для плитки в басейні Adhere</v>
      </c>
      <c r="E950" s="463" t="str">
        <f>VLOOKUP(A950,'Master List'!$A$1:$C$1192,3,FALSE)</f>
        <v>кг</v>
      </c>
      <c r="F950" s="464">
        <f>F944*8</f>
        <v>1604.8</v>
      </c>
      <c r="G950" s="463">
        <f>VLOOKUP(A950,'Master List'!$A$4:$F3620,5,FALSE)</f>
        <v>1.313</v>
      </c>
      <c r="H950" s="206">
        <f t="shared" si="78"/>
        <v>2107.1024</v>
      </c>
      <c r="I950" s="276"/>
    </row>
    <row r="951" outlineLevel="2">
      <c r="A951" s="422" t="str">
        <f>'Master List'!A81</f>
        <v>M-FIN-009</v>
      </c>
      <c r="B951" s="491"/>
      <c r="C951" s="198"/>
      <c r="D951" s="462" t="str">
        <f>VLOOKUP(A951,'Master List'!$A$1:$C$1192,2,FALSE)</f>
        <v>Кутник з нержавіючої сталі розміром 15х15см</v>
      </c>
      <c r="E951" s="463" t="str">
        <f>VLOOKUP(A951,'Master List'!$A$1:$C$1192,3,FALSE)</f>
        <v>м</v>
      </c>
      <c r="F951" s="464">
        <f>F945*1.05</f>
        <v>161.7</v>
      </c>
      <c r="G951" s="463">
        <f>VLOOKUP(A951,'Master List'!$A$4:$F3621,5,FALSE)</f>
        <v>20.787</v>
      </c>
      <c r="H951" s="206">
        <f t="shared" si="78"/>
        <v>3361.2579</v>
      </c>
      <c r="I951" s="276"/>
    </row>
    <row r="952" outlineLevel="2">
      <c r="A952" s="422"/>
      <c r="B952" s="428"/>
      <c r="C952" s="429"/>
      <c r="D952" s="428"/>
      <c r="E952" s="431"/>
      <c r="F952" s="432"/>
      <c r="G952" s="434"/>
      <c r="H952" s="434"/>
      <c r="I952" s="240"/>
    </row>
    <row r="953" outlineLevel="2">
      <c r="A953" s="422" t="str">
        <f>'Master List'!A511</f>
        <v>W-CON-024</v>
      </c>
      <c r="B953" s="472" t="s">
        <v>225</v>
      </c>
      <c r="C953" s="282">
        <v>9.1</v>
      </c>
      <c r="D953" s="268" t="s">
        <v>226</v>
      </c>
      <c r="E953" s="486" t="s">
        <v>227</v>
      </c>
      <c r="F953" s="270">
        <v>1.0</v>
      </c>
      <c r="G953" s="463">
        <f>VLOOKUP(A953,'Master List'!$A$4:$F3623,5,FALSE)</f>
        <v>2275</v>
      </c>
      <c r="H953" s="206">
        <f>F953*G953</f>
        <v>2275</v>
      </c>
      <c r="I953" s="271"/>
    </row>
    <row r="954" outlineLevel="2">
      <c r="A954" s="422"/>
      <c r="B954" s="428"/>
      <c r="C954" s="429"/>
      <c r="D954" s="428"/>
      <c r="E954" s="431"/>
      <c r="F954" s="432"/>
      <c r="G954" s="434"/>
      <c r="H954" s="434"/>
      <c r="I954" s="240"/>
    </row>
    <row r="955" outlineLevel="2">
      <c r="A955" s="422" t="str">
        <f>'Master List'!A512</f>
        <v>W-CON-025</v>
      </c>
      <c r="B955" s="472" t="s">
        <v>228</v>
      </c>
      <c r="C955" s="282">
        <v>9.11</v>
      </c>
      <c r="D955" s="268" t="s">
        <v>229</v>
      </c>
      <c r="E955" s="486" t="s">
        <v>227</v>
      </c>
      <c r="F955" s="270">
        <v>1.0</v>
      </c>
      <c r="G955" s="463">
        <f>VLOOKUP(A955,'Master List'!$A$4:$F3625,5,FALSE)</f>
        <v>1859</v>
      </c>
      <c r="H955" s="206">
        <f>F955*G955</f>
        <v>1859</v>
      </c>
      <c r="I955" s="271"/>
    </row>
    <row r="956" outlineLevel="2">
      <c r="A956" s="422"/>
      <c r="B956" s="472"/>
      <c r="C956" s="289"/>
      <c r="D956" s="285"/>
      <c r="E956" s="487"/>
      <c r="F956" s="275"/>
      <c r="G956" s="239"/>
      <c r="H956" s="239"/>
      <c r="I956" s="276"/>
    </row>
    <row r="957" outlineLevel="2">
      <c r="A957" s="422"/>
      <c r="B957" s="428"/>
      <c r="C957" s="429"/>
      <c r="D957" s="428"/>
      <c r="E957" s="431"/>
      <c r="F957" s="432"/>
      <c r="G957" s="434"/>
      <c r="H957" s="434"/>
      <c r="I957" s="240"/>
    </row>
    <row r="958" outlineLevel="1">
      <c r="A958" s="422"/>
      <c r="B958" s="472" t="s">
        <v>230</v>
      </c>
      <c r="C958" s="429"/>
      <c r="D958" s="435" t="s">
        <v>231</v>
      </c>
      <c r="E958" s="431"/>
      <c r="F958" s="432"/>
      <c r="G958" s="488">
        <f>SUM(H960:H996)</f>
        <v>39723.09768</v>
      </c>
      <c r="H958" s="434"/>
      <c r="I958" s="240"/>
    </row>
    <row r="959" outlineLevel="2">
      <c r="A959" s="422"/>
      <c r="B959" s="428"/>
      <c r="C959" s="429"/>
      <c r="D959" s="428"/>
      <c r="E959" s="431"/>
      <c r="F959" s="432"/>
      <c r="G959" s="434"/>
      <c r="H959" s="434"/>
      <c r="I959" s="240"/>
    </row>
    <row r="960" outlineLevel="2">
      <c r="A960" s="422"/>
      <c r="B960" s="472" t="s">
        <v>232</v>
      </c>
      <c r="C960" s="282">
        <v>9.12</v>
      </c>
      <c r="D960" s="268" t="s">
        <v>233</v>
      </c>
      <c r="E960" s="486" t="s">
        <v>40</v>
      </c>
      <c r="F960" s="270">
        <v>277.52</v>
      </c>
      <c r="G960" s="205"/>
      <c r="H960" s="206"/>
      <c r="I960" s="271"/>
    </row>
    <row r="961" outlineLevel="2">
      <c r="A961" s="422"/>
      <c r="B961" s="472"/>
      <c r="C961" s="289"/>
      <c r="D961" s="285"/>
      <c r="E961" s="487"/>
      <c r="F961" s="275"/>
      <c r="G961" s="239"/>
      <c r="H961" s="239"/>
      <c r="I961" s="276"/>
    </row>
    <row r="962" outlineLevel="2">
      <c r="A962" s="422" t="str">
        <f>'Master List'!A573</f>
        <v>W-FIN-050</v>
      </c>
      <c r="B962" s="472"/>
      <c r="C962" s="198"/>
      <c r="D962" s="462" t="str">
        <f>VLOOKUP(A962,'Master List'!$A$1:$C$1192,2,FALSE)</f>
        <v>Устройство черновой стяжки толщиной 100 мм</v>
      </c>
      <c r="E962" s="463" t="str">
        <f>VLOOKUP(A962,'Master List'!$A$1:$C$1192,3,FALSE)</f>
        <v>м2</v>
      </c>
      <c r="F962" s="464">
        <f>F960</f>
        <v>277.52</v>
      </c>
      <c r="G962" s="463">
        <f>VLOOKUP(A962,'Master List'!$A$4:$F3632,5,FALSE)</f>
        <v>13</v>
      </c>
      <c r="H962" s="206">
        <f t="shared" ref="H962:H969" si="79">G962*F962</f>
        <v>3607.76</v>
      </c>
      <c r="I962" s="276"/>
    </row>
    <row r="963" outlineLevel="2">
      <c r="A963" s="422" t="str">
        <f>'Master List'!A574</f>
        <v>W-FIN-052</v>
      </c>
      <c r="B963" s="472"/>
      <c r="C963" s="198"/>
      <c r="D963" s="462" t="str">
        <f>VLOOKUP(A963,'Master List'!$A$1:$C$1192,2,FALSE)</f>
        <v>Устройство чистовой стяжки толщиной 50 мм</v>
      </c>
      <c r="E963" s="463" t="str">
        <f>VLOOKUP(A963,'Master List'!$A$1:$C$1192,3,FALSE)</f>
        <v>м2</v>
      </c>
      <c r="F963" s="464">
        <f>F960</f>
        <v>277.52</v>
      </c>
      <c r="G963" s="463">
        <f>VLOOKUP(A963,'Master List'!$A$4:$F3633,5,FALSE)</f>
        <v>10.4</v>
      </c>
      <c r="H963" s="206">
        <f t="shared" si="79"/>
        <v>2886.208</v>
      </c>
      <c r="I963" s="276"/>
    </row>
    <row r="964" outlineLevel="2">
      <c r="A964" s="422" t="str">
        <f>'Master List'!A575</f>
        <v>W-FIN-053</v>
      </c>
      <c r="B964" s="472"/>
      <c r="C964" s="198"/>
      <c r="D964" s="462" t="str">
        <f>VLOOKUP(A964,'Master List'!$A$1:$C$1192,2,FALSE)</f>
        <v>Шліфування покриття підлоги</v>
      </c>
      <c r="E964" s="463" t="str">
        <f>VLOOKUP(A964,'Master List'!$A$1:$C$1192,3,FALSE)</f>
        <v>м2</v>
      </c>
      <c r="F964" s="464">
        <f>F960</f>
        <v>277.52</v>
      </c>
      <c r="G964" s="463">
        <f>VLOOKUP(A964,'Master List'!$A$4:$F3634,5,FALSE)</f>
        <v>11.05</v>
      </c>
      <c r="H964" s="206">
        <f t="shared" si="79"/>
        <v>3066.596</v>
      </c>
      <c r="I964" s="276"/>
    </row>
    <row r="965" outlineLevel="2">
      <c r="A965" s="422" t="str">
        <f>'Master List'!A566</f>
        <v>W-FIN-060</v>
      </c>
      <c r="B965" s="472"/>
      <c r="C965" s="198"/>
      <c r="D965" s="462" t="str">
        <f>VLOOKUP(A965,'Master List'!$A$1:$C$1192,2,FALSE)</f>
        <v>Нанесення захисного покриття на бетонні поверхні</v>
      </c>
      <c r="E965" s="463" t="str">
        <f>VLOOKUP(A965,'Master List'!$A$1:$C$1192,3,FALSE)</f>
        <v>м2</v>
      </c>
      <c r="F965" s="464">
        <f>F960</f>
        <v>277.52</v>
      </c>
      <c r="G965" s="463">
        <f>VLOOKUP(A965,'Master List'!$A$4:$F3635,5,FALSE)</f>
        <v>9.1</v>
      </c>
      <c r="H965" s="206">
        <f t="shared" si="79"/>
        <v>2525.432</v>
      </c>
      <c r="I965" s="276"/>
    </row>
    <row r="966" outlineLevel="2">
      <c r="A966" s="422" t="str">
        <f>'Master List'!A97</f>
        <v>M-FIN-052</v>
      </c>
      <c r="B966" s="472"/>
      <c r="C966" s="198"/>
      <c r="D966" s="462" t="str">
        <f>VLOOKUP(A966,'Master List'!$A$1:$C$1192,2,FALSE)</f>
        <v>Раствор для черновой стяжки</v>
      </c>
      <c r="E966" s="463" t="str">
        <f>VLOOKUP(A966,'Master List'!$A$1:$C$1192,3,FALSE)</f>
        <v>м3</v>
      </c>
      <c r="F966" s="464">
        <f>F962*0.1*1.02</f>
        <v>28.30704</v>
      </c>
      <c r="G966" s="463">
        <f>VLOOKUP(A966,'Master List'!$A$4:$F3636,5,FALSE)</f>
        <v>116.493</v>
      </c>
      <c r="H966" s="206">
        <f t="shared" si="79"/>
        <v>3297.572011</v>
      </c>
      <c r="I966" s="276"/>
    </row>
    <row r="967" outlineLevel="2">
      <c r="A967" s="422" t="str">
        <f>'Master List'!A38</f>
        <v>M-BRK-025</v>
      </c>
      <c r="B967" s="472"/>
      <c r="C967" s="198"/>
      <c r="D967" s="462" t="str">
        <f>VLOOKUP(A967,'Master List'!$A$1:$C$1192,2,FALSE)</f>
        <v>Цемент</v>
      </c>
      <c r="E967" s="463" t="str">
        <f>VLOOKUP(A967,'Master List'!$A$1:$C$1192,3,FALSE)</f>
        <v>т</v>
      </c>
      <c r="F967" s="469">
        <f>F963*0.05*0.42</f>
        <v>5.82792</v>
      </c>
      <c r="G967" s="463">
        <f>VLOOKUP(A967,'Master List'!$A$4:$F3637,5,FALSE)</f>
        <v>189.1032</v>
      </c>
      <c r="H967" s="206">
        <f t="shared" si="79"/>
        <v>1102.078321</v>
      </c>
      <c r="I967" s="276"/>
    </row>
    <row r="968" outlineLevel="2">
      <c r="A968" s="422" t="str">
        <f>'Master List'!A39</f>
        <v>M-BRK-026</v>
      </c>
      <c r="B968" s="472"/>
      <c r="C968" s="198"/>
      <c r="D968" s="462" t="str">
        <f>VLOOKUP(A968,'Master List'!$A$1:$C$1192,2,FALSE)</f>
        <v>Песок</v>
      </c>
      <c r="E968" s="463" t="str">
        <f>VLOOKUP(A968,'Master List'!$A$1:$C$1192,3,FALSE)</f>
        <v>м3</v>
      </c>
      <c r="F968" s="464">
        <f>F963*0.05*1.15</f>
        <v>15.9574</v>
      </c>
      <c r="G968" s="463">
        <f>VLOOKUP(A968,'Master List'!$A$4:$F3638,5,FALSE)</f>
        <v>56.875</v>
      </c>
      <c r="H968" s="206">
        <f t="shared" si="79"/>
        <v>907.577125</v>
      </c>
      <c r="I968" s="276"/>
    </row>
    <row r="969" outlineLevel="2">
      <c r="A969" s="422" t="str">
        <f>'Master List'!A102</f>
        <v>M-FIN-070</v>
      </c>
      <c r="B969" s="472"/>
      <c r="C969" s="198"/>
      <c r="D969" s="462" t="str">
        <f>VLOOKUP(A969,'Master List'!$A$1:$C$1192,2,FALSE)</f>
        <v>Захисне покриття для бетону SIKAGARD 680-S PT</v>
      </c>
      <c r="E969" s="463" t="str">
        <f>VLOOKUP(A969,'Master List'!$A$1:$C$1192,3,FALSE)</f>
        <v>кг</v>
      </c>
      <c r="F969" s="464">
        <f>F965*0.4</f>
        <v>111.008</v>
      </c>
      <c r="G969" s="463">
        <f>VLOOKUP(A969,'Master List'!$A$4:$F3636,5,FALSE)</f>
        <v>12.207</v>
      </c>
      <c r="H969" s="206">
        <f t="shared" si="79"/>
        <v>1355.074656</v>
      </c>
      <c r="I969" s="276"/>
    </row>
    <row r="970" outlineLevel="2">
      <c r="A970" s="422"/>
      <c r="B970" s="428"/>
      <c r="C970" s="429"/>
      <c r="D970" s="428"/>
      <c r="E970" s="431"/>
      <c r="F970" s="432"/>
      <c r="G970" s="434"/>
      <c r="H970" s="434"/>
      <c r="I970" s="240"/>
    </row>
    <row r="971" outlineLevel="2">
      <c r="A971" s="422"/>
      <c r="B971" s="472" t="s">
        <v>234</v>
      </c>
      <c r="C971" s="282">
        <v>9.13</v>
      </c>
      <c r="D971" s="268" t="s">
        <v>235</v>
      </c>
      <c r="E971" s="490" t="s">
        <v>40</v>
      </c>
      <c r="F971" s="270">
        <v>239.8</v>
      </c>
      <c r="G971" s="205"/>
      <c r="H971" s="206"/>
      <c r="I971" s="271" t="s">
        <v>5603</v>
      </c>
    </row>
    <row r="972" outlineLevel="2">
      <c r="A972" s="422"/>
      <c r="B972" s="472"/>
      <c r="C972" s="472"/>
      <c r="D972" s="472"/>
      <c r="E972" s="472"/>
      <c r="F972" s="472"/>
      <c r="G972" s="472"/>
      <c r="H972" s="472"/>
      <c r="I972" s="472"/>
      <c r="J972" s="89"/>
      <c r="K972" s="89"/>
      <c r="L972" s="89"/>
      <c r="M972" s="89"/>
    </row>
    <row r="973" outlineLevel="2">
      <c r="A973" s="422" t="str">
        <f>'Master List'!A574</f>
        <v>W-FIN-052</v>
      </c>
      <c r="B973" s="472"/>
      <c r="C973" s="198"/>
      <c r="D973" s="462" t="str">
        <f>VLOOKUP(A973,'Master List'!$A$1:$C$1192,2,FALSE)</f>
        <v>Устройство чистовой стяжки толщиной 50 мм</v>
      </c>
      <c r="E973" s="463" t="str">
        <f>VLOOKUP(A973,'Master List'!$A$1:$C$1192,3,FALSE)</f>
        <v>м2</v>
      </c>
      <c r="F973" s="464">
        <f>F971</f>
        <v>239.8</v>
      </c>
      <c r="G973" s="463">
        <f>VLOOKUP(A973,'Master List'!$A$4:$F3641,5,FALSE)</f>
        <v>10.4</v>
      </c>
      <c r="H973" s="206">
        <f t="shared" ref="H973:H978" si="80">G973*F973</f>
        <v>2493.92</v>
      </c>
      <c r="I973" s="472"/>
      <c r="J973" s="89"/>
      <c r="K973" s="89"/>
      <c r="L973" s="89"/>
      <c r="M973" s="89"/>
    </row>
    <row r="974" outlineLevel="2">
      <c r="A974" s="422" t="str">
        <f>'Master List'!A558</f>
        <v>W-FIN-028</v>
      </c>
      <c r="B974" s="472"/>
      <c r="C974" s="198"/>
      <c r="D974" s="462" t="str">
        <f>VLOOKUP(A974,'Master List'!$A$1:$C$1192,2,FALSE)</f>
        <v>Укладання дубового паркету на підлогу</v>
      </c>
      <c r="E974" s="463" t="str">
        <f>VLOOKUP(A974,'Master List'!$A$1:$C$1192,3,FALSE)</f>
        <v>м2</v>
      </c>
      <c r="F974" s="464">
        <f>F971</f>
        <v>239.8</v>
      </c>
      <c r="G974" s="463">
        <f>VLOOKUP(A974,'Master List'!$A$4:$F3642,5,FALSE)</f>
        <v>48.23</v>
      </c>
      <c r="H974" s="206">
        <f t="shared" si="80"/>
        <v>11565.554</v>
      </c>
      <c r="I974" s="472"/>
      <c r="J974" s="89"/>
      <c r="K974" s="89"/>
      <c r="L974" s="89"/>
      <c r="M974" s="89"/>
    </row>
    <row r="975" outlineLevel="2">
      <c r="A975" s="422" t="str">
        <f>'Master List'!A38</f>
        <v>M-BRK-025</v>
      </c>
      <c r="B975" s="472"/>
      <c r="C975" s="198"/>
      <c r="D975" s="462" t="str">
        <f>VLOOKUP(A975,'Master List'!$A$1:$C$1192,2,FALSE)</f>
        <v>Цемент</v>
      </c>
      <c r="E975" s="463" t="str">
        <f>VLOOKUP(A975,'Master List'!$A$1:$C$1192,3,FALSE)</f>
        <v>т</v>
      </c>
      <c r="F975" s="469">
        <f>F973*0.05*0.42</f>
        <v>5.0358</v>
      </c>
      <c r="G975" s="463">
        <f>VLOOKUP(A975,'Master List'!$A$4:$F3644,5,FALSE)</f>
        <v>189.1032</v>
      </c>
      <c r="H975" s="206">
        <f t="shared" si="80"/>
        <v>952.2858946</v>
      </c>
      <c r="I975" s="472"/>
      <c r="J975" s="89"/>
      <c r="K975" s="89"/>
      <c r="L975" s="89"/>
      <c r="M975" s="89"/>
    </row>
    <row r="976" outlineLevel="2">
      <c r="A976" s="422" t="str">
        <f>'Master List'!A39</f>
        <v>M-BRK-026</v>
      </c>
      <c r="B976" s="472"/>
      <c r="C976" s="198"/>
      <c r="D976" s="462" t="str">
        <f>VLOOKUP(A976,'Master List'!$A$1:$C$1192,2,FALSE)</f>
        <v>Песок</v>
      </c>
      <c r="E976" s="463" t="str">
        <f>VLOOKUP(A976,'Master List'!$A$1:$C$1192,3,FALSE)</f>
        <v>м3</v>
      </c>
      <c r="F976" s="464">
        <f>F973*0.05*1.15</f>
        <v>13.7885</v>
      </c>
      <c r="G976" s="463">
        <f>VLOOKUP(A976,'Master List'!$A$4:$F3645,5,FALSE)</f>
        <v>56.875</v>
      </c>
      <c r="H976" s="206">
        <f t="shared" si="80"/>
        <v>784.2209375</v>
      </c>
      <c r="I976" s="472"/>
      <c r="J976" s="89"/>
      <c r="K976" s="89"/>
      <c r="L976" s="89"/>
      <c r="M976" s="89"/>
    </row>
    <row r="977" outlineLevel="2">
      <c r="A977" s="422" t="str">
        <f>'Master List'!A218</f>
        <v>AC-19</v>
      </c>
      <c r="B977" s="472"/>
      <c r="C977" s="198"/>
      <c r="D977" s="462" t="str">
        <f>VLOOKUP(A977,'Master List'!$A$1:$C$1192,2,FALSE)</f>
        <v>Паркет дубовий розміром 20x220x2200 мм</v>
      </c>
      <c r="E977" s="463" t="str">
        <f>VLOOKUP(A977,'Master List'!$A$1:$C$1192,3,FALSE)</f>
        <v>м2</v>
      </c>
      <c r="F977" s="464">
        <f>F974*1.05</f>
        <v>251.79</v>
      </c>
      <c r="G977" s="463">
        <f>VLOOKUP(A977,'Master List'!$A$4:$F3646,5,FALSE)</f>
        <v>0</v>
      </c>
      <c r="H977" s="206">
        <f t="shared" si="80"/>
        <v>0</v>
      </c>
      <c r="I977" s="472"/>
      <c r="J977" s="89"/>
      <c r="K977" s="89"/>
      <c r="L977" s="89"/>
      <c r="M977" s="89"/>
    </row>
    <row r="978" outlineLevel="2">
      <c r="A978" s="422" t="str">
        <f>'Master List'!A78</f>
        <v>M-FIN-002</v>
      </c>
      <c r="B978" s="472"/>
      <c r="C978" s="198"/>
      <c r="D978" s="462" t="str">
        <f>VLOOKUP(A978,'Master List'!$A$1:$C$1192,2,FALSE)</f>
        <v>Клей для паркету</v>
      </c>
      <c r="E978" s="463" t="str">
        <f>VLOOKUP(A978,'Master List'!$A$1:$C$1192,3,FALSE)</f>
        <v>кг</v>
      </c>
      <c r="F978" s="464">
        <f>F974*1.2</f>
        <v>287.76</v>
      </c>
      <c r="G978" s="463">
        <f>VLOOKUP(A978,'Master List'!$A$4:$F3647,5,FALSE)</f>
        <v>7.345</v>
      </c>
      <c r="H978" s="206">
        <f t="shared" si="80"/>
        <v>2113.5972</v>
      </c>
      <c r="I978" s="472"/>
      <c r="J978" s="89"/>
      <c r="K978" s="89"/>
      <c r="L978" s="89"/>
      <c r="M978" s="89"/>
    </row>
    <row r="979" outlineLevel="2">
      <c r="A979" s="422"/>
      <c r="B979" s="428"/>
      <c r="C979" s="429"/>
      <c r="D979" s="428"/>
      <c r="E979" s="431"/>
      <c r="F979" s="432"/>
      <c r="G979" s="434"/>
      <c r="H979" s="434"/>
      <c r="I979" s="240"/>
    </row>
    <row r="980" outlineLevel="2">
      <c r="A980" s="422"/>
      <c r="B980" s="472" t="s">
        <v>236</v>
      </c>
      <c r="C980" s="282">
        <v>9.14</v>
      </c>
      <c r="D980" s="268" t="s">
        <v>237</v>
      </c>
      <c r="E980" s="490" t="s">
        <v>40</v>
      </c>
      <c r="F980" s="270">
        <v>16.81</v>
      </c>
      <c r="G980" s="205"/>
      <c r="H980" s="206"/>
      <c r="I980" s="271" t="s">
        <v>5604</v>
      </c>
    </row>
    <row r="981" outlineLevel="2">
      <c r="A981" s="422"/>
      <c r="B981" s="472"/>
      <c r="C981" s="472"/>
      <c r="D981" s="472"/>
      <c r="E981" s="472"/>
      <c r="F981" s="472"/>
      <c r="G981" s="472"/>
      <c r="H981" s="472"/>
      <c r="I981" s="472"/>
      <c r="J981" s="89"/>
      <c r="K981" s="89"/>
    </row>
    <row r="982" outlineLevel="2">
      <c r="A982" s="422" t="str">
        <f>'Master List'!A574</f>
        <v>W-FIN-052</v>
      </c>
      <c r="B982" s="472"/>
      <c r="C982" s="198"/>
      <c r="D982" s="462" t="str">
        <f>VLOOKUP(A982,'Master List'!$A$1:$C$1192,2,FALSE)</f>
        <v>Устройство чистовой стяжки толщиной 50 мм</v>
      </c>
      <c r="E982" s="463" t="str">
        <f>VLOOKUP(A982,'Master List'!$A$1:$C$1192,3,FALSE)</f>
        <v>м2</v>
      </c>
      <c r="F982" s="464">
        <f>F980</f>
        <v>16.81</v>
      </c>
      <c r="G982" s="463">
        <f>VLOOKUP(A982,'Master List'!$A$4:$F3652,5,FALSE)</f>
        <v>10.4</v>
      </c>
      <c r="H982" s="206">
        <f t="shared" ref="H982:H987" si="81">G982*F982</f>
        <v>174.824</v>
      </c>
      <c r="I982" s="472"/>
      <c r="J982" s="89"/>
      <c r="K982" s="89"/>
    </row>
    <row r="983" outlineLevel="2">
      <c r="A983" s="422" t="str">
        <f>'Master List'!A575</f>
        <v>W-FIN-053</v>
      </c>
      <c r="B983" s="472"/>
      <c r="C983" s="198"/>
      <c r="D983" s="462" t="str">
        <f>VLOOKUP(A983,'Master List'!$A$1:$C$1192,2,FALSE)</f>
        <v>Шліфування покриття підлоги</v>
      </c>
      <c r="E983" s="463" t="str">
        <f>VLOOKUP(A983,'Master List'!$A$1:$C$1192,3,FALSE)</f>
        <v>м2</v>
      </c>
      <c r="F983" s="464">
        <f>F980</f>
        <v>16.81</v>
      </c>
      <c r="G983" s="463">
        <f>VLOOKUP(A983,'Master List'!$A$4:$F3653,5,FALSE)</f>
        <v>11.05</v>
      </c>
      <c r="H983" s="206">
        <f t="shared" si="81"/>
        <v>185.7505</v>
      </c>
      <c r="I983" s="472"/>
      <c r="J983" s="89"/>
      <c r="K983" s="89"/>
    </row>
    <row r="984" outlineLevel="2">
      <c r="A984" s="422" t="str">
        <f>'Master List'!A559</f>
        <v>W-FIN-029</v>
      </c>
      <c r="B984" s="472"/>
      <c r="C984" s="198"/>
      <c r="D984" s="462" t="str">
        <f>VLOOKUP(A984,'Master List'!$A$1:$C$1192,2,FALSE)</f>
        <v>Нанесення епоксидної фарби на підлогу</v>
      </c>
      <c r="E984" s="463" t="str">
        <f>VLOOKUP(A984,'Master List'!$A$1:$C$1192,3,FALSE)</f>
        <v>м2</v>
      </c>
      <c r="F984" s="464">
        <f>F980</f>
        <v>16.81</v>
      </c>
      <c r="G984" s="463">
        <f>VLOOKUP(A984,'Master List'!$A$4:$F3654,5,FALSE)</f>
        <v>19.76</v>
      </c>
      <c r="H984" s="206">
        <f t="shared" si="81"/>
        <v>332.1656</v>
      </c>
      <c r="I984" s="472"/>
      <c r="J984" s="89"/>
      <c r="K984" s="89"/>
    </row>
    <row r="985" outlineLevel="2">
      <c r="A985" s="422" t="str">
        <f>'Master List'!A38</f>
        <v>M-BRK-025</v>
      </c>
      <c r="B985" s="472"/>
      <c r="C985" s="198"/>
      <c r="D985" s="462" t="str">
        <f>VLOOKUP(A985,'Master List'!$A$1:$C$1192,2,FALSE)</f>
        <v>Цемент</v>
      </c>
      <c r="E985" s="463" t="str">
        <f>VLOOKUP(A985,'Master List'!$A$1:$C$1192,3,FALSE)</f>
        <v>т</v>
      </c>
      <c r="F985" s="469">
        <f>F982*0.05*0.42</f>
        <v>0.35301</v>
      </c>
      <c r="G985" s="463">
        <f>VLOOKUP(A985,'Master List'!$A$4:$F3655,5,FALSE)</f>
        <v>189.1032</v>
      </c>
      <c r="H985" s="206">
        <f t="shared" si="81"/>
        <v>66.75532063</v>
      </c>
      <c r="I985" s="472"/>
      <c r="J985" s="89"/>
      <c r="K985" s="89"/>
    </row>
    <row r="986" outlineLevel="2">
      <c r="A986" s="422" t="str">
        <f>'Master List'!A39</f>
        <v>M-BRK-026</v>
      </c>
      <c r="B986" s="472"/>
      <c r="C986" s="198"/>
      <c r="D986" s="462" t="str">
        <f>VLOOKUP(A986,'Master List'!$A$1:$C$1192,2,FALSE)</f>
        <v>Песок</v>
      </c>
      <c r="E986" s="463" t="str">
        <f>VLOOKUP(A986,'Master List'!$A$1:$C$1192,3,FALSE)</f>
        <v>м3</v>
      </c>
      <c r="F986" s="464">
        <f>F982*0.05*1.15</f>
        <v>0.966575</v>
      </c>
      <c r="G986" s="463">
        <f>VLOOKUP(A986,'Master List'!$A$4:$F3656,5,FALSE)</f>
        <v>56.875</v>
      </c>
      <c r="H986" s="206">
        <f t="shared" si="81"/>
        <v>54.97395313</v>
      </c>
      <c r="I986" s="472"/>
      <c r="J986" s="89"/>
      <c r="K986" s="89"/>
    </row>
    <row r="987" outlineLevel="2">
      <c r="A987" s="422" t="str">
        <f>'Master List'!A79</f>
        <v>M-FIN-003</v>
      </c>
      <c r="B987" s="472"/>
      <c r="C987" s="198"/>
      <c r="D987" s="462" t="str">
        <f>VLOOKUP(A987,'Master List'!$A$1:$C$1192,2,FALSE)</f>
        <v>Фарба епоксидна SIKAFLOOR-264</v>
      </c>
      <c r="E987" s="463" t="str">
        <f>VLOOKUP(A987,'Master List'!$A$1:$C$1192,3,FALSE)</f>
        <v>кг</v>
      </c>
      <c r="F987" s="464">
        <f>F984*1.2</f>
        <v>20.172</v>
      </c>
      <c r="G987" s="463">
        <f>VLOOKUP(A987,'Master List'!$A$4:$F3657,5,FALSE)</f>
        <v>15.262</v>
      </c>
      <c r="H987" s="206">
        <f t="shared" si="81"/>
        <v>307.865064</v>
      </c>
      <c r="I987" s="472"/>
      <c r="J987" s="89"/>
      <c r="K987" s="89"/>
    </row>
    <row r="988" outlineLevel="2">
      <c r="A988" s="422"/>
      <c r="B988" s="428"/>
      <c r="C988" s="429"/>
      <c r="D988" s="428"/>
      <c r="E988" s="431"/>
      <c r="F988" s="432"/>
      <c r="G988" s="434"/>
      <c r="H988" s="434"/>
      <c r="I988" s="240"/>
    </row>
    <row r="989" outlineLevel="2">
      <c r="A989" s="422"/>
      <c r="B989" s="472" t="s">
        <v>238</v>
      </c>
      <c r="C989" s="282">
        <v>9.15</v>
      </c>
      <c r="D989" s="268" t="s">
        <v>239</v>
      </c>
      <c r="E989" s="490" t="s">
        <v>40</v>
      </c>
      <c r="F989" s="270">
        <v>29.1</v>
      </c>
      <c r="G989" s="205"/>
      <c r="H989" s="206"/>
      <c r="I989" s="271" t="s">
        <v>5604</v>
      </c>
    </row>
    <row r="990" outlineLevel="2">
      <c r="A990" s="422"/>
      <c r="B990" s="472"/>
      <c r="C990" s="472"/>
      <c r="D990" s="472"/>
      <c r="E990" s="472"/>
      <c r="F990" s="472"/>
      <c r="G990" s="472"/>
      <c r="H990" s="472"/>
      <c r="I990" s="472"/>
      <c r="J990" s="89"/>
      <c r="K990" s="89"/>
      <c r="L990" s="89"/>
      <c r="M990" s="89"/>
      <c r="N990" s="89"/>
    </row>
    <row r="991" outlineLevel="2">
      <c r="A991" s="422" t="str">
        <f>'Master List'!A574</f>
        <v>W-FIN-052</v>
      </c>
      <c r="B991" s="472"/>
      <c r="C991" s="198"/>
      <c r="D991" s="462" t="str">
        <f>VLOOKUP(A991,'Master List'!$A$1:$C$1192,2,FALSE)</f>
        <v>Устройство чистовой стяжки толщиной 50 мм</v>
      </c>
      <c r="E991" s="463" t="str">
        <f>VLOOKUP(A991,'Master List'!$A$1:$C$1192,3,FALSE)</f>
        <v>м2</v>
      </c>
      <c r="F991" s="464">
        <f>F989</f>
        <v>29.1</v>
      </c>
      <c r="G991" s="463">
        <f>VLOOKUP(A991,'Master List'!$A$4:$F3662,5,FALSE)</f>
        <v>10.4</v>
      </c>
      <c r="H991" s="206">
        <f t="shared" ref="H991:H996" si="82">G991*F991</f>
        <v>302.64</v>
      </c>
      <c r="I991" s="472"/>
      <c r="J991" s="89"/>
      <c r="K991" s="89"/>
      <c r="L991" s="89"/>
      <c r="M991" s="89"/>
      <c r="N991" s="89"/>
    </row>
    <row r="992" outlineLevel="2">
      <c r="A992" s="422" t="str">
        <f>'Master List'!A575</f>
        <v>W-FIN-053</v>
      </c>
      <c r="B992" s="472"/>
      <c r="C992" s="198"/>
      <c r="D992" s="462" t="str">
        <f>VLOOKUP(A992,'Master List'!$A$1:$C$1192,2,FALSE)</f>
        <v>Шліфування покриття підлоги</v>
      </c>
      <c r="E992" s="463" t="str">
        <f>VLOOKUP(A992,'Master List'!$A$1:$C$1192,3,FALSE)</f>
        <v>м2</v>
      </c>
      <c r="F992" s="464">
        <f>F989</f>
        <v>29.1</v>
      </c>
      <c r="G992" s="463">
        <f>VLOOKUP(A992,'Master List'!$A$4:$F3663,5,FALSE)</f>
        <v>11.05</v>
      </c>
      <c r="H992" s="206">
        <f t="shared" si="82"/>
        <v>321.555</v>
      </c>
      <c r="I992" s="472"/>
      <c r="J992" s="89"/>
      <c r="K992" s="89"/>
      <c r="L992" s="89"/>
      <c r="M992" s="89"/>
      <c r="N992" s="89"/>
    </row>
    <row r="993" outlineLevel="2">
      <c r="A993" s="422" t="str">
        <f>'Master List'!A559</f>
        <v>W-FIN-029</v>
      </c>
      <c r="B993" s="472"/>
      <c r="C993" s="198"/>
      <c r="D993" s="462" t="str">
        <f>VLOOKUP(A993,'Master List'!$A$1:$C$1192,2,FALSE)</f>
        <v>Нанесення епоксидної фарби на підлогу</v>
      </c>
      <c r="E993" s="463" t="str">
        <f>VLOOKUP(A993,'Master List'!$A$1:$C$1192,3,FALSE)</f>
        <v>м2</v>
      </c>
      <c r="F993" s="464">
        <f>F989</f>
        <v>29.1</v>
      </c>
      <c r="G993" s="463">
        <f>VLOOKUP(A993,'Master List'!$A$4:$F3664,5,FALSE)</f>
        <v>19.76</v>
      </c>
      <c r="H993" s="206">
        <f t="shared" si="82"/>
        <v>575.016</v>
      </c>
      <c r="I993" s="472"/>
      <c r="J993" s="89"/>
      <c r="K993" s="89"/>
      <c r="L993" s="89"/>
      <c r="M993" s="89"/>
      <c r="N993" s="89"/>
    </row>
    <row r="994" outlineLevel="2">
      <c r="A994" s="422" t="str">
        <f>'Master List'!A38</f>
        <v>M-BRK-025</v>
      </c>
      <c r="B994" s="472"/>
      <c r="C994" s="198"/>
      <c r="D994" s="462" t="str">
        <f>VLOOKUP(A994,'Master List'!$A$1:$C$1192,2,FALSE)</f>
        <v>Цемент</v>
      </c>
      <c r="E994" s="463" t="str">
        <f>VLOOKUP(A994,'Master List'!$A$1:$C$1192,3,FALSE)</f>
        <v>т</v>
      </c>
      <c r="F994" s="469">
        <f>F991*0.05*0.42</f>
        <v>0.6111</v>
      </c>
      <c r="G994" s="463">
        <f>VLOOKUP(A994,'Master List'!$A$4:$F3665,5,FALSE)</f>
        <v>189.1032</v>
      </c>
      <c r="H994" s="206">
        <f t="shared" si="82"/>
        <v>115.5609655</v>
      </c>
      <c r="I994" s="472"/>
      <c r="J994" s="89"/>
      <c r="K994" s="89"/>
      <c r="L994" s="89"/>
      <c r="M994" s="89"/>
      <c r="N994" s="89"/>
    </row>
    <row r="995" outlineLevel="2">
      <c r="A995" s="422" t="str">
        <f>'Master List'!A39</f>
        <v>M-BRK-026</v>
      </c>
      <c r="B995" s="472"/>
      <c r="C995" s="198"/>
      <c r="D995" s="462" t="str">
        <f>VLOOKUP(A995,'Master List'!$A$1:$C$1192,2,FALSE)</f>
        <v>Песок</v>
      </c>
      <c r="E995" s="463" t="str">
        <f>VLOOKUP(A995,'Master List'!$A$1:$C$1192,3,FALSE)</f>
        <v>м3</v>
      </c>
      <c r="F995" s="464">
        <f>F991*0.05*1.15</f>
        <v>1.67325</v>
      </c>
      <c r="G995" s="463">
        <f>VLOOKUP(A995,'Master List'!$A$4:$F3666,5,FALSE)</f>
        <v>56.875</v>
      </c>
      <c r="H995" s="206">
        <f t="shared" si="82"/>
        <v>95.16609375</v>
      </c>
      <c r="I995" s="472"/>
      <c r="J995" s="89"/>
      <c r="K995" s="89"/>
      <c r="L995" s="89"/>
      <c r="M995" s="89"/>
      <c r="N995" s="89"/>
    </row>
    <row r="996" outlineLevel="2">
      <c r="A996" s="422" t="str">
        <f>'Master List'!A79</f>
        <v>M-FIN-003</v>
      </c>
      <c r="B996" s="472"/>
      <c r="C996" s="198"/>
      <c r="D996" s="462" t="str">
        <f>VLOOKUP(A996,'Master List'!$A$1:$C$1192,2,FALSE)</f>
        <v>Фарба епоксидна SIKAFLOOR-264</v>
      </c>
      <c r="E996" s="463" t="str">
        <f>VLOOKUP(A996,'Master List'!$A$1:$C$1192,3,FALSE)</f>
        <v>кг</v>
      </c>
      <c r="F996" s="464">
        <f>F993*1.2</f>
        <v>34.92</v>
      </c>
      <c r="G996" s="463">
        <f>VLOOKUP(A996,'Master List'!$A$4:$F3667,5,FALSE)</f>
        <v>15.262</v>
      </c>
      <c r="H996" s="206">
        <f t="shared" si="82"/>
        <v>532.94904</v>
      </c>
      <c r="I996" s="472"/>
      <c r="J996" s="89"/>
      <c r="K996" s="89"/>
      <c r="L996" s="89"/>
      <c r="M996" s="89"/>
      <c r="N996" s="89"/>
    </row>
    <row r="997" outlineLevel="2">
      <c r="A997" s="422"/>
      <c r="B997" s="472"/>
      <c r="C997" s="472"/>
      <c r="D997" s="472"/>
      <c r="E997" s="472"/>
      <c r="F997" s="472"/>
      <c r="G997" s="472"/>
      <c r="H997" s="472"/>
      <c r="I997" s="472"/>
      <c r="J997" s="89"/>
      <c r="K997" s="89"/>
      <c r="L997" s="89"/>
      <c r="M997" s="89"/>
      <c r="N997" s="89"/>
    </row>
    <row r="998" outlineLevel="2">
      <c r="A998" s="422"/>
      <c r="B998" s="428"/>
      <c r="C998" s="429"/>
      <c r="D998" s="428"/>
      <c r="E998" s="431"/>
      <c r="F998" s="432"/>
      <c r="G998" s="434"/>
      <c r="H998" s="434"/>
      <c r="I998" s="240"/>
    </row>
    <row r="999" outlineLevel="1">
      <c r="A999" s="422"/>
      <c r="B999" s="472" t="s">
        <v>240</v>
      </c>
      <c r="C999" s="429"/>
      <c r="D999" s="435" t="s">
        <v>241</v>
      </c>
      <c r="E999" s="431"/>
      <c r="F999" s="432"/>
      <c r="G999" s="436">
        <f>SUM(H1003:H1004)</f>
        <v>4090.1146</v>
      </c>
      <c r="H999" s="434"/>
      <c r="I999" s="240"/>
    </row>
    <row r="1000" outlineLevel="2">
      <c r="A1000" s="422"/>
      <c r="B1000" s="428"/>
      <c r="C1000" s="429"/>
      <c r="D1000" s="428"/>
      <c r="E1000" s="431"/>
      <c r="F1000" s="432"/>
      <c r="G1000" s="434"/>
      <c r="H1000" s="434"/>
      <c r="I1000" s="240"/>
    </row>
    <row r="1001" outlineLevel="2">
      <c r="A1001" s="422"/>
      <c r="B1001" s="472" t="s">
        <v>242</v>
      </c>
      <c r="C1001" s="282">
        <v>9.16</v>
      </c>
      <c r="D1001" s="268" t="s">
        <v>243</v>
      </c>
      <c r="E1001" s="490" t="s">
        <v>161</v>
      </c>
      <c r="F1001" s="270">
        <v>130.01</v>
      </c>
      <c r="G1001" s="205"/>
      <c r="H1001" s="206"/>
      <c r="I1001" s="271" t="s">
        <v>5605</v>
      </c>
    </row>
    <row r="1002" outlineLevel="2">
      <c r="A1002" s="422"/>
      <c r="B1002" s="472"/>
      <c r="C1002" s="472"/>
      <c r="D1002" s="472"/>
      <c r="E1002" s="472"/>
      <c r="F1002" s="472"/>
      <c r="G1002" s="472"/>
      <c r="H1002" s="472"/>
      <c r="I1002" s="472"/>
      <c r="J1002" s="89"/>
      <c r="K1002" s="89"/>
    </row>
    <row r="1003" outlineLevel="2">
      <c r="A1003" s="422" t="str">
        <f>'Master List'!A560</f>
        <v>W-FIN-038</v>
      </c>
      <c r="B1003" s="472"/>
      <c r="C1003" s="198"/>
      <c r="D1003" s="462" t="str">
        <f>VLOOKUP(A1003,'Master List'!$A$1:$C$1192,2,FALSE)</f>
        <v>Встановлення плінтуса з нержавіючої сталі </v>
      </c>
      <c r="E1003" s="463" t="str">
        <f>VLOOKUP(A1003,'Master List'!$A$1:$C$1192,3,FALSE)</f>
        <v>м</v>
      </c>
      <c r="F1003" s="464">
        <f>F1001</f>
        <v>130.01</v>
      </c>
      <c r="G1003" s="463">
        <f>VLOOKUP(A1003,'Master List'!$A$4:$F3674,5,FALSE)</f>
        <v>31.46</v>
      </c>
      <c r="H1003" s="206">
        <f t="shared" ref="H1003:H1004" si="83">G1003*F1003</f>
        <v>4090.1146</v>
      </c>
      <c r="I1003" s="472"/>
      <c r="J1003" s="89"/>
      <c r="K1003" s="89"/>
    </row>
    <row r="1004" outlineLevel="2">
      <c r="A1004" s="422" t="str">
        <f>'Master List'!A101</f>
        <v>M-FIN-065</v>
      </c>
      <c r="B1004" s="472"/>
      <c r="C1004" s="198"/>
      <c r="D1004" s="462" t="str">
        <f>VLOOKUP(A1004,'Master List'!$A$1:$C$1192,2,FALSE)</f>
        <v>Плінтус з нержавіючої сталі розміром 20x10x5мм</v>
      </c>
      <c r="E1004" s="463" t="str">
        <f>VLOOKUP(A1004,'Master List'!$A$1:$C$1192,3,FALSE)</f>
        <v>м</v>
      </c>
      <c r="F1004" s="464">
        <f>F1003*1.05</f>
        <v>136.5105</v>
      </c>
      <c r="G1004" s="463">
        <f>VLOOKUP(A1004,'Master List'!$A$4:$F3675,5,FALSE)</f>
        <v>0</v>
      </c>
      <c r="H1004" s="206">
        <f t="shared" si="83"/>
        <v>0</v>
      </c>
      <c r="I1004" s="472"/>
      <c r="J1004" s="89"/>
      <c r="K1004" s="89"/>
    </row>
    <row r="1005" outlineLevel="2">
      <c r="A1005" s="422"/>
      <c r="B1005" s="472"/>
      <c r="C1005" s="230"/>
      <c r="D1005" s="246"/>
      <c r="E1005" s="437"/>
      <c r="F1005" s="170"/>
      <c r="G1005" s="239"/>
      <c r="H1005" s="239"/>
      <c r="I1005" s="240"/>
    </row>
    <row r="1006" outlineLevel="1">
      <c r="A1006" s="422"/>
      <c r="B1006" s="167"/>
      <c r="C1006" s="167"/>
      <c r="D1006" s="252"/>
      <c r="E1006" s="171"/>
      <c r="F1006" s="170"/>
      <c r="G1006" s="239"/>
      <c r="H1006" s="253"/>
      <c r="I1006" s="169"/>
    </row>
    <row r="1007">
      <c r="A1007" s="422"/>
      <c r="B1007" s="184"/>
      <c r="C1007" s="184">
        <v>10.0</v>
      </c>
      <c r="D1007" s="184" t="s">
        <v>380</v>
      </c>
      <c r="E1007" s="425"/>
      <c r="F1007" s="425"/>
      <c r="G1007" s="425"/>
      <c r="H1007" s="426">
        <f>SUM(H1011:H1391)</f>
        <v>268546.3846</v>
      </c>
      <c r="I1007" s="427">
        <f>H1007-'Orcamento RU'!C354</f>
        <v>-10792.7254</v>
      </c>
    </row>
    <row r="1008" outlineLevel="1">
      <c r="A1008" s="422"/>
      <c r="B1008" s="472"/>
      <c r="C1008" s="262"/>
      <c r="D1008" s="246"/>
      <c r="E1008" s="437"/>
      <c r="F1008" s="170"/>
      <c r="G1008" s="239"/>
      <c r="H1008" s="239"/>
      <c r="I1008" s="240"/>
    </row>
    <row r="1009" outlineLevel="1">
      <c r="A1009" s="422"/>
      <c r="B1009" s="472" t="s">
        <v>381</v>
      </c>
      <c r="C1009" s="482"/>
      <c r="D1009" s="435" t="s">
        <v>382</v>
      </c>
      <c r="E1009" s="431"/>
      <c r="F1009" s="432"/>
      <c r="G1009" s="436">
        <f>SUM(H1011:H1167)</f>
        <v>227119.1208</v>
      </c>
      <c r="H1009" s="434"/>
      <c r="I1009" s="240"/>
    </row>
    <row r="1010" outlineLevel="2">
      <c r="A1010" s="422"/>
      <c r="B1010" s="21"/>
      <c r="C1010" s="482"/>
      <c r="D1010" s="21"/>
      <c r="E1010" s="457"/>
      <c r="F1010" s="115"/>
      <c r="G1010" s="116"/>
      <c r="H1010" s="116"/>
      <c r="I1010" s="240"/>
    </row>
    <row r="1011" outlineLevel="2">
      <c r="A1011" s="422"/>
      <c r="B1011" s="472" t="s">
        <v>384</v>
      </c>
      <c r="C1011" s="284" t="s">
        <v>2266</v>
      </c>
      <c r="D1011" s="268" t="s">
        <v>385</v>
      </c>
      <c r="E1011" s="486"/>
      <c r="F1011" s="270"/>
      <c r="G1011" s="205"/>
      <c r="H1011" s="206"/>
      <c r="I1011" s="219"/>
    </row>
    <row r="1012" outlineLevel="3">
      <c r="A1012" s="422"/>
      <c r="B1012" s="428"/>
      <c r="C1012" s="451"/>
      <c r="D1012" s="428"/>
      <c r="E1012" s="431"/>
      <c r="F1012" s="432"/>
      <c r="G1012" s="434"/>
      <c r="H1012" s="434"/>
      <c r="I1012" s="240"/>
    </row>
    <row r="1013" outlineLevel="3">
      <c r="A1013" s="422"/>
      <c r="B1013" s="472" t="s">
        <v>386</v>
      </c>
      <c r="C1013" s="267" t="s">
        <v>2268</v>
      </c>
      <c r="D1013" s="268" t="s">
        <v>387</v>
      </c>
      <c r="E1013" s="486" t="s">
        <v>75</v>
      </c>
      <c r="F1013" s="270">
        <v>1.0</v>
      </c>
      <c r="G1013" s="205"/>
      <c r="H1013" s="206"/>
      <c r="I1013" s="219"/>
    </row>
    <row r="1014" outlineLevel="3">
      <c r="A1014" s="422"/>
      <c r="B1014" s="472"/>
      <c r="C1014" s="275"/>
      <c r="D1014" s="285"/>
      <c r="E1014" s="487"/>
      <c r="F1014" s="275"/>
      <c r="G1014" s="239"/>
      <c r="H1014" s="239"/>
      <c r="I1014" s="240"/>
    </row>
    <row r="1015" outlineLevel="3">
      <c r="A1015" s="422" t="str">
        <f>'Master List'!A607</f>
        <v>W-WIN-001</v>
      </c>
      <c r="B1015" s="472"/>
      <c r="C1015" s="198"/>
      <c r="D1015" s="462" t="str">
        <f>VLOOKUP(A1015,'Master List'!$A$1:$C$1192,2,FALSE)</f>
        <v>Монтаж вікна алюмінієвого розміром 1,10x2,88м </v>
      </c>
      <c r="E1015" s="463" t="str">
        <f>VLOOKUP(A1015,'Master List'!$A$1:$C$1192,3,FALSE)</f>
        <v>шт</v>
      </c>
      <c r="F1015" s="464">
        <v>1.0</v>
      </c>
      <c r="G1015" s="463">
        <f>VLOOKUP(A1015,'Master List'!$A$4:$F3694,5,FALSE)</f>
        <v>261.3</v>
      </c>
      <c r="H1015" s="206">
        <f t="shared" ref="H1015:H1018" si="84">G1015*F1015</f>
        <v>261.3</v>
      </c>
      <c r="I1015" s="240"/>
    </row>
    <row r="1016" outlineLevel="3">
      <c r="A1016" s="422" t="str">
        <f>'Master List'!A125</f>
        <v>M-WIN-001</v>
      </c>
      <c r="B1016" s="472"/>
      <c r="C1016" s="198"/>
      <c r="D1016" s="462" t="str">
        <f>VLOOKUP(A1016,'Master List'!$A$1:$C$1192,2,FALSE)</f>
        <v>Вікно алюмінієве розміром 1,10x2,88м VE 01.1</v>
      </c>
      <c r="E1016" s="463" t="str">
        <f>VLOOKUP(A1016,'Master List'!$A$1:$C$1192,3,FALSE)</f>
        <v>шт</v>
      </c>
      <c r="F1016" s="464">
        <v>1.0</v>
      </c>
      <c r="G1016" s="463">
        <f>VLOOKUP(A1016,'Master List'!$A$4:$F3695,5,FALSE)</f>
        <v>1647.1</v>
      </c>
      <c r="H1016" s="206">
        <f t="shared" si="84"/>
        <v>1647.1</v>
      </c>
      <c r="I1016" s="240"/>
    </row>
    <row r="1017" outlineLevel="3">
      <c r="A1017" s="422" t="str">
        <f>'Master List'!A165</f>
        <v>M-WIN-041</v>
      </c>
      <c r="B1017" s="472"/>
      <c r="C1017" s="198"/>
      <c r="D1017" s="462" t="str">
        <f>VLOOKUP(A1017,'Master List'!$A$1:$C$1192,2,FALSE)</f>
        <v>Кріплення для вікон і дверей</v>
      </c>
      <c r="E1017" s="463" t="str">
        <f>VLOOKUP(A1017,'Master List'!$A$1:$C$1192,3,FALSE)</f>
        <v>шт</v>
      </c>
      <c r="F1017" s="464">
        <f>8</f>
        <v>8</v>
      </c>
      <c r="G1017" s="463">
        <f>VLOOKUP(A1017,'Master List'!$A$4:$F3696,5,FALSE)</f>
        <v>0</v>
      </c>
      <c r="H1017" s="206">
        <f t="shared" si="84"/>
        <v>0</v>
      </c>
      <c r="I1017" s="240"/>
    </row>
    <row r="1018" outlineLevel="3">
      <c r="A1018" s="422" t="str">
        <f>'Master List'!A166</f>
        <v>M-WIN-042</v>
      </c>
      <c r="B1018" s="472"/>
      <c r="C1018" s="198"/>
      <c r="D1018" s="462" t="str">
        <f>VLOOKUP(A1018,'Master List'!$A$1:$C$1192,2,FALSE)</f>
        <v>Піна монтажна 0,75л</v>
      </c>
      <c r="E1018" s="463" t="str">
        <f>VLOOKUP(A1018,'Master List'!$A$1:$C$1192,3,FALSE)</f>
        <v>шт</v>
      </c>
      <c r="F1018" s="464">
        <v>0.3</v>
      </c>
      <c r="G1018" s="463">
        <f>VLOOKUP(A1018,'Master List'!$A$4:$F3697,5,FALSE)</f>
        <v>5.057</v>
      </c>
      <c r="H1018" s="206">
        <f t="shared" si="84"/>
        <v>1.5171</v>
      </c>
      <c r="I1018" s="240"/>
    </row>
    <row r="1019" outlineLevel="3">
      <c r="A1019" s="422"/>
      <c r="B1019" s="428"/>
      <c r="C1019" s="451"/>
      <c r="D1019" s="428"/>
      <c r="E1019" s="431"/>
      <c r="F1019" s="432"/>
      <c r="G1019" s="434"/>
      <c r="H1019" s="434"/>
      <c r="I1019" s="240"/>
    </row>
    <row r="1020" outlineLevel="3">
      <c r="A1020" s="422"/>
      <c r="B1020" s="472" t="s">
        <v>388</v>
      </c>
      <c r="C1020" s="267" t="s">
        <v>2270</v>
      </c>
      <c r="D1020" s="268" t="s">
        <v>389</v>
      </c>
      <c r="E1020" s="486" t="s">
        <v>75</v>
      </c>
      <c r="F1020" s="270">
        <v>1.0</v>
      </c>
      <c r="G1020" s="205"/>
      <c r="H1020" s="206"/>
      <c r="I1020" s="219"/>
    </row>
    <row r="1021" outlineLevel="3">
      <c r="A1021" s="422"/>
      <c r="B1021" s="472"/>
      <c r="C1021" s="275"/>
      <c r="D1021" s="285"/>
      <c r="E1021" s="487"/>
      <c r="F1021" s="275"/>
      <c r="G1021" s="239"/>
      <c r="H1021" s="239"/>
      <c r="I1021" s="240"/>
    </row>
    <row r="1022" outlineLevel="3">
      <c r="A1022" s="422" t="str">
        <f>'Master List'!A608</f>
        <v>W-WIN-002</v>
      </c>
      <c r="B1022" s="472"/>
      <c r="C1022" s="198"/>
      <c r="D1022" s="462" t="str">
        <f>VLOOKUP(A1022,'Master List'!$A$1:$C$1192,2,FALSE)</f>
        <v>Монтаж вікна алюмінієвого розміром 4,68x2,92м </v>
      </c>
      <c r="E1022" s="463" t="str">
        <f>VLOOKUP(A1022,'Master List'!$A$1:$C$1192,3,FALSE)</f>
        <v>шт</v>
      </c>
      <c r="F1022" s="464">
        <v>1.0</v>
      </c>
      <c r="G1022" s="463">
        <f>VLOOKUP(A1022,'Master List'!$A$4:$F3701,5,FALSE)</f>
        <v>980.2</v>
      </c>
      <c r="H1022" s="206">
        <f t="shared" ref="H1022:H1025" si="85">G1022*F1022</f>
        <v>980.2</v>
      </c>
      <c r="I1022" s="240"/>
    </row>
    <row r="1023" outlineLevel="3">
      <c r="A1023" s="422" t="str">
        <f>'Master List'!A126</f>
        <v>M-WIN-002</v>
      </c>
      <c r="B1023" s="472"/>
      <c r="C1023" s="198"/>
      <c r="D1023" s="462" t="str">
        <f>VLOOKUP(A1023,'Master List'!$A$1:$C$1192,2,FALSE)</f>
        <v>Вікно алюмінієве розміром 4,68x2,92м VE 01.2</v>
      </c>
      <c r="E1023" s="463" t="str">
        <f>VLOOKUP(A1023,'Master List'!$A$1:$C$1192,3,FALSE)</f>
        <v>шт</v>
      </c>
      <c r="F1023" s="464">
        <v>1.0</v>
      </c>
      <c r="G1023" s="463">
        <f>VLOOKUP(A1023,'Master List'!$A$4:$F3702,5,FALSE)</f>
        <v>10427.3</v>
      </c>
      <c r="H1023" s="206">
        <f t="shared" si="85"/>
        <v>10427.3</v>
      </c>
      <c r="I1023" s="240"/>
    </row>
    <row r="1024" outlineLevel="3">
      <c r="A1024" s="422" t="str">
        <f>'Master List'!A165</f>
        <v>M-WIN-041</v>
      </c>
      <c r="B1024" s="472"/>
      <c r="C1024" s="198"/>
      <c r="D1024" s="462" t="str">
        <f>VLOOKUP(A1024,'Master List'!$A$1:$C$1192,2,FALSE)</f>
        <v>Кріплення для вікон і дверей</v>
      </c>
      <c r="E1024" s="463" t="str">
        <f>VLOOKUP(A1024,'Master List'!$A$1:$C$1192,3,FALSE)</f>
        <v>шт</v>
      </c>
      <c r="F1024" s="464">
        <v>12.0</v>
      </c>
      <c r="G1024" s="463">
        <f>VLOOKUP(A1024,'Master List'!$A$4:$F3703,5,FALSE)</f>
        <v>0</v>
      </c>
      <c r="H1024" s="206">
        <f t="shared" si="85"/>
        <v>0</v>
      </c>
      <c r="I1024" s="240"/>
    </row>
    <row r="1025" outlineLevel="3">
      <c r="A1025" s="422" t="str">
        <f>'Master List'!A166</f>
        <v>M-WIN-042</v>
      </c>
      <c r="B1025" s="472"/>
      <c r="C1025" s="198"/>
      <c r="D1025" s="462" t="str">
        <f>VLOOKUP(A1025,'Master List'!$A$1:$C$1192,2,FALSE)</f>
        <v>Піна монтажна 0,75л</v>
      </c>
      <c r="E1025" s="463" t="str">
        <f>VLOOKUP(A1025,'Master List'!$A$1:$C$1192,3,FALSE)</f>
        <v>шт</v>
      </c>
      <c r="F1025" s="464">
        <v>0.5</v>
      </c>
      <c r="G1025" s="463">
        <f>VLOOKUP(A1025,'Master List'!$A$4:$F3704,5,FALSE)</f>
        <v>5.057</v>
      </c>
      <c r="H1025" s="206">
        <f t="shared" si="85"/>
        <v>2.5285</v>
      </c>
      <c r="I1025" s="240"/>
    </row>
    <row r="1026" outlineLevel="3">
      <c r="A1026" s="422"/>
      <c r="B1026" s="428"/>
      <c r="C1026" s="451"/>
      <c r="D1026" s="428"/>
      <c r="E1026" s="431"/>
      <c r="F1026" s="432"/>
      <c r="G1026" s="434"/>
      <c r="H1026" s="434"/>
      <c r="I1026" s="240"/>
    </row>
    <row r="1027" outlineLevel="3">
      <c r="A1027" s="422"/>
      <c r="B1027" s="472" t="s">
        <v>390</v>
      </c>
      <c r="C1027" s="267" t="s">
        <v>2272</v>
      </c>
      <c r="D1027" s="268" t="s">
        <v>391</v>
      </c>
      <c r="E1027" s="486" t="s">
        <v>75</v>
      </c>
      <c r="F1027" s="270">
        <v>1.0</v>
      </c>
      <c r="G1027" s="205"/>
      <c r="H1027" s="206"/>
      <c r="I1027" s="219"/>
    </row>
    <row r="1028" outlineLevel="3">
      <c r="A1028" s="422"/>
      <c r="B1028" s="472"/>
      <c r="C1028" s="275"/>
      <c r="D1028" s="285"/>
      <c r="E1028" s="487"/>
      <c r="F1028" s="275"/>
      <c r="G1028" s="239"/>
      <c r="H1028" s="239"/>
      <c r="I1028" s="240"/>
    </row>
    <row r="1029" outlineLevel="3">
      <c r="A1029" s="422" t="str">
        <f>'Master List'!A609</f>
        <v>W-WIN-003</v>
      </c>
      <c r="B1029" s="472"/>
      <c r="C1029" s="198"/>
      <c r="D1029" s="462" t="str">
        <f>VLOOKUP(A1029,'Master List'!$A$1:$C$1192,2,FALSE)</f>
        <v>Монтаж вікна алюмінієвого розміром 4,61x2,92м</v>
      </c>
      <c r="E1029" s="463" t="str">
        <f>VLOOKUP(A1029,'Master List'!$A$1:$C$1192,3,FALSE)</f>
        <v>шт</v>
      </c>
      <c r="F1029" s="464">
        <v>1.0</v>
      </c>
      <c r="G1029" s="463">
        <f>VLOOKUP(A1029,'Master List'!$A$4:$F3708,5,FALSE)</f>
        <v>964.6</v>
      </c>
      <c r="H1029" s="206">
        <f t="shared" ref="H1029:H1032" si="86">G1029*F1029</f>
        <v>964.6</v>
      </c>
      <c r="I1029" s="240"/>
    </row>
    <row r="1030" outlineLevel="3">
      <c r="A1030" s="422" t="str">
        <f>'Master List'!A127</f>
        <v>M-WIN-003</v>
      </c>
      <c r="B1030" s="472"/>
      <c r="C1030" s="198"/>
      <c r="D1030" s="462" t="str">
        <f>VLOOKUP(A1030,'Master List'!$A$1:$C$1192,2,FALSE)</f>
        <v>Вікно алюмінієве розміром 4,61x2,92м VE 01.3</v>
      </c>
      <c r="E1030" s="463" t="str">
        <f>VLOOKUP(A1030,'Master List'!$A$1:$C$1192,3,FALSE)</f>
        <v>шт</v>
      </c>
      <c r="F1030" s="464">
        <v>1.0</v>
      </c>
      <c r="G1030" s="463">
        <f>VLOOKUP(A1030,'Master List'!$A$4:$F3709,5,FALSE)</f>
        <v>10322</v>
      </c>
      <c r="H1030" s="206">
        <f t="shared" si="86"/>
        <v>10322</v>
      </c>
      <c r="I1030" s="240"/>
    </row>
    <row r="1031" outlineLevel="3">
      <c r="A1031" s="422" t="str">
        <f>'Master List'!A165</f>
        <v>M-WIN-041</v>
      </c>
      <c r="B1031" s="472"/>
      <c r="C1031" s="198"/>
      <c r="D1031" s="462" t="str">
        <f>VLOOKUP(A1031,'Master List'!$A$1:$C$1192,2,FALSE)</f>
        <v>Кріплення для вікон і дверей</v>
      </c>
      <c r="E1031" s="463" t="str">
        <f>VLOOKUP(A1031,'Master List'!$A$1:$C$1192,3,FALSE)</f>
        <v>шт</v>
      </c>
      <c r="F1031" s="464">
        <v>12.0</v>
      </c>
      <c r="G1031" s="463">
        <f>VLOOKUP(A1031,'Master List'!$A$4:$F3710,5,FALSE)</f>
        <v>0</v>
      </c>
      <c r="H1031" s="206">
        <f t="shared" si="86"/>
        <v>0</v>
      </c>
      <c r="I1031" s="240"/>
    </row>
    <row r="1032" outlineLevel="3">
      <c r="A1032" s="422" t="str">
        <f>'Master List'!A166</f>
        <v>M-WIN-042</v>
      </c>
      <c r="B1032" s="472"/>
      <c r="C1032" s="198"/>
      <c r="D1032" s="462" t="str">
        <f>VLOOKUP(A1032,'Master List'!$A$1:$C$1192,2,FALSE)</f>
        <v>Піна монтажна 0,75л</v>
      </c>
      <c r="E1032" s="463" t="str">
        <f>VLOOKUP(A1032,'Master List'!$A$1:$C$1192,3,FALSE)</f>
        <v>шт</v>
      </c>
      <c r="F1032" s="464">
        <v>0.5</v>
      </c>
      <c r="G1032" s="463">
        <f>VLOOKUP(A1032,'Master List'!$A$4:$F3711,5,FALSE)</f>
        <v>5.057</v>
      </c>
      <c r="H1032" s="206">
        <f t="shared" si="86"/>
        <v>2.5285</v>
      </c>
      <c r="I1032" s="240"/>
    </row>
    <row r="1033" outlineLevel="3">
      <c r="A1033" s="422"/>
      <c r="B1033" s="428"/>
      <c r="C1033" s="451"/>
      <c r="D1033" s="428"/>
      <c r="E1033" s="431"/>
      <c r="F1033" s="432"/>
      <c r="G1033" s="434"/>
      <c r="H1033" s="434"/>
      <c r="I1033" s="240"/>
    </row>
    <row r="1034" outlineLevel="3">
      <c r="A1034" s="422"/>
      <c r="B1034" s="472" t="s">
        <v>392</v>
      </c>
      <c r="C1034" s="267" t="s">
        <v>2274</v>
      </c>
      <c r="D1034" s="268" t="s">
        <v>393</v>
      </c>
      <c r="E1034" s="486" t="s">
        <v>75</v>
      </c>
      <c r="F1034" s="270">
        <v>1.0</v>
      </c>
      <c r="G1034" s="205"/>
      <c r="H1034" s="206"/>
      <c r="I1034" s="219"/>
    </row>
    <row r="1035" outlineLevel="3">
      <c r="A1035" s="422"/>
      <c r="B1035" s="472"/>
      <c r="C1035" s="275"/>
      <c r="D1035" s="285"/>
      <c r="E1035" s="487"/>
      <c r="F1035" s="275"/>
      <c r="G1035" s="239"/>
      <c r="H1035" s="239"/>
      <c r="I1035" s="240"/>
    </row>
    <row r="1036" outlineLevel="3">
      <c r="A1036" s="422" t="str">
        <f>'Master List'!A610</f>
        <v>W-WIN-004</v>
      </c>
      <c r="B1036" s="472"/>
      <c r="C1036" s="198"/>
      <c r="D1036" s="462" t="str">
        <f>VLOOKUP(A1036,'Master List'!$A$1:$C$1192,2,FALSE)</f>
        <v>Монтаж вікна алюмінієвого розміром 3,04x2,92м</v>
      </c>
      <c r="E1036" s="463" t="str">
        <f>VLOOKUP(A1036,'Master List'!$A$1:$C$1192,3,FALSE)</f>
        <v>шт</v>
      </c>
      <c r="F1036" s="464">
        <v>1.0</v>
      </c>
      <c r="G1036" s="463">
        <f>VLOOKUP(A1036,'Master List'!$A$4:$F3715,5,FALSE)</f>
        <v>637</v>
      </c>
      <c r="H1036" s="206">
        <f t="shared" ref="H1036:H1039" si="87">G1036*F1036</f>
        <v>637</v>
      </c>
      <c r="I1036" s="240"/>
    </row>
    <row r="1037" outlineLevel="3">
      <c r="A1037" s="422" t="str">
        <f>'Master List'!A128</f>
        <v>M-WIN-004</v>
      </c>
      <c r="B1037" s="472"/>
      <c r="C1037" s="198"/>
      <c r="D1037" s="462" t="str">
        <f>VLOOKUP(A1037,'Master List'!$A$1:$C$1192,2,FALSE)</f>
        <v>Вікно алюмінієве розміром 3,04x2,92м VE 01.4</v>
      </c>
      <c r="E1037" s="463" t="str">
        <f>VLOOKUP(A1037,'Master List'!$A$1:$C$1192,3,FALSE)</f>
        <v>шт</v>
      </c>
      <c r="F1037" s="464">
        <v>1.0</v>
      </c>
      <c r="G1037" s="463">
        <f>VLOOKUP(A1037,'Master List'!$A$4:$F3716,5,FALSE)</f>
        <v>7572.5</v>
      </c>
      <c r="H1037" s="206">
        <f t="shared" si="87"/>
        <v>7572.5</v>
      </c>
      <c r="I1037" s="240"/>
    </row>
    <row r="1038" outlineLevel="3">
      <c r="A1038" s="422" t="str">
        <f>'Master List'!A165</f>
        <v>M-WIN-041</v>
      </c>
      <c r="B1038" s="472"/>
      <c r="C1038" s="198"/>
      <c r="D1038" s="462" t="str">
        <f>VLOOKUP(A1038,'Master List'!$A$1:$C$1192,2,FALSE)</f>
        <v>Кріплення для вікон і дверей</v>
      </c>
      <c r="E1038" s="463" t="str">
        <f>VLOOKUP(A1038,'Master List'!$A$1:$C$1192,3,FALSE)</f>
        <v>шт</v>
      </c>
      <c r="F1038" s="464">
        <v>10.0</v>
      </c>
      <c r="G1038" s="463">
        <f>VLOOKUP(A1038,'Master List'!$A$4:$F3717,5,FALSE)</f>
        <v>0</v>
      </c>
      <c r="H1038" s="206">
        <f t="shared" si="87"/>
        <v>0</v>
      </c>
      <c r="I1038" s="240"/>
    </row>
    <row r="1039" outlineLevel="3">
      <c r="A1039" s="422" t="str">
        <f>'Master List'!A166</f>
        <v>M-WIN-042</v>
      </c>
      <c r="B1039" s="472"/>
      <c r="C1039" s="198"/>
      <c r="D1039" s="462" t="str">
        <f>VLOOKUP(A1039,'Master List'!$A$1:$C$1192,2,FALSE)</f>
        <v>Піна монтажна 0,75л</v>
      </c>
      <c r="E1039" s="463" t="str">
        <f>VLOOKUP(A1039,'Master List'!$A$1:$C$1192,3,FALSE)</f>
        <v>шт</v>
      </c>
      <c r="F1039" s="464">
        <v>0.5</v>
      </c>
      <c r="G1039" s="463">
        <f>VLOOKUP(A1039,'Master List'!$A$4:$F3718,5,FALSE)</f>
        <v>5.057</v>
      </c>
      <c r="H1039" s="206">
        <f t="shared" si="87"/>
        <v>2.5285</v>
      </c>
      <c r="I1039" s="240"/>
    </row>
    <row r="1040" outlineLevel="3">
      <c r="A1040" s="422"/>
      <c r="B1040" s="428"/>
      <c r="C1040" s="451"/>
      <c r="D1040" s="428"/>
      <c r="E1040" s="431"/>
      <c r="F1040" s="432"/>
      <c r="G1040" s="434"/>
      <c r="H1040" s="434"/>
      <c r="I1040" s="240"/>
    </row>
    <row r="1041" outlineLevel="3">
      <c r="A1041" s="422"/>
      <c r="B1041" s="472" t="s">
        <v>394</v>
      </c>
      <c r="C1041" s="267" t="s">
        <v>2276</v>
      </c>
      <c r="D1041" s="268" t="s">
        <v>395</v>
      </c>
      <c r="E1041" s="486" t="s">
        <v>75</v>
      </c>
      <c r="F1041" s="270">
        <v>1.0</v>
      </c>
      <c r="G1041" s="205"/>
      <c r="H1041" s="206"/>
      <c r="I1041" s="219"/>
    </row>
    <row r="1042" outlineLevel="3">
      <c r="A1042" s="422"/>
      <c r="B1042" s="472"/>
      <c r="C1042" s="275"/>
      <c r="D1042" s="285"/>
      <c r="E1042" s="487"/>
      <c r="F1042" s="275"/>
      <c r="G1042" s="239"/>
      <c r="H1042" s="239"/>
      <c r="I1042" s="240"/>
    </row>
    <row r="1043" outlineLevel="3">
      <c r="A1043" s="422" t="str">
        <f>'Master List'!A611</f>
        <v>W-WIN-005</v>
      </c>
      <c r="B1043" s="472"/>
      <c r="C1043" s="198"/>
      <c r="D1043" s="462" t="str">
        <f>VLOOKUP(A1043,'Master List'!$A$1:$C$1192,2,FALSE)</f>
        <v>Монтаж вікна алюмінієвого розміром 5,93x2,92м </v>
      </c>
      <c r="E1043" s="463" t="str">
        <f>VLOOKUP(A1043,'Master List'!$A$1:$C$1192,3,FALSE)</f>
        <v>шт</v>
      </c>
      <c r="F1043" s="464">
        <v>1.0</v>
      </c>
      <c r="G1043" s="463">
        <f>VLOOKUP(A1043,'Master List'!$A$4:$F3722,5,FALSE)</f>
        <v>1242.8</v>
      </c>
      <c r="H1043" s="206">
        <f t="shared" ref="H1043:H1046" si="88">G1043*F1043</f>
        <v>1242.8</v>
      </c>
      <c r="I1043" s="240"/>
    </row>
    <row r="1044" outlineLevel="3">
      <c r="A1044" s="422" t="str">
        <f>'Master List'!A129</f>
        <v>M-WIN-005</v>
      </c>
      <c r="B1044" s="472"/>
      <c r="C1044" s="198"/>
      <c r="D1044" s="462" t="str">
        <f>VLOOKUP(A1044,'Master List'!$A$1:$C$1192,2,FALSE)</f>
        <v>Вікно алюмінієве розміром 5,93x2,92м VE 01.5</v>
      </c>
      <c r="E1044" s="463" t="str">
        <f>VLOOKUP(A1044,'Master List'!$A$1:$C$1192,3,FALSE)</f>
        <v>шт</v>
      </c>
      <c r="F1044" s="464">
        <v>1.0</v>
      </c>
      <c r="G1044" s="463">
        <f>VLOOKUP(A1044,'Master List'!$A$4:$F3723,5,FALSE)</f>
        <v>14873.3</v>
      </c>
      <c r="H1044" s="206">
        <f t="shared" si="88"/>
        <v>14873.3</v>
      </c>
      <c r="I1044" s="240"/>
    </row>
    <row r="1045" outlineLevel="3">
      <c r="A1045" s="422" t="str">
        <f>'Master List'!A165</f>
        <v>M-WIN-041</v>
      </c>
      <c r="B1045" s="472"/>
      <c r="C1045" s="198"/>
      <c r="D1045" s="462" t="str">
        <f>VLOOKUP(A1045,'Master List'!$A$1:$C$1192,2,FALSE)</f>
        <v>Кріплення для вікон і дверей</v>
      </c>
      <c r="E1045" s="463" t="str">
        <f>VLOOKUP(A1045,'Master List'!$A$1:$C$1192,3,FALSE)</f>
        <v>шт</v>
      </c>
      <c r="F1045" s="464">
        <v>16.0</v>
      </c>
      <c r="G1045" s="463">
        <f>VLOOKUP(A1045,'Master List'!$A$4:$F3724,5,FALSE)</f>
        <v>0</v>
      </c>
      <c r="H1045" s="206">
        <f t="shared" si="88"/>
        <v>0</v>
      </c>
      <c r="I1045" s="240"/>
    </row>
    <row r="1046" outlineLevel="3">
      <c r="A1046" s="422" t="str">
        <f>'Master List'!A166</f>
        <v>M-WIN-042</v>
      </c>
      <c r="B1046" s="472"/>
      <c r="C1046" s="198"/>
      <c r="D1046" s="462" t="str">
        <f>VLOOKUP(A1046,'Master List'!$A$1:$C$1192,2,FALSE)</f>
        <v>Піна монтажна 0,75л</v>
      </c>
      <c r="E1046" s="463" t="str">
        <f>VLOOKUP(A1046,'Master List'!$A$1:$C$1192,3,FALSE)</f>
        <v>шт</v>
      </c>
      <c r="F1046" s="464">
        <v>1.0</v>
      </c>
      <c r="G1046" s="463">
        <f>VLOOKUP(A1046,'Master List'!$A$4:$F3725,5,FALSE)</f>
        <v>5.057</v>
      </c>
      <c r="H1046" s="206">
        <f t="shared" si="88"/>
        <v>5.057</v>
      </c>
      <c r="I1046" s="240"/>
    </row>
    <row r="1047" outlineLevel="3">
      <c r="A1047" s="422"/>
      <c r="B1047" s="428"/>
      <c r="C1047" s="451"/>
      <c r="D1047" s="428"/>
      <c r="E1047" s="431"/>
      <c r="F1047" s="432"/>
      <c r="G1047" s="434"/>
      <c r="H1047" s="434"/>
      <c r="I1047" s="240"/>
    </row>
    <row r="1048" outlineLevel="3">
      <c r="A1048" s="422"/>
      <c r="B1048" s="472" t="s">
        <v>396</v>
      </c>
      <c r="C1048" s="267" t="s">
        <v>2278</v>
      </c>
      <c r="D1048" s="268" t="s">
        <v>397</v>
      </c>
      <c r="E1048" s="486" t="s">
        <v>75</v>
      </c>
      <c r="F1048" s="270">
        <v>1.0</v>
      </c>
      <c r="G1048" s="205"/>
      <c r="H1048" s="206"/>
      <c r="I1048" s="219"/>
    </row>
    <row r="1049" outlineLevel="3">
      <c r="A1049" s="422"/>
      <c r="B1049" s="472"/>
      <c r="C1049" s="275"/>
      <c r="D1049" s="285"/>
      <c r="E1049" s="487"/>
      <c r="F1049" s="275"/>
      <c r="G1049" s="239"/>
      <c r="H1049" s="239"/>
      <c r="I1049" s="240"/>
    </row>
    <row r="1050" outlineLevel="3">
      <c r="A1050" s="422" t="str">
        <f>'Master List'!A612</f>
        <v>W-WIN-006</v>
      </c>
      <c r="B1050" s="472"/>
      <c r="C1050" s="198"/>
      <c r="D1050" s="462" t="str">
        <f>VLOOKUP(A1050,'Master List'!$A$1:$C$1192,2,FALSE)</f>
        <v>Монтаж вікна алюмінієвого розміром 6,19x2,92м</v>
      </c>
      <c r="E1050" s="463" t="str">
        <f>VLOOKUP(A1050,'Master List'!$A$1:$C$1192,3,FALSE)</f>
        <v>шт</v>
      </c>
      <c r="F1050" s="464">
        <v>1.0</v>
      </c>
      <c r="G1050" s="463">
        <f>VLOOKUP(A1050,'Master List'!$A$4:$F3729,5,FALSE)</f>
        <v>1297.4</v>
      </c>
      <c r="H1050" s="206">
        <f t="shared" ref="H1050:H1053" si="89">G1050*F1050</f>
        <v>1297.4</v>
      </c>
      <c r="I1050" s="240"/>
    </row>
    <row r="1051" outlineLevel="3">
      <c r="A1051" s="422" t="str">
        <f>'Master List'!A130</f>
        <v>M-WIN-006</v>
      </c>
      <c r="B1051" s="472"/>
      <c r="C1051" s="198"/>
      <c r="D1051" s="462" t="str">
        <f>VLOOKUP(A1051,'Master List'!$A$1:$C$1192,2,FALSE)</f>
        <v>Вікно алюмінієве розміром 6,19x2,92м VE 01.6</v>
      </c>
      <c r="E1051" s="463" t="str">
        <f>VLOOKUP(A1051,'Master List'!$A$1:$C$1192,3,FALSE)</f>
        <v>шт</v>
      </c>
      <c r="F1051" s="464">
        <v>1.0</v>
      </c>
      <c r="G1051" s="463">
        <f>VLOOKUP(A1051,'Master List'!$A$4:$F3730,5,FALSE)</f>
        <v>14747.2</v>
      </c>
      <c r="H1051" s="206">
        <f t="shared" si="89"/>
        <v>14747.2</v>
      </c>
      <c r="I1051" s="240"/>
    </row>
    <row r="1052" outlineLevel="3">
      <c r="A1052" s="422" t="str">
        <f>'Master List'!A165</f>
        <v>M-WIN-041</v>
      </c>
      <c r="B1052" s="472"/>
      <c r="C1052" s="198"/>
      <c r="D1052" s="462" t="str">
        <f>VLOOKUP(A1052,'Master List'!$A$1:$C$1192,2,FALSE)</f>
        <v>Кріплення для вікон і дверей</v>
      </c>
      <c r="E1052" s="463" t="str">
        <f>VLOOKUP(A1052,'Master List'!$A$1:$C$1192,3,FALSE)</f>
        <v>шт</v>
      </c>
      <c r="F1052" s="464">
        <v>16.0</v>
      </c>
      <c r="G1052" s="463">
        <f>VLOOKUP(A1052,'Master List'!$A$4:$F3731,5,FALSE)</f>
        <v>0</v>
      </c>
      <c r="H1052" s="206">
        <f t="shared" si="89"/>
        <v>0</v>
      </c>
      <c r="I1052" s="240"/>
    </row>
    <row r="1053" outlineLevel="3">
      <c r="A1053" s="422" t="str">
        <f>'Master List'!A166</f>
        <v>M-WIN-042</v>
      </c>
      <c r="B1053" s="472"/>
      <c r="C1053" s="198"/>
      <c r="D1053" s="462" t="str">
        <f>VLOOKUP(A1053,'Master List'!$A$1:$C$1192,2,FALSE)</f>
        <v>Піна монтажна 0,75л</v>
      </c>
      <c r="E1053" s="463" t="str">
        <f>VLOOKUP(A1053,'Master List'!$A$1:$C$1192,3,FALSE)</f>
        <v>шт</v>
      </c>
      <c r="F1053" s="464">
        <v>1.0</v>
      </c>
      <c r="G1053" s="463">
        <f>VLOOKUP(A1053,'Master List'!$A$4:$F3732,5,FALSE)</f>
        <v>5.057</v>
      </c>
      <c r="H1053" s="206">
        <f t="shared" si="89"/>
        <v>5.057</v>
      </c>
      <c r="I1053" s="240"/>
    </row>
    <row r="1054" outlineLevel="3">
      <c r="A1054" s="422"/>
      <c r="B1054" s="428"/>
      <c r="C1054" s="451"/>
      <c r="D1054" s="428"/>
      <c r="E1054" s="431"/>
      <c r="F1054" s="432"/>
      <c r="G1054" s="434"/>
      <c r="H1054" s="434"/>
      <c r="I1054" s="240"/>
    </row>
    <row r="1055" outlineLevel="3">
      <c r="A1055" s="422"/>
      <c r="B1055" s="472" t="s">
        <v>398</v>
      </c>
      <c r="C1055" s="267" t="s">
        <v>2280</v>
      </c>
      <c r="D1055" s="268" t="s">
        <v>399</v>
      </c>
      <c r="E1055" s="486" t="s">
        <v>75</v>
      </c>
      <c r="F1055" s="270">
        <v>1.0</v>
      </c>
      <c r="G1055" s="205"/>
      <c r="H1055" s="206"/>
      <c r="I1055" s="219"/>
    </row>
    <row r="1056" outlineLevel="3">
      <c r="A1056" s="422"/>
      <c r="B1056" s="472"/>
      <c r="C1056" s="275"/>
      <c r="D1056" s="285"/>
      <c r="E1056" s="487"/>
      <c r="F1056" s="275"/>
      <c r="G1056" s="239"/>
      <c r="H1056" s="239"/>
      <c r="I1056" s="240"/>
    </row>
    <row r="1057" outlineLevel="3">
      <c r="A1057" s="422" t="str">
        <f>'Master List'!A613</f>
        <v>W-WIN-007</v>
      </c>
      <c r="B1057" s="472"/>
      <c r="C1057" s="198"/>
      <c r="D1057" s="462" t="str">
        <f>VLOOKUP(A1057,'Master List'!$A$1:$C$1192,2,FALSE)</f>
        <v>Монтаж вікна алюмінієвого розміром 4,94x2,92м</v>
      </c>
      <c r="E1057" s="463" t="str">
        <f>VLOOKUP(A1057,'Master List'!$A$1:$C$1192,3,FALSE)</f>
        <v>шт</v>
      </c>
      <c r="F1057" s="464">
        <v>1.0</v>
      </c>
      <c r="G1057" s="463">
        <f>VLOOKUP(A1057,'Master List'!$A$4:$F3736,5,FALSE)</f>
        <v>1034.8</v>
      </c>
      <c r="H1057" s="206">
        <f t="shared" ref="H1057:H1060" si="90">G1057*F1057</f>
        <v>1034.8</v>
      </c>
      <c r="I1057" s="240"/>
    </row>
    <row r="1058" outlineLevel="3">
      <c r="A1058" s="422" t="str">
        <f>'Master List'!A131</f>
        <v>M-WIN-007</v>
      </c>
      <c r="B1058" s="472"/>
      <c r="C1058" s="198"/>
      <c r="D1058" s="462" t="str">
        <f>VLOOKUP(A1058,'Master List'!$A$1:$C$1192,2,FALSE)</f>
        <v>Вікно алюмінієве розміром 4,94x2,92м VE 01.7</v>
      </c>
      <c r="E1058" s="463" t="str">
        <f>VLOOKUP(A1058,'Master List'!$A$1:$C$1192,3,FALSE)</f>
        <v>шт</v>
      </c>
      <c r="F1058" s="464">
        <v>1.0</v>
      </c>
      <c r="G1058" s="463">
        <f>VLOOKUP(A1058,'Master List'!$A$4:$F3737,5,FALSE)</f>
        <v>11193</v>
      </c>
      <c r="H1058" s="206">
        <f t="shared" si="90"/>
        <v>11193</v>
      </c>
      <c r="I1058" s="240"/>
    </row>
    <row r="1059" outlineLevel="3">
      <c r="A1059" s="422" t="str">
        <f>'Master List'!A165</f>
        <v>M-WIN-041</v>
      </c>
      <c r="B1059" s="472"/>
      <c r="C1059" s="198"/>
      <c r="D1059" s="462" t="str">
        <f>VLOOKUP(A1059,'Master List'!$A$1:$C$1192,2,FALSE)</f>
        <v>Кріплення для вікон і дверей</v>
      </c>
      <c r="E1059" s="463" t="str">
        <f>VLOOKUP(A1059,'Master List'!$A$1:$C$1192,3,FALSE)</f>
        <v>шт</v>
      </c>
      <c r="F1059" s="464">
        <v>12.0</v>
      </c>
      <c r="G1059" s="463">
        <f>VLOOKUP(A1059,'Master List'!$A$4:$F3738,5,FALSE)</f>
        <v>0</v>
      </c>
      <c r="H1059" s="206">
        <f t="shared" si="90"/>
        <v>0</v>
      </c>
      <c r="I1059" s="240"/>
    </row>
    <row r="1060" outlineLevel="3">
      <c r="A1060" s="422" t="str">
        <f>'Master List'!A166</f>
        <v>M-WIN-042</v>
      </c>
      <c r="B1060" s="472"/>
      <c r="C1060" s="198"/>
      <c r="D1060" s="462" t="str">
        <f>VLOOKUP(A1060,'Master List'!$A$1:$C$1192,2,FALSE)</f>
        <v>Піна монтажна 0,75л</v>
      </c>
      <c r="E1060" s="463" t="str">
        <f>VLOOKUP(A1060,'Master List'!$A$1:$C$1192,3,FALSE)</f>
        <v>шт</v>
      </c>
      <c r="F1060" s="464">
        <v>0.5</v>
      </c>
      <c r="G1060" s="463">
        <f>VLOOKUP(A1060,'Master List'!$A$4:$F3739,5,FALSE)</f>
        <v>5.057</v>
      </c>
      <c r="H1060" s="206">
        <f t="shared" si="90"/>
        <v>2.5285</v>
      </c>
      <c r="I1060" s="240"/>
    </row>
    <row r="1061" outlineLevel="3">
      <c r="A1061" s="422"/>
      <c r="B1061" s="428"/>
      <c r="C1061" s="451"/>
      <c r="D1061" s="428"/>
      <c r="E1061" s="431"/>
      <c r="F1061" s="432"/>
      <c r="G1061" s="434"/>
      <c r="H1061" s="434"/>
      <c r="I1061" s="240"/>
    </row>
    <row r="1062" outlineLevel="3">
      <c r="A1062" s="422"/>
      <c r="B1062" s="472" t="s">
        <v>400</v>
      </c>
      <c r="C1062" s="267" t="s">
        <v>2282</v>
      </c>
      <c r="D1062" s="268" t="s">
        <v>401</v>
      </c>
      <c r="E1062" s="486" t="s">
        <v>75</v>
      </c>
      <c r="F1062" s="270">
        <v>1.0</v>
      </c>
      <c r="G1062" s="205"/>
      <c r="H1062" s="206"/>
      <c r="I1062" s="219"/>
    </row>
    <row r="1063" outlineLevel="3">
      <c r="A1063" s="422"/>
      <c r="B1063" s="472"/>
      <c r="C1063" s="275"/>
      <c r="D1063" s="285"/>
      <c r="E1063" s="487"/>
      <c r="F1063" s="275"/>
      <c r="G1063" s="239"/>
      <c r="H1063" s="239"/>
      <c r="I1063" s="240"/>
    </row>
    <row r="1064" outlineLevel="3">
      <c r="A1064" s="422" t="str">
        <f>'Master List'!A614</f>
        <v>W-WIN-008</v>
      </c>
      <c r="B1064" s="472"/>
      <c r="C1064" s="198"/>
      <c r="D1064" s="462" t="str">
        <f>VLOOKUP(A1064,'Master List'!$A$1:$C$1192,2,FALSE)</f>
        <v>Монтаж вікна алюмінієвого розміром 7,18x2,92м</v>
      </c>
      <c r="E1064" s="463" t="str">
        <f>VLOOKUP(A1064,'Master List'!$A$1:$C$1192,3,FALSE)</f>
        <v>шт</v>
      </c>
      <c r="F1064" s="464">
        <v>1.0</v>
      </c>
      <c r="G1064" s="463">
        <f>VLOOKUP(A1064,'Master List'!$A$4:$F3743,5,FALSE)</f>
        <v>1504.1</v>
      </c>
      <c r="H1064" s="206">
        <f t="shared" ref="H1064:H1067" si="91">G1064*F1064</f>
        <v>1504.1</v>
      </c>
      <c r="I1064" s="240"/>
    </row>
    <row r="1065" outlineLevel="3">
      <c r="A1065" s="422" t="str">
        <f>'Master List'!A132</f>
        <v>M-WIN-008</v>
      </c>
      <c r="B1065" s="472"/>
      <c r="C1065" s="198"/>
      <c r="D1065" s="462" t="str">
        <f>VLOOKUP(A1065,'Master List'!$A$1:$C$1192,2,FALSE)</f>
        <v>Вікно алюмінієве розміром 7,18x2,92м VE 01.8</v>
      </c>
      <c r="E1065" s="463" t="str">
        <f>VLOOKUP(A1065,'Master List'!$A$1:$C$1192,3,FALSE)</f>
        <v>шт</v>
      </c>
      <c r="F1065" s="464">
        <v>1.0</v>
      </c>
      <c r="G1065" s="463">
        <f>VLOOKUP(A1065,'Master List'!$A$4:$F3744,5,FALSE)</f>
        <v>17923.1</v>
      </c>
      <c r="H1065" s="206">
        <f t="shared" si="91"/>
        <v>17923.1</v>
      </c>
      <c r="I1065" s="240"/>
    </row>
    <row r="1066" outlineLevel="3">
      <c r="A1066" s="422" t="str">
        <f>'Master List'!A165</f>
        <v>M-WIN-041</v>
      </c>
      <c r="B1066" s="472"/>
      <c r="C1066" s="198"/>
      <c r="D1066" s="462" t="str">
        <f>VLOOKUP(A1066,'Master List'!$A$1:$C$1192,2,FALSE)</f>
        <v>Кріплення для вікон і дверей</v>
      </c>
      <c r="E1066" s="463" t="str">
        <f>VLOOKUP(A1066,'Master List'!$A$1:$C$1192,3,FALSE)</f>
        <v>шт</v>
      </c>
      <c r="F1066" s="464">
        <v>20.0</v>
      </c>
      <c r="G1066" s="463">
        <f>VLOOKUP(A1066,'Master List'!$A$4:$F3745,5,FALSE)</f>
        <v>0</v>
      </c>
      <c r="H1066" s="206">
        <f t="shared" si="91"/>
        <v>0</v>
      </c>
      <c r="I1066" s="240"/>
    </row>
    <row r="1067" outlineLevel="3">
      <c r="A1067" s="422" t="str">
        <f>'Master List'!A166</f>
        <v>M-WIN-042</v>
      </c>
      <c r="B1067" s="472"/>
      <c r="C1067" s="198"/>
      <c r="D1067" s="462" t="str">
        <f>VLOOKUP(A1067,'Master List'!$A$1:$C$1192,2,FALSE)</f>
        <v>Піна монтажна 0,75л</v>
      </c>
      <c r="E1067" s="463" t="str">
        <f>VLOOKUP(A1067,'Master List'!$A$1:$C$1192,3,FALSE)</f>
        <v>шт</v>
      </c>
      <c r="F1067" s="464">
        <v>1.0</v>
      </c>
      <c r="G1067" s="463">
        <f>VLOOKUP(A1067,'Master List'!$A$4:$F3746,5,FALSE)</f>
        <v>5.057</v>
      </c>
      <c r="H1067" s="206">
        <f t="shared" si="91"/>
        <v>5.057</v>
      </c>
      <c r="I1067" s="240"/>
    </row>
    <row r="1068" outlineLevel="3">
      <c r="A1068" s="422"/>
      <c r="B1068" s="428"/>
      <c r="C1068" s="451"/>
      <c r="D1068" s="428"/>
      <c r="E1068" s="431"/>
      <c r="F1068" s="432"/>
      <c r="G1068" s="434"/>
      <c r="H1068" s="434"/>
      <c r="I1068" s="240"/>
    </row>
    <row r="1069" outlineLevel="3">
      <c r="A1069" s="422"/>
      <c r="B1069" s="472" t="s">
        <v>402</v>
      </c>
      <c r="C1069" s="267" t="s">
        <v>2284</v>
      </c>
      <c r="D1069" s="268" t="s">
        <v>403</v>
      </c>
      <c r="E1069" s="486" t="s">
        <v>75</v>
      </c>
      <c r="F1069" s="270">
        <v>1.0</v>
      </c>
      <c r="G1069" s="205"/>
      <c r="H1069" s="206"/>
      <c r="I1069" s="219"/>
    </row>
    <row r="1070" outlineLevel="3">
      <c r="A1070" s="422"/>
      <c r="B1070" s="472"/>
      <c r="C1070" s="275"/>
      <c r="D1070" s="285"/>
      <c r="E1070" s="487"/>
      <c r="F1070" s="275"/>
      <c r="G1070" s="239"/>
      <c r="H1070" s="239"/>
      <c r="I1070" s="240"/>
    </row>
    <row r="1071" outlineLevel="3">
      <c r="A1071" s="422" t="str">
        <f>'Master List'!A615</f>
        <v>W-WIN-009</v>
      </c>
      <c r="B1071" s="472"/>
      <c r="C1071" s="198"/>
      <c r="D1071" s="462" t="str">
        <f>VLOOKUP(A1071,'Master List'!$A$1:$C$1192,2,FALSE)</f>
        <v>Монтаж вікна алюмінієвого розміром 7,24x2,94м</v>
      </c>
      <c r="E1071" s="463" t="str">
        <f>VLOOKUP(A1071,'Master List'!$A$1:$C$1192,3,FALSE)</f>
        <v>шт</v>
      </c>
      <c r="F1071" s="464">
        <v>1.0</v>
      </c>
      <c r="G1071" s="463">
        <f>VLOOKUP(A1071,'Master List'!$A$4:$F3750,5,FALSE)</f>
        <v>1526.2</v>
      </c>
      <c r="H1071" s="206">
        <f t="shared" ref="H1071:H1074" si="92">G1071*F1071</f>
        <v>1526.2</v>
      </c>
      <c r="I1071" s="240"/>
    </row>
    <row r="1072" outlineLevel="3">
      <c r="A1072" s="422" t="str">
        <f>'Master List'!A133</f>
        <v>M-WIN-009</v>
      </c>
      <c r="B1072" s="472"/>
      <c r="C1072" s="198"/>
      <c r="D1072" s="462" t="str">
        <f>VLOOKUP(A1072,'Master List'!$A$1:$C$1192,2,FALSE)</f>
        <v>Вікно алюмінієве розміром 7,24x2,94м VE 00.1</v>
      </c>
      <c r="E1072" s="463" t="str">
        <f>VLOOKUP(A1072,'Master List'!$A$1:$C$1192,3,FALSE)</f>
        <v>шт</v>
      </c>
      <c r="F1072" s="464">
        <v>1.0</v>
      </c>
      <c r="G1072" s="463">
        <f>VLOOKUP(A1072,'Master List'!$A$4:$F3751,5,FALSE)</f>
        <v>16703.7</v>
      </c>
      <c r="H1072" s="206">
        <f t="shared" si="92"/>
        <v>16703.7</v>
      </c>
      <c r="I1072" s="240"/>
    </row>
    <row r="1073" outlineLevel="3">
      <c r="A1073" s="422" t="str">
        <f>'Master List'!A165</f>
        <v>M-WIN-041</v>
      </c>
      <c r="B1073" s="472"/>
      <c r="C1073" s="198"/>
      <c r="D1073" s="462" t="str">
        <f>VLOOKUP(A1073,'Master List'!$A$1:$C$1192,2,FALSE)</f>
        <v>Кріплення для вікон і дверей</v>
      </c>
      <c r="E1073" s="463" t="str">
        <f>VLOOKUP(A1073,'Master List'!$A$1:$C$1192,3,FALSE)</f>
        <v>шт</v>
      </c>
      <c r="F1073" s="464">
        <v>20.0</v>
      </c>
      <c r="G1073" s="463">
        <f>VLOOKUP(A1073,'Master List'!$A$4:$F3752,5,FALSE)</f>
        <v>0</v>
      </c>
      <c r="H1073" s="206">
        <f t="shared" si="92"/>
        <v>0</v>
      </c>
      <c r="I1073" s="240"/>
    </row>
    <row r="1074" outlineLevel="3">
      <c r="A1074" s="422" t="str">
        <f>'Master List'!A166</f>
        <v>M-WIN-042</v>
      </c>
      <c r="B1074" s="472"/>
      <c r="C1074" s="198"/>
      <c r="D1074" s="462" t="str">
        <f>VLOOKUP(A1074,'Master List'!$A$1:$C$1192,2,FALSE)</f>
        <v>Піна монтажна 0,75л</v>
      </c>
      <c r="E1074" s="463" t="str">
        <f>VLOOKUP(A1074,'Master List'!$A$1:$C$1192,3,FALSE)</f>
        <v>шт</v>
      </c>
      <c r="F1074" s="464">
        <v>1.0</v>
      </c>
      <c r="G1074" s="463">
        <f>VLOOKUP(A1074,'Master List'!$A$4:$F3753,5,FALSE)</f>
        <v>5.057</v>
      </c>
      <c r="H1074" s="206">
        <f t="shared" si="92"/>
        <v>5.057</v>
      </c>
      <c r="I1074" s="240"/>
    </row>
    <row r="1075" outlineLevel="3">
      <c r="A1075" s="422"/>
      <c r="B1075" s="428"/>
      <c r="C1075" s="451"/>
      <c r="D1075" s="428"/>
      <c r="E1075" s="431"/>
      <c r="F1075" s="432"/>
      <c r="G1075" s="434"/>
      <c r="H1075" s="434"/>
      <c r="I1075" s="240"/>
    </row>
    <row r="1076" outlineLevel="3">
      <c r="A1076" s="422"/>
      <c r="B1076" s="472" t="s">
        <v>404</v>
      </c>
      <c r="C1076" s="267" t="s">
        <v>2286</v>
      </c>
      <c r="D1076" s="268" t="s">
        <v>405</v>
      </c>
      <c r="E1076" s="486" t="s">
        <v>75</v>
      </c>
      <c r="F1076" s="270">
        <v>1.0</v>
      </c>
      <c r="G1076" s="205"/>
      <c r="H1076" s="206"/>
      <c r="I1076" s="219"/>
    </row>
    <row r="1077" outlineLevel="3">
      <c r="A1077" s="422"/>
      <c r="B1077" s="472"/>
      <c r="C1077" s="275"/>
      <c r="D1077" s="285"/>
      <c r="E1077" s="487"/>
      <c r="F1077" s="275"/>
      <c r="G1077" s="239"/>
      <c r="H1077" s="239"/>
      <c r="I1077" s="240"/>
    </row>
    <row r="1078" outlineLevel="3">
      <c r="A1078" s="422" t="str">
        <f>'Master List'!A616</f>
        <v>W-WIN-010</v>
      </c>
      <c r="B1078" s="472"/>
      <c r="C1078" s="198"/>
      <c r="D1078" s="462" t="str">
        <f>VLOOKUP(A1078,'Master List'!$A$1:$C$1192,2,FALSE)</f>
        <v>Монтаж вікна алюмінієвого розміром 2,23x2,94м</v>
      </c>
      <c r="E1078" s="463" t="str">
        <f>VLOOKUP(A1078,'Master List'!$A$1:$C$1192,3,FALSE)</f>
        <v>шт</v>
      </c>
      <c r="F1078" s="464">
        <v>1.0</v>
      </c>
      <c r="G1078" s="463">
        <f>VLOOKUP(A1078,'Master List'!$A$4:$F3757,5,FALSE)</f>
        <v>470.6</v>
      </c>
      <c r="H1078" s="206">
        <f t="shared" ref="H1078:H1081" si="93">G1078*F1078</f>
        <v>470.6</v>
      </c>
      <c r="I1078" s="240"/>
    </row>
    <row r="1079" outlineLevel="3">
      <c r="A1079" s="422" t="str">
        <f>'Master List'!A134</f>
        <v>M-WIN-010</v>
      </c>
      <c r="B1079" s="472"/>
      <c r="C1079" s="198"/>
      <c r="D1079" s="462" t="str">
        <f>VLOOKUP(A1079,'Master List'!$A$1:$C$1192,2,FALSE)</f>
        <v>Вікно алюмінієве розміром 2,23x2,94м VE 00.2</v>
      </c>
      <c r="E1079" s="463" t="str">
        <f>VLOOKUP(A1079,'Master List'!$A$1:$C$1192,3,FALSE)</f>
        <v>шт</v>
      </c>
      <c r="F1079" s="464">
        <v>1.0</v>
      </c>
      <c r="G1079" s="463">
        <f>VLOOKUP(A1079,'Master List'!$A$4:$F3758,5,FALSE)</f>
        <v>7699.9</v>
      </c>
      <c r="H1079" s="206">
        <f t="shared" si="93"/>
        <v>7699.9</v>
      </c>
      <c r="I1079" s="240"/>
    </row>
    <row r="1080" outlineLevel="3">
      <c r="A1080" s="422" t="str">
        <f>'Master List'!A165</f>
        <v>M-WIN-041</v>
      </c>
      <c r="B1080" s="472"/>
      <c r="C1080" s="198"/>
      <c r="D1080" s="462" t="str">
        <f>VLOOKUP(A1080,'Master List'!$A$1:$C$1192,2,FALSE)</f>
        <v>Кріплення для вікон і дверей</v>
      </c>
      <c r="E1080" s="463" t="str">
        <f>VLOOKUP(A1080,'Master List'!$A$1:$C$1192,3,FALSE)</f>
        <v>шт</v>
      </c>
      <c r="F1080" s="464">
        <v>10.0</v>
      </c>
      <c r="G1080" s="463">
        <f>VLOOKUP(A1080,'Master List'!$A$4:$F3759,5,FALSE)</f>
        <v>0</v>
      </c>
      <c r="H1080" s="206">
        <f t="shared" si="93"/>
        <v>0</v>
      </c>
      <c r="I1080" s="240"/>
    </row>
    <row r="1081" outlineLevel="3">
      <c r="A1081" s="422" t="str">
        <f>'Master List'!A166</f>
        <v>M-WIN-042</v>
      </c>
      <c r="B1081" s="472"/>
      <c r="C1081" s="198"/>
      <c r="D1081" s="462" t="str">
        <f>VLOOKUP(A1081,'Master List'!$A$1:$C$1192,2,FALSE)</f>
        <v>Піна монтажна 0,75л</v>
      </c>
      <c r="E1081" s="463" t="str">
        <f>VLOOKUP(A1081,'Master List'!$A$1:$C$1192,3,FALSE)</f>
        <v>шт</v>
      </c>
      <c r="F1081" s="464">
        <v>0.5</v>
      </c>
      <c r="G1081" s="463">
        <f>VLOOKUP(A1081,'Master List'!$A$4:$F3760,5,FALSE)</f>
        <v>5.057</v>
      </c>
      <c r="H1081" s="206">
        <f t="shared" si="93"/>
        <v>2.5285</v>
      </c>
      <c r="I1081" s="240"/>
    </row>
    <row r="1082" outlineLevel="3">
      <c r="A1082" s="422"/>
      <c r="B1082" s="428"/>
      <c r="C1082" s="451"/>
      <c r="D1082" s="428"/>
      <c r="E1082" s="431"/>
      <c r="F1082" s="432"/>
      <c r="G1082" s="434"/>
      <c r="H1082" s="434"/>
      <c r="I1082" s="240"/>
    </row>
    <row r="1083" outlineLevel="3">
      <c r="A1083" s="422"/>
      <c r="B1083" s="472" t="s">
        <v>406</v>
      </c>
      <c r="C1083" s="267" t="s">
        <v>2288</v>
      </c>
      <c r="D1083" s="268" t="s">
        <v>407</v>
      </c>
      <c r="E1083" s="486" t="s">
        <v>75</v>
      </c>
      <c r="F1083" s="270">
        <v>1.0</v>
      </c>
      <c r="G1083" s="205"/>
      <c r="H1083" s="206"/>
      <c r="I1083" s="219"/>
    </row>
    <row r="1084" outlineLevel="3">
      <c r="A1084" s="422"/>
      <c r="B1084" s="472"/>
      <c r="C1084" s="275"/>
      <c r="D1084" s="285"/>
      <c r="E1084" s="487"/>
      <c r="F1084" s="275"/>
      <c r="G1084" s="239"/>
      <c r="H1084" s="239"/>
      <c r="I1084" s="240"/>
    </row>
    <row r="1085" outlineLevel="3">
      <c r="A1085" s="422" t="str">
        <f>'Master List'!A617</f>
        <v>W-WIN-011</v>
      </c>
      <c r="B1085" s="472"/>
      <c r="C1085" s="198"/>
      <c r="D1085" s="462" t="str">
        <f>VLOOKUP(A1085,'Master List'!$A$1:$C$1192,2,FALSE)</f>
        <v>Монтаж вікна алюмінієвого розміром 2,15x2,89м</v>
      </c>
      <c r="E1085" s="463" t="str">
        <f>VLOOKUP(A1085,'Master List'!$A$1:$C$1192,3,FALSE)</f>
        <v>шт</v>
      </c>
      <c r="F1085" s="464">
        <v>1.0</v>
      </c>
      <c r="G1085" s="463">
        <f>VLOOKUP(A1085,'Master List'!$A$4:$F3764,5,FALSE)</f>
        <v>445.9</v>
      </c>
      <c r="H1085" s="206">
        <f t="shared" ref="H1085:H1088" si="94">G1085*F1085</f>
        <v>445.9</v>
      </c>
      <c r="I1085" s="240"/>
    </row>
    <row r="1086" outlineLevel="3">
      <c r="A1086" s="422" t="str">
        <f>'Master List'!A135</f>
        <v>M-WIN-011</v>
      </c>
      <c r="B1086" s="472"/>
      <c r="C1086" s="198"/>
      <c r="D1086" s="462" t="str">
        <f>VLOOKUP(A1086,'Master List'!$A$1:$C$1192,2,FALSE)</f>
        <v>Вікно алюмінієве розміром 2,15x2,89м VE 00.3</v>
      </c>
      <c r="E1086" s="463" t="str">
        <f>VLOOKUP(A1086,'Master List'!$A$1:$C$1192,3,FALSE)</f>
        <v>шт</v>
      </c>
      <c r="F1086" s="464">
        <v>1.0</v>
      </c>
      <c r="G1086" s="463">
        <f>VLOOKUP(A1086,'Master List'!$A$4:$F3765,5,FALSE)</f>
        <v>2610.4</v>
      </c>
      <c r="H1086" s="206">
        <f t="shared" si="94"/>
        <v>2610.4</v>
      </c>
      <c r="I1086" s="240"/>
    </row>
    <row r="1087" outlineLevel="3">
      <c r="A1087" s="422" t="str">
        <f>'Master List'!A165</f>
        <v>M-WIN-041</v>
      </c>
      <c r="B1087" s="472"/>
      <c r="C1087" s="198"/>
      <c r="D1087" s="462" t="str">
        <f>VLOOKUP(A1087,'Master List'!$A$1:$C$1192,2,FALSE)</f>
        <v>Кріплення для вікон і дверей</v>
      </c>
      <c r="E1087" s="463" t="str">
        <f>VLOOKUP(A1087,'Master List'!$A$1:$C$1192,3,FALSE)</f>
        <v>шт</v>
      </c>
      <c r="F1087" s="464">
        <v>8.0</v>
      </c>
      <c r="G1087" s="463">
        <f>VLOOKUP(A1087,'Master List'!$A$4:$F3766,5,FALSE)</f>
        <v>0</v>
      </c>
      <c r="H1087" s="206">
        <f t="shared" si="94"/>
        <v>0</v>
      </c>
      <c r="I1087" s="240"/>
    </row>
    <row r="1088" outlineLevel="3">
      <c r="A1088" s="422" t="str">
        <f>'Master List'!A166</f>
        <v>M-WIN-042</v>
      </c>
      <c r="B1088" s="472"/>
      <c r="C1088" s="198"/>
      <c r="D1088" s="462" t="str">
        <f>VLOOKUP(A1088,'Master List'!$A$1:$C$1192,2,FALSE)</f>
        <v>Піна монтажна 0,75л</v>
      </c>
      <c r="E1088" s="463" t="str">
        <f>VLOOKUP(A1088,'Master List'!$A$1:$C$1192,3,FALSE)</f>
        <v>шт</v>
      </c>
      <c r="F1088" s="464">
        <v>0.3</v>
      </c>
      <c r="G1088" s="463">
        <f>VLOOKUP(A1088,'Master List'!$A$4:$F3767,5,FALSE)</f>
        <v>5.057</v>
      </c>
      <c r="H1088" s="206">
        <f t="shared" si="94"/>
        <v>1.5171</v>
      </c>
      <c r="I1088" s="240"/>
    </row>
    <row r="1089" outlineLevel="3">
      <c r="A1089" s="422"/>
      <c r="B1089" s="428"/>
      <c r="C1089" s="451"/>
      <c r="D1089" s="428"/>
      <c r="E1089" s="431"/>
      <c r="F1089" s="432"/>
      <c r="G1089" s="434"/>
      <c r="H1089" s="434"/>
      <c r="I1089" s="240"/>
    </row>
    <row r="1090" outlineLevel="3">
      <c r="A1090" s="422"/>
      <c r="B1090" s="472" t="s">
        <v>408</v>
      </c>
      <c r="C1090" s="267" t="s">
        <v>2290</v>
      </c>
      <c r="D1090" s="268" t="s">
        <v>409</v>
      </c>
      <c r="E1090" s="486" t="s">
        <v>75</v>
      </c>
      <c r="F1090" s="270">
        <v>1.0</v>
      </c>
      <c r="G1090" s="205"/>
      <c r="H1090" s="206"/>
      <c r="I1090" s="219"/>
    </row>
    <row r="1091" outlineLevel="3">
      <c r="A1091" s="422"/>
      <c r="B1091" s="472"/>
      <c r="C1091" s="275"/>
      <c r="D1091" s="285"/>
      <c r="E1091" s="487"/>
      <c r="F1091" s="275"/>
      <c r="G1091" s="239"/>
      <c r="H1091" s="239"/>
      <c r="I1091" s="240"/>
    </row>
    <row r="1092" outlineLevel="3">
      <c r="A1092" s="422" t="str">
        <f>'Master List'!A618</f>
        <v>W-WIN-012</v>
      </c>
      <c r="B1092" s="472"/>
      <c r="C1092" s="198"/>
      <c r="D1092" s="462" t="str">
        <f>VLOOKUP(A1092,'Master List'!$A$1:$C$1192,2,FALSE)</f>
        <v>Монтаж вікна алюмінієвого розміром 2,58x2,92м</v>
      </c>
      <c r="E1092" s="463" t="str">
        <f>VLOOKUP(A1092,'Master List'!$A$1:$C$1192,3,FALSE)</f>
        <v>шт</v>
      </c>
      <c r="F1092" s="464">
        <v>1.0</v>
      </c>
      <c r="G1092" s="463">
        <f>VLOOKUP(A1092,'Master List'!$A$4:$F3771,5,FALSE)</f>
        <v>540.8</v>
      </c>
      <c r="H1092" s="206">
        <f t="shared" ref="H1092:H1095" si="95">G1092*F1092</f>
        <v>540.8</v>
      </c>
      <c r="I1092" s="240"/>
    </row>
    <row r="1093" outlineLevel="3">
      <c r="A1093" s="422" t="str">
        <f>'Master List'!A136</f>
        <v>M-WIN-012</v>
      </c>
      <c r="B1093" s="472"/>
      <c r="C1093" s="198"/>
      <c r="D1093" s="462" t="str">
        <f>VLOOKUP(A1093,'Master List'!$A$1:$C$1192,2,FALSE)</f>
        <v>Вікно алюмінієве розміром 2,58x2,92м VE 00.4</v>
      </c>
      <c r="E1093" s="463" t="str">
        <f>VLOOKUP(A1093,'Master List'!$A$1:$C$1192,3,FALSE)</f>
        <v>шт</v>
      </c>
      <c r="F1093" s="464">
        <v>1.0</v>
      </c>
      <c r="G1093" s="463">
        <f>VLOOKUP(A1093,'Master List'!$A$4:$F3772,5,FALSE)</f>
        <v>3386.5</v>
      </c>
      <c r="H1093" s="206">
        <f t="shared" si="95"/>
        <v>3386.5</v>
      </c>
      <c r="I1093" s="240"/>
    </row>
    <row r="1094" outlineLevel="3">
      <c r="A1094" s="422" t="str">
        <f>'Master List'!A165</f>
        <v>M-WIN-041</v>
      </c>
      <c r="B1094" s="472"/>
      <c r="C1094" s="198"/>
      <c r="D1094" s="462" t="str">
        <f>VLOOKUP(A1094,'Master List'!$A$1:$C$1192,2,FALSE)</f>
        <v>Кріплення для вікон і дверей</v>
      </c>
      <c r="E1094" s="463" t="str">
        <f>VLOOKUP(A1094,'Master List'!$A$1:$C$1192,3,FALSE)</f>
        <v>шт</v>
      </c>
      <c r="F1094" s="464">
        <v>10.0</v>
      </c>
      <c r="G1094" s="463">
        <f>VLOOKUP(A1094,'Master List'!$A$4:$F3773,5,FALSE)</f>
        <v>0</v>
      </c>
      <c r="H1094" s="206">
        <f t="shared" si="95"/>
        <v>0</v>
      </c>
      <c r="I1094" s="240"/>
    </row>
    <row r="1095" outlineLevel="3">
      <c r="A1095" s="422" t="str">
        <f>'Master List'!A166</f>
        <v>M-WIN-042</v>
      </c>
      <c r="B1095" s="472"/>
      <c r="C1095" s="198"/>
      <c r="D1095" s="462" t="str">
        <f>VLOOKUP(A1095,'Master List'!$A$1:$C$1192,2,FALSE)</f>
        <v>Піна монтажна 0,75л</v>
      </c>
      <c r="E1095" s="463" t="str">
        <f>VLOOKUP(A1095,'Master List'!$A$1:$C$1192,3,FALSE)</f>
        <v>шт</v>
      </c>
      <c r="F1095" s="464">
        <v>0.5</v>
      </c>
      <c r="G1095" s="463">
        <f>VLOOKUP(A1095,'Master List'!$A$4:$F3774,5,FALSE)</f>
        <v>5.057</v>
      </c>
      <c r="H1095" s="206">
        <f t="shared" si="95"/>
        <v>2.5285</v>
      </c>
      <c r="I1095" s="240"/>
    </row>
    <row r="1096" outlineLevel="3">
      <c r="A1096" s="422"/>
      <c r="B1096" s="428"/>
      <c r="C1096" s="451"/>
      <c r="D1096" s="428"/>
      <c r="E1096" s="431"/>
      <c r="F1096" s="432"/>
      <c r="G1096" s="434"/>
      <c r="H1096" s="434"/>
      <c r="I1096" s="240"/>
    </row>
    <row r="1097" outlineLevel="3">
      <c r="A1097" s="422"/>
      <c r="B1097" s="472" t="s">
        <v>410</v>
      </c>
      <c r="C1097" s="267" t="s">
        <v>2292</v>
      </c>
      <c r="D1097" s="268" t="s">
        <v>411</v>
      </c>
      <c r="E1097" s="486" t="s">
        <v>75</v>
      </c>
      <c r="F1097" s="270">
        <v>1.0</v>
      </c>
      <c r="G1097" s="205"/>
      <c r="H1097" s="206"/>
      <c r="I1097" s="219"/>
    </row>
    <row r="1098" outlineLevel="3">
      <c r="A1098" s="422"/>
      <c r="B1098" s="472"/>
      <c r="C1098" s="275"/>
      <c r="D1098" s="285"/>
      <c r="E1098" s="487"/>
      <c r="F1098" s="275"/>
      <c r="G1098" s="239"/>
      <c r="H1098" s="239"/>
      <c r="I1098" s="240"/>
    </row>
    <row r="1099" outlineLevel="3">
      <c r="A1099" s="422" t="str">
        <f>'Master List'!A619</f>
        <v>W-WIN-013</v>
      </c>
      <c r="B1099" s="472"/>
      <c r="C1099" s="198"/>
      <c r="D1099" s="462" t="str">
        <f>VLOOKUP(A1099,'Master List'!$A$1:$C$1192,2,FALSE)</f>
        <v>Монтаж вікна алюмінієвого розміром 17,33x2,94м</v>
      </c>
      <c r="E1099" s="463" t="str">
        <f>VLOOKUP(A1099,'Master List'!$A$1:$C$1192,3,FALSE)</f>
        <v>шт</v>
      </c>
      <c r="F1099" s="464">
        <v>1.0</v>
      </c>
      <c r="G1099" s="463">
        <f>VLOOKUP(A1099,'Master List'!$A$4:$F3778,5,FALSE)</f>
        <v>3655.6</v>
      </c>
      <c r="H1099" s="206">
        <f t="shared" ref="H1099:H1102" si="96">G1099*F1099</f>
        <v>3655.6</v>
      </c>
      <c r="I1099" s="240"/>
    </row>
    <row r="1100" outlineLevel="3">
      <c r="A1100" s="422" t="str">
        <f>'Master List'!A137</f>
        <v>M-WIN-013</v>
      </c>
      <c r="B1100" s="472"/>
      <c r="C1100" s="198"/>
      <c r="D1100" s="462" t="str">
        <f>VLOOKUP(A1100,'Master List'!$A$1:$C$1192,2,FALSE)</f>
        <v>Вікно алюмінієве розміром 17,33x2,94м VE 00.6</v>
      </c>
      <c r="E1100" s="463" t="str">
        <f>VLOOKUP(A1100,'Master List'!$A$1:$C$1192,3,FALSE)</f>
        <v>шт</v>
      </c>
      <c r="F1100" s="464">
        <v>1.0</v>
      </c>
      <c r="G1100" s="463">
        <f>VLOOKUP(A1100,'Master List'!$A$4:$F3779,5,FALSE)</f>
        <v>41824.9</v>
      </c>
      <c r="H1100" s="206">
        <f t="shared" si="96"/>
        <v>41824.9</v>
      </c>
      <c r="I1100" s="240"/>
    </row>
    <row r="1101" outlineLevel="3">
      <c r="A1101" s="422" t="str">
        <f>'Master List'!A165</f>
        <v>M-WIN-041</v>
      </c>
      <c r="B1101" s="472"/>
      <c r="C1101" s="198"/>
      <c r="D1101" s="462" t="str">
        <f>VLOOKUP(A1101,'Master List'!$A$1:$C$1192,2,FALSE)</f>
        <v>Кріплення для вікон і дверей</v>
      </c>
      <c r="E1101" s="463" t="str">
        <f>VLOOKUP(A1101,'Master List'!$A$1:$C$1192,3,FALSE)</f>
        <v>шт</v>
      </c>
      <c r="F1101" s="464">
        <v>40.0</v>
      </c>
      <c r="G1101" s="463">
        <f>VLOOKUP(A1101,'Master List'!$A$4:$F3780,5,FALSE)</f>
        <v>0</v>
      </c>
      <c r="H1101" s="206">
        <f t="shared" si="96"/>
        <v>0</v>
      </c>
      <c r="I1101" s="240"/>
    </row>
    <row r="1102" outlineLevel="3">
      <c r="A1102" s="422" t="str">
        <f>'Master List'!A166</f>
        <v>M-WIN-042</v>
      </c>
      <c r="B1102" s="472"/>
      <c r="C1102" s="198"/>
      <c r="D1102" s="462" t="str">
        <f>VLOOKUP(A1102,'Master List'!$A$1:$C$1192,2,FALSE)</f>
        <v>Піна монтажна 0,75л</v>
      </c>
      <c r="E1102" s="463" t="str">
        <f>VLOOKUP(A1102,'Master List'!$A$1:$C$1192,3,FALSE)</f>
        <v>шт</v>
      </c>
      <c r="F1102" s="464">
        <v>3.0</v>
      </c>
      <c r="G1102" s="463">
        <f>VLOOKUP(A1102,'Master List'!$A$4:$F3781,5,FALSE)</f>
        <v>5.057</v>
      </c>
      <c r="H1102" s="206">
        <f t="shared" si="96"/>
        <v>15.171</v>
      </c>
      <c r="I1102" s="240"/>
    </row>
    <row r="1103" outlineLevel="3">
      <c r="A1103" s="422"/>
      <c r="B1103" s="428"/>
      <c r="C1103" s="451"/>
      <c r="D1103" s="428"/>
      <c r="E1103" s="431"/>
      <c r="F1103" s="432"/>
      <c r="G1103" s="434"/>
      <c r="H1103" s="434"/>
      <c r="I1103" s="240"/>
    </row>
    <row r="1104" outlineLevel="3">
      <c r="A1104" s="422"/>
      <c r="B1104" s="472" t="s">
        <v>412</v>
      </c>
      <c r="C1104" s="267" t="s">
        <v>2294</v>
      </c>
      <c r="D1104" s="268" t="s">
        <v>413</v>
      </c>
      <c r="E1104" s="486" t="s">
        <v>75</v>
      </c>
      <c r="F1104" s="270">
        <v>1.0</v>
      </c>
      <c r="G1104" s="205"/>
      <c r="H1104" s="206"/>
      <c r="I1104" s="219"/>
    </row>
    <row r="1105" outlineLevel="3">
      <c r="A1105" s="422"/>
      <c r="B1105" s="472"/>
      <c r="C1105" s="275"/>
      <c r="D1105" s="285"/>
      <c r="E1105" s="487"/>
      <c r="F1105" s="275"/>
      <c r="G1105" s="239"/>
      <c r="H1105" s="239"/>
      <c r="I1105" s="240"/>
    </row>
    <row r="1106" outlineLevel="3">
      <c r="A1106" s="422" t="str">
        <f>'Master List'!A620</f>
        <v>W-WIN-014</v>
      </c>
      <c r="B1106" s="472"/>
      <c r="C1106" s="198"/>
      <c r="D1106" s="462" t="str">
        <f>VLOOKUP(A1106,'Master List'!$A$1:$C$1192,2,FALSE)</f>
        <v>Монтаж вікна алюмінієвого розміром 4,74x2,94м</v>
      </c>
      <c r="E1106" s="463" t="str">
        <f>VLOOKUP(A1106,'Master List'!$A$1:$C$1192,3,FALSE)</f>
        <v>шт</v>
      </c>
      <c r="F1106" s="464">
        <v>1.0</v>
      </c>
      <c r="G1106" s="463">
        <f>VLOOKUP(A1106,'Master List'!$A$4:$F3785,5,FALSE)</f>
        <v>999.7</v>
      </c>
      <c r="H1106" s="206">
        <f t="shared" ref="H1106:H1109" si="97">G1106*F1106</f>
        <v>999.7</v>
      </c>
      <c r="I1106" s="240"/>
    </row>
    <row r="1107" outlineLevel="3">
      <c r="A1107" s="422" t="str">
        <f>'Master List'!A138</f>
        <v>M-WIN-014</v>
      </c>
      <c r="B1107" s="472"/>
      <c r="C1107" s="198"/>
      <c r="D1107" s="462" t="str">
        <f>VLOOKUP(A1107,'Master List'!$A$1:$C$1192,2,FALSE)</f>
        <v>Вікно алюмінієве розміром 4,74x2,94м VE 00.7</v>
      </c>
      <c r="E1107" s="463" t="str">
        <f>VLOOKUP(A1107,'Master List'!$A$1:$C$1192,3,FALSE)</f>
        <v>шт</v>
      </c>
      <c r="F1107" s="464">
        <v>1.0</v>
      </c>
      <c r="G1107" s="463">
        <f>VLOOKUP(A1107,'Master List'!$A$4:$F3786,5,FALSE)</f>
        <v>10604.1</v>
      </c>
      <c r="H1107" s="206">
        <f t="shared" si="97"/>
        <v>10604.1</v>
      </c>
      <c r="I1107" s="240"/>
    </row>
    <row r="1108" outlineLevel="3">
      <c r="A1108" s="422" t="str">
        <f>'Master List'!A165</f>
        <v>M-WIN-041</v>
      </c>
      <c r="B1108" s="472"/>
      <c r="C1108" s="198"/>
      <c r="D1108" s="462" t="str">
        <f>VLOOKUP(A1108,'Master List'!$A$1:$C$1192,2,FALSE)</f>
        <v>Кріплення для вікон і дверей</v>
      </c>
      <c r="E1108" s="463" t="str">
        <f>VLOOKUP(A1108,'Master List'!$A$1:$C$1192,3,FALSE)</f>
        <v>шт</v>
      </c>
      <c r="F1108" s="464">
        <v>12.0</v>
      </c>
      <c r="G1108" s="463">
        <f>VLOOKUP(A1108,'Master List'!$A$4:$F3787,5,FALSE)</f>
        <v>0</v>
      </c>
      <c r="H1108" s="206">
        <f t="shared" si="97"/>
        <v>0</v>
      </c>
      <c r="I1108" s="240"/>
    </row>
    <row r="1109" outlineLevel="3">
      <c r="A1109" s="422" t="str">
        <f>'Master List'!A166</f>
        <v>M-WIN-042</v>
      </c>
      <c r="B1109" s="472"/>
      <c r="C1109" s="198"/>
      <c r="D1109" s="462" t="str">
        <f>VLOOKUP(A1109,'Master List'!$A$1:$C$1192,2,FALSE)</f>
        <v>Піна монтажна 0,75л</v>
      </c>
      <c r="E1109" s="463" t="str">
        <f>VLOOKUP(A1109,'Master List'!$A$1:$C$1192,3,FALSE)</f>
        <v>шт</v>
      </c>
      <c r="F1109" s="464">
        <v>0.5</v>
      </c>
      <c r="G1109" s="463">
        <f>VLOOKUP(A1109,'Master List'!$A$4:$F3788,5,FALSE)</f>
        <v>5.057</v>
      </c>
      <c r="H1109" s="206">
        <f t="shared" si="97"/>
        <v>2.5285</v>
      </c>
      <c r="I1109" s="240"/>
    </row>
    <row r="1110" outlineLevel="3">
      <c r="A1110" s="422"/>
      <c r="B1110" s="428"/>
      <c r="C1110" s="451"/>
      <c r="D1110" s="428"/>
      <c r="E1110" s="431"/>
      <c r="F1110" s="432"/>
      <c r="G1110" s="434"/>
      <c r="H1110" s="434"/>
      <c r="I1110" s="240"/>
    </row>
    <row r="1111" outlineLevel="3">
      <c r="A1111" s="422"/>
      <c r="B1111" s="472" t="s">
        <v>414</v>
      </c>
      <c r="C1111" s="267" t="s">
        <v>2296</v>
      </c>
      <c r="D1111" s="268" t="s">
        <v>415</v>
      </c>
      <c r="E1111" s="486" t="s">
        <v>75</v>
      </c>
      <c r="F1111" s="270">
        <v>1.0</v>
      </c>
      <c r="G1111" s="205"/>
      <c r="H1111" s="206"/>
      <c r="I1111" s="219"/>
    </row>
    <row r="1112" outlineLevel="3">
      <c r="A1112" s="422"/>
      <c r="B1112" s="472"/>
      <c r="C1112" s="275"/>
      <c r="D1112" s="285"/>
      <c r="E1112" s="487"/>
      <c r="F1112" s="275"/>
      <c r="G1112" s="239"/>
      <c r="H1112" s="239"/>
      <c r="I1112" s="240"/>
    </row>
    <row r="1113" outlineLevel="3">
      <c r="A1113" s="422" t="str">
        <f>'Master List'!A621</f>
        <v>W-WIN-015</v>
      </c>
      <c r="B1113" s="472"/>
      <c r="C1113" s="198"/>
      <c r="D1113" s="462" t="str">
        <f>VLOOKUP(A1113,'Master List'!$A$1:$C$1192,2,FALSE)</f>
        <v>Монтаж вікна алюмінієвого розміром 1,98x2,94м</v>
      </c>
      <c r="E1113" s="463" t="str">
        <f>VLOOKUP(A1113,'Master List'!$A$1:$C$1192,3,FALSE)</f>
        <v>шт</v>
      </c>
      <c r="F1113" s="464">
        <v>1.0</v>
      </c>
      <c r="G1113" s="463">
        <f>VLOOKUP(A1113,'Master List'!$A$4:$F3792,5,FALSE)</f>
        <v>378.3</v>
      </c>
      <c r="H1113" s="206">
        <f t="shared" ref="H1113:H1116" si="98">G1113*F1113</f>
        <v>378.3</v>
      </c>
      <c r="I1113" s="240"/>
    </row>
    <row r="1114" outlineLevel="3">
      <c r="A1114" s="422" t="str">
        <f>'Master List'!A139</f>
        <v>M-WIN-015</v>
      </c>
      <c r="B1114" s="472"/>
      <c r="C1114" s="198"/>
      <c r="D1114" s="462" t="str">
        <f>VLOOKUP(A1114,'Master List'!$A$1:$C$1192,2,FALSE)</f>
        <v>Вікно алюмінієве розміром 1,98x2,94м VE 00.8</v>
      </c>
      <c r="E1114" s="463" t="str">
        <f>VLOOKUP(A1114,'Master List'!$A$1:$C$1192,3,FALSE)</f>
        <v>шт</v>
      </c>
      <c r="F1114" s="464">
        <v>1.0</v>
      </c>
      <c r="G1114" s="463">
        <f>VLOOKUP(A1114,'Master List'!$A$4:$F3793,5,FALSE)</f>
        <v>7902.7</v>
      </c>
      <c r="H1114" s="206">
        <f t="shared" si="98"/>
        <v>7902.7</v>
      </c>
      <c r="I1114" s="240"/>
    </row>
    <row r="1115" outlineLevel="3">
      <c r="A1115" s="422" t="str">
        <f>'Master List'!A165</f>
        <v>M-WIN-041</v>
      </c>
      <c r="B1115" s="472"/>
      <c r="C1115" s="198"/>
      <c r="D1115" s="462" t="str">
        <f>VLOOKUP(A1115,'Master List'!$A$1:$C$1192,2,FALSE)</f>
        <v>Кріплення для вікон і дверей</v>
      </c>
      <c r="E1115" s="463" t="str">
        <f>VLOOKUP(A1115,'Master List'!$A$1:$C$1192,3,FALSE)</f>
        <v>шт</v>
      </c>
      <c r="F1115" s="464">
        <v>8.0</v>
      </c>
      <c r="G1115" s="463">
        <f>VLOOKUP(A1115,'Master List'!$A$4:$F3794,5,FALSE)</f>
        <v>0</v>
      </c>
      <c r="H1115" s="206">
        <f t="shared" si="98"/>
        <v>0</v>
      </c>
      <c r="I1115" s="240"/>
    </row>
    <row r="1116" outlineLevel="3">
      <c r="A1116" s="422" t="str">
        <f>'Master List'!A166</f>
        <v>M-WIN-042</v>
      </c>
      <c r="B1116" s="472"/>
      <c r="C1116" s="198"/>
      <c r="D1116" s="462" t="str">
        <f>VLOOKUP(A1116,'Master List'!$A$1:$C$1192,2,FALSE)</f>
        <v>Піна монтажна 0,75л</v>
      </c>
      <c r="E1116" s="463" t="str">
        <f>VLOOKUP(A1116,'Master List'!$A$1:$C$1192,3,FALSE)</f>
        <v>шт</v>
      </c>
      <c r="F1116" s="464">
        <v>0.3</v>
      </c>
      <c r="G1116" s="463">
        <f>VLOOKUP(A1116,'Master List'!$A$4:$F3795,5,FALSE)</f>
        <v>5.057</v>
      </c>
      <c r="H1116" s="206">
        <f t="shared" si="98"/>
        <v>1.5171</v>
      </c>
      <c r="I1116" s="240"/>
    </row>
    <row r="1117" outlineLevel="3">
      <c r="A1117" s="422"/>
      <c r="B1117" s="428"/>
      <c r="C1117" s="451"/>
      <c r="D1117" s="428"/>
      <c r="E1117" s="431"/>
      <c r="F1117" s="432"/>
      <c r="G1117" s="434"/>
      <c r="H1117" s="434"/>
      <c r="I1117" s="240"/>
    </row>
    <row r="1118" outlineLevel="3">
      <c r="A1118" s="422"/>
      <c r="B1118" s="472" t="s">
        <v>416</v>
      </c>
      <c r="C1118" s="267" t="s">
        <v>2298</v>
      </c>
      <c r="D1118" s="268" t="s">
        <v>417</v>
      </c>
      <c r="E1118" s="486" t="s">
        <v>75</v>
      </c>
      <c r="F1118" s="270">
        <v>1.0</v>
      </c>
      <c r="G1118" s="205"/>
      <c r="H1118" s="206"/>
      <c r="I1118" s="219"/>
    </row>
    <row r="1119" outlineLevel="3">
      <c r="A1119" s="422"/>
      <c r="B1119" s="472"/>
      <c r="C1119" s="275"/>
      <c r="D1119" s="285"/>
      <c r="E1119" s="487"/>
      <c r="F1119" s="275"/>
      <c r="G1119" s="239"/>
      <c r="H1119" s="239"/>
      <c r="I1119" s="240"/>
    </row>
    <row r="1120" outlineLevel="3">
      <c r="A1120" s="422" t="str">
        <f>'Master List'!A622</f>
        <v>W-WIN-016</v>
      </c>
      <c r="B1120" s="472"/>
      <c r="C1120" s="198"/>
      <c r="D1120" s="462" t="str">
        <f>VLOOKUP(A1120,'Master List'!$A$1:$C$1192,2,FALSE)</f>
        <v>Монтаж вікна алюмінієвого розміром 2,54x2,94м</v>
      </c>
      <c r="E1120" s="463" t="str">
        <f>VLOOKUP(A1120,'Master List'!$A$1:$C$1192,3,FALSE)</f>
        <v>шт</v>
      </c>
      <c r="F1120" s="464">
        <v>1.0</v>
      </c>
      <c r="G1120" s="463">
        <f>VLOOKUP(A1120,'Master List'!$A$4:$F3799,5,FALSE)</f>
        <v>486.2</v>
      </c>
      <c r="H1120" s="206">
        <f t="shared" ref="H1120:H1123" si="99">G1120*F1120</f>
        <v>486.2</v>
      </c>
      <c r="I1120" s="240"/>
    </row>
    <row r="1121" outlineLevel="3">
      <c r="A1121" s="422" t="str">
        <f>'Master List'!A140</f>
        <v>M-WIN-016</v>
      </c>
      <c r="B1121" s="472"/>
      <c r="C1121" s="198"/>
      <c r="D1121" s="462" t="str">
        <f>VLOOKUP(A1121,'Master List'!$A$1:$C$1192,2,FALSE)</f>
        <v>Вікно алюмінієве розміром 2,54x2,94м VE 00.9</v>
      </c>
      <c r="E1121" s="463" t="str">
        <f>VLOOKUP(A1121,'Master List'!$A$1:$C$1192,3,FALSE)</f>
        <v>шт</v>
      </c>
      <c r="F1121" s="464">
        <v>1.0</v>
      </c>
      <c r="G1121" s="463">
        <f>VLOOKUP(A1121,'Master List'!$A$4:$F3800,5,FALSE)</f>
        <v>6782.1</v>
      </c>
      <c r="H1121" s="206">
        <f t="shared" si="99"/>
        <v>6782.1</v>
      </c>
      <c r="I1121" s="240"/>
    </row>
    <row r="1122" outlineLevel="3">
      <c r="A1122" s="422" t="str">
        <f>'Master List'!A165</f>
        <v>M-WIN-041</v>
      </c>
      <c r="B1122" s="472"/>
      <c r="C1122" s="198"/>
      <c r="D1122" s="462" t="str">
        <f>VLOOKUP(A1122,'Master List'!$A$1:$C$1192,2,FALSE)</f>
        <v>Кріплення для вікон і дверей</v>
      </c>
      <c r="E1122" s="463" t="str">
        <f>VLOOKUP(A1122,'Master List'!$A$1:$C$1192,3,FALSE)</f>
        <v>шт</v>
      </c>
      <c r="F1122" s="464">
        <v>10.0</v>
      </c>
      <c r="G1122" s="463">
        <f>VLOOKUP(A1122,'Master List'!$A$4:$F3801,5,FALSE)</f>
        <v>0</v>
      </c>
      <c r="H1122" s="206">
        <f t="shared" si="99"/>
        <v>0</v>
      </c>
      <c r="I1122" s="240"/>
    </row>
    <row r="1123" outlineLevel="3">
      <c r="A1123" s="422" t="str">
        <f>'Master List'!A166</f>
        <v>M-WIN-042</v>
      </c>
      <c r="B1123" s="472"/>
      <c r="C1123" s="198"/>
      <c r="D1123" s="462" t="str">
        <f>VLOOKUP(A1123,'Master List'!$A$1:$C$1192,2,FALSE)</f>
        <v>Піна монтажна 0,75л</v>
      </c>
      <c r="E1123" s="463" t="str">
        <f>VLOOKUP(A1123,'Master List'!$A$1:$C$1192,3,FALSE)</f>
        <v>шт</v>
      </c>
      <c r="F1123" s="464">
        <v>0.5</v>
      </c>
      <c r="G1123" s="463">
        <f>VLOOKUP(A1123,'Master List'!$A$4:$F3802,5,FALSE)</f>
        <v>5.057</v>
      </c>
      <c r="H1123" s="206">
        <f t="shared" si="99"/>
        <v>2.5285</v>
      </c>
      <c r="I1123" s="240"/>
    </row>
    <row r="1124" outlineLevel="3">
      <c r="A1124" s="422"/>
      <c r="B1124" s="428"/>
      <c r="C1124" s="451"/>
      <c r="D1124" s="428"/>
      <c r="E1124" s="431"/>
      <c r="F1124" s="432"/>
      <c r="G1124" s="434"/>
      <c r="H1124" s="434"/>
      <c r="I1124" s="240"/>
    </row>
    <row r="1125" outlineLevel="3">
      <c r="A1125" s="422"/>
      <c r="B1125" s="472" t="s">
        <v>418</v>
      </c>
      <c r="C1125" s="267" t="s">
        <v>2300</v>
      </c>
      <c r="D1125" s="268" t="s">
        <v>419</v>
      </c>
      <c r="E1125" s="486" t="s">
        <v>75</v>
      </c>
      <c r="F1125" s="270">
        <v>1.0</v>
      </c>
      <c r="G1125" s="205"/>
      <c r="H1125" s="206"/>
      <c r="I1125" s="219"/>
    </row>
    <row r="1126" outlineLevel="3">
      <c r="A1126" s="422"/>
      <c r="B1126" s="472"/>
      <c r="C1126" s="275"/>
      <c r="D1126" s="285"/>
      <c r="E1126" s="487"/>
      <c r="F1126" s="275"/>
      <c r="G1126" s="239"/>
      <c r="H1126" s="239"/>
      <c r="I1126" s="240"/>
    </row>
    <row r="1127" outlineLevel="3">
      <c r="A1127" s="422" t="str">
        <f>'Master List'!A623</f>
        <v>W-WIN-017</v>
      </c>
      <c r="B1127" s="472"/>
      <c r="C1127" s="198"/>
      <c r="D1127" s="462" t="str">
        <f>VLOOKUP(A1127,'Master List'!$A$1:$C$1192,2,FALSE)</f>
        <v>Монтаж вікна алюмінієвого розміром 3,28x2,94м</v>
      </c>
      <c r="E1127" s="463" t="str">
        <f>VLOOKUP(A1127,'Master List'!$A$1:$C$1192,3,FALSE)</f>
        <v>шт</v>
      </c>
      <c r="F1127" s="464">
        <v>1.0</v>
      </c>
      <c r="G1127" s="463">
        <f>VLOOKUP(A1127,'Master List'!$A$4:$F3806,5,FALSE)</f>
        <v>691.6</v>
      </c>
      <c r="H1127" s="206">
        <f t="shared" ref="H1127:H1130" si="100">G1127*F1127</f>
        <v>691.6</v>
      </c>
      <c r="I1127" s="240"/>
    </row>
    <row r="1128" outlineLevel="3">
      <c r="A1128" s="422" t="str">
        <f>'Master List'!A141</f>
        <v>M-WIN-017</v>
      </c>
      <c r="B1128" s="472"/>
      <c r="C1128" s="198"/>
      <c r="D1128" s="462" t="str">
        <f>VLOOKUP(A1128,'Master List'!$A$1:$C$1192,2,FALSE)</f>
        <v>Вікно алюмінієве розміром 3,28x2,94м VE 00.10</v>
      </c>
      <c r="E1128" s="463" t="str">
        <f>VLOOKUP(A1128,'Master List'!$A$1:$C$1192,3,FALSE)</f>
        <v>шт</v>
      </c>
      <c r="F1128" s="464">
        <v>1.0</v>
      </c>
      <c r="G1128" s="463">
        <f>VLOOKUP(A1128,'Master List'!$A$4:$F3807,5,FALSE)</f>
        <v>7857.2</v>
      </c>
      <c r="H1128" s="206">
        <f t="shared" si="100"/>
        <v>7857.2</v>
      </c>
      <c r="I1128" s="240"/>
    </row>
    <row r="1129" outlineLevel="3">
      <c r="A1129" s="422" t="str">
        <f>'Master List'!A165</f>
        <v>M-WIN-041</v>
      </c>
      <c r="B1129" s="472"/>
      <c r="C1129" s="198"/>
      <c r="D1129" s="462" t="str">
        <f>VLOOKUP(A1129,'Master List'!$A$1:$C$1192,2,FALSE)</f>
        <v>Кріплення для вікон і дверей</v>
      </c>
      <c r="E1129" s="463" t="str">
        <f>VLOOKUP(A1129,'Master List'!$A$1:$C$1192,3,FALSE)</f>
        <v>шт</v>
      </c>
      <c r="F1129" s="464">
        <v>12.0</v>
      </c>
      <c r="G1129" s="463">
        <f>VLOOKUP(A1129,'Master List'!$A$4:$F3808,5,FALSE)</f>
        <v>0</v>
      </c>
      <c r="H1129" s="206">
        <f t="shared" si="100"/>
        <v>0</v>
      </c>
      <c r="I1129" s="240"/>
    </row>
    <row r="1130" outlineLevel="3">
      <c r="A1130" s="422" t="str">
        <f>'Master List'!A166</f>
        <v>M-WIN-042</v>
      </c>
      <c r="B1130" s="472"/>
      <c r="C1130" s="198"/>
      <c r="D1130" s="462" t="str">
        <f>VLOOKUP(A1130,'Master List'!$A$1:$C$1192,2,FALSE)</f>
        <v>Піна монтажна 0,75л</v>
      </c>
      <c r="E1130" s="463" t="str">
        <f>VLOOKUP(A1130,'Master List'!$A$1:$C$1192,3,FALSE)</f>
        <v>шт</v>
      </c>
      <c r="F1130" s="464">
        <v>0.5</v>
      </c>
      <c r="G1130" s="463">
        <f>VLOOKUP(A1130,'Master List'!$A$4:$F3809,5,FALSE)</f>
        <v>5.057</v>
      </c>
      <c r="H1130" s="206">
        <f t="shared" si="100"/>
        <v>2.5285</v>
      </c>
      <c r="I1130" s="240"/>
    </row>
    <row r="1131" outlineLevel="3">
      <c r="A1131" s="422"/>
      <c r="B1131" s="428"/>
      <c r="C1131" s="451"/>
      <c r="D1131" s="428"/>
      <c r="E1131" s="431"/>
      <c r="F1131" s="432"/>
      <c r="G1131" s="434"/>
      <c r="H1131" s="434"/>
      <c r="I1131" s="240"/>
    </row>
    <row r="1132" outlineLevel="3">
      <c r="A1132" s="422"/>
      <c r="B1132" s="472" t="s">
        <v>420</v>
      </c>
      <c r="C1132" s="267" t="s">
        <v>2302</v>
      </c>
      <c r="D1132" s="268" t="s">
        <v>421</v>
      </c>
      <c r="E1132" s="486" t="s">
        <v>75</v>
      </c>
      <c r="F1132" s="270">
        <v>1.0</v>
      </c>
      <c r="G1132" s="205"/>
      <c r="H1132" s="206"/>
      <c r="I1132" s="219"/>
    </row>
    <row r="1133" outlineLevel="3">
      <c r="A1133" s="422"/>
      <c r="B1133" s="472"/>
      <c r="C1133" s="275"/>
      <c r="D1133" s="285"/>
      <c r="E1133" s="487"/>
      <c r="F1133" s="275"/>
      <c r="G1133" s="239"/>
      <c r="H1133" s="239"/>
      <c r="I1133" s="240"/>
    </row>
    <row r="1134" outlineLevel="3">
      <c r="A1134" s="422" t="str">
        <f>'Master List'!A624</f>
        <v>W-WIN-018</v>
      </c>
      <c r="B1134" s="472"/>
      <c r="C1134" s="198"/>
      <c r="D1134" s="462" t="str">
        <f>VLOOKUP(A1134,'Master List'!$A$1:$C$1192,2,FALSE)</f>
        <v>Монтаж вікна алюмінієвого розміром 4,18x2,36м</v>
      </c>
      <c r="E1134" s="463" t="str">
        <f>VLOOKUP(A1134,'Master List'!$A$1:$C$1192,3,FALSE)</f>
        <v>шт</v>
      </c>
      <c r="F1134" s="464">
        <v>1.0</v>
      </c>
      <c r="G1134" s="463">
        <f>VLOOKUP(A1134,'Master List'!$A$4:$F3813,5,FALSE)</f>
        <v>708.5</v>
      </c>
      <c r="H1134" s="206">
        <f t="shared" ref="H1134:H1137" si="101">G1134*F1134</f>
        <v>708.5</v>
      </c>
      <c r="I1134" s="240"/>
    </row>
    <row r="1135" outlineLevel="3">
      <c r="A1135" s="422" t="str">
        <f>'Master List'!A142</f>
        <v>M-WIN-018</v>
      </c>
      <c r="B1135" s="472"/>
      <c r="C1135" s="198"/>
      <c r="D1135" s="462" t="str">
        <f>VLOOKUP(A1135,'Master List'!$A$1:$C$1192,2,FALSE)</f>
        <v>Вікно алюмінієве розміром 4,18x2,36м VE -01.1</v>
      </c>
      <c r="E1135" s="463" t="str">
        <f>VLOOKUP(A1135,'Master List'!$A$1:$C$1192,3,FALSE)</f>
        <v>шт</v>
      </c>
      <c r="F1135" s="464">
        <v>1.0</v>
      </c>
      <c r="G1135" s="463">
        <f>VLOOKUP(A1135,'Master List'!$A$4:$F3814,5,FALSE)</f>
        <v>7920.9</v>
      </c>
      <c r="H1135" s="206">
        <f t="shared" si="101"/>
        <v>7920.9</v>
      </c>
      <c r="I1135" s="240"/>
    </row>
    <row r="1136" outlineLevel="3">
      <c r="A1136" s="422" t="str">
        <f>'Master List'!A165</f>
        <v>M-WIN-041</v>
      </c>
      <c r="B1136" s="472"/>
      <c r="C1136" s="198"/>
      <c r="D1136" s="462" t="str">
        <f>VLOOKUP(A1136,'Master List'!$A$1:$C$1192,2,FALSE)</f>
        <v>Кріплення для вікон і дверей</v>
      </c>
      <c r="E1136" s="463" t="str">
        <f>VLOOKUP(A1136,'Master List'!$A$1:$C$1192,3,FALSE)</f>
        <v>шт</v>
      </c>
      <c r="F1136" s="464">
        <v>12.0</v>
      </c>
      <c r="G1136" s="463">
        <f>VLOOKUP(A1136,'Master List'!$A$4:$F3815,5,FALSE)</f>
        <v>0</v>
      </c>
      <c r="H1136" s="206">
        <f t="shared" si="101"/>
        <v>0</v>
      </c>
      <c r="I1136" s="240"/>
    </row>
    <row r="1137" outlineLevel="3">
      <c r="A1137" s="422" t="str">
        <f>'Master List'!A166</f>
        <v>M-WIN-042</v>
      </c>
      <c r="B1137" s="472"/>
      <c r="C1137" s="198"/>
      <c r="D1137" s="462" t="str">
        <f>VLOOKUP(A1137,'Master List'!$A$1:$C$1192,2,FALSE)</f>
        <v>Піна монтажна 0,75л</v>
      </c>
      <c r="E1137" s="463" t="str">
        <f>VLOOKUP(A1137,'Master List'!$A$1:$C$1192,3,FALSE)</f>
        <v>шт</v>
      </c>
      <c r="F1137" s="464">
        <v>0.5</v>
      </c>
      <c r="G1137" s="463">
        <f>VLOOKUP(A1137,'Master List'!$A$4:$F3816,5,FALSE)</f>
        <v>5.057</v>
      </c>
      <c r="H1137" s="206">
        <f t="shared" si="101"/>
        <v>2.5285</v>
      </c>
      <c r="I1137" s="240"/>
    </row>
    <row r="1138" outlineLevel="3">
      <c r="A1138" s="422"/>
      <c r="B1138" s="428"/>
      <c r="C1138" s="451"/>
      <c r="D1138" s="428"/>
      <c r="E1138" s="431"/>
      <c r="F1138" s="432"/>
      <c r="G1138" s="434"/>
      <c r="H1138" s="434"/>
      <c r="I1138" s="240"/>
    </row>
    <row r="1139" outlineLevel="3">
      <c r="A1139" s="422"/>
      <c r="B1139" s="472" t="s">
        <v>422</v>
      </c>
      <c r="C1139" s="267" t="s">
        <v>2304</v>
      </c>
      <c r="D1139" s="268" t="s">
        <v>423</v>
      </c>
      <c r="E1139" s="486" t="s">
        <v>75</v>
      </c>
      <c r="F1139" s="270">
        <v>1.0</v>
      </c>
      <c r="G1139" s="205"/>
      <c r="H1139" s="206"/>
      <c r="I1139" s="219"/>
    </row>
    <row r="1140" outlineLevel="3">
      <c r="A1140" s="422"/>
      <c r="B1140" s="472"/>
      <c r="C1140" s="275"/>
      <c r="D1140" s="285"/>
      <c r="E1140" s="487"/>
      <c r="F1140" s="275"/>
      <c r="G1140" s="239"/>
      <c r="H1140" s="239"/>
      <c r="I1140" s="240"/>
    </row>
    <row r="1141" outlineLevel="3">
      <c r="A1141" s="422" t="str">
        <f>'Master List'!A625</f>
        <v>W-WIN-019</v>
      </c>
      <c r="B1141" s="472"/>
      <c r="C1141" s="198"/>
      <c r="D1141" s="462" t="str">
        <f>VLOOKUP(A1141,'Master List'!$A$1:$C$1192,2,FALSE)</f>
        <v>Монтаж вікна алюмінієвого розміром 2,21x2,36м</v>
      </c>
      <c r="E1141" s="463" t="str">
        <f>VLOOKUP(A1141,'Master List'!$A$1:$C$1192,3,FALSE)</f>
        <v>шт</v>
      </c>
      <c r="F1141" s="464">
        <v>1.0</v>
      </c>
      <c r="G1141" s="463">
        <f>VLOOKUP(A1141,'Master List'!$A$4:$F3820,5,FALSE)</f>
        <v>461.5</v>
      </c>
      <c r="H1141" s="206">
        <f t="shared" ref="H1141:H1144" si="102">G1141*F1141</f>
        <v>461.5</v>
      </c>
      <c r="I1141" s="240"/>
    </row>
    <row r="1142" outlineLevel="3">
      <c r="A1142" s="422" t="str">
        <f>'Master List'!A143</f>
        <v>M-WIN-019</v>
      </c>
      <c r="B1142" s="472"/>
      <c r="C1142" s="198"/>
      <c r="D1142" s="462" t="str">
        <f>VLOOKUP(A1142,'Master List'!$A$1:$C$1192,2,FALSE)</f>
        <v>Вікно алюмінієве розміром 2,21x2,36м VE -01.2</v>
      </c>
      <c r="E1142" s="463" t="str">
        <f>VLOOKUP(A1142,'Master List'!$A$1:$C$1192,3,FALSE)</f>
        <v>шт</v>
      </c>
      <c r="F1142" s="464">
        <v>1.0</v>
      </c>
      <c r="G1142" s="463">
        <f>VLOOKUP(A1142,'Master List'!$A$4:$F3821,5,FALSE)</f>
        <v>2004.6</v>
      </c>
      <c r="H1142" s="206">
        <f t="shared" si="102"/>
        <v>2004.6</v>
      </c>
      <c r="I1142" s="240"/>
    </row>
    <row r="1143" outlineLevel="3">
      <c r="A1143" s="422" t="str">
        <f>'Master List'!A165</f>
        <v>M-WIN-041</v>
      </c>
      <c r="B1143" s="472"/>
      <c r="C1143" s="198"/>
      <c r="D1143" s="462" t="str">
        <f>VLOOKUP(A1143,'Master List'!$A$1:$C$1192,2,FALSE)</f>
        <v>Кріплення для вікон і дверей</v>
      </c>
      <c r="E1143" s="463" t="str">
        <f>VLOOKUP(A1143,'Master List'!$A$1:$C$1192,3,FALSE)</f>
        <v>шт</v>
      </c>
      <c r="F1143" s="464">
        <v>10.0</v>
      </c>
      <c r="G1143" s="463">
        <f>VLOOKUP(A1143,'Master List'!$A$4:$F3822,5,FALSE)</f>
        <v>0</v>
      </c>
      <c r="H1143" s="206">
        <f t="shared" si="102"/>
        <v>0</v>
      </c>
      <c r="I1143" s="240"/>
    </row>
    <row r="1144" outlineLevel="3">
      <c r="A1144" s="422" t="str">
        <f>'Master List'!A166</f>
        <v>M-WIN-042</v>
      </c>
      <c r="B1144" s="472"/>
      <c r="C1144" s="198"/>
      <c r="D1144" s="462" t="str">
        <f>VLOOKUP(A1144,'Master List'!$A$1:$C$1192,2,FALSE)</f>
        <v>Піна монтажна 0,75л</v>
      </c>
      <c r="E1144" s="463" t="str">
        <f>VLOOKUP(A1144,'Master List'!$A$1:$C$1192,3,FALSE)</f>
        <v>шт</v>
      </c>
      <c r="F1144" s="464">
        <v>0.5</v>
      </c>
      <c r="G1144" s="463">
        <f>VLOOKUP(A1144,'Master List'!$A$4:$F3823,5,FALSE)</f>
        <v>5.057</v>
      </c>
      <c r="H1144" s="206">
        <f t="shared" si="102"/>
        <v>2.5285</v>
      </c>
      <c r="I1144" s="240"/>
    </row>
    <row r="1145" outlineLevel="3">
      <c r="A1145" s="422"/>
      <c r="B1145" s="428"/>
      <c r="C1145" s="451"/>
      <c r="D1145" s="428"/>
      <c r="E1145" s="431"/>
      <c r="F1145" s="432"/>
      <c r="G1145" s="434"/>
      <c r="H1145" s="434"/>
      <c r="I1145" s="240"/>
    </row>
    <row r="1146" outlineLevel="3">
      <c r="A1146" s="422"/>
      <c r="B1146" s="472" t="s">
        <v>424</v>
      </c>
      <c r="C1146" s="267" t="s">
        <v>2306</v>
      </c>
      <c r="D1146" s="268" t="s">
        <v>425</v>
      </c>
      <c r="E1146" s="486" t="s">
        <v>75</v>
      </c>
      <c r="F1146" s="270">
        <v>1.0</v>
      </c>
      <c r="G1146" s="205"/>
      <c r="H1146" s="206"/>
      <c r="I1146" s="219"/>
    </row>
    <row r="1147" outlineLevel="3">
      <c r="A1147" s="422"/>
      <c r="B1147" s="472"/>
      <c r="C1147" s="275"/>
      <c r="D1147" s="285"/>
      <c r="E1147" s="487"/>
      <c r="F1147" s="275"/>
      <c r="G1147" s="239"/>
      <c r="H1147" s="239"/>
      <c r="I1147" s="240"/>
    </row>
    <row r="1148" outlineLevel="3">
      <c r="A1148" s="422" t="str">
        <f>'Master List'!A626</f>
        <v>W-WIN-020</v>
      </c>
      <c r="B1148" s="472"/>
      <c r="C1148" s="198"/>
      <c r="D1148" s="462" t="str">
        <f>VLOOKUP(A1148,'Master List'!$A$1:$C$1192,2,FALSE)</f>
        <v>Монтаж вікна алюмінієвого розміром 2,15x2,89м</v>
      </c>
      <c r="E1148" s="463" t="str">
        <f>VLOOKUP(A1148,'Master List'!$A$1:$C$1192,3,FALSE)</f>
        <v>шт</v>
      </c>
      <c r="F1148" s="464">
        <v>1.0</v>
      </c>
      <c r="G1148" s="463">
        <f>VLOOKUP(A1148,'Master List'!$A$4:$F3827,5,FALSE)</f>
        <v>445.9</v>
      </c>
      <c r="H1148" s="206">
        <f t="shared" ref="H1148:H1151" si="103">G1148*F1148</f>
        <v>445.9</v>
      </c>
      <c r="I1148" s="240"/>
    </row>
    <row r="1149" outlineLevel="3">
      <c r="A1149" s="422" t="str">
        <f>'Master List'!A144</f>
        <v>M-WIN-020</v>
      </c>
      <c r="B1149" s="472"/>
      <c r="C1149" s="198"/>
      <c r="D1149" s="462" t="str">
        <f>VLOOKUP(A1149,'Master List'!$A$1:$C$1192,2,FALSE)</f>
        <v>Вікно алюмінієве розміром 2,15x2,89м VE-01.3</v>
      </c>
      <c r="E1149" s="463" t="str">
        <f>VLOOKUP(A1149,'Master List'!$A$1:$C$1192,3,FALSE)</f>
        <v>шт</v>
      </c>
      <c r="F1149" s="464">
        <v>1.0</v>
      </c>
      <c r="G1149" s="463">
        <f>VLOOKUP(A1149,'Master List'!$A$4:$F3828,5,FALSE)</f>
        <v>2623.4</v>
      </c>
      <c r="H1149" s="206">
        <f t="shared" si="103"/>
        <v>2623.4</v>
      </c>
      <c r="I1149" s="240"/>
    </row>
    <row r="1150" outlineLevel="3">
      <c r="A1150" s="422" t="str">
        <f>'Master List'!A165</f>
        <v>M-WIN-041</v>
      </c>
      <c r="B1150" s="472"/>
      <c r="C1150" s="198"/>
      <c r="D1150" s="462" t="str">
        <f>VLOOKUP(A1150,'Master List'!$A$1:$C$1192,2,FALSE)</f>
        <v>Кріплення для вікон і дверей</v>
      </c>
      <c r="E1150" s="463" t="str">
        <f>VLOOKUP(A1150,'Master List'!$A$1:$C$1192,3,FALSE)</f>
        <v>шт</v>
      </c>
      <c r="F1150" s="464">
        <v>10.0</v>
      </c>
      <c r="G1150" s="463">
        <f>VLOOKUP(A1150,'Master List'!$A$4:$F3829,5,FALSE)</f>
        <v>0</v>
      </c>
      <c r="H1150" s="206">
        <f t="shared" si="103"/>
        <v>0</v>
      </c>
      <c r="I1150" s="240"/>
    </row>
    <row r="1151" outlineLevel="3">
      <c r="A1151" s="422" t="str">
        <f>'Master List'!A166</f>
        <v>M-WIN-042</v>
      </c>
      <c r="B1151" s="472"/>
      <c r="C1151" s="198"/>
      <c r="D1151" s="462" t="str">
        <f>VLOOKUP(A1151,'Master List'!$A$1:$C$1192,2,FALSE)</f>
        <v>Піна монтажна 0,75л</v>
      </c>
      <c r="E1151" s="463" t="str">
        <f>VLOOKUP(A1151,'Master List'!$A$1:$C$1192,3,FALSE)</f>
        <v>шт</v>
      </c>
      <c r="F1151" s="464">
        <v>0.5</v>
      </c>
      <c r="G1151" s="463">
        <f>VLOOKUP(A1151,'Master List'!$A$4:$F3830,5,FALSE)</f>
        <v>5.057</v>
      </c>
      <c r="H1151" s="206">
        <f t="shared" si="103"/>
        <v>2.5285</v>
      </c>
      <c r="I1151" s="240"/>
    </row>
    <row r="1152" outlineLevel="3">
      <c r="A1152" s="422"/>
      <c r="B1152" s="428"/>
      <c r="C1152" s="451"/>
      <c r="D1152" s="428"/>
      <c r="E1152" s="431"/>
      <c r="F1152" s="432"/>
      <c r="G1152" s="434"/>
      <c r="H1152" s="434"/>
      <c r="I1152" s="240"/>
    </row>
    <row r="1153" outlineLevel="3">
      <c r="A1153" s="422"/>
      <c r="B1153" s="472" t="s">
        <v>426</v>
      </c>
      <c r="C1153" s="267" t="s">
        <v>2308</v>
      </c>
      <c r="D1153" s="268" t="s">
        <v>427</v>
      </c>
      <c r="E1153" s="486" t="s">
        <v>75</v>
      </c>
      <c r="F1153" s="270">
        <v>1.0</v>
      </c>
      <c r="G1153" s="205"/>
      <c r="H1153" s="206"/>
      <c r="I1153" s="219"/>
    </row>
    <row r="1154" outlineLevel="3">
      <c r="A1154" s="422"/>
      <c r="B1154" s="428"/>
      <c r="C1154" s="451"/>
      <c r="D1154" s="428"/>
      <c r="E1154" s="431"/>
      <c r="F1154" s="432"/>
      <c r="G1154" s="434"/>
      <c r="H1154" s="434"/>
      <c r="I1154" s="240"/>
    </row>
    <row r="1155" outlineLevel="3">
      <c r="A1155" s="422" t="str">
        <f>'Master List'!A627</f>
        <v>W-WIN-021</v>
      </c>
      <c r="B1155" s="428"/>
      <c r="C1155" s="198"/>
      <c r="D1155" s="462" t="str">
        <f>VLOOKUP(A1155,'Master List'!$A$1:$C$1192,2,FALSE)</f>
        <v>Монтаж вікна алюмінієвого розміром 0,97x2,30м</v>
      </c>
      <c r="E1155" s="463" t="str">
        <f>VLOOKUP(A1155,'Master List'!$A$1:$C$1192,3,FALSE)</f>
        <v>шт</v>
      </c>
      <c r="F1155" s="464">
        <v>1.0</v>
      </c>
      <c r="G1155" s="463">
        <f>VLOOKUP(A1155,'Master List'!$A$4:$F3834,5,FALSE)</f>
        <v>217.1</v>
      </c>
      <c r="H1155" s="206">
        <f t="shared" ref="H1155:H1158" si="104">G1155*F1155</f>
        <v>217.1</v>
      </c>
      <c r="I1155" s="240"/>
    </row>
    <row r="1156" outlineLevel="3">
      <c r="A1156" s="422" t="str">
        <f>'Master List'!A145</f>
        <v>M-WIN-021</v>
      </c>
      <c r="B1156" s="428"/>
      <c r="C1156" s="198"/>
      <c r="D1156" s="462" t="str">
        <f>VLOOKUP(A1156,'Master List'!$A$1:$C$1192,2,FALSE)</f>
        <v>Вікно алюмінієве розміром 0,97x2,30м VE-01.4</v>
      </c>
      <c r="E1156" s="463" t="str">
        <f>VLOOKUP(A1156,'Master List'!$A$1:$C$1192,3,FALSE)</f>
        <v>шт</v>
      </c>
      <c r="F1156" s="464">
        <v>1.0</v>
      </c>
      <c r="G1156" s="463">
        <f>VLOOKUP(A1156,'Master List'!$A$4:$F3835,5,FALSE)</f>
        <v>1314.3</v>
      </c>
      <c r="H1156" s="206">
        <f t="shared" si="104"/>
        <v>1314.3</v>
      </c>
      <c r="I1156" s="240"/>
    </row>
    <row r="1157" outlineLevel="3">
      <c r="A1157" s="422" t="str">
        <f>'Master List'!A165</f>
        <v>M-WIN-041</v>
      </c>
      <c r="B1157" s="428"/>
      <c r="C1157" s="198"/>
      <c r="D1157" s="462" t="str">
        <f>VLOOKUP(A1157,'Master List'!$A$1:$C$1192,2,FALSE)</f>
        <v>Кріплення для вікон і дверей</v>
      </c>
      <c r="E1157" s="463" t="str">
        <f>VLOOKUP(A1157,'Master List'!$A$1:$C$1192,3,FALSE)</f>
        <v>шт</v>
      </c>
      <c r="F1157" s="464">
        <v>8.0</v>
      </c>
      <c r="G1157" s="463">
        <f>VLOOKUP(A1157,'Master List'!$A$4:$F3836,5,FALSE)</f>
        <v>0</v>
      </c>
      <c r="H1157" s="206">
        <f t="shared" si="104"/>
        <v>0</v>
      </c>
      <c r="I1157" s="240"/>
    </row>
    <row r="1158" outlineLevel="3">
      <c r="A1158" s="422" t="str">
        <f>'Master List'!A166</f>
        <v>M-WIN-042</v>
      </c>
      <c r="B1158" s="428"/>
      <c r="C1158" s="198"/>
      <c r="D1158" s="462" t="str">
        <f>VLOOKUP(A1158,'Master List'!$A$1:$C$1192,2,FALSE)</f>
        <v>Піна монтажна 0,75л</v>
      </c>
      <c r="E1158" s="463" t="str">
        <f>VLOOKUP(A1158,'Master List'!$A$1:$C$1192,3,FALSE)</f>
        <v>шт</v>
      </c>
      <c r="F1158" s="464">
        <v>0.3</v>
      </c>
      <c r="G1158" s="463">
        <f>VLOOKUP(A1158,'Master List'!$A$4:$F3837,5,FALSE)</f>
        <v>5.057</v>
      </c>
      <c r="H1158" s="206">
        <f t="shared" si="104"/>
        <v>1.5171</v>
      </c>
      <c r="I1158" s="240"/>
    </row>
    <row r="1159" outlineLevel="2">
      <c r="A1159" s="422"/>
      <c r="B1159" s="472"/>
      <c r="C1159" s="275"/>
      <c r="D1159" s="285"/>
      <c r="E1159" s="487"/>
      <c r="F1159" s="275"/>
      <c r="G1159" s="239"/>
      <c r="H1159" s="239"/>
      <c r="I1159" s="240"/>
    </row>
    <row r="1160" outlineLevel="2">
      <c r="A1160" s="422"/>
      <c r="B1160" s="472" t="s">
        <v>428</v>
      </c>
      <c r="C1160" s="267">
        <v>10.2</v>
      </c>
      <c r="D1160" s="268" t="s">
        <v>429</v>
      </c>
      <c r="E1160" s="486"/>
      <c r="F1160" s="270"/>
      <c r="G1160" s="205"/>
      <c r="H1160" s="206"/>
      <c r="I1160" s="219"/>
    </row>
    <row r="1161" outlineLevel="3">
      <c r="A1161" s="422"/>
      <c r="B1161" s="428"/>
      <c r="C1161" s="451"/>
      <c r="D1161" s="428"/>
      <c r="E1161" s="431"/>
      <c r="F1161" s="432"/>
      <c r="G1161" s="434"/>
      <c r="H1161" s="434"/>
      <c r="I1161" s="240"/>
    </row>
    <row r="1162" outlineLevel="3">
      <c r="A1162" s="422"/>
      <c r="B1162" s="472" t="s">
        <v>430</v>
      </c>
      <c r="C1162" s="267" t="s">
        <v>2311</v>
      </c>
      <c r="D1162" s="268" t="s">
        <v>431</v>
      </c>
      <c r="E1162" s="486" t="s">
        <v>75</v>
      </c>
      <c r="F1162" s="270">
        <v>1.0</v>
      </c>
      <c r="G1162" s="205"/>
      <c r="H1162" s="206"/>
      <c r="I1162" s="219"/>
    </row>
    <row r="1163" outlineLevel="3">
      <c r="A1163" s="422"/>
      <c r="B1163" s="472"/>
      <c r="C1163" s="275"/>
      <c r="D1163" s="285"/>
      <c r="E1163" s="487"/>
      <c r="F1163" s="275"/>
      <c r="G1163" s="239"/>
      <c r="H1163" s="239"/>
      <c r="I1163" s="240"/>
    </row>
    <row r="1164" outlineLevel="3">
      <c r="A1164" s="422" t="str">
        <f>'Master List'!A628</f>
        <v>W-WIN-022</v>
      </c>
      <c r="B1164" s="472"/>
      <c r="C1164" s="198"/>
      <c r="D1164" s="462" t="str">
        <f>VLOOKUP(A1164,'Master List'!$A$1:$C$1192,2,FALSE)</f>
        <v>Монтаж лючка алюмінієвого розміром 1,00x0,60м.</v>
      </c>
      <c r="E1164" s="463" t="str">
        <f>VLOOKUP(A1164,'Master List'!$A$1:$C$1192,3,FALSE)</f>
        <v>шт</v>
      </c>
      <c r="F1164" s="464">
        <v>1.0</v>
      </c>
      <c r="G1164" s="463">
        <f>VLOOKUP(A1164,'Master List'!$A$4:$F3843,5,FALSE)</f>
        <v>156</v>
      </c>
      <c r="H1164" s="206">
        <f t="shared" ref="H1164:H1167" si="105">G1164*F1164</f>
        <v>156</v>
      </c>
      <c r="I1164" s="240"/>
    </row>
    <row r="1165" outlineLevel="3">
      <c r="A1165" s="422" t="str">
        <f>'Master List'!A146</f>
        <v>M-WIN-022</v>
      </c>
      <c r="B1165" s="472"/>
      <c r="C1165" s="198"/>
      <c r="D1165" s="462" t="str">
        <f>VLOOKUP(A1165,'Master List'!$A$1:$C$1192,2,FALSE)</f>
        <v>Лючок алюмінієвий розміром 1,00x0,60м VI -01.6</v>
      </c>
      <c r="E1165" s="463" t="str">
        <f>VLOOKUP(A1165,'Master List'!$A$1:$C$1192,3,FALSE)</f>
        <v>шт</v>
      </c>
      <c r="F1165" s="464">
        <v>1.0</v>
      </c>
      <c r="G1165" s="463">
        <f>VLOOKUP(A1165,'Master List'!$A$4:$F3844,5,FALSE)</f>
        <v>0</v>
      </c>
      <c r="H1165" s="206">
        <f t="shared" si="105"/>
        <v>0</v>
      </c>
      <c r="I1165" s="240"/>
    </row>
    <row r="1166" outlineLevel="3">
      <c r="A1166" s="422" t="str">
        <f>'Master List'!A165</f>
        <v>M-WIN-041</v>
      </c>
      <c r="B1166" s="472"/>
      <c r="C1166" s="198"/>
      <c r="D1166" s="462" t="str">
        <f>VLOOKUP(A1166,'Master List'!$A$1:$C$1192,2,FALSE)</f>
        <v>Кріплення для вікон і дверей</v>
      </c>
      <c r="E1166" s="463" t="str">
        <f>VLOOKUP(A1166,'Master List'!$A$1:$C$1192,3,FALSE)</f>
        <v>шт</v>
      </c>
      <c r="F1166" s="464">
        <v>8.0</v>
      </c>
      <c r="G1166" s="463">
        <f>VLOOKUP(A1166,'Master List'!$A$4:$F3845,5,FALSE)</f>
        <v>0</v>
      </c>
      <c r="H1166" s="206">
        <f t="shared" si="105"/>
        <v>0</v>
      </c>
      <c r="I1166" s="240"/>
    </row>
    <row r="1167" outlineLevel="3">
      <c r="A1167" s="422" t="str">
        <f>'Master List'!A166</f>
        <v>M-WIN-042</v>
      </c>
      <c r="B1167" s="472"/>
      <c r="C1167" s="198"/>
      <c r="D1167" s="462" t="str">
        <f>VLOOKUP(A1167,'Master List'!$A$1:$C$1192,2,FALSE)</f>
        <v>Піна монтажна 0,75л</v>
      </c>
      <c r="E1167" s="463" t="str">
        <f>VLOOKUP(A1167,'Master List'!$A$1:$C$1192,3,FALSE)</f>
        <v>шт</v>
      </c>
      <c r="F1167" s="464">
        <v>0.2</v>
      </c>
      <c r="G1167" s="463">
        <f>VLOOKUP(A1167,'Master List'!$A$4:$F3846,5,FALSE)</f>
        <v>5.057</v>
      </c>
      <c r="H1167" s="206">
        <f t="shared" si="105"/>
        <v>1.0114</v>
      </c>
      <c r="I1167" s="240"/>
    </row>
    <row r="1168" outlineLevel="3">
      <c r="A1168" s="422"/>
      <c r="B1168" s="472"/>
      <c r="C1168" s="275"/>
      <c r="D1168" s="285"/>
      <c r="E1168" s="487"/>
      <c r="F1168" s="275"/>
      <c r="G1168" s="239"/>
      <c r="H1168" s="239"/>
      <c r="I1168" s="240"/>
    </row>
    <row r="1169" outlineLevel="3">
      <c r="A1169" s="422"/>
      <c r="B1169" s="428"/>
      <c r="C1169" s="451"/>
      <c r="D1169" s="428"/>
      <c r="E1169" s="431"/>
      <c r="F1169" s="432"/>
      <c r="G1169" s="434"/>
      <c r="H1169" s="434"/>
      <c r="I1169" s="240"/>
    </row>
    <row r="1170" outlineLevel="1">
      <c r="A1170" s="422"/>
      <c r="B1170" s="472" t="s">
        <v>432</v>
      </c>
      <c r="C1170" s="451"/>
      <c r="D1170" s="435" t="s">
        <v>433</v>
      </c>
      <c r="E1170" s="431"/>
      <c r="F1170" s="432"/>
      <c r="G1170" s="436">
        <f>SUM(H1172:H1245)</f>
        <v>1971.4539</v>
      </c>
      <c r="H1170" s="434"/>
      <c r="I1170" s="240"/>
    </row>
    <row r="1171" outlineLevel="2">
      <c r="A1171" s="422"/>
      <c r="B1171" s="428"/>
      <c r="C1171" s="451"/>
      <c r="D1171" s="428"/>
      <c r="E1171" s="431"/>
      <c r="F1171" s="432"/>
      <c r="G1171" s="434"/>
      <c r="H1171" s="434"/>
      <c r="I1171" s="240"/>
    </row>
    <row r="1172" outlineLevel="2">
      <c r="A1172" s="422"/>
      <c r="B1172" s="472" t="s">
        <v>434</v>
      </c>
      <c r="C1172" s="267">
        <v>10.3</v>
      </c>
      <c r="D1172" s="268" t="s">
        <v>435</v>
      </c>
      <c r="E1172" s="486"/>
      <c r="F1172" s="270"/>
      <c r="G1172" s="205"/>
      <c r="H1172" s="206"/>
      <c r="I1172" s="219"/>
    </row>
    <row r="1173" outlineLevel="2">
      <c r="A1173" s="422"/>
      <c r="B1173" s="428"/>
      <c r="C1173" s="451"/>
      <c r="D1173" s="428"/>
      <c r="E1173" s="431"/>
      <c r="F1173" s="432"/>
      <c r="G1173" s="434"/>
      <c r="H1173" s="434"/>
      <c r="I1173" s="240"/>
    </row>
    <row r="1174" outlineLevel="2">
      <c r="A1174" s="422"/>
      <c r="B1174" s="472" t="s">
        <v>436</v>
      </c>
      <c r="C1174" s="267" t="s">
        <v>2316</v>
      </c>
      <c r="D1174" s="268" t="s">
        <v>437</v>
      </c>
      <c r="E1174" s="486" t="s">
        <v>75</v>
      </c>
      <c r="F1174" s="270">
        <v>1.0</v>
      </c>
      <c r="G1174" s="205"/>
      <c r="H1174" s="206"/>
      <c r="I1174" s="219"/>
    </row>
    <row r="1175" outlineLevel="2">
      <c r="A1175" s="422"/>
      <c r="B1175" s="472"/>
      <c r="C1175" s="275"/>
      <c r="D1175" s="285"/>
      <c r="E1175" s="487"/>
      <c r="F1175" s="275"/>
      <c r="G1175" s="239"/>
      <c r="H1175" s="239"/>
      <c r="I1175" s="240"/>
    </row>
    <row r="1176" outlineLevel="2">
      <c r="A1176" s="422" t="str">
        <f>'Master List'!A629</f>
        <v>W-WIN-023</v>
      </c>
      <c r="B1176" s="472"/>
      <c r="C1176" s="198"/>
      <c r="D1176" s="462" t="str">
        <f>VLOOKUP(A1176,'Master List'!$A$1:$C$1192,2,FALSE)</f>
        <v>Монтаж дверей металевих розміром 0,70x2,44м</v>
      </c>
      <c r="E1176" s="463" t="str">
        <f>VLOOKUP(A1176,'Master List'!$A$1:$C$1192,3,FALSE)</f>
        <v>шт</v>
      </c>
      <c r="F1176" s="464">
        <v>1.0</v>
      </c>
      <c r="G1176" s="463">
        <f>VLOOKUP(A1176,'Master List'!$A$4:$F3855,5,FALSE)</f>
        <v>188.5</v>
      </c>
      <c r="H1176" s="206">
        <f t="shared" ref="H1176:H1179" si="106">G1176*F1176</f>
        <v>188.5</v>
      </c>
      <c r="I1176" s="240"/>
    </row>
    <row r="1177" outlineLevel="2">
      <c r="A1177" s="422" t="str">
        <f>'Master List'!A147</f>
        <v>M-WIN-023</v>
      </c>
      <c r="B1177" s="472"/>
      <c r="C1177" s="198"/>
      <c r="D1177" s="462" t="str">
        <f>VLOOKUP(A1177,'Master List'!$A$1:$C$1192,2,FALSE)</f>
        <v>Двері металеві розміром 0,70x2,44м VE 00.5A</v>
      </c>
      <c r="E1177" s="463" t="str">
        <f>VLOOKUP(A1177,'Master List'!$A$1:$C$1192,3,FALSE)</f>
        <v>шт</v>
      </c>
      <c r="F1177" s="464">
        <v>1.0</v>
      </c>
      <c r="G1177" s="463">
        <f>VLOOKUP(A1177,'Master List'!$A$4:$F3856,5,FALSE)</f>
        <v>0</v>
      </c>
      <c r="H1177" s="206">
        <f t="shared" si="106"/>
        <v>0</v>
      </c>
      <c r="I1177" s="240"/>
    </row>
    <row r="1178" outlineLevel="2">
      <c r="A1178" s="422" t="str">
        <f>'Master List'!A165</f>
        <v>M-WIN-041</v>
      </c>
      <c r="B1178" s="472"/>
      <c r="C1178" s="198"/>
      <c r="D1178" s="462" t="str">
        <f>VLOOKUP(A1178,'Master List'!$A$1:$C$1192,2,FALSE)</f>
        <v>Кріплення для вікон і дверей</v>
      </c>
      <c r="E1178" s="463" t="str">
        <f>VLOOKUP(A1178,'Master List'!$A$1:$C$1192,3,FALSE)</f>
        <v>шт</v>
      </c>
      <c r="F1178" s="464">
        <v>8.0</v>
      </c>
      <c r="G1178" s="463">
        <f>VLOOKUP(A1178,'Master List'!$A$4:$F3857,5,FALSE)</f>
        <v>0</v>
      </c>
      <c r="H1178" s="206">
        <f t="shared" si="106"/>
        <v>0</v>
      </c>
      <c r="I1178" s="240"/>
    </row>
    <row r="1179" outlineLevel="2">
      <c r="A1179" s="422" t="str">
        <f>'Master List'!A166</f>
        <v>M-WIN-042</v>
      </c>
      <c r="B1179" s="472"/>
      <c r="C1179" s="198"/>
      <c r="D1179" s="462" t="str">
        <f>VLOOKUP(A1179,'Master List'!$A$1:$C$1192,2,FALSE)</f>
        <v>Піна монтажна 0,75л</v>
      </c>
      <c r="E1179" s="463" t="str">
        <f>VLOOKUP(A1179,'Master List'!$A$1:$C$1192,3,FALSE)</f>
        <v>шт</v>
      </c>
      <c r="F1179" s="464">
        <v>0.3</v>
      </c>
      <c r="G1179" s="463">
        <f>VLOOKUP(A1179,'Master List'!$A$4:$F3858,5,FALSE)</f>
        <v>5.057</v>
      </c>
      <c r="H1179" s="206">
        <f t="shared" si="106"/>
        <v>1.5171</v>
      </c>
      <c r="I1179" s="240"/>
    </row>
    <row r="1180" outlineLevel="2">
      <c r="A1180" s="422"/>
      <c r="B1180" s="428"/>
      <c r="C1180" s="451"/>
      <c r="D1180" s="428"/>
      <c r="E1180" s="431"/>
      <c r="F1180" s="432"/>
      <c r="G1180" s="434"/>
      <c r="H1180" s="434"/>
      <c r="I1180" s="240"/>
    </row>
    <row r="1181" outlineLevel="2">
      <c r="A1181" s="422"/>
      <c r="B1181" s="472" t="s">
        <v>438</v>
      </c>
      <c r="C1181" s="267">
        <v>10.4</v>
      </c>
      <c r="D1181" s="268" t="s">
        <v>439</v>
      </c>
      <c r="E1181" s="486"/>
      <c r="F1181" s="270"/>
      <c r="G1181" s="205"/>
      <c r="H1181" s="206"/>
      <c r="I1181" s="219"/>
    </row>
    <row r="1182" outlineLevel="2">
      <c r="A1182" s="422"/>
      <c r="B1182" s="428"/>
      <c r="C1182" s="451"/>
      <c r="D1182" s="428"/>
      <c r="E1182" s="431"/>
      <c r="F1182" s="432"/>
      <c r="G1182" s="434"/>
      <c r="H1182" s="434"/>
      <c r="I1182" s="240"/>
    </row>
    <row r="1183" outlineLevel="2">
      <c r="A1183" s="422"/>
      <c r="B1183" s="472" t="s">
        <v>440</v>
      </c>
      <c r="C1183" s="267" t="s">
        <v>2320</v>
      </c>
      <c r="D1183" s="268" t="s">
        <v>441</v>
      </c>
      <c r="E1183" s="486" t="s">
        <v>75</v>
      </c>
      <c r="F1183" s="270">
        <v>1.0</v>
      </c>
      <c r="G1183" s="205"/>
      <c r="H1183" s="206"/>
      <c r="I1183" s="219"/>
    </row>
    <row r="1184" outlineLevel="2">
      <c r="A1184" s="422"/>
      <c r="B1184" s="472"/>
      <c r="C1184" s="275"/>
      <c r="D1184" s="285"/>
      <c r="E1184" s="487"/>
      <c r="F1184" s="275"/>
      <c r="G1184" s="239"/>
      <c r="H1184" s="239"/>
      <c r="I1184" s="240"/>
    </row>
    <row r="1185" outlineLevel="2">
      <c r="A1185" s="422" t="str">
        <f>'Master List'!A630</f>
        <v>W-WIN-024</v>
      </c>
      <c r="B1185" s="472"/>
      <c r="C1185" s="198"/>
      <c r="D1185" s="462" t="str">
        <f>VLOOKUP(A1185,'Master List'!$A$1:$C$1192,2,FALSE)</f>
        <v>Монтаж дверей металевих розміром 0,70x2,44м</v>
      </c>
      <c r="E1185" s="463" t="str">
        <f>VLOOKUP(A1185,'Master List'!$A$1:$C$1192,3,FALSE)</f>
        <v>шт</v>
      </c>
      <c r="F1185" s="464">
        <v>1.0</v>
      </c>
      <c r="G1185" s="463">
        <f>VLOOKUP(A1185,'Master List'!$A$4:$F3864,5,FALSE)</f>
        <v>188.5</v>
      </c>
      <c r="H1185" s="206">
        <f t="shared" ref="H1185:H1188" si="107">G1185*F1185</f>
        <v>188.5</v>
      </c>
      <c r="I1185" s="240"/>
    </row>
    <row r="1186" outlineLevel="2">
      <c r="A1186" s="422" t="str">
        <f>'Master List'!A148</f>
        <v>M-WIN-024</v>
      </c>
      <c r="B1186" s="472"/>
      <c r="C1186" s="198"/>
      <c r="D1186" s="462" t="str">
        <f>VLOOKUP(A1186,'Master List'!$A$1:$C$1192,2,FALSE)</f>
        <v>Двері металеві розміром 0,70x2,44м VE 00.5B</v>
      </c>
      <c r="E1186" s="463" t="str">
        <f>VLOOKUP(A1186,'Master List'!$A$1:$C$1192,3,FALSE)</f>
        <v>шт</v>
      </c>
      <c r="F1186" s="464">
        <v>1.0</v>
      </c>
      <c r="G1186" s="463">
        <f>VLOOKUP(A1186,'Master List'!$A$4:$F3865,5,FALSE)</f>
        <v>0</v>
      </c>
      <c r="H1186" s="206">
        <f t="shared" si="107"/>
        <v>0</v>
      </c>
      <c r="I1186" s="240"/>
    </row>
    <row r="1187" outlineLevel="2">
      <c r="A1187" s="422" t="str">
        <f>'Master List'!A165</f>
        <v>M-WIN-041</v>
      </c>
      <c r="B1187" s="472"/>
      <c r="C1187" s="198"/>
      <c r="D1187" s="462" t="str">
        <f>VLOOKUP(A1187,'Master List'!$A$1:$C$1192,2,FALSE)</f>
        <v>Кріплення для вікон і дверей</v>
      </c>
      <c r="E1187" s="463" t="str">
        <f>VLOOKUP(A1187,'Master List'!$A$1:$C$1192,3,FALSE)</f>
        <v>шт</v>
      </c>
      <c r="F1187" s="464">
        <v>8.0</v>
      </c>
      <c r="G1187" s="463">
        <f>VLOOKUP(A1187,'Master List'!$A$4:$F3866,5,FALSE)</f>
        <v>0</v>
      </c>
      <c r="H1187" s="206">
        <f t="shared" si="107"/>
        <v>0</v>
      </c>
      <c r="I1187" s="240"/>
    </row>
    <row r="1188" outlineLevel="2">
      <c r="A1188" s="422" t="str">
        <f>'Master List'!A166</f>
        <v>M-WIN-042</v>
      </c>
      <c r="B1188" s="472"/>
      <c r="C1188" s="198"/>
      <c r="D1188" s="462" t="str">
        <f>VLOOKUP(A1188,'Master List'!$A$1:$C$1192,2,FALSE)</f>
        <v>Піна монтажна 0,75л</v>
      </c>
      <c r="E1188" s="463" t="str">
        <f>VLOOKUP(A1188,'Master List'!$A$1:$C$1192,3,FALSE)</f>
        <v>шт</v>
      </c>
      <c r="F1188" s="464">
        <v>0.3</v>
      </c>
      <c r="G1188" s="463">
        <f>VLOOKUP(A1188,'Master List'!$A$4:$F3867,5,FALSE)</f>
        <v>5.057</v>
      </c>
      <c r="H1188" s="206">
        <f t="shared" si="107"/>
        <v>1.5171</v>
      </c>
      <c r="I1188" s="240"/>
    </row>
    <row r="1189" outlineLevel="2">
      <c r="A1189" s="422"/>
      <c r="B1189" s="428"/>
      <c r="C1189" s="451"/>
      <c r="D1189" s="428"/>
      <c r="E1189" s="431"/>
      <c r="F1189" s="432"/>
      <c r="G1189" s="434"/>
      <c r="H1189" s="434"/>
      <c r="I1189" s="240"/>
    </row>
    <row r="1190" outlineLevel="2">
      <c r="A1190" s="422"/>
      <c r="B1190" s="472" t="s">
        <v>442</v>
      </c>
      <c r="C1190" s="267">
        <v>10.5</v>
      </c>
      <c r="D1190" s="268" t="s">
        <v>443</v>
      </c>
      <c r="E1190" s="486"/>
      <c r="F1190" s="270"/>
      <c r="G1190" s="205"/>
      <c r="H1190" s="206"/>
      <c r="I1190" s="219"/>
    </row>
    <row r="1191" outlineLevel="2">
      <c r="A1191" s="422"/>
      <c r="B1191" s="428"/>
      <c r="C1191" s="451"/>
      <c r="D1191" s="428"/>
      <c r="E1191" s="431"/>
      <c r="F1191" s="432"/>
      <c r="G1191" s="434"/>
      <c r="H1191" s="434"/>
      <c r="I1191" s="240"/>
    </row>
    <row r="1192" outlineLevel="2">
      <c r="A1192" s="422"/>
      <c r="B1192" s="472" t="s">
        <v>444</v>
      </c>
      <c r="C1192" s="267" t="s">
        <v>2324</v>
      </c>
      <c r="D1192" s="268" t="s">
        <v>445</v>
      </c>
      <c r="E1192" s="486" t="s">
        <v>75</v>
      </c>
      <c r="F1192" s="270">
        <v>1.0</v>
      </c>
      <c r="G1192" s="205"/>
      <c r="H1192" s="206"/>
      <c r="I1192" s="219"/>
    </row>
    <row r="1193" outlineLevel="2">
      <c r="A1193" s="422"/>
      <c r="B1193" s="472"/>
      <c r="C1193" s="275"/>
      <c r="D1193" s="285"/>
      <c r="E1193" s="487"/>
      <c r="F1193" s="275"/>
      <c r="G1193" s="239"/>
      <c r="H1193" s="239"/>
      <c r="I1193" s="240"/>
    </row>
    <row r="1194" outlineLevel="2">
      <c r="A1194" s="422" t="str">
        <f>'Master List'!A631</f>
        <v>W-WIN-025</v>
      </c>
      <c r="B1194" s="472"/>
      <c r="C1194" s="198"/>
      <c r="D1194" s="462" t="str">
        <f>VLOOKUP(A1194,'Master List'!$A$1:$C$1192,2,FALSE)</f>
        <v>Монтаж дверей металевих розміром 0,85x2,11м</v>
      </c>
      <c r="E1194" s="463" t="str">
        <f>VLOOKUP(A1194,'Master List'!$A$1:$C$1192,3,FALSE)</f>
        <v>шт</v>
      </c>
      <c r="F1194" s="464">
        <v>1.0</v>
      </c>
      <c r="G1194" s="463">
        <f>VLOOKUP(A1194,'Master List'!$A$4:$F3873,5,FALSE)</f>
        <v>197.6</v>
      </c>
      <c r="H1194" s="206">
        <f t="shared" ref="H1194:H1197" si="108">G1194*F1194</f>
        <v>197.6</v>
      </c>
      <c r="I1194" s="240"/>
    </row>
    <row r="1195" outlineLevel="2">
      <c r="A1195" s="422" t="str">
        <f>'Master List'!A149</f>
        <v>M-WIN-025</v>
      </c>
      <c r="B1195" s="472"/>
      <c r="C1195" s="198"/>
      <c r="D1195" s="462" t="str">
        <f>VLOOKUP(A1195,'Master List'!$A$1:$C$1192,2,FALSE)</f>
        <v>Двері металеві розміром 0,85x2,11м VE 0.11</v>
      </c>
      <c r="E1195" s="463" t="str">
        <f>VLOOKUP(A1195,'Master List'!$A$1:$C$1192,3,FALSE)</f>
        <v>шт</v>
      </c>
      <c r="F1195" s="464">
        <v>1.0</v>
      </c>
      <c r="G1195" s="463">
        <f>VLOOKUP(A1195,'Master List'!$A$4:$F3874,5,FALSE)</f>
        <v>0</v>
      </c>
      <c r="H1195" s="206">
        <f t="shared" si="108"/>
        <v>0</v>
      </c>
      <c r="I1195" s="240"/>
    </row>
    <row r="1196" outlineLevel="2">
      <c r="A1196" s="422" t="str">
        <f>'Master List'!A165</f>
        <v>M-WIN-041</v>
      </c>
      <c r="B1196" s="472"/>
      <c r="C1196" s="198"/>
      <c r="D1196" s="462" t="str">
        <f>VLOOKUP(A1196,'Master List'!$A$1:$C$1192,2,FALSE)</f>
        <v>Кріплення для вікон і дверей</v>
      </c>
      <c r="E1196" s="463" t="str">
        <f>VLOOKUP(A1196,'Master List'!$A$1:$C$1192,3,FALSE)</f>
        <v>шт</v>
      </c>
      <c r="F1196" s="464">
        <v>8.0</v>
      </c>
      <c r="G1196" s="463">
        <f>VLOOKUP(A1196,'Master List'!$A$4:$F3875,5,FALSE)</f>
        <v>0</v>
      </c>
      <c r="H1196" s="206">
        <f t="shared" si="108"/>
        <v>0</v>
      </c>
      <c r="I1196" s="240"/>
    </row>
    <row r="1197" outlineLevel="2">
      <c r="A1197" s="422" t="str">
        <f>'Master List'!A166</f>
        <v>M-WIN-042</v>
      </c>
      <c r="B1197" s="472"/>
      <c r="C1197" s="198"/>
      <c r="D1197" s="462" t="str">
        <f>VLOOKUP(A1197,'Master List'!$A$1:$C$1192,2,FALSE)</f>
        <v>Піна монтажна 0,75л</v>
      </c>
      <c r="E1197" s="463" t="str">
        <f>VLOOKUP(A1197,'Master List'!$A$1:$C$1192,3,FALSE)</f>
        <v>шт</v>
      </c>
      <c r="F1197" s="464">
        <v>0.3</v>
      </c>
      <c r="G1197" s="463">
        <f>VLOOKUP(A1197,'Master List'!$A$4:$F3876,5,FALSE)</f>
        <v>5.057</v>
      </c>
      <c r="H1197" s="206">
        <f t="shared" si="108"/>
        <v>1.5171</v>
      </c>
      <c r="I1197" s="240"/>
    </row>
    <row r="1198" outlineLevel="2">
      <c r="A1198" s="422"/>
      <c r="B1198" s="428"/>
      <c r="C1198" s="451"/>
      <c r="D1198" s="428"/>
      <c r="E1198" s="431"/>
      <c r="F1198" s="432"/>
      <c r="G1198" s="434"/>
      <c r="H1198" s="434"/>
      <c r="I1198" s="240"/>
    </row>
    <row r="1199" outlineLevel="2">
      <c r="A1199" s="422"/>
      <c r="B1199" s="472" t="s">
        <v>446</v>
      </c>
      <c r="C1199" s="267" t="s">
        <v>2326</v>
      </c>
      <c r="D1199" s="268" t="s">
        <v>447</v>
      </c>
      <c r="E1199" s="486" t="s">
        <v>75</v>
      </c>
      <c r="F1199" s="270">
        <v>1.0</v>
      </c>
      <c r="G1199" s="205"/>
      <c r="H1199" s="206"/>
      <c r="I1199" s="219"/>
    </row>
    <row r="1200" outlineLevel="2">
      <c r="A1200" s="422"/>
      <c r="B1200" s="472"/>
      <c r="C1200" s="275"/>
      <c r="D1200" s="285"/>
      <c r="E1200" s="487"/>
      <c r="F1200" s="275"/>
      <c r="G1200" s="239"/>
      <c r="H1200" s="239"/>
      <c r="I1200" s="240"/>
    </row>
    <row r="1201" outlineLevel="2">
      <c r="A1201" s="422" t="str">
        <f>'Master List'!A632</f>
        <v>W-WIN-026</v>
      </c>
      <c r="B1201" s="472"/>
      <c r="C1201" s="198"/>
      <c r="D1201" s="462" t="str">
        <f>VLOOKUP(A1201,'Master List'!$A$1:$C$1192,2,FALSE)</f>
        <v>Монтаж дверей металевих розміром 0,85x2,11м</v>
      </c>
      <c r="E1201" s="463" t="str">
        <f>VLOOKUP(A1201,'Master List'!$A$1:$C$1192,3,FALSE)</f>
        <v>шт</v>
      </c>
      <c r="F1201" s="464">
        <v>1.0</v>
      </c>
      <c r="G1201" s="463">
        <f>VLOOKUP(A1201,'Master List'!$A$4:$F3880,5,FALSE)</f>
        <v>197.6</v>
      </c>
      <c r="H1201" s="206">
        <f t="shared" ref="H1201:H1204" si="109">G1201*F1201</f>
        <v>197.6</v>
      </c>
      <c r="I1201" s="240"/>
    </row>
    <row r="1202" outlineLevel="2">
      <c r="A1202" s="422" t="str">
        <f>'Master List'!A150</f>
        <v>M-WIN-026</v>
      </c>
      <c r="B1202" s="472"/>
      <c r="C1202" s="198"/>
      <c r="D1202" s="462" t="str">
        <f>VLOOKUP(A1202,'Master List'!$A$1:$C$1192,2,FALSE)</f>
        <v>Двері металеві розміром 0,85x2,11м VE 0.12</v>
      </c>
      <c r="E1202" s="463" t="str">
        <f>VLOOKUP(A1202,'Master List'!$A$1:$C$1192,3,FALSE)</f>
        <v>шт</v>
      </c>
      <c r="F1202" s="464">
        <v>1.0</v>
      </c>
      <c r="G1202" s="463">
        <f>VLOOKUP(A1202,'Master List'!$A$4:$F3881,5,FALSE)</f>
        <v>0</v>
      </c>
      <c r="H1202" s="206">
        <f t="shared" si="109"/>
        <v>0</v>
      </c>
      <c r="I1202" s="240"/>
    </row>
    <row r="1203" outlineLevel="2">
      <c r="A1203" s="422" t="str">
        <f>'Master List'!A165</f>
        <v>M-WIN-041</v>
      </c>
      <c r="B1203" s="472"/>
      <c r="C1203" s="198"/>
      <c r="D1203" s="462" t="str">
        <f>VLOOKUP(A1203,'Master List'!$A$1:$C$1192,2,FALSE)</f>
        <v>Кріплення для вікон і дверей</v>
      </c>
      <c r="E1203" s="463" t="str">
        <f>VLOOKUP(A1203,'Master List'!$A$1:$C$1192,3,FALSE)</f>
        <v>шт</v>
      </c>
      <c r="F1203" s="464">
        <v>8.0</v>
      </c>
      <c r="G1203" s="463">
        <f>VLOOKUP(A1203,'Master List'!$A$4:$F3882,5,FALSE)</f>
        <v>0</v>
      </c>
      <c r="H1203" s="206">
        <f t="shared" si="109"/>
        <v>0</v>
      </c>
      <c r="I1203" s="240"/>
    </row>
    <row r="1204" outlineLevel="2">
      <c r="A1204" s="422" t="str">
        <f>'Master List'!A166</f>
        <v>M-WIN-042</v>
      </c>
      <c r="B1204" s="472"/>
      <c r="C1204" s="198"/>
      <c r="D1204" s="462" t="str">
        <f>VLOOKUP(A1204,'Master List'!$A$1:$C$1192,2,FALSE)</f>
        <v>Піна монтажна 0,75л</v>
      </c>
      <c r="E1204" s="463" t="str">
        <f>VLOOKUP(A1204,'Master List'!$A$1:$C$1192,3,FALSE)</f>
        <v>шт</v>
      </c>
      <c r="F1204" s="464">
        <v>0.3</v>
      </c>
      <c r="G1204" s="463">
        <f>VLOOKUP(A1204,'Master List'!$A$4:$F3883,5,FALSE)</f>
        <v>5.057</v>
      </c>
      <c r="H1204" s="206">
        <f t="shared" si="109"/>
        <v>1.5171</v>
      </c>
      <c r="I1204" s="240"/>
    </row>
    <row r="1205" outlineLevel="2">
      <c r="A1205" s="422"/>
      <c r="B1205" s="428"/>
      <c r="C1205" s="451"/>
      <c r="D1205" s="428"/>
      <c r="E1205" s="431"/>
      <c r="F1205" s="432"/>
      <c r="G1205" s="434"/>
      <c r="H1205" s="434"/>
      <c r="I1205" s="240"/>
    </row>
    <row r="1206" outlineLevel="2">
      <c r="A1206" s="422"/>
      <c r="B1206" s="472" t="s">
        <v>448</v>
      </c>
      <c r="C1206" s="267">
        <v>10.6</v>
      </c>
      <c r="D1206" s="268" t="s">
        <v>449</v>
      </c>
      <c r="E1206" s="486"/>
      <c r="F1206" s="270"/>
      <c r="G1206" s="205"/>
      <c r="H1206" s="206"/>
      <c r="I1206" s="219"/>
    </row>
    <row r="1207" outlineLevel="2">
      <c r="A1207" s="422"/>
      <c r="B1207" s="428"/>
      <c r="C1207" s="451"/>
      <c r="D1207" s="428"/>
      <c r="E1207" s="431"/>
      <c r="F1207" s="432"/>
      <c r="G1207" s="434"/>
      <c r="H1207" s="434"/>
      <c r="I1207" s="240"/>
    </row>
    <row r="1208" outlineLevel="2">
      <c r="A1208" s="422"/>
      <c r="B1208" s="472" t="s">
        <v>450</v>
      </c>
      <c r="C1208" s="267" t="s">
        <v>2330</v>
      </c>
      <c r="D1208" s="268" t="s">
        <v>451</v>
      </c>
      <c r="E1208" s="486" t="s">
        <v>75</v>
      </c>
      <c r="F1208" s="270">
        <v>1.0</v>
      </c>
      <c r="G1208" s="205"/>
      <c r="H1208" s="206"/>
      <c r="I1208" s="219"/>
    </row>
    <row r="1209" outlineLevel="2">
      <c r="A1209" s="422"/>
      <c r="B1209" s="472"/>
      <c r="C1209" s="275"/>
      <c r="D1209" s="285"/>
      <c r="E1209" s="487"/>
      <c r="F1209" s="275"/>
      <c r="G1209" s="239"/>
      <c r="H1209" s="239"/>
      <c r="I1209" s="240"/>
    </row>
    <row r="1210" outlineLevel="2">
      <c r="A1210" s="422" t="str">
        <f>'Master List'!A633</f>
        <v>W-WIN-027</v>
      </c>
      <c r="B1210" s="472"/>
      <c r="C1210" s="198"/>
      <c r="D1210" s="462" t="str">
        <f>VLOOKUP(A1210,'Master List'!$A$1:$C$1192,2,FALSE)</f>
        <v>Монтаж дверей металевих розміром 0,80x2,13м</v>
      </c>
      <c r="E1210" s="463" t="str">
        <f>VLOOKUP(A1210,'Master List'!$A$1:$C$1192,3,FALSE)</f>
        <v>шт</v>
      </c>
      <c r="F1210" s="464">
        <v>1.0</v>
      </c>
      <c r="G1210" s="463">
        <f>VLOOKUP(A1210,'Master List'!$A$4:$F3889,5,FALSE)</f>
        <v>191.1</v>
      </c>
      <c r="H1210" s="206">
        <f t="shared" ref="H1210:H1213" si="110">G1210*F1210</f>
        <v>191.1</v>
      </c>
      <c r="I1210" s="240"/>
    </row>
    <row r="1211" outlineLevel="2">
      <c r="A1211" s="422" t="str">
        <f>'Master List'!A151</f>
        <v>M-WIN-027</v>
      </c>
      <c r="B1211" s="472"/>
      <c r="C1211" s="198"/>
      <c r="D1211" s="462" t="str">
        <f>VLOOKUP(A1211,'Master List'!$A$1:$C$1192,2,FALSE)</f>
        <v>Двері металеві розміром 0,80x2,13м VE 00.13</v>
      </c>
      <c r="E1211" s="463" t="str">
        <f>VLOOKUP(A1211,'Master List'!$A$1:$C$1192,3,FALSE)</f>
        <v>шт</v>
      </c>
      <c r="F1211" s="464">
        <v>1.0</v>
      </c>
      <c r="G1211" s="463">
        <f>VLOOKUP(A1211,'Master List'!$A$4:$F3890,5,FALSE)</f>
        <v>0</v>
      </c>
      <c r="H1211" s="206">
        <f t="shared" si="110"/>
        <v>0</v>
      </c>
      <c r="I1211" s="240"/>
    </row>
    <row r="1212" outlineLevel="2">
      <c r="A1212" s="422" t="str">
        <f>'Master List'!A165</f>
        <v>M-WIN-041</v>
      </c>
      <c r="B1212" s="472"/>
      <c r="C1212" s="198"/>
      <c r="D1212" s="462" t="str">
        <f>VLOOKUP(A1212,'Master List'!$A$1:$C$1192,2,FALSE)</f>
        <v>Кріплення для вікон і дверей</v>
      </c>
      <c r="E1212" s="463" t="str">
        <f>VLOOKUP(A1212,'Master List'!$A$1:$C$1192,3,FALSE)</f>
        <v>шт</v>
      </c>
      <c r="F1212" s="464">
        <v>8.0</v>
      </c>
      <c r="G1212" s="463">
        <f>VLOOKUP(A1212,'Master List'!$A$4:$F3891,5,FALSE)</f>
        <v>0</v>
      </c>
      <c r="H1212" s="206">
        <f t="shared" si="110"/>
        <v>0</v>
      </c>
      <c r="I1212" s="240"/>
    </row>
    <row r="1213" outlineLevel="2">
      <c r="A1213" s="422" t="str">
        <f>'Master List'!A166</f>
        <v>M-WIN-042</v>
      </c>
      <c r="B1213" s="472"/>
      <c r="C1213" s="198"/>
      <c r="D1213" s="462" t="str">
        <f>VLOOKUP(A1213,'Master List'!$A$1:$C$1192,2,FALSE)</f>
        <v>Піна монтажна 0,75л</v>
      </c>
      <c r="E1213" s="463" t="str">
        <f>VLOOKUP(A1213,'Master List'!$A$1:$C$1192,3,FALSE)</f>
        <v>шт</v>
      </c>
      <c r="F1213" s="464">
        <v>0.3</v>
      </c>
      <c r="G1213" s="463">
        <f>VLOOKUP(A1213,'Master List'!$A$4:$F3892,5,FALSE)</f>
        <v>5.057</v>
      </c>
      <c r="H1213" s="206">
        <f t="shared" si="110"/>
        <v>1.5171</v>
      </c>
      <c r="I1213" s="240"/>
    </row>
    <row r="1214" outlineLevel="2">
      <c r="A1214" s="422"/>
      <c r="B1214" s="428"/>
      <c r="C1214" s="451"/>
      <c r="D1214" s="428"/>
      <c r="E1214" s="431"/>
      <c r="F1214" s="432"/>
      <c r="G1214" s="434"/>
      <c r="H1214" s="434"/>
      <c r="I1214" s="240"/>
    </row>
    <row r="1215" outlineLevel="2">
      <c r="A1215" s="422"/>
      <c r="B1215" s="472" t="s">
        <v>452</v>
      </c>
      <c r="C1215" s="267">
        <v>10.7</v>
      </c>
      <c r="D1215" s="268" t="s">
        <v>453</v>
      </c>
      <c r="E1215" s="486"/>
      <c r="F1215" s="270"/>
      <c r="G1215" s="205"/>
      <c r="H1215" s="206"/>
      <c r="I1215" s="219"/>
    </row>
    <row r="1216" outlineLevel="2">
      <c r="A1216" s="422"/>
      <c r="B1216" s="428"/>
      <c r="C1216" s="451"/>
      <c r="D1216" s="428"/>
      <c r="E1216" s="431"/>
      <c r="F1216" s="432"/>
      <c r="G1216" s="434"/>
      <c r="H1216" s="434"/>
      <c r="I1216" s="240"/>
    </row>
    <row r="1217" outlineLevel="2">
      <c r="A1217" s="422"/>
      <c r="B1217" s="472" t="s">
        <v>454</v>
      </c>
      <c r="C1217" s="267" t="s">
        <v>2334</v>
      </c>
      <c r="D1217" s="268" t="s">
        <v>455</v>
      </c>
      <c r="E1217" s="486" t="s">
        <v>75</v>
      </c>
      <c r="F1217" s="270">
        <v>1.0</v>
      </c>
      <c r="G1217" s="205"/>
      <c r="H1217" s="206"/>
      <c r="I1217" s="240"/>
    </row>
    <row r="1218" outlineLevel="2">
      <c r="A1218" s="422"/>
      <c r="B1218" s="472"/>
      <c r="C1218" s="275"/>
      <c r="D1218" s="285"/>
      <c r="E1218" s="487"/>
      <c r="F1218" s="275"/>
      <c r="G1218" s="239"/>
      <c r="H1218" s="239"/>
      <c r="I1218" s="240"/>
    </row>
    <row r="1219" outlineLevel="2">
      <c r="A1219" s="422" t="str">
        <f>'Master List'!A634</f>
        <v>W-WIN-028</v>
      </c>
      <c r="B1219" s="472"/>
      <c r="C1219" s="198"/>
      <c r="D1219" s="462" t="str">
        <f>VLOOKUP(A1219,'Master List'!$A$1:$C$1192,2,FALSE)</f>
        <v>Монтаж дверей металевих розміром 0,69x2,20м</v>
      </c>
      <c r="E1219" s="463" t="str">
        <f>VLOOKUP(A1219,'Master List'!$A$1:$C$1192,3,FALSE)</f>
        <v>шт</v>
      </c>
      <c r="F1219" s="464">
        <v>1.0</v>
      </c>
      <c r="G1219" s="463">
        <f>VLOOKUP(A1219,'Master List'!$A$4:$F3898,5,FALSE)</f>
        <v>175.5</v>
      </c>
      <c r="H1219" s="206">
        <f t="shared" ref="H1219:H1222" si="111">G1219*F1219</f>
        <v>175.5</v>
      </c>
      <c r="I1219" s="240"/>
    </row>
    <row r="1220" outlineLevel="2">
      <c r="A1220" s="422" t="str">
        <f>'Master List'!A152</f>
        <v>M-WIN-028</v>
      </c>
      <c r="B1220" s="472"/>
      <c r="C1220" s="198"/>
      <c r="D1220" s="462" t="str">
        <f>VLOOKUP(A1220,'Master List'!$A$1:$C$1192,2,FALSE)</f>
        <v>Двері металеві розміром 0,69x2,20м VI 01.8</v>
      </c>
      <c r="E1220" s="463" t="str">
        <f>VLOOKUP(A1220,'Master List'!$A$1:$C$1192,3,FALSE)</f>
        <v>шт</v>
      </c>
      <c r="F1220" s="464">
        <v>1.0</v>
      </c>
      <c r="G1220" s="463">
        <f>VLOOKUP(A1220,'Master List'!$A$4:$F3899,5,FALSE)</f>
        <v>0</v>
      </c>
      <c r="H1220" s="206">
        <f t="shared" si="111"/>
        <v>0</v>
      </c>
      <c r="I1220" s="240"/>
    </row>
    <row r="1221" outlineLevel="2">
      <c r="A1221" s="422" t="str">
        <f>'Master List'!A165</f>
        <v>M-WIN-041</v>
      </c>
      <c r="B1221" s="472"/>
      <c r="C1221" s="198"/>
      <c r="D1221" s="462" t="str">
        <f>VLOOKUP(A1221,'Master List'!$A$1:$C$1192,2,FALSE)</f>
        <v>Кріплення для вікон і дверей</v>
      </c>
      <c r="E1221" s="463" t="str">
        <f>VLOOKUP(A1221,'Master List'!$A$1:$C$1192,3,FALSE)</f>
        <v>шт</v>
      </c>
      <c r="F1221" s="464">
        <v>8.0</v>
      </c>
      <c r="G1221" s="463">
        <f>VLOOKUP(A1221,'Master List'!$A$4:$F3900,5,FALSE)</f>
        <v>0</v>
      </c>
      <c r="H1221" s="206">
        <f t="shared" si="111"/>
        <v>0</v>
      </c>
      <c r="I1221" s="240"/>
    </row>
    <row r="1222" outlineLevel="2">
      <c r="A1222" s="422" t="str">
        <f>'Master List'!A166</f>
        <v>M-WIN-042</v>
      </c>
      <c r="B1222" s="472"/>
      <c r="C1222" s="198"/>
      <c r="D1222" s="462" t="str">
        <f>VLOOKUP(A1222,'Master List'!$A$1:$C$1192,2,FALSE)</f>
        <v>Піна монтажна 0,75л</v>
      </c>
      <c r="E1222" s="463" t="str">
        <f>VLOOKUP(A1222,'Master List'!$A$1:$C$1192,3,FALSE)</f>
        <v>шт</v>
      </c>
      <c r="F1222" s="464">
        <v>0.3</v>
      </c>
      <c r="G1222" s="463">
        <f>VLOOKUP(A1222,'Master List'!$A$4:$F3901,5,FALSE)</f>
        <v>5.057</v>
      </c>
      <c r="H1222" s="206">
        <f t="shared" si="111"/>
        <v>1.5171</v>
      </c>
      <c r="I1222" s="240"/>
    </row>
    <row r="1223" outlineLevel="2">
      <c r="A1223" s="422"/>
      <c r="B1223" s="428"/>
      <c r="C1223" s="451"/>
      <c r="D1223" s="428"/>
      <c r="E1223" s="431"/>
      <c r="F1223" s="432"/>
      <c r="G1223" s="434"/>
      <c r="H1223" s="434"/>
      <c r="I1223" s="240"/>
    </row>
    <row r="1224" outlineLevel="2">
      <c r="A1224" s="422"/>
      <c r="B1224" s="472" t="s">
        <v>456</v>
      </c>
      <c r="C1224" s="267">
        <v>10.8</v>
      </c>
      <c r="D1224" s="268" t="s">
        <v>457</v>
      </c>
      <c r="E1224" s="486"/>
      <c r="F1224" s="270"/>
      <c r="G1224" s="205"/>
      <c r="H1224" s="206"/>
      <c r="I1224" s="219"/>
    </row>
    <row r="1225" outlineLevel="2">
      <c r="A1225" s="422"/>
      <c r="B1225" s="428"/>
      <c r="C1225" s="451"/>
      <c r="D1225" s="428"/>
      <c r="E1225" s="431"/>
      <c r="F1225" s="432"/>
      <c r="G1225" s="434"/>
      <c r="H1225" s="434"/>
      <c r="I1225" s="240"/>
    </row>
    <row r="1226" outlineLevel="2">
      <c r="A1226" s="422"/>
      <c r="B1226" s="472" t="s">
        <v>458</v>
      </c>
      <c r="C1226" s="267" t="s">
        <v>2338</v>
      </c>
      <c r="D1226" s="268" t="s">
        <v>459</v>
      </c>
      <c r="E1226" s="486" t="s">
        <v>75</v>
      </c>
      <c r="F1226" s="270">
        <v>1.0</v>
      </c>
      <c r="G1226" s="205"/>
      <c r="H1226" s="206"/>
      <c r="I1226" s="219"/>
    </row>
    <row r="1227" outlineLevel="2">
      <c r="A1227" s="422"/>
      <c r="B1227" s="472"/>
      <c r="C1227" s="275"/>
      <c r="D1227" s="285"/>
      <c r="E1227" s="487"/>
      <c r="F1227" s="275"/>
      <c r="G1227" s="239"/>
      <c r="H1227" s="239"/>
      <c r="I1227" s="240"/>
    </row>
    <row r="1228" outlineLevel="2">
      <c r="A1228" s="422" t="str">
        <f>'Master List'!A635</f>
        <v>W-WIN-029</v>
      </c>
      <c r="B1228" s="472"/>
      <c r="C1228" s="198"/>
      <c r="D1228" s="462" t="str">
        <f>VLOOKUP(A1228,'Master List'!$A$1:$C$1192,2,FALSE)</f>
        <v>Монтаж дверей металевих розміром 0,74x2,30м</v>
      </c>
      <c r="E1228" s="463" t="str">
        <f>VLOOKUP(A1228,'Master List'!$A$1:$C$1192,3,FALSE)</f>
        <v>шт</v>
      </c>
      <c r="F1228" s="464">
        <v>1.0</v>
      </c>
      <c r="G1228" s="463">
        <f>VLOOKUP(A1228,'Master List'!$A$4:$F3907,5,FALSE)</f>
        <v>188.5</v>
      </c>
      <c r="H1228" s="206">
        <f t="shared" ref="H1228:H1231" si="112">G1228*F1228</f>
        <v>188.5</v>
      </c>
      <c r="I1228" s="240"/>
    </row>
    <row r="1229" outlineLevel="2">
      <c r="A1229" s="422" t="str">
        <f>'Master List'!A153</f>
        <v>M-WIN-029</v>
      </c>
      <c r="B1229" s="472"/>
      <c r="C1229" s="198"/>
      <c r="D1229" s="462" t="str">
        <f>VLOOKUP(A1229,'Master List'!$A$1:$C$1192,2,FALSE)</f>
        <v>Двері металеві розміром 0,74x2,30м VE -01.6</v>
      </c>
      <c r="E1229" s="463" t="str">
        <f>VLOOKUP(A1229,'Master List'!$A$1:$C$1192,3,FALSE)</f>
        <v>шт</v>
      </c>
      <c r="F1229" s="464">
        <v>1.0</v>
      </c>
      <c r="G1229" s="463">
        <f>VLOOKUP(A1229,'Master List'!$A$4:$F3908,5,FALSE)</f>
        <v>0</v>
      </c>
      <c r="H1229" s="206">
        <f t="shared" si="112"/>
        <v>0</v>
      </c>
      <c r="I1229" s="240"/>
    </row>
    <row r="1230" outlineLevel="2">
      <c r="A1230" s="422" t="str">
        <f>'Master List'!A165</f>
        <v>M-WIN-041</v>
      </c>
      <c r="B1230" s="472"/>
      <c r="C1230" s="198"/>
      <c r="D1230" s="462" t="str">
        <f>VLOOKUP(A1230,'Master List'!$A$1:$C$1192,2,FALSE)</f>
        <v>Кріплення для вікон і дверей</v>
      </c>
      <c r="E1230" s="463" t="str">
        <f>VLOOKUP(A1230,'Master List'!$A$1:$C$1192,3,FALSE)</f>
        <v>шт</v>
      </c>
      <c r="F1230" s="464">
        <v>8.0</v>
      </c>
      <c r="G1230" s="463">
        <f>VLOOKUP(A1230,'Master List'!$A$4:$F3909,5,FALSE)</f>
        <v>0</v>
      </c>
      <c r="H1230" s="206">
        <f t="shared" si="112"/>
        <v>0</v>
      </c>
      <c r="I1230" s="240"/>
    </row>
    <row r="1231" outlineLevel="2">
      <c r="A1231" s="422" t="str">
        <f>'Master List'!A166</f>
        <v>M-WIN-042</v>
      </c>
      <c r="B1231" s="472"/>
      <c r="C1231" s="198"/>
      <c r="D1231" s="462" t="str">
        <f>VLOOKUP(A1231,'Master List'!$A$1:$C$1192,2,FALSE)</f>
        <v>Піна монтажна 0,75л</v>
      </c>
      <c r="E1231" s="463" t="str">
        <f>VLOOKUP(A1231,'Master List'!$A$1:$C$1192,3,FALSE)</f>
        <v>шт</v>
      </c>
      <c r="F1231" s="464">
        <v>0.3</v>
      </c>
      <c r="G1231" s="463">
        <f>VLOOKUP(A1231,'Master List'!$A$4:$F3910,5,FALSE)</f>
        <v>5.057</v>
      </c>
      <c r="H1231" s="206">
        <f t="shared" si="112"/>
        <v>1.5171</v>
      </c>
      <c r="I1231" s="240"/>
    </row>
    <row r="1232" outlineLevel="2">
      <c r="A1232" s="422"/>
      <c r="B1232" s="428"/>
      <c r="C1232" s="451"/>
      <c r="D1232" s="428"/>
      <c r="E1232" s="431"/>
      <c r="F1232" s="432"/>
      <c r="G1232" s="434"/>
      <c r="H1232" s="434"/>
      <c r="I1232" s="240"/>
    </row>
    <row r="1233" outlineLevel="2">
      <c r="A1233" s="422"/>
      <c r="B1233" s="472" t="s">
        <v>460</v>
      </c>
      <c r="C1233" s="267" t="s">
        <v>2340</v>
      </c>
      <c r="D1233" s="268" t="s">
        <v>461</v>
      </c>
      <c r="E1233" s="486" t="s">
        <v>75</v>
      </c>
      <c r="F1233" s="270">
        <v>1.0</v>
      </c>
      <c r="G1233" s="205"/>
      <c r="H1233" s="206"/>
      <c r="I1233" s="219"/>
    </row>
    <row r="1234" outlineLevel="2">
      <c r="A1234" s="422"/>
      <c r="B1234" s="472"/>
      <c r="C1234" s="275"/>
      <c r="D1234" s="285"/>
      <c r="E1234" s="487"/>
      <c r="F1234" s="275"/>
      <c r="G1234" s="239"/>
      <c r="H1234" s="239"/>
      <c r="I1234" s="240"/>
    </row>
    <row r="1235" outlineLevel="2">
      <c r="A1235" s="422" t="str">
        <f>'Master List'!A636</f>
        <v>W-WIN-030</v>
      </c>
      <c r="B1235" s="472"/>
      <c r="C1235" s="198"/>
      <c r="D1235" s="462" t="str">
        <f>VLOOKUP(A1235,'Master List'!$A$1:$C$1192,2,FALSE)</f>
        <v>Монтаж дверей металевих розміром 1,74x2,30м</v>
      </c>
      <c r="E1235" s="463" t="str">
        <f>VLOOKUP(A1235,'Master List'!$A$1:$C$1192,3,FALSE)</f>
        <v>шт</v>
      </c>
      <c r="F1235" s="464">
        <v>1.0</v>
      </c>
      <c r="G1235" s="463">
        <f>VLOOKUP(A1235,'Master List'!$A$4:$F3914,5,FALSE)</f>
        <v>442</v>
      </c>
      <c r="H1235" s="206">
        <f t="shared" ref="H1235:H1238" si="113">G1235*F1235</f>
        <v>442</v>
      </c>
      <c r="I1235" s="240"/>
    </row>
    <row r="1236" outlineLevel="2">
      <c r="A1236" s="422" t="str">
        <f>'Master List'!A154</f>
        <v>M-WIN-030</v>
      </c>
      <c r="B1236" s="472"/>
      <c r="C1236" s="198"/>
      <c r="D1236" s="462" t="str">
        <f>VLOOKUP(A1236,'Master List'!$A$1:$C$1192,2,FALSE)</f>
        <v>Двері металеві розміром 1,74x2,30м VE -01.7</v>
      </c>
      <c r="E1236" s="463" t="str">
        <f>VLOOKUP(A1236,'Master List'!$A$1:$C$1192,3,FALSE)</f>
        <v>шт</v>
      </c>
      <c r="F1236" s="464">
        <v>1.0</v>
      </c>
      <c r="G1236" s="463">
        <f>VLOOKUP(A1236,'Master List'!$A$4:$F3915,5,FALSE)</f>
        <v>0</v>
      </c>
      <c r="H1236" s="206">
        <f t="shared" si="113"/>
        <v>0</v>
      </c>
      <c r="I1236" s="240"/>
    </row>
    <row r="1237" outlineLevel="2">
      <c r="A1237" s="422" t="str">
        <f>'Master List'!A165</f>
        <v>M-WIN-041</v>
      </c>
      <c r="B1237" s="472"/>
      <c r="C1237" s="198"/>
      <c r="D1237" s="462" t="str">
        <f>VLOOKUP(A1237,'Master List'!$A$1:$C$1192,2,FALSE)</f>
        <v>Кріплення для вікон і дверей</v>
      </c>
      <c r="E1237" s="463" t="str">
        <f>VLOOKUP(A1237,'Master List'!$A$1:$C$1192,3,FALSE)</f>
        <v>шт</v>
      </c>
      <c r="F1237" s="464">
        <v>8.0</v>
      </c>
      <c r="G1237" s="463">
        <f>VLOOKUP(A1237,'Master List'!$A$4:$F3916,5,FALSE)</f>
        <v>0</v>
      </c>
      <c r="H1237" s="206">
        <f t="shared" si="113"/>
        <v>0</v>
      </c>
      <c r="I1237" s="240"/>
    </row>
    <row r="1238" outlineLevel="2">
      <c r="A1238" s="422" t="str">
        <f>'Master List'!A166</f>
        <v>M-WIN-042</v>
      </c>
      <c r="B1238" s="472"/>
      <c r="C1238" s="198"/>
      <c r="D1238" s="462" t="str">
        <f>VLOOKUP(A1238,'Master List'!$A$1:$C$1192,2,FALSE)</f>
        <v>Піна монтажна 0,75л</v>
      </c>
      <c r="E1238" s="463" t="str">
        <f>VLOOKUP(A1238,'Master List'!$A$1:$C$1192,3,FALSE)</f>
        <v>шт</v>
      </c>
      <c r="F1238" s="464">
        <v>0.3</v>
      </c>
      <c r="G1238" s="463">
        <f>VLOOKUP(A1238,'Master List'!$A$4:$F3917,5,FALSE)</f>
        <v>5.057</v>
      </c>
      <c r="H1238" s="206">
        <f t="shared" si="113"/>
        <v>1.5171</v>
      </c>
      <c r="I1238" s="240"/>
    </row>
    <row r="1239" outlineLevel="2">
      <c r="A1239" s="422"/>
      <c r="B1239" s="428"/>
      <c r="C1239" s="451"/>
      <c r="D1239" s="428"/>
      <c r="E1239" s="431"/>
      <c r="F1239" s="432"/>
      <c r="G1239" s="434"/>
      <c r="H1239" s="434"/>
      <c r="I1239" s="240"/>
    </row>
    <row r="1240" outlineLevel="2">
      <c r="A1240" s="422"/>
      <c r="B1240" s="472" t="s">
        <v>462</v>
      </c>
      <c r="C1240" s="267" t="s">
        <v>2342</v>
      </c>
      <c r="D1240" s="268" t="s">
        <v>463</v>
      </c>
      <c r="E1240" s="486" t="s">
        <v>75</v>
      </c>
      <c r="F1240" s="270">
        <v>1.0</v>
      </c>
      <c r="G1240" s="205"/>
      <c r="H1240" s="206"/>
      <c r="I1240" s="219"/>
    </row>
    <row r="1241" outlineLevel="2">
      <c r="A1241" s="422"/>
      <c r="B1241" s="472"/>
      <c r="C1241" s="275"/>
      <c r="D1241" s="285"/>
      <c r="E1241" s="487"/>
      <c r="F1241" s="275"/>
      <c r="G1241" s="239"/>
      <c r="H1241" s="239"/>
      <c r="I1241" s="240"/>
    </row>
    <row r="1242" outlineLevel="2">
      <c r="A1242" s="422" t="str">
        <f>'Master List'!A637</f>
        <v>W-WIN-031</v>
      </c>
      <c r="B1242" s="472"/>
      <c r="C1242" s="198"/>
      <c r="D1242" s="462" t="str">
        <f>VLOOKUP(A1242,'Master List'!$A$1:$C$1192,2,FALSE)</f>
        <v>Монтаж дверей металевих розміром 0,75x2,20м</v>
      </c>
      <c r="E1242" s="463" t="str">
        <f>VLOOKUP(A1242,'Master List'!$A$1:$C$1192,3,FALSE)</f>
        <v>шт</v>
      </c>
      <c r="F1242" s="464">
        <v>1.0</v>
      </c>
      <c r="G1242" s="463">
        <f>VLOOKUP(A1242,'Master List'!$A$4:$F3921,5,FALSE)</f>
        <v>188.5</v>
      </c>
      <c r="H1242" s="206">
        <f t="shared" ref="H1242:H1245" si="114">G1242*F1242</f>
        <v>188.5</v>
      </c>
      <c r="I1242" s="240"/>
    </row>
    <row r="1243" outlineLevel="2">
      <c r="A1243" s="422" t="str">
        <f>'Master List'!A155</f>
        <v>M-WIN-031</v>
      </c>
      <c r="B1243" s="472"/>
      <c r="C1243" s="198"/>
      <c r="D1243" s="462" t="str">
        <f>VLOOKUP(A1243,'Master List'!$A$1:$C$1192,2,FALSE)</f>
        <v>Двері металеві розміром 0,75x2,20м VE -01.8</v>
      </c>
      <c r="E1243" s="463" t="str">
        <f>VLOOKUP(A1243,'Master List'!$A$1:$C$1192,3,FALSE)</f>
        <v>шт</v>
      </c>
      <c r="F1243" s="464">
        <v>1.0</v>
      </c>
      <c r="G1243" s="463">
        <f>VLOOKUP(A1243,'Master List'!$A$4:$F3922,5,FALSE)</f>
        <v>0</v>
      </c>
      <c r="H1243" s="206">
        <f t="shared" si="114"/>
        <v>0</v>
      </c>
      <c r="I1243" s="240"/>
    </row>
    <row r="1244" outlineLevel="2">
      <c r="A1244" s="422" t="str">
        <f>'Master List'!A165</f>
        <v>M-WIN-041</v>
      </c>
      <c r="B1244" s="472"/>
      <c r="C1244" s="198"/>
      <c r="D1244" s="462" t="str">
        <f>VLOOKUP(A1244,'Master List'!$A$1:$C$1192,2,FALSE)</f>
        <v>Кріплення для вікон і дверей</v>
      </c>
      <c r="E1244" s="463" t="str">
        <f>VLOOKUP(A1244,'Master List'!$A$1:$C$1192,3,FALSE)</f>
        <v>шт</v>
      </c>
      <c r="F1244" s="464">
        <v>8.0</v>
      </c>
      <c r="G1244" s="463">
        <f>VLOOKUP(A1244,'Master List'!$A$4:$F3923,5,FALSE)</f>
        <v>0</v>
      </c>
      <c r="H1244" s="206">
        <f t="shared" si="114"/>
        <v>0</v>
      </c>
      <c r="I1244" s="240"/>
    </row>
    <row r="1245" outlineLevel="2">
      <c r="A1245" s="422" t="str">
        <f>'Master List'!A166</f>
        <v>M-WIN-042</v>
      </c>
      <c r="B1245" s="472"/>
      <c r="C1245" s="198"/>
      <c r="D1245" s="462" t="str">
        <f>VLOOKUP(A1245,'Master List'!$A$1:$C$1192,2,FALSE)</f>
        <v>Піна монтажна 0,75л</v>
      </c>
      <c r="E1245" s="463" t="str">
        <f>VLOOKUP(A1245,'Master List'!$A$1:$C$1192,3,FALSE)</f>
        <v>шт</v>
      </c>
      <c r="F1245" s="464">
        <v>0.3</v>
      </c>
      <c r="G1245" s="463">
        <f>VLOOKUP(A1245,'Master List'!$A$4:$F3924,5,FALSE)</f>
        <v>5.057</v>
      </c>
      <c r="H1245" s="206">
        <f t="shared" si="114"/>
        <v>1.5171</v>
      </c>
      <c r="I1245" s="240"/>
    </row>
    <row r="1246" outlineLevel="2">
      <c r="A1246" s="422"/>
      <c r="B1246" s="472"/>
      <c r="C1246" s="275"/>
      <c r="D1246" s="285"/>
      <c r="E1246" s="487"/>
      <c r="F1246" s="275"/>
      <c r="G1246" s="239"/>
      <c r="H1246" s="239"/>
      <c r="I1246" s="240"/>
    </row>
    <row r="1247" outlineLevel="2">
      <c r="A1247" s="422"/>
      <c r="B1247" s="428"/>
      <c r="C1247" s="451"/>
      <c r="D1247" s="428"/>
      <c r="E1247" s="431"/>
      <c r="F1247" s="432"/>
      <c r="G1247" s="434"/>
      <c r="H1247" s="434"/>
      <c r="I1247" s="240"/>
    </row>
    <row r="1248" outlineLevel="1">
      <c r="A1248" s="422"/>
      <c r="B1248" s="472" t="s">
        <v>464</v>
      </c>
      <c r="C1248" s="451"/>
      <c r="D1248" s="435" t="s">
        <v>465</v>
      </c>
      <c r="E1248" s="431"/>
      <c r="F1248" s="432"/>
      <c r="G1248" s="436">
        <f>SUM(H1254:H1255)</f>
        <v>305.5</v>
      </c>
      <c r="H1248" s="434"/>
      <c r="I1248" s="240"/>
    </row>
    <row r="1249" outlineLevel="2">
      <c r="A1249" s="422"/>
      <c r="B1249" s="428"/>
      <c r="C1249" s="451"/>
      <c r="D1249" s="428"/>
      <c r="E1249" s="431"/>
      <c r="F1249" s="432"/>
      <c r="G1249" s="434"/>
      <c r="H1249" s="434"/>
      <c r="I1249" s="240"/>
    </row>
    <row r="1250" outlineLevel="2">
      <c r="A1250" s="422"/>
      <c r="B1250" s="472" t="s">
        <v>466</v>
      </c>
      <c r="C1250" s="267">
        <v>10.9</v>
      </c>
      <c r="D1250" s="268" t="s">
        <v>467</v>
      </c>
      <c r="E1250" s="486"/>
      <c r="F1250" s="270"/>
      <c r="G1250" s="205"/>
      <c r="H1250" s="206"/>
      <c r="I1250" s="219"/>
    </row>
    <row r="1251" outlineLevel="2">
      <c r="A1251" s="422"/>
      <c r="B1251" s="428"/>
      <c r="C1251" s="451"/>
      <c r="D1251" s="428"/>
      <c r="E1251" s="431"/>
      <c r="F1251" s="432"/>
      <c r="G1251" s="434"/>
      <c r="H1251" s="434"/>
      <c r="I1251" s="240"/>
    </row>
    <row r="1252" outlineLevel="2">
      <c r="A1252" s="422"/>
      <c r="B1252" s="472" t="s">
        <v>468</v>
      </c>
      <c r="C1252" s="267" t="s">
        <v>2347</v>
      </c>
      <c r="D1252" s="268" t="s">
        <v>469</v>
      </c>
      <c r="E1252" s="486" t="s">
        <v>75</v>
      </c>
      <c r="F1252" s="270">
        <v>1.0</v>
      </c>
      <c r="G1252" s="205"/>
      <c r="H1252" s="206"/>
      <c r="I1252" s="240"/>
    </row>
    <row r="1253" outlineLevel="2">
      <c r="A1253" s="422"/>
      <c r="B1253" s="472"/>
      <c r="C1253" s="275"/>
      <c r="D1253" s="285"/>
      <c r="E1253" s="487"/>
      <c r="F1253" s="275"/>
      <c r="G1253" s="239"/>
      <c r="H1253" s="239"/>
      <c r="I1253" s="240"/>
    </row>
    <row r="1254" outlineLevel="2">
      <c r="A1254" s="422" t="str">
        <f>'Master List'!A655</f>
        <v>W-WIN-049</v>
      </c>
      <c r="B1254" s="472"/>
      <c r="C1254" s="198"/>
      <c r="D1254" s="462" t="str">
        <f>VLOOKUP(A1254,'Master List'!$A$1:$C$1192,2,FALSE)</f>
        <v>Монтаж зенітного фонаря разміром 1,03x1,45м</v>
      </c>
      <c r="E1254" s="463" t="str">
        <f>VLOOKUP(A1254,'Master List'!$A$1:$C$1192,3,FALSE)</f>
        <v>шт</v>
      </c>
      <c r="F1254" s="464">
        <v>1.0</v>
      </c>
      <c r="G1254" s="463">
        <f>VLOOKUP(A1254,'Master List'!$A$4:$F3933,5,FALSE)</f>
        <v>305.5</v>
      </c>
      <c r="H1254" s="206">
        <f t="shared" ref="H1254:H1255" si="115">G1254*F1254</f>
        <v>305.5</v>
      </c>
      <c r="I1254" s="240"/>
    </row>
    <row r="1255" outlineLevel="2">
      <c r="A1255" s="422" t="str">
        <f>'Master List'!A200</f>
        <v>M-WIN-076</v>
      </c>
      <c r="B1255" s="472"/>
      <c r="C1255" s="198"/>
      <c r="D1255" s="462" t="str">
        <f>VLOOKUP(A1255,'Master List'!$A$1:$C$1192,2,FALSE)</f>
        <v>Зенітний фонар разміром 1,03x1,45м</v>
      </c>
      <c r="E1255" s="463" t="str">
        <f>VLOOKUP(A1255,'Master List'!$A$1:$C$1192,3,FALSE)</f>
        <v>шт</v>
      </c>
      <c r="F1255" s="464">
        <v>1.0</v>
      </c>
      <c r="G1255" s="463">
        <f>VLOOKUP(A1255,'Master List'!$A$4:$F3934,5,FALSE)</f>
        <v>0</v>
      </c>
      <c r="H1255" s="206">
        <f t="shared" si="115"/>
        <v>0</v>
      </c>
      <c r="I1255" s="240"/>
    </row>
    <row r="1256" outlineLevel="2">
      <c r="A1256" s="422"/>
      <c r="B1256" s="428"/>
      <c r="C1256" s="451"/>
      <c r="D1256" s="428"/>
      <c r="E1256" s="431"/>
      <c r="F1256" s="432"/>
      <c r="G1256" s="434"/>
      <c r="H1256" s="434"/>
      <c r="I1256" s="240"/>
    </row>
    <row r="1257" outlineLevel="1">
      <c r="A1257" s="422"/>
      <c r="B1257" s="472" t="s">
        <v>470</v>
      </c>
      <c r="C1257" s="451"/>
      <c r="D1257" s="435" t="s">
        <v>471</v>
      </c>
      <c r="E1257" s="431"/>
      <c r="F1257" s="432"/>
      <c r="G1257" s="436">
        <f>SUM(H1263:H1264)</f>
        <v>702</v>
      </c>
      <c r="H1257" s="434"/>
      <c r="I1257" s="240"/>
    </row>
    <row r="1258" outlineLevel="2">
      <c r="A1258" s="422"/>
      <c r="B1258" s="428"/>
      <c r="C1258" s="451"/>
      <c r="D1258" s="428"/>
      <c r="E1258" s="431"/>
      <c r="F1258" s="432"/>
      <c r="G1258" s="434"/>
      <c r="H1258" s="434"/>
      <c r="I1258" s="240"/>
    </row>
    <row r="1259" outlineLevel="2">
      <c r="A1259" s="422"/>
      <c r="B1259" s="472" t="s">
        <v>472</v>
      </c>
      <c r="C1259" s="287">
        <v>10.1</v>
      </c>
      <c r="D1259" s="273" t="s">
        <v>473</v>
      </c>
      <c r="E1259" s="431"/>
      <c r="F1259" s="432"/>
      <c r="G1259" s="434"/>
      <c r="H1259" s="434"/>
      <c r="I1259" s="240"/>
    </row>
    <row r="1260" outlineLevel="2">
      <c r="A1260" s="422"/>
      <c r="B1260" s="428"/>
      <c r="C1260" s="451"/>
      <c r="D1260" s="428"/>
      <c r="E1260" s="431"/>
      <c r="F1260" s="432"/>
      <c r="G1260" s="434"/>
      <c r="H1260" s="434"/>
      <c r="I1260" s="240"/>
    </row>
    <row r="1261" outlineLevel="2">
      <c r="A1261" s="422"/>
      <c r="B1261" s="472" t="s">
        <v>474</v>
      </c>
      <c r="C1261" s="267" t="s">
        <v>2351</v>
      </c>
      <c r="D1261" s="268" t="s">
        <v>475</v>
      </c>
      <c r="E1261" s="486" t="s">
        <v>75</v>
      </c>
      <c r="F1261" s="270">
        <v>1.0</v>
      </c>
      <c r="G1261" s="205"/>
      <c r="H1261" s="206"/>
      <c r="I1261" s="240"/>
    </row>
    <row r="1262" outlineLevel="2">
      <c r="A1262" s="422"/>
      <c r="B1262" s="472"/>
      <c r="C1262" s="275"/>
      <c r="D1262" s="285"/>
      <c r="E1262" s="487"/>
      <c r="F1262" s="275"/>
      <c r="G1262" s="239"/>
      <c r="H1262" s="239"/>
      <c r="I1262" s="240"/>
    </row>
    <row r="1263" outlineLevel="2">
      <c r="A1263" s="422" t="str">
        <f>'Master List'!A654</f>
        <v>W-WIN-048</v>
      </c>
      <c r="B1263" s="472"/>
      <c r="C1263" s="198"/>
      <c r="D1263" s="462" t="str">
        <f>VLOOKUP(A1263,'Master List'!$A$1:$C$1192,2,FALSE)</f>
        <v>Монтаж секційних гаражних воріт LM INOX марки LMPerfis PS.040CA94</v>
      </c>
      <c r="E1263" s="463" t="str">
        <f>VLOOKUP(A1263,'Master List'!$A$1:$C$1192,3,FALSE)</f>
        <v>шт</v>
      </c>
      <c r="F1263" s="464">
        <v>1.0</v>
      </c>
      <c r="G1263" s="463">
        <f>VLOOKUP(A1263,'Master List'!$A$4:$F3944,5,FALSE)</f>
        <v>702</v>
      </c>
      <c r="H1263" s="206">
        <f t="shared" ref="H1263:H1264" si="116">G1263*F1263</f>
        <v>702</v>
      </c>
      <c r="I1263" s="240"/>
    </row>
    <row r="1264" outlineLevel="2">
      <c r="A1264" s="422" t="str">
        <f>'Master List'!A199</f>
        <v>M-WIN-075</v>
      </c>
      <c r="B1264" s="472"/>
      <c r="C1264" s="198"/>
      <c r="D1264" s="462" t="str">
        <f>VLOOKUP(A1264,'Master List'!$A$1:$C$1192,2,FALSE)</f>
        <v>Ворота гаражні секційні LM INOX марки LMPerfis PS.040CA94</v>
      </c>
      <c r="E1264" s="463" t="str">
        <f>VLOOKUP(A1264,'Master List'!$A$1:$C$1192,3,FALSE)</f>
        <v>шт</v>
      </c>
      <c r="F1264" s="464">
        <v>1.0</v>
      </c>
      <c r="G1264" s="463">
        <f>VLOOKUP(A1264,'Master List'!$A$4:$F3945,5,FALSE)</f>
        <v>0</v>
      </c>
      <c r="H1264" s="206">
        <f t="shared" si="116"/>
        <v>0</v>
      </c>
      <c r="I1264" s="240"/>
    </row>
    <row r="1265" outlineLevel="2">
      <c r="A1265" s="422"/>
      <c r="B1265" s="428"/>
      <c r="C1265" s="451"/>
      <c r="D1265" s="428"/>
      <c r="E1265" s="431"/>
      <c r="F1265" s="432"/>
      <c r="G1265" s="434"/>
      <c r="H1265" s="434"/>
      <c r="I1265" s="240"/>
    </row>
    <row r="1266" outlineLevel="1">
      <c r="A1266" s="422"/>
      <c r="B1266" s="472" t="s">
        <v>476</v>
      </c>
      <c r="C1266" s="451"/>
      <c r="D1266" s="435" t="s">
        <v>477</v>
      </c>
      <c r="E1266" s="431"/>
      <c r="F1266" s="432"/>
      <c r="G1266" s="436">
        <f>SUM(H1268)</f>
        <v>3224</v>
      </c>
      <c r="H1266" s="434"/>
      <c r="I1266" s="240"/>
    </row>
    <row r="1267" outlineLevel="2">
      <c r="A1267" s="422"/>
      <c r="B1267" s="428"/>
      <c r="C1267" s="451"/>
      <c r="D1267" s="428"/>
      <c r="E1267" s="431"/>
      <c r="F1267" s="432"/>
      <c r="G1267" s="434"/>
      <c r="H1267" s="434"/>
      <c r="I1267" s="240"/>
    </row>
    <row r="1268" outlineLevel="2">
      <c r="A1268" s="422" t="str">
        <f>'Master List'!A513</f>
        <v>W-CON-026</v>
      </c>
      <c r="B1268" s="472" t="s">
        <v>478</v>
      </c>
      <c r="C1268" s="267">
        <v>10.11</v>
      </c>
      <c r="D1268" s="268" t="s">
        <v>5606</v>
      </c>
      <c r="E1268" s="486" t="s">
        <v>227</v>
      </c>
      <c r="F1268" s="270">
        <v>1.0</v>
      </c>
      <c r="G1268" s="463">
        <f>VLOOKUP(A1268,'Master List'!$A$4:$F3951,5,FALSE)</f>
        <v>3224</v>
      </c>
      <c r="H1268" s="206">
        <f>G1268*F1268</f>
        <v>3224</v>
      </c>
      <c r="I1268" s="219" t="s">
        <v>5607</v>
      </c>
    </row>
    <row r="1269" outlineLevel="2">
      <c r="A1269" s="422"/>
      <c r="B1269" s="428"/>
      <c r="C1269" s="451"/>
      <c r="D1269" s="428"/>
      <c r="E1269" s="431"/>
      <c r="F1269" s="432"/>
      <c r="G1269" s="434"/>
      <c r="H1269" s="434"/>
      <c r="I1269" s="240"/>
    </row>
    <row r="1270" outlineLevel="1">
      <c r="A1270" s="422"/>
      <c r="B1270" s="472" t="s">
        <v>480</v>
      </c>
      <c r="C1270" s="451"/>
      <c r="D1270" s="435" t="s">
        <v>481</v>
      </c>
      <c r="E1270" s="431"/>
      <c r="F1270" s="432"/>
      <c r="G1270" s="436">
        <f>SUM(H1274:H1302)</f>
        <v>2895.1</v>
      </c>
      <c r="H1270" s="434"/>
      <c r="I1270" s="240"/>
    </row>
    <row r="1271" outlineLevel="2">
      <c r="A1271" s="422"/>
      <c r="B1271" s="428"/>
      <c r="C1271" s="451"/>
      <c r="D1271" s="428"/>
      <c r="E1271" s="431"/>
      <c r="F1271" s="432"/>
      <c r="G1271" s="434"/>
      <c r="H1271" s="434"/>
      <c r="I1271" s="240"/>
    </row>
    <row r="1272" outlineLevel="2">
      <c r="A1272" s="422"/>
      <c r="B1272" s="472" t="s">
        <v>482</v>
      </c>
      <c r="C1272" s="267">
        <v>10.12</v>
      </c>
      <c r="D1272" s="268" t="s">
        <v>483</v>
      </c>
      <c r="E1272" s="486"/>
      <c r="F1272" s="270"/>
      <c r="G1272" s="205"/>
      <c r="H1272" s="206"/>
      <c r="I1272" s="219"/>
    </row>
    <row r="1273" outlineLevel="2">
      <c r="A1273" s="422"/>
      <c r="B1273" s="428"/>
      <c r="C1273" s="451"/>
      <c r="D1273" s="428"/>
      <c r="E1273" s="431"/>
      <c r="F1273" s="432"/>
      <c r="G1273" s="434"/>
      <c r="H1273" s="434"/>
      <c r="I1273" s="240"/>
    </row>
    <row r="1274" outlineLevel="2">
      <c r="A1274" s="422"/>
      <c r="B1274" s="472" t="s">
        <v>484</v>
      </c>
      <c r="C1274" s="267" t="s">
        <v>2358</v>
      </c>
      <c r="D1274" s="268" t="s">
        <v>485</v>
      </c>
      <c r="E1274" s="486" t="s">
        <v>75</v>
      </c>
      <c r="F1274" s="270">
        <v>1.0</v>
      </c>
      <c r="G1274" s="205"/>
      <c r="H1274" s="206"/>
      <c r="I1274" s="240"/>
    </row>
    <row r="1275" outlineLevel="2">
      <c r="A1275" s="422"/>
      <c r="B1275" s="472"/>
      <c r="C1275" s="472"/>
      <c r="D1275" s="472"/>
      <c r="E1275" s="472"/>
      <c r="F1275" s="472"/>
      <c r="G1275" s="472"/>
      <c r="H1275" s="472"/>
      <c r="I1275" s="472"/>
    </row>
    <row r="1276" outlineLevel="2">
      <c r="A1276" s="422" t="str">
        <f>'Master List'!A648</f>
        <v>W-WIN-042</v>
      </c>
      <c r="B1276" s="472"/>
      <c r="C1276" s="198"/>
      <c r="D1276" s="462" t="str">
        <f>VLOOKUP(A1276,'Master List'!$A$1:$C$1192,2,FALSE)</f>
        <v>Монтаж жалюзей зовнішніх розміром 5,93x2,92м</v>
      </c>
      <c r="E1276" s="463" t="str">
        <f>VLOOKUP(A1276,'Master List'!$A$1:$C$1192,3,FALSE)</f>
        <v>шт</v>
      </c>
      <c r="F1276" s="464">
        <v>1.0</v>
      </c>
      <c r="G1276" s="463">
        <f>VLOOKUP(A1276,'Master List'!$A$4:$F3959,5,FALSE)</f>
        <v>520</v>
      </c>
      <c r="H1276" s="206">
        <f t="shared" ref="H1276:H1277" si="117">G1276*F1276</f>
        <v>520</v>
      </c>
      <c r="I1276" s="472"/>
    </row>
    <row r="1277" outlineLevel="2">
      <c r="A1277" s="422" t="str">
        <f>'Master List'!A193</f>
        <v>M-WIN-069</v>
      </c>
      <c r="B1277" s="472"/>
      <c r="C1277" s="198"/>
      <c r="D1277" s="462" t="str">
        <f>VLOOKUP(A1277,'Master List'!$A$1:$C$1192,2,FALSE)</f>
        <v>Жалюзі зовнішні рулонні моторизовані розміром 5,93x2,92м</v>
      </c>
      <c r="E1277" s="463" t="str">
        <f>VLOOKUP(A1277,'Master List'!$A$1:$C$1192,3,FALSE)</f>
        <v>шт</v>
      </c>
      <c r="F1277" s="464">
        <v>1.0</v>
      </c>
      <c r="G1277" s="463">
        <f>VLOOKUP(A1277,'Master List'!$A$4:$F3960,5,FALSE)</f>
        <v>0</v>
      </c>
      <c r="H1277" s="206">
        <f t="shared" si="117"/>
        <v>0</v>
      </c>
      <c r="I1277" s="472"/>
    </row>
    <row r="1278" outlineLevel="2">
      <c r="A1278" s="422"/>
      <c r="B1278" s="472"/>
      <c r="C1278" s="472"/>
      <c r="D1278" s="472"/>
      <c r="E1278" s="472"/>
      <c r="F1278" s="472"/>
      <c r="G1278" s="472"/>
      <c r="H1278" s="472"/>
      <c r="I1278" s="472"/>
    </row>
    <row r="1279" outlineLevel="2">
      <c r="A1279" s="422"/>
      <c r="B1279" s="472" t="s">
        <v>486</v>
      </c>
      <c r="C1279" s="267" t="s">
        <v>2360</v>
      </c>
      <c r="D1279" s="268" t="s">
        <v>487</v>
      </c>
      <c r="E1279" s="486" t="s">
        <v>75</v>
      </c>
      <c r="F1279" s="270">
        <v>1.0</v>
      </c>
      <c r="G1279" s="205"/>
      <c r="H1279" s="206"/>
      <c r="I1279" s="240"/>
    </row>
    <row r="1280" outlineLevel="2">
      <c r="A1280" s="422"/>
      <c r="B1280" s="472"/>
      <c r="C1280" s="472"/>
      <c r="D1280" s="472"/>
      <c r="E1280" s="472"/>
      <c r="F1280" s="472"/>
      <c r="G1280" s="472"/>
      <c r="H1280" s="472"/>
      <c r="I1280" s="472"/>
      <c r="J1280" s="89"/>
    </row>
    <row r="1281" outlineLevel="2">
      <c r="A1281" s="422" t="str">
        <f>'Master List'!A649</f>
        <v>W-WIN-043</v>
      </c>
      <c r="B1281" s="472"/>
      <c r="C1281" s="198"/>
      <c r="D1281" s="462" t="str">
        <f>VLOOKUP(A1281,'Master List'!$A$1:$C$1192,2,FALSE)</f>
        <v>Монтаж жалюзей зовнішніх розміром 6,19x2,92м</v>
      </c>
      <c r="E1281" s="463" t="str">
        <f>VLOOKUP(A1281,'Master List'!$A$1:$C$1192,3,FALSE)</f>
        <v>шт</v>
      </c>
      <c r="F1281" s="464">
        <v>1.0</v>
      </c>
      <c r="G1281" s="463">
        <f>VLOOKUP(A1281,'Master List'!$A$4:$F3964,5,FALSE)</f>
        <v>547.3</v>
      </c>
      <c r="H1281" s="206">
        <f t="shared" ref="H1281:H1282" si="118">G1281*F1281</f>
        <v>547.3</v>
      </c>
      <c r="I1281" s="472"/>
      <c r="J1281" s="89"/>
    </row>
    <row r="1282" outlineLevel="2">
      <c r="A1282" s="422" t="str">
        <f>'Master List'!A194</f>
        <v>M-WIN-070</v>
      </c>
      <c r="B1282" s="472"/>
      <c r="C1282" s="198"/>
      <c r="D1282" s="462" t="str">
        <f>VLOOKUP(A1282,'Master List'!$A$1:$C$1192,2,FALSE)</f>
        <v>Жалюзі зовнішні рулонні моторизовані розміром 6,19x2,92м</v>
      </c>
      <c r="E1282" s="463" t="str">
        <f>VLOOKUP(A1282,'Master List'!$A$1:$C$1192,3,FALSE)</f>
        <v>шт</v>
      </c>
      <c r="F1282" s="464">
        <v>1.0</v>
      </c>
      <c r="G1282" s="463">
        <f>VLOOKUP(A1282,'Master List'!$A$4:$F3965,5,FALSE)</f>
        <v>0</v>
      </c>
      <c r="H1282" s="206">
        <f t="shared" si="118"/>
        <v>0</v>
      </c>
      <c r="I1282" s="472"/>
      <c r="J1282" s="89"/>
    </row>
    <row r="1283" outlineLevel="2">
      <c r="A1283" s="422"/>
      <c r="B1283" s="472"/>
      <c r="C1283" s="472"/>
      <c r="D1283" s="472"/>
      <c r="E1283" s="472"/>
      <c r="F1283" s="472"/>
      <c r="G1283" s="472"/>
      <c r="H1283" s="472"/>
      <c r="I1283" s="472"/>
      <c r="J1283" s="89"/>
    </row>
    <row r="1284" outlineLevel="2">
      <c r="A1284" s="422"/>
      <c r="B1284" s="472" t="s">
        <v>488</v>
      </c>
      <c r="C1284" s="267" t="s">
        <v>2362</v>
      </c>
      <c r="D1284" s="268" t="s">
        <v>489</v>
      </c>
      <c r="E1284" s="486" t="s">
        <v>75</v>
      </c>
      <c r="F1284" s="270">
        <v>1.0</v>
      </c>
      <c r="G1284" s="205"/>
      <c r="H1284" s="206"/>
      <c r="I1284" s="240"/>
    </row>
    <row r="1285" outlineLevel="2">
      <c r="A1285" s="422"/>
      <c r="B1285" s="472"/>
      <c r="C1285" s="472"/>
      <c r="D1285" s="472"/>
      <c r="E1285" s="472"/>
      <c r="F1285" s="472"/>
      <c r="G1285" s="472"/>
      <c r="H1285" s="472"/>
      <c r="I1285" s="472"/>
      <c r="J1285" s="89"/>
    </row>
    <row r="1286" outlineLevel="2">
      <c r="A1286" s="422" t="str">
        <f>'Master List'!A650</f>
        <v>W-WIN-044</v>
      </c>
      <c r="B1286" s="472"/>
      <c r="C1286" s="198"/>
      <c r="D1286" s="462" t="str">
        <f>VLOOKUP(A1286,'Master List'!$A$1:$C$1192,2,FALSE)</f>
        <v>Монтаж жалюзей зовнішніх розміром 4,94x2,92м</v>
      </c>
      <c r="E1286" s="463" t="str">
        <f>VLOOKUP(A1286,'Master List'!$A$1:$C$1192,3,FALSE)</f>
        <v>шт</v>
      </c>
      <c r="F1286" s="464">
        <v>1.0</v>
      </c>
      <c r="G1286" s="463">
        <f>VLOOKUP(A1286,'Master List'!$A$4:$F3970,5,FALSE)</f>
        <v>455</v>
      </c>
      <c r="H1286" s="206">
        <f t="shared" ref="H1286:H1287" si="119">G1286*F1286</f>
        <v>455</v>
      </c>
      <c r="I1286" s="472"/>
      <c r="J1286" s="89"/>
    </row>
    <row r="1287" outlineLevel="2">
      <c r="A1287" s="422" t="str">
        <f>'Master List'!A195</f>
        <v>M-WIN-071</v>
      </c>
      <c r="B1287" s="472"/>
      <c r="C1287" s="198"/>
      <c r="D1287" s="462" t="str">
        <f>VLOOKUP(A1287,'Master List'!$A$1:$C$1192,2,FALSE)</f>
        <v>Жалюзі зовнішні рулонні моторизовані розміром 4,94x2,92м</v>
      </c>
      <c r="E1287" s="463" t="str">
        <f>VLOOKUP(A1287,'Master List'!$A$1:$C$1192,3,FALSE)</f>
        <v>шт</v>
      </c>
      <c r="F1287" s="464">
        <v>1.0</v>
      </c>
      <c r="G1287" s="463">
        <f>VLOOKUP(A1287,'Master List'!$A$4:$F3972,5,FALSE)</f>
        <v>0</v>
      </c>
      <c r="H1287" s="206">
        <f t="shared" si="119"/>
        <v>0</v>
      </c>
      <c r="I1287" s="472"/>
      <c r="J1287" s="89"/>
    </row>
    <row r="1288" outlineLevel="2">
      <c r="A1288" s="422"/>
      <c r="B1288" s="472"/>
      <c r="C1288" s="472"/>
      <c r="D1288" s="472"/>
      <c r="E1288" s="472"/>
      <c r="F1288" s="472"/>
      <c r="G1288" s="472"/>
      <c r="H1288" s="472"/>
      <c r="I1288" s="472"/>
      <c r="J1288" s="89"/>
    </row>
    <row r="1289" outlineLevel="2">
      <c r="A1289" s="422"/>
      <c r="B1289" s="472" t="s">
        <v>490</v>
      </c>
      <c r="C1289" s="267" t="s">
        <v>2364</v>
      </c>
      <c r="D1289" s="268" t="s">
        <v>491</v>
      </c>
      <c r="E1289" s="486" t="s">
        <v>75</v>
      </c>
      <c r="F1289" s="270">
        <v>1.0</v>
      </c>
      <c r="G1289" s="205"/>
      <c r="H1289" s="206"/>
      <c r="I1289" s="240"/>
    </row>
    <row r="1290" outlineLevel="2">
      <c r="A1290" s="422"/>
      <c r="B1290" s="472"/>
      <c r="C1290" s="472"/>
      <c r="D1290" s="472"/>
      <c r="E1290" s="472"/>
      <c r="F1290" s="472"/>
      <c r="G1290" s="472"/>
      <c r="H1290" s="472"/>
      <c r="I1290" s="472"/>
    </row>
    <row r="1291" outlineLevel="2">
      <c r="A1291" s="422" t="str">
        <f>'Master List'!A651</f>
        <v>W-WIN-045</v>
      </c>
      <c r="B1291" s="472"/>
      <c r="C1291" s="198"/>
      <c r="D1291" s="462" t="str">
        <f>VLOOKUP(A1291,'Master List'!$A$1:$C$1192,2,FALSE)</f>
        <v>Монтаж жалюзей зовнішніх розміром 7,18x2,92м</v>
      </c>
      <c r="E1291" s="463" t="str">
        <f>VLOOKUP(A1291,'Master List'!$A$1:$C$1192,3,FALSE)</f>
        <v>шт</v>
      </c>
      <c r="F1291" s="464">
        <v>1.0</v>
      </c>
      <c r="G1291" s="463">
        <f>VLOOKUP(A1291,'Master List'!$A$4:$F3978,5,FALSE)</f>
        <v>630.5</v>
      </c>
      <c r="H1291" s="206">
        <f t="shared" ref="H1291:H1292" si="120">G1291*F1291</f>
        <v>630.5</v>
      </c>
      <c r="I1291" s="472"/>
    </row>
    <row r="1292" outlineLevel="2">
      <c r="A1292" s="422" t="str">
        <f>'Master List'!A196</f>
        <v>M-WIN-072</v>
      </c>
      <c r="B1292" s="472"/>
      <c r="C1292" s="198"/>
      <c r="D1292" s="462" t="str">
        <f>VLOOKUP(A1292,'Master List'!$A$1:$C$1192,2,FALSE)</f>
        <v>Жалюзі зовнішні рулонні моторизовані розміром 7,18x2,92м</v>
      </c>
      <c r="E1292" s="463" t="str">
        <f>VLOOKUP(A1292,'Master List'!$A$1:$C$1192,3,FALSE)</f>
        <v>шт</v>
      </c>
      <c r="F1292" s="464">
        <v>1.0</v>
      </c>
      <c r="G1292" s="463">
        <f>VLOOKUP(A1292,'Master List'!$A$4:$F3980,5,FALSE)</f>
        <v>0</v>
      </c>
      <c r="H1292" s="206">
        <f t="shared" si="120"/>
        <v>0</v>
      </c>
      <c r="I1292" s="472"/>
    </row>
    <row r="1293" outlineLevel="2">
      <c r="A1293" s="422"/>
      <c r="B1293" s="472"/>
      <c r="C1293" s="472"/>
      <c r="D1293" s="472"/>
      <c r="E1293" s="472"/>
      <c r="F1293" s="472"/>
      <c r="G1293" s="472"/>
      <c r="H1293" s="472"/>
      <c r="I1293" s="472"/>
    </row>
    <row r="1294" outlineLevel="2">
      <c r="A1294" s="422"/>
      <c r="B1294" s="472" t="s">
        <v>492</v>
      </c>
      <c r="C1294" s="267" t="s">
        <v>2366</v>
      </c>
      <c r="D1294" s="268" t="s">
        <v>493</v>
      </c>
      <c r="E1294" s="486" t="s">
        <v>75</v>
      </c>
      <c r="F1294" s="270">
        <v>1.0</v>
      </c>
      <c r="G1294" s="205"/>
      <c r="H1294" s="206"/>
      <c r="I1294" s="240"/>
    </row>
    <row r="1295" outlineLevel="2">
      <c r="A1295" s="422"/>
      <c r="B1295" s="472"/>
      <c r="C1295" s="472"/>
      <c r="D1295" s="472"/>
      <c r="E1295" s="472"/>
      <c r="F1295" s="472"/>
      <c r="G1295" s="472"/>
      <c r="H1295" s="472"/>
      <c r="I1295" s="240"/>
    </row>
    <row r="1296" outlineLevel="2">
      <c r="A1296" s="422" t="str">
        <f>'Master List'!A652</f>
        <v>W-WIN-046</v>
      </c>
      <c r="B1296" s="472"/>
      <c r="C1296" s="198"/>
      <c r="D1296" s="462" t="str">
        <f>VLOOKUP(A1296,'Master List'!$A$1:$C$1192,2,FALSE)</f>
        <v>Монтаж жалюзей зовнішніх  розміром 2,54x2,94м</v>
      </c>
      <c r="E1296" s="463" t="str">
        <f>VLOOKUP(A1296,'Master List'!$A$1:$C$1192,3,FALSE)</f>
        <v>шт</v>
      </c>
      <c r="F1296" s="464">
        <v>1.0</v>
      </c>
      <c r="G1296" s="463">
        <f>VLOOKUP(A1296,'Master List'!$A$4:$F3985,5,FALSE)</f>
        <v>357.5</v>
      </c>
      <c r="H1296" s="206">
        <f t="shared" ref="H1296:H1297" si="121">G1296*F1296</f>
        <v>357.5</v>
      </c>
      <c r="I1296" s="240"/>
    </row>
    <row r="1297" outlineLevel="2">
      <c r="A1297" s="422" t="str">
        <f>'Master List'!A197</f>
        <v>M-WIN-073</v>
      </c>
      <c r="B1297" s="472"/>
      <c r="C1297" s="198"/>
      <c r="D1297" s="462" t="str">
        <f>VLOOKUP(A1297,'Master List'!$A$1:$C$1192,2,FALSE)</f>
        <v>Жалюзі зовнішні рулонні моторизовані розміром 2,54x2,94м</v>
      </c>
      <c r="E1297" s="463" t="str">
        <f>VLOOKUP(A1297,'Master List'!$A$1:$C$1192,3,FALSE)</f>
        <v>шт</v>
      </c>
      <c r="F1297" s="464">
        <v>1.0</v>
      </c>
      <c r="G1297" s="463">
        <f>VLOOKUP(A1297,'Master List'!$A$4:$F3986,5,FALSE)</f>
        <v>0</v>
      </c>
      <c r="H1297" s="206">
        <f t="shared" si="121"/>
        <v>0</v>
      </c>
      <c r="I1297" s="240"/>
    </row>
    <row r="1298" outlineLevel="2">
      <c r="A1298" s="422"/>
      <c r="B1298" s="472"/>
      <c r="C1298" s="472"/>
      <c r="D1298" s="472"/>
      <c r="E1298" s="472"/>
      <c r="F1298" s="472"/>
      <c r="G1298" s="472"/>
      <c r="H1298" s="472"/>
      <c r="I1298" s="240"/>
    </row>
    <row r="1299" outlineLevel="2">
      <c r="A1299" s="422"/>
      <c r="B1299" s="472" t="s">
        <v>494</v>
      </c>
      <c r="C1299" s="267" t="s">
        <v>2368</v>
      </c>
      <c r="D1299" s="268" t="s">
        <v>495</v>
      </c>
      <c r="E1299" s="486" t="s">
        <v>75</v>
      </c>
      <c r="F1299" s="270">
        <v>1.0</v>
      </c>
      <c r="G1299" s="205"/>
      <c r="H1299" s="206"/>
      <c r="I1299" s="240"/>
    </row>
    <row r="1300" outlineLevel="2">
      <c r="A1300" s="422"/>
      <c r="B1300" s="472"/>
      <c r="C1300" s="275"/>
      <c r="D1300" s="285"/>
      <c r="E1300" s="487"/>
      <c r="F1300" s="275"/>
      <c r="G1300" s="239"/>
      <c r="H1300" s="239"/>
      <c r="I1300" s="240"/>
    </row>
    <row r="1301" outlineLevel="2">
      <c r="A1301" s="422" t="str">
        <f>'Master List'!A653</f>
        <v>W-WIN-047</v>
      </c>
      <c r="B1301" s="472"/>
      <c r="C1301" s="198"/>
      <c r="D1301" s="462" t="str">
        <f>VLOOKUP(A1301,'Master List'!$A$1:$C$1192,2,FALSE)</f>
        <v>Монтаж жалюзей зовнішніх  розміром 3,28x2,94м</v>
      </c>
      <c r="E1301" s="463" t="str">
        <f>VLOOKUP(A1301,'Master List'!$A$1:$C$1192,3,FALSE)</f>
        <v>шт</v>
      </c>
      <c r="F1301" s="464">
        <v>1.0</v>
      </c>
      <c r="G1301" s="463">
        <f>VLOOKUP(A1301,'Master List'!$A$4:$F3991,5,FALSE)</f>
        <v>384.8</v>
      </c>
      <c r="H1301" s="206">
        <f t="shared" ref="H1301:H1302" si="122">G1301*F1301</f>
        <v>384.8</v>
      </c>
      <c r="I1301" s="240"/>
    </row>
    <row r="1302" outlineLevel="2">
      <c r="A1302" s="422" t="str">
        <f>'Master List'!A198</f>
        <v>M-WIN-074</v>
      </c>
      <c r="B1302" s="472"/>
      <c r="C1302" s="198"/>
      <c r="D1302" s="462" t="str">
        <f>VLOOKUP(A1302,'Master List'!$A$1:$C$1192,2,FALSE)</f>
        <v>Жалюзі зовнішні рулонні моторизовані розміром 3,28x2,94м</v>
      </c>
      <c r="E1302" s="463" t="str">
        <f>VLOOKUP(A1302,'Master List'!$A$1:$C$1192,3,FALSE)</f>
        <v>шт</v>
      </c>
      <c r="F1302" s="464">
        <v>1.0</v>
      </c>
      <c r="G1302" s="463">
        <f>VLOOKUP(A1302,'Master List'!$A$4:$F3992,5,FALSE)</f>
        <v>0</v>
      </c>
      <c r="H1302" s="206">
        <f t="shared" si="122"/>
        <v>0</v>
      </c>
      <c r="I1302" s="240"/>
    </row>
    <row r="1303" outlineLevel="2">
      <c r="A1303" s="422"/>
      <c r="B1303" s="472"/>
      <c r="C1303" s="275"/>
      <c r="D1303" s="285"/>
      <c r="E1303" s="487"/>
      <c r="F1303" s="275"/>
      <c r="G1303" s="239"/>
      <c r="H1303" s="239"/>
      <c r="I1303" s="240"/>
    </row>
    <row r="1304" outlineLevel="2">
      <c r="A1304" s="422"/>
      <c r="B1304" s="428"/>
      <c r="C1304" s="451"/>
      <c r="D1304" s="428"/>
      <c r="E1304" s="431"/>
      <c r="F1304" s="432"/>
      <c r="G1304" s="434"/>
      <c r="H1304" s="434"/>
      <c r="I1304" s="240"/>
    </row>
    <row r="1305" outlineLevel="1">
      <c r="A1305" s="422"/>
      <c r="B1305" s="472" t="s">
        <v>470</v>
      </c>
      <c r="C1305" s="451"/>
      <c r="D1305" s="435" t="s">
        <v>496</v>
      </c>
      <c r="E1305" s="431"/>
      <c r="F1305" s="432"/>
      <c r="G1305" s="436">
        <f>SUM(H1309:H1339)</f>
        <v>13603.798</v>
      </c>
      <c r="H1305" s="434"/>
      <c r="I1305" s="240"/>
    </row>
    <row r="1306" outlineLevel="2">
      <c r="A1306" s="422"/>
      <c r="B1306" s="428"/>
      <c r="C1306" s="451"/>
      <c r="D1306" s="428"/>
      <c r="E1306" s="431"/>
      <c r="F1306" s="432"/>
      <c r="G1306" s="434"/>
      <c r="H1306" s="434"/>
      <c r="I1306" s="240"/>
    </row>
    <row r="1307" outlineLevel="2">
      <c r="A1307" s="422"/>
      <c r="B1307" s="472" t="s">
        <v>472</v>
      </c>
      <c r="C1307" s="267">
        <v>10.13</v>
      </c>
      <c r="D1307" s="273" t="s">
        <v>497</v>
      </c>
      <c r="E1307" s="431"/>
      <c r="F1307" s="432"/>
      <c r="G1307" s="434"/>
      <c r="H1307" s="434"/>
      <c r="I1307" s="240"/>
    </row>
    <row r="1308" outlineLevel="2">
      <c r="A1308" s="422"/>
      <c r="B1308" s="428"/>
      <c r="C1308" s="451"/>
      <c r="D1308" s="428"/>
      <c r="E1308" s="431"/>
      <c r="F1308" s="432"/>
      <c r="G1308" s="434"/>
      <c r="H1308" s="434"/>
      <c r="I1308" s="240"/>
    </row>
    <row r="1309" outlineLevel="2">
      <c r="A1309" s="422"/>
      <c r="B1309" s="472" t="s">
        <v>474</v>
      </c>
      <c r="C1309" s="267" t="s">
        <v>2372</v>
      </c>
      <c r="D1309" s="268" t="s">
        <v>498</v>
      </c>
      <c r="E1309" s="486" t="s">
        <v>161</v>
      </c>
      <c r="F1309" s="270">
        <v>4.53</v>
      </c>
      <c r="G1309" s="205"/>
      <c r="H1309" s="206"/>
      <c r="I1309" s="240"/>
    </row>
    <row r="1310" outlineLevel="2">
      <c r="A1310" s="422"/>
      <c r="B1310" s="472"/>
      <c r="C1310" s="275"/>
      <c r="D1310" s="285"/>
      <c r="E1310" s="487"/>
      <c r="F1310" s="275"/>
      <c r="G1310" s="239"/>
      <c r="H1310" s="239"/>
      <c r="I1310" s="240"/>
    </row>
    <row r="1311" outlineLevel="2">
      <c r="A1311" s="422" t="str">
        <f>'Master List'!A579</f>
        <v>W-LAN-003</v>
      </c>
      <c r="B1311" s="472"/>
      <c r="C1311" s="198"/>
      <c r="D1311" s="462" t="str">
        <f>VLOOKUP(A1311,'Master List'!$A$1:$C$1192,2,FALSE)</f>
        <v>Влаштування огорожі з металевих стрижнів і нейлонової сітки висотою 0,97м</v>
      </c>
      <c r="E1311" s="463" t="str">
        <f>VLOOKUP(A1311,'Master List'!$A$1:$C$1192,3,FALSE)</f>
        <v>м</v>
      </c>
      <c r="F1311" s="464">
        <f>F1309</f>
        <v>4.53</v>
      </c>
      <c r="G1311" s="463">
        <f>VLOOKUP(A1311,'Master List'!$A$4:$F4002,5,FALSE)</f>
        <v>31.2</v>
      </c>
      <c r="H1311" s="206">
        <f t="shared" ref="H1311:H1312" si="123">G1311*F1311</f>
        <v>141.336</v>
      </c>
      <c r="I1311" s="240"/>
    </row>
    <row r="1312" outlineLevel="2">
      <c r="A1312" s="422" t="str">
        <f>'Master List'!A112</f>
        <v>M-LAN-003</v>
      </c>
      <c r="B1312" s="472"/>
      <c r="C1312" s="198"/>
      <c r="D1312" s="462" t="str">
        <f>VLOOKUP(A1312,'Master List'!$A$1:$C$1192,2,FALSE)</f>
        <v>Огорожа з металевих стрижнів і нейлонової сітки висотою 0,97м</v>
      </c>
      <c r="E1312" s="463" t="str">
        <f>VLOOKUP(A1312,'Master List'!$A$1:$C$1192,3,FALSE)</f>
        <v>м</v>
      </c>
      <c r="F1312" s="464">
        <f>F1309</f>
        <v>4.53</v>
      </c>
      <c r="G1312" s="463">
        <f>VLOOKUP(A1312,'Master List'!$A$4:$F4003,5,FALSE)</f>
        <v>44.2</v>
      </c>
      <c r="H1312" s="206">
        <f t="shared" si="123"/>
        <v>200.226</v>
      </c>
      <c r="I1312" s="240"/>
    </row>
    <row r="1313" outlineLevel="2">
      <c r="A1313" s="422"/>
      <c r="B1313" s="428"/>
      <c r="C1313" s="451"/>
      <c r="D1313" s="428"/>
      <c r="E1313" s="431"/>
      <c r="F1313" s="432"/>
      <c r="G1313" s="434"/>
      <c r="H1313" s="434"/>
      <c r="I1313" s="240"/>
    </row>
    <row r="1314" outlineLevel="2">
      <c r="A1314" s="422"/>
      <c r="B1314" s="472" t="s">
        <v>499</v>
      </c>
      <c r="C1314" s="267" t="s">
        <v>2374</v>
      </c>
      <c r="D1314" s="268" t="s">
        <v>500</v>
      </c>
      <c r="E1314" s="486" t="s">
        <v>161</v>
      </c>
      <c r="F1314" s="270">
        <v>8.7</v>
      </c>
      <c r="G1314" s="205"/>
      <c r="H1314" s="206"/>
      <c r="I1314" s="240"/>
    </row>
    <row r="1315" outlineLevel="2">
      <c r="A1315" s="422"/>
      <c r="B1315" s="472"/>
      <c r="C1315" s="275"/>
      <c r="D1315" s="285"/>
      <c r="E1315" s="487"/>
      <c r="F1315" s="275"/>
      <c r="G1315" s="239"/>
      <c r="H1315" s="239"/>
      <c r="I1315" s="240"/>
    </row>
    <row r="1316" outlineLevel="2">
      <c r="A1316" s="422" t="str">
        <f>'Master List'!A579</f>
        <v>W-LAN-003</v>
      </c>
      <c r="B1316" s="472"/>
      <c r="C1316" s="198"/>
      <c r="D1316" s="462" t="str">
        <f>VLOOKUP(A1316,'Master List'!$A$1:$C$1192,2,FALSE)</f>
        <v>Влаштування огорожі з металевих стрижнів і нейлонової сітки висотою 0,97м</v>
      </c>
      <c r="E1316" s="463" t="str">
        <f>VLOOKUP(A1316,'Master List'!$A$1:$C$1192,3,FALSE)</f>
        <v>м</v>
      </c>
      <c r="F1316" s="464">
        <f>F1314</f>
        <v>8.7</v>
      </c>
      <c r="G1316" s="463">
        <f>VLOOKUP(A1316,'Master List'!$A$4:$F4008,5,FALSE)</f>
        <v>31.2</v>
      </c>
      <c r="H1316" s="206">
        <f t="shared" ref="H1316:H1317" si="124">G1316*F1316</f>
        <v>271.44</v>
      </c>
      <c r="I1316" s="240"/>
    </row>
    <row r="1317" outlineLevel="2">
      <c r="A1317" s="422" t="str">
        <f>'Master List'!A112</f>
        <v>M-LAN-003</v>
      </c>
      <c r="B1317" s="472"/>
      <c r="C1317" s="198"/>
      <c r="D1317" s="462" t="str">
        <f>VLOOKUP(A1317,'Master List'!$A$1:$C$1192,2,FALSE)</f>
        <v>Огорожа з металевих стрижнів і нейлонової сітки висотою 0,97м</v>
      </c>
      <c r="E1317" s="463" t="str">
        <f>VLOOKUP(A1317,'Master List'!$A$1:$C$1192,3,FALSE)</f>
        <v>м</v>
      </c>
      <c r="F1317" s="464">
        <f>F1314</f>
        <v>8.7</v>
      </c>
      <c r="G1317" s="463">
        <f>VLOOKUP(A1317,'Master List'!$A$4:$F4009,5,FALSE)</f>
        <v>44.2</v>
      </c>
      <c r="H1317" s="206">
        <f t="shared" si="124"/>
        <v>384.54</v>
      </c>
      <c r="I1317" s="240"/>
    </row>
    <row r="1318" outlineLevel="2">
      <c r="A1318" s="422"/>
      <c r="B1318" s="428"/>
      <c r="C1318" s="451"/>
      <c r="D1318" s="428"/>
      <c r="E1318" s="431"/>
      <c r="F1318" s="432"/>
      <c r="G1318" s="434"/>
      <c r="H1318" s="434"/>
      <c r="I1318" s="240"/>
    </row>
    <row r="1319" outlineLevel="2">
      <c r="A1319" s="422"/>
      <c r="B1319" s="472" t="s">
        <v>501</v>
      </c>
      <c r="C1319" s="267" t="s">
        <v>2376</v>
      </c>
      <c r="D1319" s="268" t="s">
        <v>502</v>
      </c>
      <c r="E1319" s="486" t="s">
        <v>161</v>
      </c>
      <c r="F1319" s="270">
        <v>14.0</v>
      </c>
      <c r="G1319" s="205"/>
      <c r="H1319" s="206"/>
      <c r="I1319" s="240"/>
    </row>
    <row r="1320" outlineLevel="2">
      <c r="A1320" s="422"/>
      <c r="B1320" s="472"/>
      <c r="C1320" s="275"/>
      <c r="D1320" s="285"/>
      <c r="E1320" s="487"/>
      <c r="F1320" s="275"/>
      <c r="G1320" s="239"/>
      <c r="H1320" s="239"/>
      <c r="I1320" s="240"/>
    </row>
    <row r="1321" outlineLevel="2">
      <c r="A1321" s="422" t="str">
        <f>'Master List'!A579</f>
        <v>W-LAN-003</v>
      </c>
      <c r="B1321" s="472"/>
      <c r="C1321" s="198"/>
      <c r="D1321" s="462" t="str">
        <f>VLOOKUP(A1321,'Master List'!$A$1:$C$1192,2,FALSE)</f>
        <v>Влаштування огорожі з металевих стрижнів і нейлонової сітки висотою 0,97м</v>
      </c>
      <c r="E1321" s="463" t="str">
        <f>VLOOKUP(A1321,'Master List'!$A$1:$C$1192,3,FALSE)</f>
        <v>м</v>
      </c>
      <c r="F1321" s="464">
        <f>F1319</f>
        <v>14</v>
      </c>
      <c r="G1321" s="463">
        <f>VLOOKUP(A1321,'Master List'!$A$4:$F4015,5,FALSE)</f>
        <v>31.2</v>
      </c>
      <c r="H1321" s="206">
        <f t="shared" ref="H1321:H1322" si="125">G1321*F1321</f>
        <v>436.8</v>
      </c>
      <c r="I1321" s="240"/>
    </row>
    <row r="1322" outlineLevel="2">
      <c r="A1322" s="422" t="str">
        <f>'Master List'!A112</f>
        <v>M-LAN-003</v>
      </c>
      <c r="B1322" s="472"/>
      <c r="C1322" s="198"/>
      <c r="D1322" s="462" t="str">
        <f>VLOOKUP(A1322,'Master List'!$A$1:$C$1192,2,FALSE)</f>
        <v>Огорожа з металевих стрижнів і нейлонової сітки висотою 0,97м</v>
      </c>
      <c r="E1322" s="463" t="str">
        <f>VLOOKUP(A1322,'Master List'!$A$1:$C$1192,3,FALSE)</f>
        <v>м</v>
      </c>
      <c r="F1322" s="464">
        <f>F1319</f>
        <v>14</v>
      </c>
      <c r="G1322" s="463">
        <f>VLOOKUP(A1322,'Master List'!$A$4:$F4016,5,FALSE)</f>
        <v>44.2</v>
      </c>
      <c r="H1322" s="206">
        <f t="shared" si="125"/>
        <v>618.8</v>
      </c>
      <c r="I1322" s="240"/>
    </row>
    <row r="1323" outlineLevel="2">
      <c r="A1323" s="422"/>
      <c r="B1323" s="428"/>
      <c r="C1323" s="451"/>
      <c r="D1323" s="428"/>
      <c r="E1323" s="431"/>
      <c r="F1323" s="432"/>
      <c r="G1323" s="434"/>
      <c r="H1323" s="434"/>
      <c r="I1323" s="240"/>
    </row>
    <row r="1324" outlineLevel="2">
      <c r="A1324" s="422"/>
      <c r="B1324" s="472" t="s">
        <v>503</v>
      </c>
      <c r="C1324" s="267" t="s">
        <v>2378</v>
      </c>
      <c r="D1324" s="268" t="s">
        <v>504</v>
      </c>
      <c r="E1324" s="486" t="s">
        <v>161</v>
      </c>
      <c r="F1324" s="270">
        <v>8.44</v>
      </c>
      <c r="G1324" s="205"/>
      <c r="H1324" s="206"/>
      <c r="I1324" s="240"/>
    </row>
    <row r="1325" outlineLevel="2">
      <c r="A1325" s="422"/>
      <c r="B1325" s="472"/>
      <c r="C1325" s="275"/>
      <c r="D1325" s="285"/>
      <c r="E1325" s="487"/>
      <c r="F1325" s="275"/>
      <c r="G1325" s="239"/>
      <c r="H1325" s="239"/>
      <c r="I1325" s="240"/>
    </row>
    <row r="1326" outlineLevel="2">
      <c r="A1326" s="422" t="str">
        <f>'Master List'!A579</f>
        <v>W-LAN-003</v>
      </c>
      <c r="B1326" s="472"/>
      <c r="C1326" s="198"/>
      <c r="D1326" s="462" t="str">
        <f>VLOOKUP(A1326,'Master List'!$A$1:$C$1192,2,FALSE)</f>
        <v>Влаштування огорожі з металевих стрижнів і нейлонової сітки висотою 0,97м</v>
      </c>
      <c r="E1326" s="463" t="str">
        <f>VLOOKUP(A1326,'Master List'!$A$1:$C$1192,3,FALSE)</f>
        <v>м</v>
      </c>
      <c r="F1326" s="464">
        <f>F1324</f>
        <v>8.44</v>
      </c>
      <c r="G1326" s="463">
        <f>VLOOKUP(A1326,'Master List'!$A$4:$F4021,5,FALSE)</f>
        <v>31.2</v>
      </c>
      <c r="H1326" s="206">
        <f t="shared" ref="H1326:H1327" si="126">G1326*F1326</f>
        <v>263.328</v>
      </c>
      <c r="I1326" s="240"/>
    </row>
    <row r="1327" outlineLevel="2">
      <c r="A1327" s="422" t="str">
        <f>'Master List'!A112</f>
        <v>M-LAN-003</v>
      </c>
      <c r="B1327" s="472"/>
      <c r="C1327" s="198"/>
      <c r="D1327" s="462" t="str">
        <f>VLOOKUP(A1327,'Master List'!$A$1:$C$1192,2,FALSE)</f>
        <v>Огорожа з металевих стрижнів і нейлонової сітки висотою 0,97м</v>
      </c>
      <c r="E1327" s="463" t="str">
        <f>VLOOKUP(A1327,'Master List'!$A$1:$C$1192,3,FALSE)</f>
        <v>м</v>
      </c>
      <c r="F1327" s="464">
        <f>F1324</f>
        <v>8.44</v>
      </c>
      <c r="G1327" s="463">
        <f>VLOOKUP(A1327,'Master List'!$A$4:$F4022,5,FALSE)</f>
        <v>44.2</v>
      </c>
      <c r="H1327" s="206">
        <f t="shared" si="126"/>
        <v>373.048</v>
      </c>
      <c r="I1327" s="240"/>
    </row>
    <row r="1328" outlineLevel="2">
      <c r="A1328" s="422"/>
      <c r="B1328" s="428"/>
      <c r="C1328" s="451"/>
      <c r="D1328" s="428"/>
      <c r="E1328" s="431"/>
      <c r="F1328" s="432"/>
      <c r="G1328" s="434"/>
      <c r="H1328" s="434"/>
      <c r="I1328" s="240"/>
    </row>
    <row r="1329" outlineLevel="2">
      <c r="A1329" s="422"/>
      <c r="B1329" s="472" t="s">
        <v>505</v>
      </c>
      <c r="C1329" s="267">
        <v>10.14</v>
      </c>
      <c r="D1329" s="273" t="s">
        <v>506</v>
      </c>
      <c r="E1329" s="431"/>
      <c r="F1329" s="432"/>
      <c r="G1329" s="434"/>
      <c r="H1329" s="434"/>
      <c r="I1329" s="240"/>
    </row>
    <row r="1330" outlineLevel="2">
      <c r="A1330" s="422"/>
      <c r="B1330" s="428"/>
      <c r="C1330" s="451"/>
      <c r="D1330" s="428"/>
      <c r="E1330" s="431"/>
      <c r="F1330" s="432"/>
      <c r="G1330" s="434"/>
      <c r="H1330" s="434"/>
      <c r="I1330" s="240"/>
    </row>
    <row r="1331" outlineLevel="2">
      <c r="A1331" s="422"/>
      <c r="B1331" s="472" t="s">
        <v>507</v>
      </c>
      <c r="C1331" s="267" t="s">
        <v>2381</v>
      </c>
      <c r="D1331" s="268" t="s">
        <v>508</v>
      </c>
      <c r="E1331" s="486" t="s">
        <v>161</v>
      </c>
      <c r="F1331" s="270">
        <v>2.65</v>
      </c>
      <c r="G1331" s="205"/>
      <c r="H1331" s="206"/>
      <c r="I1331" s="240"/>
    </row>
    <row r="1332" outlineLevel="2">
      <c r="A1332" s="422"/>
      <c r="B1332" s="472"/>
      <c r="C1332" s="275"/>
      <c r="D1332" s="285"/>
      <c r="E1332" s="487"/>
      <c r="F1332" s="275"/>
      <c r="G1332" s="239"/>
      <c r="H1332" s="239"/>
      <c r="I1332" s="240"/>
    </row>
    <row r="1333" outlineLevel="2">
      <c r="A1333" s="422" t="str">
        <f>'Master List'!A580</f>
        <v>W-LAN-004</v>
      </c>
      <c r="B1333" s="472"/>
      <c r="C1333" s="198"/>
      <c r="D1333" s="462" t="str">
        <f>VLOOKUP(A1333,'Master List'!$A$1:$C$1192,2,FALSE)</f>
        <v>Влаштування огорожі з нержавіючої сталі висотою 0,9м </v>
      </c>
      <c r="E1333" s="463" t="str">
        <f>VLOOKUP(A1333,'Master List'!$A$1:$C$1192,3,FALSE)</f>
        <v>м</v>
      </c>
      <c r="F1333" s="464">
        <f>F1331</f>
        <v>2.65</v>
      </c>
      <c r="G1333" s="463">
        <f>VLOOKUP(A1333,'Master List'!$A$4:$F4030,5,FALSE)</f>
        <v>97.5</v>
      </c>
      <c r="H1333" s="206">
        <f t="shared" ref="H1333:H1334" si="127">G1333*F1333</f>
        <v>258.375</v>
      </c>
      <c r="I1333" s="240"/>
    </row>
    <row r="1334" outlineLevel="2">
      <c r="A1334" s="422" t="str">
        <f>'Master List'!A113</f>
        <v>M-LAN-004</v>
      </c>
      <c r="B1334" s="472"/>
      <c r="C1334" s="198"/>
      <c r="D1334" s="462" t="str">
        <f>VLOOKUP(A1334,'Master List'!$A$1:$C$1192,2,FALSE)</f>
        <v>Огорожа з нержавіючої сталі висотою 0,9м </v>
      </c>
      <c r="E1334" s="463" t="str">
        <f>VLOOKUP(A1334,'Master List'!$A$1:$C$1192,3,FALSE)</f>
        <v>м</v>
      </c>
      <c r="F1334" s="464">
        <f>F1331</f>
        <v>2.65</v>
      </c>
      <c r="G1334" s="463">
        <f>VLOOKUP(A1334,'Master List'!$A$4:$F4031,5,FALSE)</f>
        <v>295.1</v>
      </c>
      <c r="H1334" s="206">
        <f t="shared" si="127"/>
        <v>782.015</v>
      </c>
      <c r="I1334" s="240"/>
    </row>
    <row r="1335" outlineLevel="2">
      <c r="A1335" s="422"/>
      <c r="B1335" s="428"/>
      <c r="C1335" s="451"/>
      <c r="D1335" s="428"/>
      <c r="E1335" s="431"/>
      <c r="F1335" s="432"/>
      <c r="G1335" s="434"/>
      <c r="H1335" s="434"/>
      <c r="I1335" s="240"/>
    </row>
    <row r="1336" outlineLevel="2">
      <c r="A1336" s="422"/>
      <c r="B1336" s="472" t="s">
        <v>509</v>
      </c>
      <c r="C1336" s="267" t="s">
        <v>2383</v>
      </c>
      <c r="D1336" s="268" t="s">
        <v>510</v>
      </c>
      <c r="E1336" s="486" t="s">
        <v>161</v>
      </c>
      <c r="F1336" s="270">
        <v>25.15</v>
      </c>
      <c r="G1336" s="205"/>
      <c r="H1336" s="206"/>
      <c r="I1336" s="240"/>
    </row>
    <row r="1337" outlineLevel="2">
      <c r="A1337" s="422"/>
      <c r="B1337" s="472"/>
      <c r="C1337" s="275"/>
      <c r="D1337" s="285"/>
      <c r="E1337" s="487"/>
      <c r="F1337" s="275"/>
      <c r="G1337" s="239"/>
      <c r="H1337" s="239"/>
      <c r="I1337" s="240"/>
    </row>
    <row r="1338" outlineLevel="2">
      <c r="A1338" s="422" t="str">
        <f>'Master List'!A580</f>
        <v>W-LAN-004</v>
      </c>
      <c r="B1338" s="472"/>
      <c r="C1338" s="198"/>
      <c r="D1338" s="462" t="str">
        <f>VLOOKUP(A1338,'Master List'!$A$1:$C$1192,2,FALSE)</f>
        <v>Влаштування огорожі з нержавіючої сталі висотою 0,9м </v>
      </c>
      <c r="E1338" s="463" t="str">
        <f>VLOOKUP(A1338,'Master List'!$A$1:$C$1192,3,FALSE)</f>
        <v>м</v>
      </c>
      <c r="F1338" s="464">
        <f>F1336</f>
        <v>25.15</v>
      </c>
      <c r="G1338" s="463">
        <f>VLOOKUP(A1338,'Master List'!$A$4:$F4036,5,FALSE)</f>
        <v>97.5</v>
      </c>
      <c r="H1338" s="206">
        <f t="shared" ref="H1338:H1339" si="128">G1338*F1338</f>
        <v>2452.125</v>
      </c>
      <c r="I1338" s="240"/>
    </row>
    <row r="1339" outlineLevel="2">
      <c r="A1339" s="422" t="str">
        <f>'Master List'!A113</f>
        <v>M-LAN-004</v>
      </c>
      <c r="B1339" s="472"/>
      <c r="C1339" s="198"/>
      <c r="D1339" s="462" t="str">
        <f>VLOOKUP(A1339,'Master List'!$A$1:$C$1192,2,FALSE)</f>
        <v>Огорожа з нержавіючої сталі висотою 0,9м </v>
      </c>
      <c r="E1339" s="463" t="str">
        <f>VLOOKUP(A1339,'Master List'!$A$1:$C$1192,3,FALSE)</f>
        <v>м</v>
      </c>
      <c r="F1339" s="464">
        <f>F1336</f>
        <v>25.15</v>
      </c>
      <c r="G1339" s="463">
        <f>VLOOKUP(A1339,'Master List'!$A$4:$F4037,5,FALSE)</f>
        <v>295.1</v>
      </c>
      <c r="H1339" s="206">
        <f t="shared" si="128"/>
        <v>7421.765</v>
      </c>
      <c r="I1339" s="240"/>
    </row>
    <row r="1340" outlineLevel="2">
      <c r="A1340" s="422"/>
      <c r="B1340" s="428"/>
      <c r="C1340" s="451"/>
      <c r="D1340" s="428"/>
      <c r="E1340" s="431"/>
      <c r="F1340" s="432"/>
      <c r="G1340" s="434"/>
      <c r="H1340" s="434"/>
      <c r="I1340" s="240"/>
    </row>
    <row r="1341" outlineLevel="1">
      <c r="A1341" s="422"/>
      <c r="B1341" s="472" t="s">
        <v>476</v>
      </c>
      <c r="C1341" s="451"/>
      <c r="D1341" s="435" t="s">
        <v>511</v>
      </c>
      <c r="E1341" s="431"/>
      <c r="F1341" s="432"/>
      <c r="G1341" s="436">
        <f>SUM(H1345:H1369)</f>
        <v>9278.685</v>
      </c>
      <c r="H1341" s="434"/>
      <c r="I1341" s="240"/>
    </row>
    <row r="1342" outlineLevel="2">
      <c r="A1342" s="422"/>
      <c r="B1342" s="428"/>
      <c r="C1342" s="451"/>
      <c r="D1342" s="428"/>
      <c r="E1342" s="431"/>
      <c r="F1342" s="432"/>
      <c r="G1342" s="434"/>
      <c r="H1342" s="434"/>
      <c r="I1342" s="240"/>
    </row>
    <row r="1343" outlineLevel="2">
      <c r="A1343" s="422"/>
      <c r="B1343" s="472" t="s">
        <v>478</v>
      </c>
      <c r="C1343" s="267">
        <v>10.15</v>
      </c>
      <c r="D1343" s="273" t="s">
        <v>512</v>
      </c>
      <c r="E1343" s="431"/>
      <c r="F1343" s="432"/>
      <c r="G1343" s="434"/>
      <c r="H1343" s="434"/>
      <c r="I1343" s="240"/>
    </row>
    <row r="1344" outlineLevel="2">
      <c r="A1344" s="422"/>
      <c r="B1344" s="428"/>
      <c r="C1344" s="451"/>
      <c r="D1344" s="428"/>
      <c r="E1344" s="431"/>
      <c r="F1344" s="432"/>
      <c r="G1344" s="434"/>
      <c r="H1344" s="434"/>
      <c r="I1344" s="240"/>
    </row>
    <row r="1345" outlineLevel="2">
      <c r="A1345" s="422"/>
      <c r="B1345" s="472" t="s">
        <v>513</v>
      </c>
      <c r="C1345" s="267" t="s">
        <v>2387</v>
      </c>
      <c r="D1345" s="268" t="s">
        <v>514</v>
      </c>
      <c r="E1345" s="486" t="s">
        <v>40</v>
      </c>
      <c r="F1345" s="270">
        <v>70.44</v>
      </c>
      <c r="G1345" s="205"/>
      <c r="H1345" s="206"/>
      <c r="I1345" s="240" t="s">
        <v>5608</v>
      </c>
    </row>
    <row r="1346" outlineLevel="2">
      <c r="A1346" s="422"/>
      <c r="B1346" s="472"/>
      <c r="C1346" s="275"/>
      <c r="D1346" s="285"/>
      <c r="E1346" s="487"/>
      <c r="F1346" s="275"/>
      <c r="G1346" s="239"/>
      <c r="H1346" s="239"/>
      <c r="I1346" s="240"/>
    </row>
    <row r="1347" outlineLevel="2">
      <c r="A1347" s="422" t="str">
        <f>'Master List'!A647</f>
        <v>W-WIN-041</v>
      </c>
      <c r="B1347" s="472"/>
      <c r="C1347" s="198"/>
      <c r="D1347" s="462" t="str">
        <f>VLOOKUP(A1347,'Master List'!$A$1:$C$1192,2,FALSE)</f>
        <v>Монтаж рам з алюмінієвих труб</v>
      </c>
      <c r="E1347" s="463" t="str">
        <f>VLOOKUP(A1347,'Master List'!$A$1:$C$1192,3,FALSE)</f>
        <v>м2</v>
      </c>
      <c r="F1347" s="464">
        <f>F1345</f>
        <v>70.44</v>
      </c>
      <c r="G1347" s="463">
        <f>VLOOKUP(A1347,'Master List'!$A$4:$F4047,5,FALSE)</f>
        <v>58.5</v>
      </c>
      <c r="H1347" s="206">
        <f t="shared" ref="H1347:H1348" si="129">G1347*F1347</f>
        <v>4120.74</v>
      </c>
      <c r="I1347" s="240"/>
    </row>
    <row r="1348" outlineLevel="2">
      <c r="A1348" s="422" t="str">
        <f>'Master List'!A192</f>
        <v>M-WIN-068</v>
      </c>
      <c r="B1348" s="472"/>
      <c r="C1348" s="198"/>
      <c r="D1348" s="462" t="str">
        <f>VLOOKUP(A1348,'Master List'!$A$1:$C$1192,2,FALSE)</f>
        <v>Рами з алюмінієвиз труб 50х50х3мм</v>
      </c>
      <c r="E1348" s="463" t="str">
        <f>VLOOKUP(A1348,'Master List'!$A$1:$C$1192,3,FALSE)</f>
        <v>м2</v>
      </c>
      <c r="F1348" s="464">
        <f>F1345</f>
        <v>70.44</v>
      </c>
      <c r="G1348" s="463">
        <f>VLOOKUP(A1348,'Master List'!$A$4:$F4048,5,FALSE)</f>
        <v>0</v>
      </c>
      <c r="H1348" s="206">
        <f t="shared" si="129"/>
        <v>0</v>
      </c>
      <c r="I1348" s="240"/>
    </row>
    <row r="1349" outlineLevel="2">
      <c r="A1349" s="422"/>
      <c r="B1349" s="428"/>
      <c r="C1349" s="451"/>
      <c r="D1349" s="428"/>
      <c r="E1349" s="431"/>
      <c r="F1349" s="432"/>
      <c r="G1349" s="434"/>
      <c r="H1349" s="434"/>
      <c r="I1349" s="240"/>
    </row>
    <row r="1350" outlineLevel="2">
      <c r="A1350" s="422"/>
      <c r="B1350" s="472" t="s">
        <v>515</v>
      </c>
      <c r="C1350" s="267">
        <v>10.16</v>
      </c>
      <c r="D1350" s="273" t="s">
        <v>516</v>
      </c>
      <c r="E1350" s="431"/>
      <c r="F1350" s="432"/>
      <c r="G1350" s="434"/>
      <c r="H1350" s="434"/>
      <c r="I1350" s="240"/>
    </row>
    <row r="1351" outlineLevel="2">
      <c r="A1351" s="422"/>
      <c r="B1351" s="428"/>
      <c r="C1351" s="451"/>
      <c r="D1351" s="428"/>
      <c r="E1351" s="431"/>
      <c r="F1351" s="432"/>
      <c r="G1351" s="434"/>
      <c r="H1351" s="434"/>
      <c r="I1351" s="240"/>
    </row>
    <row r="1352" outlineLevel="2">
      <c r="A1352" s="422"/>
      <c r="B1352" s="472" t="s">
        <v>517</v>
      </c>
      <c r="C1352" s="267" t="s">
        <v>2391</v>
      </c>
      <c r="D1352" s="268" t="s">
        <v>518</v>
      </c>
      <c r="E1352" s="486" t="s">
        <v>40</v>
      </c>
      <c r="F1352" s="270">
        <v>39.46</v>
      </c>
      <c r="G1352" s="205"/>
      <c r="H1352" s="206"/>
      <c r="I1352" s="240"/>
    </row>
    <row r="1353" outlineLevel="2">
      <c r="A1353" s="422"/>
      <c r="B1353" s="472"/>
      <c r="C1353" s="275"/>
      <c r="D1353" s="285"/>
      <c r="E1353" s="487"/>
      <c r="F1353" s="275"/>
      <c r="G1353" s="239"/>
      <c r="H1353" s="239"/>
      <c r="I1353" s="240"/>
    </row>
    <row r="1354" outlineLevel="2">
      <c r="A1354" s="422" t="str">
        <f>'Master List'!A647</f>
        <v>W-WIN-041</v>
      </c>
      <c r="B1354" s="472"/>
      <c r="C1354" s="198"/>
      <c r="D1354" s="462" t="str">
        <f>VLOOKUP(A1354,'Master List'!$A$1:$C$1192,2,FALSE)</f>
        <v>Монтаж рам з алюмінієвих труб</v>
      </c>
      <c r="E1354" s="463" t="str">
        <f>VLOOKUP(A1354,'Master List'!$A$1:$C$1192,3,FALSE)</f>
        <v>м2</v>
      </c>
      <c r="F1354" s="464">
        <f>F1352</f>
        <v>39.46</v>
      </c>
      <c r="G1354" s="463">
        <f>VLOOKUP(A1354,'Master List'!$A$4:$F4055,5,FALSE)</f>
        <v>58.5</v>
      </c>
      <c r="H1354" s="206">
        <f t="shared" ref="H1354:H1355" si="130">G1354*F1354</f>
        <v>2308.41</v>
      </c>
      <c r="I1354" s="240"/>
    </row>
    <row r="1355" outlineLevel="2">
      <c r="A1355" s="422" t="str">
        <f>'Master List'!A192</f>
        <v>M-WIN-068</v>
      </c>
      <c r="B1355" s="472"/>
      <c r="C1355" s="198"/>
      <c r="D1355" s="462" t="str">
        <f>VLOOKUP(A1355,'Master List'!$A$1:$C$1192,2,FALSE)</f>
        <v>Рами з алюмінієвиз труб 50х50х3мм</v>
      </c>
      <c r="E1355" s="463" t="str">
        <f>VLOOKUP(A1355,'Master List'!$A$1:$C$1192,3,FALSE)</f>
        <v>м2</v>
      </c>
      <c r="F1355" s="464">
        <f>F1352</f>
        <v>39.46</v>
      </c>
      <c r="G1355" s="463">
        <f>VLOOKUP(A1355,'Master List'!$A$4:$F4056,5,FALSE)</f>
        <v>0</v>
      </c>
      <c r="H1355" s="206">
        <f t="shared" si="130"/>
        <v>0</v>
      </c>
      <c r="I1355" s="240"/>
    </row>
    <row r="1356" outlineLevel="2">
      <c r="A1356" s="422"/>
      <c r="B1356" s="428"/>
      <c r="C1356" s="451"/>
      <c r="D1356" s="428"/>
      <c r="E1356" s="431"/>
      <c r="F1356" s="432"/>
      <c r="G1356" s="434"/>
      <c r="H1356" s="434"/>
      <c r="I1356" s="240"/>
    </row>
    <row r="1357" outlineLevel="2">
      <c r="A1357" s="422"/>
      <c r="B1357" s="472" t="s">
        <v>519</v>
      </c>
      <c r="C1357" s="267">
        <v>10.17</v>
      </c>
      <c r="D1357" s="273" t="s">
        <v>520</v>
      </c>
      <c r="E1357" s="431"/>
      <c r="F1357" s="432"/>
      <c r="G1357" s="434"/>
      <c r="H1357" s="434"/>
      <c r="I1357" s="240"/>
    </row>
    <row r="1358" outlineLevel="2">
      <c r="A1358" s="422"/>
      <c r="B1358" s="428"/>
      <c r="C1358" s="451"/>
      <c r="D1358" s="428"/>
      <c r="E1358" s="431"/>
      <c r="F1358" s="432"/>
      <c r="G1358" s="434"/>
      <c r="H1358" s="434"/>
      <c r="I1358" s="240"/>
    </row>
    <row r="1359" outlineLevel="2">
      <c r="A1359" s="422"/>
      <c r="B1359" s="472" t="s">
        <v>521</v>
      </c>
      <c r="C1359" s="267" t="s">
        <v>2394</v>
      </c>
      <c r="D1359" s="268" t="s">
        <v>522</v>
      </c>
      <c r="E1359" s="486" t="s">
        <v>40</v>
      </c>
      <c r="F1359" s="270">
        <v>40.81</v>
      </c>
      <c r="G1359" s="205"/>
      <c r="H1359" s="206"/>
      <c r="I1359" s="240"/>
    </row>
    <row r="1360" outlineLevel="2">
      <c r="A1360" s="422"/>
      <c r="B1360" s="472"/>
      <c r="C1360" s="275"/>
      <c r="D1360" s="285"/>
      <c r="E1360" s="487"/>
      <c r="F1360" s="275"/>
      <c r="G1360" s="239"/>
      <c r="H1360" s="239"/>
      <c r="I1360" s="240"/>
    </row>
    <row r="1361" outlineLevel="2">
      <c r="A1361" s="422" t="str">
        <f>'Master List'!A647</f>
        <v>W-WIN-041</v>
      </c>
      <c r="B1361" s="472"/>
      <c r="C1361" s="198"/>
      <c r="D1361" s="462" t="str">
        <f>VLOOKUP(A1361,'Master List'!$A$1:$C$1192,2,FALSE)</f>
        <v>Монтаж рам з алюмінієвих труб</v>
      </c>
      <c r="E1361" s="463" t="str">
        <f>VLOOKUP(A1361,'Master List'!$A$1:$C$1192,3,FALSE)</f>
        <v>м2</v>
      </c>
      <c r="F1361" s="464">
        <f>F1359</f>
        <v>40.81</v>
      </c>
      <c r="G1361" s="463">
        <f>VLOOKUP(A1361,'Master List'!$A$4:$F4063,5,FALSE)</f>
        <v>58.5</v>
      </c>
      <c r="H1361" s="206">
        <f t="shared" ref="H1361:H1362" si="131">G1361*F1361</f>
        <v>2387.385</v>
      </c>
      <c r="I1361" s="240"/>
    </row>
    <row r="1362" outlineLevel="2">
      <c r="A1362" s="422" t="str">
        <f>'Master List'!A192</f>
        <v>M-WIN-068</v>
      </c>
      <c r="B1362" s="472"/>
      <c r="C1362" s="198"/>
      <c r="D1362" s="462" t="str">
        <f>VLOOKUP(A1362,'Master List'!$A$1:$C$1192,2,FALSE)</f>
        <v>Рами з алюмінієвиз труб 50х50х3мм</v>
      </c>
      <c r="E1362" s="463" t="str">
        <f>VLOOKUP(A1362,'Master List'!$A$1:$C$1192,3,FALSE)</f>
        <v>м2</v>
      </c>
      <c r="F1362" s="464">
        <f>F1359</f>
        <v>40.81</v>
      </c>
      <c r="G1362" s="463">
        <f>VLOOKUP(A1362,'Master List'!$A$4:$F4064,5,FALSE)</f>
        <v>0</v>
      </c>
      <c r="H1362" s="206">
        <f t="shared" si="131"/>
        <v>0</v>
      </c>
      <c r="I1362" s="240"/>
    </row>
    <row r="1363" outlineLevel="2">
      <c r="A1363" s="422"/>
      <c r="B1363" s="428"/>
      <c r="C1363" s="451"/>
      <c r="D1363" s="428"/>
      <c r="E1363" s="431"/>
      <c r="F1363" s="432"/>
      <c r="G1363" s="434"/>
      <c r="H1363" s="434"/>
      <c r="I1363" s="240"/>
    </row>
    <row r="1364" outlineLevel="2">
      <c r="A1364" s="422"/>
      <c r="B1364" s="472" t="s">
        <v>523</v>
      </c>
      <c r="C1364" s="267">
        <v>10.18</v>
      </c>
      <c r="D1364" s="273" t="s">
        <v>524</v>
      </c>
      <c r="E1364" s="431"/>
      <c r="F1364" s="432"/>
      <c r="G1364" s="434"/>
      <c r="H1364" s="434"/>
      <c r="I1364" s="240"/>
    </row>
    <row r="1365" outlineLevel="2">
      <c r="A1365" s="422"/>
      <c r="B1365" s="428"/>
      <c r="C1365" s="451"/>
      <c r="D1365" s="428"/>
      <c r="E1365" s="431"/>
      <c r="F1365" s="432"/>
      <c r="G1365" s="434"/>
      <c r="H1365" s="434"/>
      <c r="I1365" s="240"/>
    </row>
    <row r="1366" outlineLevel="2">
      <c r="A1366" s="422"/>
      <c r="B1366" s="472" t="s">
        <v>525</v>
      </c>
      <c r="C1366" s="267" t="s">
        <v>2397</v>
      </c>
      <c r="D1366" s="268" t="s">
        <v>526</v>
      </c>
      <c r="E1366" s="486" t="s">
        <v>40</v>
      </c>
      <c r="F1366" s="270">
        <v>7.9</v>
      </c>
      <c r="G1366" s="205"/>
      <c r="H1366" s="206"/>
      <c r="I1366" s="240"/>
    </row>
    <row r="1367" outlineLevel="2">
      <c r="A1367" s="422"/>
      <c r="B1367" s="472"/>
      <c r="C1367" s="275"/>
      <c r="D1367" s="285"/>
      <c r="E1367" s="487"/>
      <c r="F1367" s="275"/>
      <c r="G1367" s="239"/>
      <c r="H1367" s="239"/>
      <c r="I1367" s="240"/>
    </row>
    <row r="1368" outlineLevel="2">
      <c r="A1368" s="422" t="str">
        <f>'Master List'!A647</f>
        <v>W-WIN-041</v>
      </c>
      <c r="B1368" s="472"/>
      <c r="C1368" s="198"/>
      <c r="D1368" s="462" t="str">
        <f>VLOOKUP(A1368,'Master List'!$A$1:$C$1192,2,FALSE)</f>
        <v>Монтаж рам з алюмінієвих труб</v>
      </c>
      <c r="E1368" s="463" t="str">
        <f>VLOOKUP(A1368,'Master List'!$A$1:$C$1192,3,FALSE)</f>
        <v>м2</v>
      </c>
      <c r="F1368" s="464">
        <f>F1366</f>
        <v>7.9</v>
      </c>
      <c r="G1368" s="463">
        <f>VLOOKUP(A1368,'Master List'!$A$4:$F4073,5,FALSE)</f>
        <v>58.5</v>
      </c>
      <c r="H1368" s="206">
        <f t="shared" ref="H1368:H1369" si="132">G1368*F1368</f>
        <v>462.15</v>
      </c>
      <c r="I1368" s="240"/>
    </row>
    <row r="1369" outlineLevel="2">
      <c r="A1369" s="422" t="str">
        <f>'Master List'!A192</f>
        <v>M-WIN-068</v>
      </c>
      <c r="B1369" s="472"/>
      <c r="C1369" s="198"/>
      <c r="D1369" s="462" t="str">
        <f>VLOOKUP(A1369,'Master List'!$A$1:$C$1192,2,FALSE)</f>
        <v>Рами з алюмінієвиз труб 50х50х3мм</v>
      </c>
      <c r="E1369" s="463" t="str">
        <f>VLOOKUP(A1369,'Master List'!$A$1:$C$1192,3,FALSE)</f>
        <v>м2</v>
      </c>
      <c r="F1369" s="464">
        <f>F1366</f>
        <v>7.9</v>
      </c>
      <c r="G1369" s="463">
        <f>VLOOKUP(A1369,'Master List'!$A$4:$F4074,5,FALSE)</f>
        <v>0</v>
      </c>
      <c r="H1369" s="206">
        <f t="shared" si="132"/>
        <v>0</v>
      </c>
      <c r="I1369" s="240"/>
    </row>
    <row r="1370" outlineLevel="2">
      <c r="A1370" s="422"/>
      <c r="B1370" s="472"/>
      <c r="C1370" s="275"/>
      <c r="D1370" s="285"/>
      <c r="E1370" s="487"/>
      <c r="F1370" s="275"/>
      <c r="G1370" s="239"/>
      <c r="H1370" s="239"/>
      <c r="I1370" s="240"/>
    </row>
    <row r="1371" outlineLevel="2">
      <c r="A1371" s="422"/>
      <c r="B1371" s="428"/>
      <c r="C1371" s="451"/>
      <c r="D1371" s="428"/>
      <c r="E1371" s="431"/>
      <c r="F1371" s="432"/>
      <c r="G1371" s="434"/>
      <c r="H1371" s="434"/>
      <c r="I1371" s="240"/>
    </row>
    <row r="1372" outlineLevel="1">
      <c r="A1372" s="422"/>
      <c r="B1372" s="472" t="s">
        <v>480</v>
      </c>
      <c r="C1372" s="451"/>
      <c r="D1372" s="435" t="s">
        <v>527</v>
      </c>
      <c r="E1372" s="431"/>
      <c r="F1372" s="432"/>
      <c r="G1372" s="436">
        <f>SUM(H1380:H1383)</f>
        <v>9343.6811</v>
      </c>
      <c r="H1372" s="434"/>
      <c r="I1372" s="240"/>
    </row>
    <row r="1373" outlineLevel="2">
      <c r="A1373" s="422"/>
      <c r="B1373" s="428"/>
      <c r="C1373" s="451"/>
      <c r="D1373" s="428"/>
      <c r="E1373" s="431"/>
      <c r="F1373" s="432"/>
      <c r="G1373" s="434"/>
      <c r="H1373" s="434"/>
      <c r="I1373" s="240"/>
    </row>
    <row r="1374" outlineLevel="2">
      <c r="A1374" s="422"/>
      <c r="B1374" s="472" t="s">
        <v>482</v>
      </c>
      <c r="C1374" s="267">
        <v>10.19</v>
      </c>
      <c r="D1374" s="273" t="s">
        <v>528</v>
      </c>
      <c r="E1374" s="431"/>
      <c r="F1374" s="432"/>
      <c r="G1374" s="434"/>
      <c r="H1374" s="434"/>
      <c r="I1374" s="240"/>
    </row>
    <row r="1375" outlineLevel="2">
      <c r="A1375" s="422"/>
      <c r="B1375" s="428"/>
      <c r="C1375" s="451"/>
      <c r="D1375" s="428"/>
      <c r="E1375" s="431"/>
      <c r="F1375" s="432"/>
      <c r="G1375" s="434"/>
      <c r="H1375" s="434"/>
      <c r="I1375" s="240"/>
    </row>
    <row r="1376" outlineLevel="2">
      <c r="A1376" s="422"/>
      <c r="B1376" s="472" t="s">
        <v>484</v>
      </c>
      <c r="C1376" s="267" t="s">
        <v>2401</v>
      </c>
      <c r="D1376" s="268" t="s">
        <v>529</v>
      </c>
      <c r="E1376" s="486" t="s">
        <v>161</v>
      </c>
      <c r="F1376" s="270">
        <v>3.6</v>
      </c>
      <c r="G1376" s="205"/>
      <c r="H1376" s="206"/>
      <c r="I1376" s="240"/>
    </row>
    <row r="1377" outlineLevel="2">
      <c r="A1377" s="422"/>
      <c r="B1377" s="472" t="s">
        <v>486</v>
      </c>
      <c r="C1377" s="267" t="s">
        <v>2403</v>
      </c>
      <c r="D1377" s="268" t="s">
        <v>530</v>
      </c>
      <c r="E1377" s="486" t="s">
        <v>161</v>
      </c>
      <c r="F1377" s="270">
        <v>22.07</v>
      </c>
      <c r="G1377" s="205"/>
      <c r="H1377" s="206"/>
      <c r="I1377" s="240"/>
    </row>
    <row r="1378" outlineLevel="2">
      <c r="A1378" s="422"/>
      <c r="B1378" s="472" t="s">
        <v>488</v>
      </c>
      <c r="C1378" s="267" t="s">
        <v>2405</v>
      </c>
      <c r="D1378" s="268" t="s">
        <v>531</v>
      </c>
      <c r="E1378" s="486" t="s">
        <v>161</v>
      </c>
      <c r="F1378" s="270">
        <v>0.85</v>
      </c>
      <c r="G1378" s="205"/>
      <c r="H1378" s="206"/>
      <c r="I1378" s="240"/>
    </row>
    <row r="1379" outlineLevel="2">
      <c r="A1379" s="422"/>
      <c r="B1379" s="472"/>
      <c r="C1379" s="275"/>
      <c r="D1379" s="285"/>
      <c r="E1379" s="487"/>
      <c r="F1379" s="275"/>
      <c r="G1379" s="239"/>
      <c r="H1379" s="239"/>
      <c r="I1379" s="240"/>
    </row>
    <row r="1380" outlineLevel="2">
      <c r="A1380" s="422" t="str">
        <f>'Master List'!A577</f>
        <v>W-LAN-001</v>
      </c>
      <c r="B1380" s="472"/>
      <c r="C1380" s="198"/>
      <c r="D1380" s="462" t="str">
        <f>VLOOKUP(A1380,'Master List'!$A$1:$C$1192,2,FALSE)</f>
        <v>Встановлення бетонного лотка шириною 350мм з металевою решіткою</v>
      </c>
      <c r="E1380" s="463" t="str">
        <f>VLOOKUP(A1380,'Master List'!$A$1:$C$1192,3,FALSE)</f>
        <v>м</v>
      </c>
      <c r="F1380" s="464">
        <f>F1376+F1377</f>
        <v>25.67</v>
      </c>
      <c r="G1380" s="463">
        <f>VLOOKUP(A1380,'Master List'!$A$4:$F4087,5,FALSE)</f>
        <v>357.63</v>
      </c>
      <c r="H1380" s="206">
        <f t="shared" ref="H1380:H1383" si="133">G1380*F1380</f>
        <v>9180.3621</v>
      </c>
      <c r="I1380" s="240"/>
    </row>
    <row r="1381" outlineLevel="2">
      <c r="A1381" s="422" t="str">
        <f>'Master List'!A578</f>
        <v>W-LAN-002</v>
      </c>
      <c r="B1381" s="472"/>
      <c r="C1381" s="198"/>
      <c r="D1381" s="462" t="str">
        <f>VLOOKUP(A1381,'Master List'!$A$1:$C$1192,2,FALSE)</f>
        <v>Встановлення бетонного лотка шириною 100мм з металевою решіткою</v>
      </c>
      <c r="E1381" s="463" t="str">
        <f>VLOOKUP(A1381,'Master List'!$A$1:$C$1192,3,FALSE)</f>
        <v>м</v>
      </c>
      <c r="F1381" s="464">
        <f>F1378</f>
        <v>0.85</v>
      </c>
      <c r="G1381" s="463">
        <f>VLOOKUP(A1381,'Master List'!$A$4:$F4088,5,FALSE)</f>
        <v>80.6</v>
      </c>
      <c r="H1381" s="206">
        <f t="shared" si="133"/>
        <v>68.51</v>
      </c>
      <c r="I1381" s="240"/>
    </row>
    <row r="1382" outlineLevel="2">
      <c r="A1382" s="422" t="str">
        <f>'Master List'!A110</f>
        <v>M-LAN-001</v>
      </c>
      <c r="B1382" s="472"/>
      <c r="C1382" s="198"/>
      <c r="D1382" s="462" t="str">
        <f>VLOOKUP(A1382,'Master List'!$A$1:$C$1192,2,FALSE)</f>
        <v>Лоток бетонний шириною 350мм з металевою оцинкованою решіткою</v>
      </c>
      <c r="E1382" s="463" t="str">
        <f>VLOOKUP(A1382,'Master List'!$A$1:$C$1192,3,FALSE)</f>
        <v>м</v>
      </c>
      <c r="F1382" s="464">
        <f t="shared" ref="F1382:F1383" si="134">F1380</f>
        <v>25.67</v>
      </c>
      <c r="G1382" s="463">
        <f>VLOOKUP(A1382,'Master List'!$A$4:$F4089,5,FALSE)</f>
        <v>0</v>
      </c>
      <c r="H1382" s="206">
        <f t="shared" si="133"/>
        <v>0</v>
      </c>
      <c r="I1382" s="240"/>
    </row>
    <row r="1383" outlineLevel="2">
      <c r="A1383" s="422" t="str">
        <f>'Master List'!A111</f>
        <v>M-LAN-002</v>
      </c>
      <c r="B1383" s="472"/>
      <c r="C1383" s="198"/>
      <c r="D1383" s="462" t="str">
        <f>VLOOKUP(A1383,'Master List'!$A$1:$C$1192,2,FALSE)</f>
        <v>Лоток бетонний шириною 100мм з металевою оцинкованою решіткою</v>
      </c>
      <c r="E1383" s="463" t="str">
        <f>VLOOKUP(A1383,'Master List'!$A$1:$C$1192,3,FALSE)</f>
        <v>м</v>
      </c>
      <c r="F1383" s="464">
        <f t="shared" si="134"/>
        <v>0.85</v>
      </c>
      <c r="G1383" s="463">
        <f>VLOOKUP(A1383,'Master List'!$A$4:$F4090,5,FALSE)</f>
        <v>111.54</v>
      </c>
      <c r="H1383" s="206">
        <f t="shared" si="133"/>
        <v>94.809</v>
      </c>
      <c r="I1383" s="240"/>
    </row>
    <row r="1384" outlineLevel="2">
      <c r="A1384" s="422"/>
      <c r="B1384" s="472"/>
      <c r="C1384" s="275"/>
      <c r="D1384" s="285"/>
      <c r="E1384" s="487"/>
      <c r="F1384" s="275"/>
      <c r="G1384" s="239"/>
      <c r="H1384" s="239"/>
      <c r="I1384" s="240"/>
    </row>
    <row r="1385" outlineLevel="2">
      <c r="A1385" s="422"/>
      <c r="B1385" s="428"/>
      <c r="C1385" s="451"/>
      <c r="D1385" s="428"/>
      <c r="E1385" s="431"/>
      <c r="F1385" s="432"/>
      <c r="G1385" s="434"/>
      <c r="H1385" s="434"/>
      <c r="I1385" s="240"/>
    </row>
    <row r="1386" outlineLevel="1">
      <c r="A1386" s="422"/>
      <c r="B1386" s="472" t="s">
        <v>532</v>
      </c>
      <c r="C1386" s="451"/>
      <c r="D1386" s="435" t="s">
        <v>533</v>
      </c>
      <c r="E1386" s="431"/>
      <c r="F1386" s="432"/>
      <c r="G1386" s="436">
        <f>SUM(H1390:H1391)</f>
        <v>103.0458</v>
      </c>
      <c r="H1386" s="434"/>
      <c r="I1386" s="240"/>
    </row>
    <row r="1387" outlineLevel="2">
      <c r="A1387" s="422"/>
      <c r="B1387" s="428"/>
      <c r="C1387" s="451"/>
      <c r="D1387" s="428"/>
      <c r="E1387" s="431"/>
      <c r="F1387" s="432"/>
      <c r="G1387" s="434"/>
      <c r="H1387" s="434"/>
      <c r="I1387" s="240"/>
    </row>
    <row r="1388" outlineLevel="2">
      <c r="A1388" s="422"/>
      <c r="B1388" s="472" t="s">
        <v>534</v>
      </c>
      <c r="C1388" s="267">
        <v>10.2</v>
      </c>
      <c r="D1388" s="268" t="s">
        <v>535</v>
      </c>
      <c r="E1388" s="486" t="s">
        <v>75</v>
      </c>
      <c r="F1388" s="270">
        <v>1.0</v>
      </c>
      <c r="G1388" s="205"/>
      <c r="H1388" s="206"/>
      <c r="I1388" s="219"/>
    </row>
    <row r="1389" outlineLevel="2">
      <c r="A1389" s="422"/>
      <c r="B1389" s="472"/>
      <c r="C1389" s="275"/>
      <c r="D1389" s="285"/>
      <c r="E1389" s="487"/>
      <c r="F1389" s="275"/>
      <c r="G1389" s="239"/>
      <c r="H1389" s="239"/>
      <c r="I1389" s="240"/>
    </row>
    <row r="1390" outlineLevel="2">
      <c r="A1390" s="422" t="str">
        <f>'Master List'!A529</f>
        <v>W-GKR-007</v>
      </c>
      <c r="B1390" s="472"/>
      <c r="C1390" s="198"/>
      <c r="D1390" s="462" t="str">
        <f>VLOOKUP(A1390,'Master List'!$A$1:$C$1192,2,FALSE)</f>
        <v>Монтаж перегородок з профілю типу facar</v>
      </c>
      <c r="E1390" s="463" t="str">
        <f>VLOOKUP(A1390,'Master List'!$A$1:$C$1192,3,FALSE)</f>
        <v>м2</v>
      </c>
      <c r="F1390" s="464">
        <v>0.6</v>
      </c>
      <c r="G1390" s="463">
        <f>VLOOKUP(A1390,'Master List'!$A$4:$F4099,5,FALSE)</f>
        <v>19.5</v>
      </c>
      <c r="H1390" s="206">
        <f t="shared" ref="H1390:H1391" si="135">G1390*F1390</f>
        <v>11.7</v>
      </c>
      <c r="I1390" s="240"/>
    </row>
    <row r="1391" outlineLevel="2">
      <c r="A1391" s="422" t="str">
        <f>'Master List'!A105</f>
        <v>M-FIN-091</v>
      </c>
      <c r="B1391" s="472"/>
      <c r="C1391" s="198"/>
      <c r="D1391" s="462" t="str">
        <f>VLOOKUP(A1391,'Master List'!$A$1:$C$1192,2,FALSE)</f>
        <v>Перегородка з профілю типу facar</v>
      </c>
      <c r="E1391" s="463" t="str">
        <f>VLOOKUP(A1391,'Master List'!$A$1:$C$1192,3,FALSE)</f>
        <v>м2</v>
      </c>
      <c r="F1391" s="464">
        <v>0.6</v>
      </c>
      <c r="G1391" s="463">
        <f>VLOOKUP(A1391,'Master List'!$A$4:$F4100,5,FALSE)</f>
        <v>152.243</v>
      </c>
      <c r="H1391" s="206">
        <f t="shared" si="135"/>
        <v>91.3458</v>
      </c>
      <c r="I1391" s="240"/>
    </row>
    <row r="1392" outlineLevel="2">
      <c r="A1392" s="422"/>
      <c r="B1392" s="472"/>
      <c r="C1392" s="288"/>
      <c r="D1392" s="285"/>
      <c r="E1392" s="487"/>
      <c r="F1392" s="275"/>
      <c r="G1392" s="239"/>
      <c r="H1392" s="239"/>
      <c r="I1392" s="240"/>
    </row>
    <row r="1393" outlineLevel="1">
      <c r="A1393" s="422"/>
      <c r="B1393" s="472"/>
      <c r="C1393" s="288"/>
      <c r="D1393" s="285"/>
      <c r="E1393" s="487"/>
      <c r="F1393" s="275"/>
      <c r="G1393" s="239"/>
      <c r="H1393" s="239"/>
      <c r="I1393" s="240"/>
    </row>
    <row r="1394">
      <c r="A1394" s="422"/>
      <c r="B1394" s="184"/>
      <c r="C1394" s="184">
        <v>11.0</v>
      </c>
      <c r="D1394" s="184" t="s">
        <v>245</v>
      </c>
      <c r="E1394" s="425"/>
      <c r="F1394" s="425"/>
      <c r="G1394" s="425"/>
      <c r="H1394" s="426">
        <f>SUM(H1398:H1551)</f>
        <v>60186.7565</v>
      </c>
      <c r="I1394" s="427">
        <f>H1394-'Orcamento RU'!C220</f>
        <v>-33673.0235</v>
      </c>
    </row>
    <row r="1395" outlineLevel="1">
      <c r="A1395" s="422"/>
      <c r="B1395" s="472"/>
      <c r="C1395" s="429"/>
      <c r="D1395" s="252"/>
      <c r="E1395" s="431"/>
      <c r="F1395" s="432"/>
      <c r="G1395" s="434"/>
      <c r="H1395" s="434"/>
      <c r="I1395" s="240"/>
    </row>
    <row r="1396" outlineLevel="1">
      <c r="A1396" s="422"/>
      <c r="B1396" s="472" t="s">
        <v>246</v>
      </c>
      <c r="C1396" s="429"/>
      <c r="D1396" s="435" t="s">
        <v>247</v>
      </c>
      <c r="E1396" s="431"/>
      <c r="F1396" s="432"/>
      <c r="G1396" s="436">
        <f>SUM(H1400:H1434)</f>
        <v>2117.271</v>
      </c>
      <c r="H1396" s="434"/>
      <c r="I1396" s="240"/>
    </row>
    <row r="1397" outlineLevel="2">
      <c r="A1397" s="422"/>
      <c r="B1397" s="21"/>
      <c r="C1397" s="429"/>
      <c r="D1397" s="21"/>
      <c r="E1397" s="457"/>
      <c r="F1397" s="115"/>
      <c r="G1397" s="116"/>
      <c r="H1397" s="116"/>
      <c r="I1397" s="240"/>
    </row>
    <row r="1398" outlineLevel="2">
      <c r="A1398" s="422"/>
      <c r="B1398" s="472" t="s">
        <v>248</v>
      </c>
      <c r="C1398" s="272">
        <v>11.1</v>
      </c>
      <c r="D1398" s="273" t="s">
        <v>249</v>
      </c>
      <c r="E1398" s="431"/>
      <c r="F1398" s="432"/>
      <c r="G1398" s="434"/>
      <c r="H1398" s="434"/>
      <c r="I1398" s="240"/>
    </row>
    <row r="1399" outlineLevel="2">
      <c r="A1399" s="422"/>
      <c r="B1399" s="428"/>
      <c r="C1399" s="429"/>
      <c r="D1399" s="428"/>
      <c r="E1399" s="431"/>
      <c r="F1399" s="432"/>
      <c r="G1399" s="434"/>
      <c r="H1399" s="434"/>
      <c r="I1399" s="240"/>
    </row>
    <row r="1400" outlineLevel="2">
      <c r="A1400" s="422"/>
      <c r="B1400" s="472" t="s">
        <v>251</v>
      </c>
      <c r="C1400" s="282" t="s">
        <v>2412</v>
      </c>
      <c r="D1400" s="268" t="s">
        <v>252</v>
      </c>
      <c r="E1400" s="486" t="s">
        <v>75</v>
      </c>
      <c r="F1400" s="270">
        <v>1.0</v>
      </c>
      <c r="G1400" s="205"/>
      <c r="H1400" s="206"/>
      <c r="I1400" s="240"/>
    </row>
    <row r="1401" outlineLevel="2">
      <c r="A1401" s="422"/>
      <c r="B1401" s="472" t="s">
        <v>253</v>
      </c>
      <c r="C1401" s="282" t="s">
        <v>2414</v>
      </c>
      <c r="D1401" s="268" t="s">
        <v>254</v>
      </c>
      <c r="E1401" s="486" t="s">
        <v>75</v>
      </c>
      <c r="F1401" s="270">
        <v>1.0</v>
      </c>
      <c r="G1401" s="205"/>
      <c r="H1401" s="206"/>
      <c r="I1401" s="240"/>
    </row>
    <row r="1402" outlineLevel="2">
      <c r="A1402" s="422"/>
      <c r="B1402" s="472" t="s">
        <v>255</v>
      </c>
      <c r="C1402" s="282" t="s">
        <v>2416</v>
      </c>
      <c r="D1402" s="268" t="s">
        <v>256</v>
      </c>
      <c r="E1402" s="486" t="s">
        <v>75</v>
      </c>
      <c r="F1402" s="270">
        <v>1.0</v>
      </c>
      <c r="G1402" s="205"/>
      <c r="H1402" s="206"/>
      <c r="I1402" s="240"/>
    </row>
    <row r="1403" outlineLevel="2">
      <c r="A1403" s="422"/>
      <c r="B1403" s="472" t="s">
        <v>257</v>
      </c>
      <c r="C1403" s="282" t="s">
        <v>2418</v>
      </c>
      <c r="D1403" s="268" t="s">
        <v>258</v>
      </c>
      <c r="E1403" s="486" t="s">
        <v>75</v>
      </c>
      <c r="F1403" s="270">
        <v>1.0</v>
      </c>
      <c r="G1403" s="205"/>
      <c r="H1403" s="206"/>
      <c r="I1403" s="240"/>
    </row>
    <row r="1404" outlineLevel="2">
      <c r="A1404" s="422"/>
      <c r="B1404" s="472"/>
      <c r="C1404" s="289"/>
      <c r="D1404" s="285"/>
      <c r="E1404" s="487"/>
      <c r="F1404" s="275"/>
      <c r="G1404" s="239"/>
      <c r="H1404" s="239"/>
      <c r="I1404" s="240"/>
    </row>
    <row r="1405" outlineLevel="2">
      <c r="A1405" s="422" t="str">
        <f>'Master List'!A638</f>
        <v>W-WIN-032</v>
      </c>
      <c r="B1405" s="472"/>
      <c r="C1405" s="198"/>
      <c r="D1405" s="462" t="str">
        <f>VLOOKUP(A1405,'Master List'!$A$1:$C$1192,2,FALSE)</f>
        <v>Монтаж дверей внутрішніх розміром 1.10x2.30м</v>
      </c>
      <c r="E1405" s="463" t="str">
        <f>VLOOKUP(A1405,'Master List'!$A$1:$C$1192,3,FALSE)</f>
        <v>шт</v>
      </c>
      <c r="F1405" s="464">
        <v>4.0</v>
      </c>
      <c r="G1405" s="463">
        <f>VLOOKUP(A1405,'Master List'!$A$4:$F4119,5,FALSE)</f>
        <v>197.6</v>
      </c>
      <c r="H1405" s="206">
        <f t="shared" ref="H1405:H1408" si="136">G1405*F1405</f>
        <v>790.4</v>
      </c>
      <c r="I1405" s="240"/>
    </row>
    <row r="1406" outlineLevel="2">
      <c r="A1406" s="422" t="str">
        <f>'Master List'!A156</f>
        <v>M-WIN-032</v>
      </c>
      <c r="B1406" s="472"/>
      <c r="C1406" s="198"/>
      <c r="D1406" s="462" t="str">
        <f>VLOOKUP(A1406,'Master List'!$A$1:$C$1192,2,FALSE)</f>
        <v>Двері внутрішні розміром 1.10x2.30м VI-01.2 - VI -01.5</v>
      </c>
      <c r="E1406" s="463" t="str">
        <f>VLOOKUP(A1406,'Master List'!$A$1:$C$1192,3,FALSE)</f>
        <v>шт</v>
      </c>
      <c r="F1406" s="464">
        <v>4.0</v>
      </c>
      <c r="G1406" s="463">
        <f>VLOOKUP(A1406,'Master List'!$A$4:$F4120,5,FALSE)</f>
        <v>0</v>
      </c>
      <c r="H1406" s="206">
        <f t="shared" si="136"/>
        <v>0</v>
      </c>
      <c r="I1406" s="240"/>
    </row>
    <row r="1407" outlineLevel="2">
      <c r="A1407" s="422" t="str">
        <f>'Master List'!A165</f>
        <v>M-WIN-041</v>
      </c>
      <c r="B1407" s="472"/>
      <c r="C1407" s="198"/>
      <c r="D1407" s="462" t="str">
        <f>VLOOKUP(A1407,'Master List'!$A$1:$C$1192,2,FALSE)</f>
        <v>Кріплення для вікон і дверей</v>
      </c>
      <c r="E1407" s="463" t="str">
        <f>VLOOKUP(A1407,'Master List'!$A$1:$C$1192,3,FALSE)</f>
        <v>шт</v>
      </c>
      <c r="F1407" s="464">
        <f>F1405*8</f>
        <v>32</v>
      </c>
      <c r="G1407" s="463">
        <f>VLOOKUP(A1407,'Master List'!$A$4:$F4121,5,FALSE)</f>
        <v>0</v>
      </c>
      <c r="H1407" s="206">
        <f t="shared" si="136"/>
        <v>0</v>
      </c>
      <c r="I1407" s="240"/>
    </row>
    <row r="1408" outlineLevel="2">
      <c r="A1408" s="422" t="str">
        <f>'Master List'!A166</f>
        <v>M-WIN-042</v>
      </c>
      <c r="B1408" s="472"/>
      <c r="C1408" s="198"/>
      <c r="D1408" s="462" t="str">
        <f>VLOOKUP(A1408,'Master List'!$A$1:$C$1192,2,FALSE)</f>
        <v>Піна монтажна 0,75л</v>
      </c>
      <c r="E1408" s="463" t="str">
        <f>VLOOKUP(A1408,'Master List'!$A$1:$C$1192,3,FALSE)</f>
        <v>шт</v>
      </c>
      <c r="F1408" s="464">
        <f>0.3*4</f>
        <v>1.2</v>
      </c>
      <c r="G1408" s="463">
        <f>VLOOKUP(A1408,'Master List'!$A$4:$F4122,5,FALSE)</f>
        <v>5.057</v>
      </c>
      <c r="H1408" s="206">
        <f t="shared" si="136"/>
        <v>6.0684</v>
      </c>
      <c r="I1408" s="240"/>
    </row>
    <row r="1409" outlineLevel="2">
      <c r="A1409" s="422"/>
      <c r="B1409" s="428"/>
      <c r="C1409" s="429"/>
      <c r="D1409" s="428"/>
      <c r="E1409" s="431"/>
      <c r="F1409" s="432"/>
      <c r="G1409" s="434"/>
      <c r="H1409" s="434"/>
      <c r="I1409" s="240"/>
    </row>
    <row r="1410" outlineLevel="2">
      <c r="A1410" s="422"/>
      <c r="B1410" s="472" t="s">
        <v>259</v>
      </c>
      <c r="C1410" s="272">
        <v>11.2</v>
      </c>
      <c r="D1410" s="273" t="s">
        <v>260</v>
      </c>
      <c r="E1410" s="431"/>
      <c r="F1410" s="432"/>
      <c r="G1410" s="434"/>
      <c r="H1410" s="434"/>
      <c r="I1410" s="240"/>
    </row>
    <row r="1411" outlineLevel="2">
      <c r="A1411" s="422"/>
      <c r="B1411" s="428"/>
      <c r="C1411" s="429"/>
      <c r="D1411" s="428"/>
      <c r="E1411" s="431"/>
      <c r="F1411" s="432"/>
      <c r="G1411" s="434"/>
      <c r="H1411" s="434"/>
      <c r="I1411" s="240"/>
    </row>
    <row r="1412" outlineLevel="2">
      <c r="A1412" s="422"/>
      <c r="B1412" s="472" t="s">
        <v>261</v>
      </c>
      <c r="C1412" s="282" t="s">
        <v>2421</v>
      </c>
      <c r="D1412" s="268" t="s">
        <v>262</v>
      </c>
      <c r="E1412" s="486" t="s">
        <v>75</v>
      </c>
      <c r="F1412" s="270">
        <v>1.0</v>
      </c>
      <c r="G1412" s="205"/>
      <c r="H1412" s="206"/>
      <c r="I1412" s="240"/>
    </row>
    <row r="1413" outlineLevel="2">
      <c r="A1413" s="422"/>
      <c r="B1413" s="472" t="s">
        <v>263</v>
      </c>
      <c r="C1413" s="282" t="s">
        <v>2423</v>
      </c>
      <c r="D1413" s="268" t="s">
        <v>264</v>
      </c>
      <c r="E1413" s="486" t="s">
        <v>75</v>
      </c>
      <c r="F1413" s="270">
        <v>1.0</v>
      </c>
      <c r="G1413" s="205"/>
      <c r="H1413" s="206"/>
      <c r="I1413" s="240"/>
    </row>
    <row r="1414" outlineLevel="2">
      <c r="A1414" s="422"/>
      <c r="B1414" s="472" t="s">
        <v>265</v>
      </c>
      <c r="C1414" s="282" t="s">
        <v>2425</v>
      </c>
      <c r="D1414" s="268" t="s">
        <v>266</v>
      </c>
      <c r="E1414" s="486" t="s">
        <v>75</v>
      </c>
      <c r="F1414" s="270">
        <v>1.0</v>
      </c>
      <c r="G1414" s="205"/>
      <c r="H1414" s="206"/>
      <c r="I1414" s="240"/>
    </row>
    <row r="1415" outlineLevel="2">
      <c r="A1415" s="422"/>
      <c r="B1415" s="472" t="s">
        <v>267</v>
      </c>
      <c r="C1415" s="282" t="s">
        <v>2427</v>
      </c>
      <c r="D1415" s="268" t="s">
        <v>268</v>
      </c>
      <c r="E1415" s="486" t="s">
        <v>75</v>
      </c>
      <c r="F1415" s="270">
        <v>1.0</v>
      </c>
      <c r="G1415" s="205"/>
      <c r="H1415" s="206"/>
      <c r="I1415" s="240"/>
    </row>
    <row r="1416" outlineLevel="2">
      <c r="A1416" s="422"/>
      <c r="B1416" s="472" t="s">
        <v>269</v>
      </c>
      <c r="C1416" s="282" t="s">
        <v>2429</v>
      </c>
      <c r="D1416" s="268" t="s">
        <v>270</v>
      </c>
      <c r="E1416" s="486" t="s">
        <v>75</v>
      </c>
      <c r="F1416" s="270">
        <v>1.0</v>
      </c>
      <c r="G1416" s="205"/>
      <c r="H1416" s="206"/>
      <c r="I1416" s="240"/>
    </row>
    <row r="1417" outlineLevel="2">
      <c r="A1417" s="422"/>
      <c r="B1417" s="472"/>
      <c r="C1417" s="289"/>
      <c r="D1417" s="285"/>
      <c r="E1417" s="487"/>
      <c r="F1417" s="275"/>
      <c r="G1417" s="239"/>
      <c r="H1417" s="239"/>
      <c r="I1417" s="240"/>
    </row>
    <row r="1418" outlineLevel="2">
      <c r="A1418" s="422" t="str">
        <f>'Master List'!A639</f>
        <v>W-WIN-033</v>
      </c>
      <c r="B1418" s="472"/>
      <c r="C1418" s="198"/>
      <c r="D1418" s="462" t="str">
        <f>VLOOKUP(A1418,'Master List'!$A$1:$C$1192,2,FALSE)</f>
        <v>Монтаж дверей внутрішніх розміром 1.14x2.50м</v>
      </c>
      <c r="E1418" s="463" t="str">
        <f>VLOOKUP(A1418,'Master List'!$A$1:$C$1192,3,FALSE)</f>
        <v>шт</v>
      </c>
      <c r="F1418" s="464">
        <v>2.0</v>
      </c>
      <c r="G1418" s="463">
        <f>VLOOKUP(A1418,'Master List'!$A$4:$F4135,5,FALSE)</f>
        <v>214.5</v>
      </c>
      <c r="H1418" s="206">
        <f t="shared" ref="H1418:H1425" si="137">G1418*F1418</f>
        <v>429</v>
      </c>
      <c r="I1418" s="240"/>
    </row>
    <row r="1419" outlineLevel="2">
      <c r="A1419" s="422" t="str">
        <f>'Master List'!A640</f>
        <v>W-WIN-034</v>
      </c>
      <c r="B1419" s="472"/>
      <c r="C1419" s="198"/>
      <c r="D1419" s="462" t="str">
        <f>VLOOKUP(A1419,'Master List'!$A$1:$C$1192,2,FALSE)</f>
        <v>Монтаж дверей внутрішніх розміром 1.19x2.50м </v>
      </c>
      <c r="E1419" s="463" t="str">
        <f>VLOOKUP(A1419,'Master List'!$A$1:$C$1192,3,FALSE)</f>
        <v>шт</v>
      </c>
      <c r="F1419" s="464">
        <v>2.0</v>
      </c>
      <c r="G1419" s="463">
        <f>VLOOKUP(A1419,'Master List'!$A$4:$F4136,5,FALSE)</f>
        <v>232.7</v>
      </c>
      <c r="H1419" s="206">
        <f t="shared" si="137"/>
        <v>465.4</v>
      </c>
      <c r="I1419" s="240"/>
    </row>
    <row r="1420" outlineLevel="2">
      <c r="A1420" s="422" t="str">
        <f>'Master List'!A641</f>
        <v>W-WIN-035</v>
      </c>
      <c r="B1420" s="472"/>
      <c r="C1420" s="198"/>
      <c r="D1420" s="462" t="str">
        <f>VLOOKUP(A1420,'Master List'!$A$1:$C$1192,2,FALSE)</f>
        <v>Монтаж дверей внутрішніх розміром 1.22x2.50м </v>
      </c>
      <c r="E1420" s="463" t="str">
        <f>VLOOKUP(A1420,'Master List'!$A$1:$C$1192,3,FALSE)</f>
        <v>шт</v>
      </c>
      <c r="F1420" s="464">
        <v>1.0</v>
      </c>
      <c r="G1420" s="463">
        <f>VLOOKUP(A1420,'Master List'!$A$4:$F4137,5,FALSE)</f>
        <v>226.2</v>
      </c>
      <c r="H1420" s="206">
        <f t="shared" si="137"/>
        <v>226.2</v>
      </c>
      <c r="I1420" s="240"/>
    </row>
    <row r="1421" outlineLevel="2">
      <c r="A1421" s="422" t="str">
        <f>'Master List'!A157</f>
        <v>M-WIN-033</v>
      </c>
      <c r="B1421" s="472"/>
      <c r="C1421" s="198"/>
      <c r="D1421" s="462" t="str">
        <f>VLOOKUP(A1421,'Master List'!$A$1:$C$1192,2,FALSE)</f>
        <v>Двері внутрішні розміром 1.14x2.50м VI 01.1, VI 01.4</v>
      </c>
      <c r="E1421" s="463" t="str">
        <f>VLOOKUP(A1421,'Master List'!$A$1:$C$1192,3,FALSE)</f>
        <v>шт</v>
      </c>
      <c r="F1421" s="464">
        <f t="shared" ref="F1421:F1423" si="138">F1418</f>
        <v>2</v>
      </c>
      <c r="G1421" s="463">
        <f>VLOOKUP(A1421,'Master List'!$A$4:$F4138,5,FALSE)</f>
        <v>0</v>
      </c>
      <c r="H1421" s="206">
        <f t="shared" si="137"/>
        <v>0</v>
      </c>
      <c r="I1421" s="240"/>
    </row>
    <row r="1422" outlineLevel="2">
      <c r="A1422" s="422" t="str">
        <f>'Master List'!A158</f>
        <v>M-WIN-034</v>
      </c>
      <c r="B1422" s="472"/>
      <c r="C1422" s="198"/>
      <c r="D1422" s="462" t="str">
        <f>VLOOKUP(A1422,'Master List'!$A$1:$C$1192,2,FALSE)</f>
        <v>Двері внутрішні розміром 1.19x2.50м VI 01.2, VI 01.3</v>
      </c>
      <c r="E1422" s="463" t="str">
        <f>VLOOKUP(A1422,'Master List'!$A$1:$C$1192,3,FALSE)</f>
        <v>шт</v>
      </c>
      <c r="F1422" s="464">
        <f t="shared" si="138"/>
        <v>2</v>
      </c>
      <c r="G1422" s="463">
        <f>VLOOKUP(A1422,'Master List'!$A$4:$F4139,5,FALSE)</f>
        <v>0</v>
      </c>
      <c r="H1422" s="206">
        <f t="shared" si="137"/>
        <v>0</v>
      </c>
      <c r="I1422" s="240"/>
    </row>
    <row r="1423" outlineLevel="2">
      <c r="A1423" s="422" t="str">
        <f>'Master List'!A159</f>
        <v>M-WIN-035</v>
      </c>
      <c r="B1423" s="472"/>
      <c r="C1423" s="198"/>
      <c r="D1423" s="462" t="str">
        <f>VLOOKUP(A1423,'Master List'!$A$1:$C$1192,2,FALSE)</f>
        <v>Двері внутрішні розміром 1.22x2.50м VI 01.5</v>
      </c>
      <c r="E1423" s="463" t="str">
        <f>VLOOKUP(A1423,'Master List'!$A$1:$C$1192,3,FALSE)</f>
        <v>шт</v>
      </c>
      <c r="F1423" s="464">
        <f t="shared" si="138"/>
        <v>1</v>
      </c>
      <c r="G1423" s="463">
        <f>VLOOKUP(A1423,'Master List'!$A$4:$F4140,5,FALSE)</f>
        <v>0</v>
      </c>
      <c r="H1423" s="206">
        <f t="shared" si="137"/>
        <v>0</v>
      </c>
      <c r="I1423" s="240"/>
    </row>
    <row r="1424" outlineLevel="2">
      <c r="A1424" s="422" t="str">
        <f>'Master List'!A165</f>
        <v>M-WIN-041</v>
      </c>
      <c r="B1424" s="472"/>
      <c r="C1424" s="198"/>
      <c r="D1424" s="462" t="str">
        <f>VLOOKUP(A1424,'Master List'!$A$1:$C$1192,2,FALSE)</f>
        <v>Кріплення для вікон і дверей</v>
      </c>
      <c r="E1424" s="463" t="str">
        <f>VLOOKUP(A1424,'Master List'!$A$1:$C$1192,3,FALSE)</f>
        <v>шт</v>
      </c>
      <c r="F1424" s="464">
        <f>5*8</f>
        <v>40</v>
      </c>
      <c r="G1424" s="463">
        <f>VLOOKUP(A1424,'Master List'!$A$4:$F4140,5,FALSE)</f>
        <v>0</v>
      </c>
      <c r="H1424" s="206">
        <f t="shared" si="137"/>
        <v>0</v>
      </c>
      <c r="I1424" s="240"/>
    </row>
    <row r="1425" outlineLevel="2">
      <c r="A1425" s="422" t="str">
        <f>'Master List'!A166</f>
        <v>M-WIN-042</v>
      </c>
      <c r="B1425" s="472"/>
      <c r="C1425" s="198"/>
      <c r="D1425" s="462" t="str">
        <f>VLOOKUP(A1425,'Master List'!$A$1:$C$1192,2,FALSE)</f>
        <v>Піна монтажна 0,75л</v>
      </c>
      <c r="E1425" s="463" t="str">
        <f>VLOOKUP(A1425,'Master List'!$A$1:$C$1192,3,FALSE)</f>
        <v>шт</v>
      </c>
      <c r="F1425" s="464">
        <f>0.3*5</f>
        <v>1.5</v>
      </c>
      <c r="G1425" s="463">
        <f>VLOOKUP(A1425,'Master List'!$A$4:$F4141,5,FALSE)</f>
        <v>5.057</v>
      </c>
      <c r="H1425" s="206">
        <f t="shared" si="137"/>
        <v>7.5855</v>
      </c>
      <c r="I1425" s="240"/>
    </row>
    <row r="1426" outlineLevel="2">
      <c r="A1426" s="422"/>
      <c r="B1426" s="428"/>
      <c r="C1426" s="429"/>
      <c r="D1426" s="428"/>
      <c r="E1426" s="431"/>
      <c r="F1426" s="432"/>
      <c r="G1426" s="434"/>
      <c r="H1426" s="434"/>
      <c r="I1426" s="240"/>
    </row>
    <row r="1427" outlineLevel="2">
      <c r="A1427" s="422"/>
      <c r="B1427" s="472" t="s">
        <v>271</v>
      </c>
      <c r="C1427" s="272">
        <v>11.3</v>
      </c>
      <c r="D1427" s="273" t="s">
        <v>272</v>
      </c>
      <c r="E1427" s="431"/>
      <c r="F1427" s="432"/>
      <c r="G1427" s="434"/>
      <c r="H1427" s="434"/>
      <c r="I1427" s="240"/>
    </row>
    <row r="1428" outlineLevel="2">
      <c r="A1428" s="422"/>
      <c r="B1428" s="428"/>
      <c r="C1428" s="429"/>
      <c r="D1428" s="428"/>
      <c r="E1428" s="431"/>
      <c r="F1428" s="432"/>
      <c r="G1428" s="434"/>
      <c r="H1428" s="434"/>
      <c r="I1428" s="240"/>
    </row>
    <row r="1429" outlineLevel="2">
      <c r="A1429" s="422"/>
      <c r="B1429" s="472" t="s">
        <v>273</v>
      </c>
      <c r="C1429" s="282" t="s">
        <v>2432</v>
      </c>
      <c r="D1429" s="268" t="s">
        <v>274</v>
      </c>
      <c r="E1429" s="486" t="s">
        <v>75</v>
      </c>
      <c r="F1429" s="270">
        <v>1.0</v>
      </c>
      <c r="G1429" s="205"/>
      <c r="H1429" s="206"/>
      <c r="I1429" s="240"/>
    </row>
    <row r="1430" outlineLevel="2">
      <c r="A1430" s="422"/>
      <c r="B1430" s="472"/>
      <c r="C1430" s="289"/>
      <c r="D1430" s="285"/>
      <c r="E1430" s="487"/>
      <c r="F1430" s="275"/>
      <c r="G1430" s="239"/>
      <c r="H1430" s="239"/>
      <c r="I1430" s="240"/>
    </row>
    <row r="1431" outlineLevel="2">
      <c r="A1431" s="422" t="str">
        <f>'Master List'!A642</f>
        <v>W-WIN-036</v>
      </c>
      <c r="B1431" s="472"/>
      <c r="C1431" s="198"/>
      <c r="D1431" s="462" t="str">
        <f>VLOOKUP(A1431,'Master List'!$A$1:$C$1192,2,FALSE)</f>
        <v>Монтаж дверей внутрішніх розміром 1.00x2.49м</v>
      </c>
      <c r="E1431" s="463" t="str">
        <f>VLOOKUP(A1431,'Master List'!$A$1:$C$1192,3,FALSE)</f>
        <v>шт</v>
      </c>
      <c r="F1431" s="464">
        <v>1.0</v>
      </c>
      <c r="G1431" s="463">
        <f>VLOOKUP(A1431,'Master List'!$A$4:$F4147,5,FALSE)</f>
        <v>191.1</v>
      </c>
      <c r="H1431" s="206">
        <f t="shared" ref="H1431:H1434" si="139">G1431*F1431</f>
        <v>191.1</v>
      </c>
      <c r="I1431" s="240"/>
    </row>
    <row r="1432" outlineLevel="2">
      <c r="A1432" s="422" t="str">
        <f>'Master List'!A160</f>
        <v>M-WIN-036</v>
      </c>
      <c r="B1432" s="472"/>
      <c r="C1432" s="198"/>
      <c r="D1432" s="462" t="str">
        <f>VLOOKUP(A1432,'Master List'!$A$1:$C$1192,2,FALSE)</f>
        <v>Двері внутрішні розміром 1.00x2.49м VI 00.3</v>
      </c>
      <c r="E1432" s="463" t="str">
        <f>VLOOKUP(A1432,'Master List'!$A$1:$C$1192,3,FALSE)</f>
        <v>шт</v>
      </c>
      <c r="F1432" s="464">
        <v>1.0</v>
      </c>
      <c r="G1432" s="463">
        <f>VLOOKUP(A1432,'Master List'!$A$4:$F4148,5,FALSE)</f>
        <v>0</v>
      </c>
      <c r="H1432" s="206">
        <f t="shared" si="139"/>
        <v>0</v>
      </c>
      <c r="I1432" s="240"/>
    </row>
    <row r="1433" outlineLevel="2">
      <c r="A1433" s="422" t="str">
        <f>'Master List'!A165</f>
        <v>M-WIN-041</v>
      </c>
      <c r="B1433" s="472"/>
      <c r="C1433" s="198"/>
      <c r="D1433" s="462" t="str">
        <f>VLOOKUP(A1433,'Master List'!$A$1:$C$1192,2,FALSE)</f>
        <v>Кріплення для вікон і дверей</v>
      </c>
      <c r="E1433" s="463" t="str">
        <f>VLOOKUP(A1433,'Master List'!$A$1:$C$1192,3,FALSE)</f>
        <v>шт</v>
      </c>
      <c r="F1433" s="464">
        <v>8.0</v>
      </c>
      <c r="G1433" s="463">
        <f>VLOOKUP(A1433,'Master List'!$A$4:$F4149,5,FALSE)</f>
        <v>0</v>
      </c>
      <c r="H1433" s="206">
        <f t="shared" si="139"/>
        <v>0</v>
      </c>
      <c r="I1433" s="240"/>
    </row>
    <row r="1434" outlineLevel="2">
      <c r="A1434" s="422" t="str">
        <f>'Master List'!A166</f>
        <v>M-WIN-042</v>
      </c>
      <c r="B1434" s="472"/>
      <c r="C1434" s="198"/>
      <c r="D1434" s="462" t="str">
        <f>VLOOKUP(A1434,'Master List'!$A$1:$C$1192,2,FALSE)</f>
        <v>Піна монтажна 0,75л</v>
      </c>
      <c r="E1434" s="463" t="str">
        <f>VLOOKUP(A1434,'Master List'!$A$1:$C$1192,3,FALSE)</f>
        <v>шт</v>
      </c>
      <c r="F1434" s="464">
        <v>0.3</v>
      </c>
      <c r="G1434" s="463">
        <f>VLOOKUP(A1434,'Master List'!$A$4:$F4150,5,FALSE)</f>
        <v>5.057</v>
      </c>
      <c r="H1434" s="206">
        <f t="shared" si="139"/>
        <v>1.5171</v>
      </c>
      <c r="I1434" s="240"/>
    </row>
    <row r="1435" outlineLevel="2">
      <c r="A1435" s="422"/>
      <c r="B1435" s="428"/>
      <c r="C1435" s="429"/>
      <c r="D1435" s="428"/>
      <c r="E1435" s="431"/>
      <c r="F1435" s="432"/>
      <c r="G1435" s="434"/>
      <c r="H1435" s="434"/>
      <c r="I1435" s="240"/>
    </row>
    <row r="1436" outlineLevel="1">
      <c r="A1436" s="422"/>
      <c r="B1436" s="472" t="s">
        <v>275</v>
      </c>
      <c r="C1436" s="429"/>
      <c r="D1436" s="435" t="s">
        <v>276</v>
      </c>
      <c r="E1436" s="431"/>
      <c r="F1436" s="432"/>
      <c r="G1436" s="436">
        <f>SUM(H1440:H1475)</f>
        <v>1024.1855</v>
      </c>
      <c r="H1436" s="434"/>
      <c r="I1436" s="240"/>
    </row>
    <row r="1437" outlineLevel="2">
      <c r="A1437" s="422"/>
      <c r="B1437" s="428"/>
      <c r="C1437" s="429"/>
      <c r="D1437" s="428"/>
      <c r="E1437" s="431"/>
      <c r="F1437" s="432"/>
      <c r="G1437" s="434"/>
      <c r="H1437" s="434"/>
      <c r="I1437" s="240"/>
    </row>
    <row r="1438" outlineLevel="2">
      <c r="A1438" s="422"/>
      <c r="B1438" s="472" t="s">
        <v>277</v>
      </c>
      <c r="C1438" s="272">
        <v>11.4</v>
      </c>
      <c r="D1438" s="273" t="s">
        <v>278</v>
      </c>
      <c r="E1438" s="431"/>
      <c r="F1438" s="432"/>
      <c r="G1438" s="434"/>
      <c r="H1438" s="434"/>
      <c r="I1438" s="240"/>
    </row>
    <row r="1439" outlineLevel="2">
      <c r="A1439" s="422"/>
      <c r="B1439" s="428"/>
      <c r="C1439" s="429"/>
      <c r="D1439" s="428"/>
      <c r="E1439" s="431"/>
      <c r="F1439" s="432"/>
      <c r="G1439" s="434"/>
      <c r="H1439" s="434"/>
      <c r="I1439" s="240"/>
    </row>
    <row r="1440" outlineLevel="2">
      <c r="A1440" s="422"/>
      <c r="B1440" s="472" t="s">
        <v>279</v>
      </c>
      <c r="C1440" s="282" t="s">
        <v>2436</v>
      </c>
      <c r="D1440" s="268" t="s">
        <v>280</v>
      </c>
      <c r="E1440" s="486" t="s">
        <v>75</v>
      </c>
      <c r="F1440" s="270">
        <v>1.0</v>
      </c>
      <c r="G1440" s="205"/>
      <c r="H1440" s="206"/>
      <c r="I1440" s="240"/>
    </row>
    <row r="1441" outlineLevel="2">
      <c r="A1441" s="422"/>
      <c r="B1441" s="472"/>
      <c r="C1441" s="289"/>
      <c r="D1441" s="285"/>
      <c r="E1441" s="487"/>
      <c r="F1441" s="275"/>
      <c r="G1441" s="239"/>
      <c r="H1441" s="239"/>
      <c r="I1441" s="240"/>
    </row>
    <row r="1442" outlineLevel="2">
      <c r="A1442" s="422" t="str">
        <f>'Master List'!A643</f>
        <v>W-WIN-037</v>
      </c>
      <c r="B1442" s="472"/>
      <c r="C1442" s="198"/>
      <c r="D1442" s="462" t="str">
        <f>VLOOKUP(A1442,'Master List'!$A$1:$C$1192,2,FALSE)</f>
        <v>Монтаж дверей внутрішніх розміром 1.08x2.30м</v>
      </c>
      <c r="E1442" s="463" t="str">
        <f>VLOOKUP(A1442,'Master List'!$A$1:$C$1192,3,FALSE)</f>
        <v>шт</v>
      </c>
      <c r="F1442" s="464">
        <v>1.0</v>
      </c>
      <c r="G1442" s="463">
        <f>VLOOKUP(A1442,'Master List'!$A$4:$F4158,5,FALSE)</f>
        <v>195</v>
      </c>
      <c r="H1442" s="206">
        <f t="shared" ref="H1442:H1445" si="140">G1442*F1442</f>
        <v>195</v>
      </c>
      <c r="I1442" s="240"/>
    </row>
    <row r="1443" outlineLevel="2">
      <c r="A1443" s="422" t="str">
        <f>'Master List'!A161</f>
        <v>M-WIN-037</v>
      </c>
      <c r="B1443" s="472"/>
      <c r="C1443" s="198"/>
      <c r="D1443" s="462" t="str">
        <f>VLOOKUP(A1443,'Master List'!$A$1:$C$1192,2,FALSE)</f>
        <v>Двері внутрішні розміром 1.08x2.30м VI -01.1</v>
      </c>
      <c r="E1443" s="463" t="str">
        <f>VLOOKUP(A1443,'Master List'!$A$1:$C$1192,3,FALSE)</f>
        <v>шт</v>
      </c>
      <c r="F1443" s="464">
        <v>1.0</v>
      </c>
      <c r="G1443" s="463">
        <f>VLOOKUP(A1443,'Master List'!$A$4:$F4159,5,FALSE)</f>
        <v>0</v>
      </c>
      <c r="H1443" s="206">
        <f t="shared" si="140"/>
        <v>0</v>
      </c>
      <c r="I1443" s="240"/>
    </row>
    <row r="1444" outlineLevel="2">
      <c r="A1444" s="422" t="str">
        <f>'Master List'!A165</f>
        <v>M-WIN-041</v>
      </c>
      <c r="B1444" s="472"/>
      <c r="C1444" s="198"/>
      <c r="D1444" s="462" t="str">
        <f>VLOOKUP(A1444,'Master List'!$A$1:$C$1192,2,FALSE)</f>
        <v>Кріплення для вікон і дверей</v>
      </c>
      <c r="E1444" s="463" t="str">
        <f>VLOOKUP(A1444,'Master List'!$A$1:$C$1192,3,FALSE)</f>
        <v>шт</v>
      </c>
      <c r="F1444" s="464">
        <v>8.0</v>
      </c>
      <c r="G1444" s="463">
        <f>VLOOKUP(A1444,'Master List'!$A$4:$F4160,5,FALSE)</f>
        <v>0</v>
      </c>
      <c r="H1444" s="206">
        <f t="shared" si="140"/>
        <v>0</v>
      </c>
      <c r="I1444" s="240"/>
    </row>
    <row r="1445" outlineLevel="2">
      <c r="A1445" s="422" t="str">
        <f>'Master List'!A166</f>
        <v>M-WIN-042</v>
      </c>
      <c r="B1445" s="472"/>
      <c r="C1445" s="198"/>
      <c r="D1445" s="462" t="str">
        <f>VLOOKUP(A1445,'Master List'!$A$1:$C$1192,2,FALSE)</f>
        <v>Піна монтажна 0,75л</v>
      </c>
      <c r="E1445" s="463" t="str">
        <f>VLOOKUP(A1445,'Master List'!$A$1:$C$1192,3,FALSE)</f>
        <v>шт</v>
      </c>
      <c r="F1445" s="464">
        <v>0.3</v>
      </c>
      <c r="G1445" s="463">
        <f>VLOOKUP(A1445,'Master List'!$A$4:$F4161,5,FALSE)</f>
        <v>5.057</v>
      </c>
      <c r="H1445" s="206">
        <f t="shared" si="140"/>
        <v>1.5171</v>
      </c>
      <c r="I1445" s="240"/>
    </row>
    <row r="1446" outlineLevel="2">
      <c r="A1446" s="422"/>
      <c r="B1446" s="428"/>
      <c r="C1446" s="429"/>
      <c r="D1446" s="428"/>
      <c r="E1446" s="431"/>
      <c r="F1446" s="432"/>
      <c r="G1446" s="434"/>
      <c r="H1446" s="434"/>
      <c r="I1446" s="240"/>
    </row>
    <row r="1447" outlineLevel="2">
      <c r="A1447" s="422"/>
      <c r="B1447" s="472" t="s">
        <v>281</v>
      </c>
      <c r="C1447" s="272">
        <v>11.5</v>
      </c>
      <c r="D1447" s="273" t="s">
        <v>282</v>
      </c>
      <c r="E1447" s="431"/>
      <c r="F1447" s="432"/>
      <c r="G1447" s="434"/>
      <c r="H1447" s="434"/>
      <c r="I1447" s="240"/>
    </row>
    <row r="1448" outlineLevel="2">
      <c r="A1448" s="422"/>
      <c r="B1448" s="428"/>
      <c r="C1448" s="429"/>
      <c r="D1448" s="428"/>
      <c r="E1448" s="431"/>
      <c r="F1448" s="432"/>
      <c r="G1448" s="434"/>
      <c r="H1448" s="434"/>
      <c r="I1448" s="240"/>
    </row>
    <row r="1449" outlineLevel="2">
      <c r="A1449" s="422"/>
      <c r="B1449" s="472" t="s">
        <v>283</v>
      </c>
      <c r="C1449" s="282" t="s">
        <v>2439</v>
      </c>
      <c r="D1449" s="268" t="s">
        <v>284</v>
      </c>
      <c r="E1449" s="486" t="s">
        <v>75</v>
      </c>
      <c r="F1449" s="270">
        <v>1.0</v>
      </c>
      <c r="G1449" s="205"/>
      <c r="H1449" s="206"/>
      <c r="I1449" s="240"/>
    </row>
    <row r="1450" outlineLevel="2">
      <c r="A1450" s="422"/>
      <c r="B1450" s="472"/>
      <c r="C1450" s="289"/>
      <c r="D1450" s="285"/>
      <c r="E1450" s="487"/>
      <c r="F1450" s="275"/>
      <c r="G1450" s="239"/>
      <c r="H1450" s="239"/>
      <c r="I1450" s="240"/>
    </row>
    <row r="1451" outlineLevel="2">
      <c r="A1451" s="422" t="str">
        <f>'Master List'!A644</f>
        <v>W-WIN-038</v>
      </c>
      <c r="B1451" s="472"/>
      <c r="C1451" s="198"/>
      <c r="D1451" s="462" t="str">
        <f>VLOOKUP(A1451,'Master List'!$A$1:$C$1192,2,FALSE)</f>
        <v>Монтаж дверей внутрішніх розміром 1.22x2.49м </v>
      </c>
      <c r="E1451" s="463" t="str">
        <f>VLOOKUP(A1451,'Master List'!$A$1:$C$1192,3,FALSE)</f>
        <v>шт</v>
      </c>
      <c r="F1451" s="464">
        <v>1.0</v>
      </c>
      <c r="G1451" s="463">
        <f>VLOOKUP(A1451,'Master List'!$A$4:$F4167,5,FALSE)</f>
        <v>224.9</v>
      </c>
      <c r="H1451" s="206">
        <f t="shared" ref="H1451:H1454" si="141">G1451*F1451</f>
        <v>224.9</v>
      </c>
      <c r="I1451" s="240"/>
    </row>
    <row r="1452" outlineLevel="2">
      <c r="A1452" s="422" t="str">
        <f>'Master List'!A162</f>
        <v>M-WIN-038</v>
      </c>
      <c r="B1452" s="472"/>
      <c r="C1452" s="198"/>
      <c r="D1452" s="462" t="str">
        <f>VLOOKUP(A1452,'Master List'!$A$1:$C$1192,2,FALSE)</f>
        <v>Двері внутрішні розміром 1.22x2.49м VI 0.1, VI 0.2</v>
      </c>
      <c r="E1452" s="463" t="str">
        <f>VLOOKUP(A1452,'Master List'!$A$1:$C$1192,3,FALSE)</f>
        <v>шт</v>
      </c>
      <c r="F1452" s="464">
        <v>1.0</v>
      </c>
      <c r="G1452" s="463">
        <f>VLOOKUP(A1452,'Master List'!$A$4:$F4168,5,FALSE)</f>
        <v>0</v>
      </c>
      <c r="H1452" s="206">
        <f t="shared" si="141"/>
        <v>0</v>
      </c>
      <c r="I1452" s="240"/>
    </row>
    <row r="1453" outlineLevel="2">
      <c r="A1453" s="422" t="str">
        <f>'Master List'!A165</f>
        <v>M-WIN-041</v>
      </c>
      <c r="B1453" s="472"/>
      <c r="C1453" s="198"/>
      <c r="D1453" s="462" t="str">
        <f>VLOOKUP(A1453,'Master List'!$A$1:$C$1192,2,FALSE)</f>
        <v>Кріплення для вікон і дверей</v>
      </c>
      <c r="E1453" s="463" t="str">
        <f>VLOOKUP(A1453,'Master List'!$A$1:$C$1192,3,FALSE)</f>
        <v>шт</v>
      </c>
      <c r="F1453" s="464">
        <v>8.0</v>
      </c>
      <c r="G1453" s="463">
        <f>VLOOKUP(A1453,'Master List'!$A$4:$F4169,5,FALSE)</f>
        <v>0</v>
      </c>
      <c r="H1453" s="206">
        <f t="shared" si="141"/>
        <v>0</v>
      </c>
      <c r="I1453" s="240"/>
    </row>
    <row r="1454" outlineLevel="2">
      <c r="A1454" s="422" t="str">
        <f>'Master List'!A166</f>
        <v>M-WIN-042</v>
      </c>
      <c r="B1454" s="472"/>
      <c r="C1454" s="198"/>
      <c r="D1454" s="462" t="str">
        <f>VLOOKUP(A1454,'Master List'!$A$1:$C$1192,2,FALSE)</f>
        <v>Піна монтажна 0,75л</v>
      </c>
      <c r="E1454" s="463" t="str">
        <f>VLOOKUP(A1454,'Master List'!$A$1:$C$1192,3,FALSE)</f>
        <v>шт</v>
      </c>
      <c r="F1454" s="464">
        <v>0.3</v>
      </c>
      <c r="G1454" s="463">
        <f>VLOOKUP(A1454,'Master List'!$A$4:$F4170,5,FALSE)</f>
        <v>5.057</v>
      </c>
      <c r="H1454" s="206">
        <f t="shared" si="141"/>
        <v>1.5171</v>
      </c>
      <c r="I1454" s="240"/>
    </row>
    <row r="1455" outlineLevel="2">
      <c r="A1455" s="422"/>
      <c r="B1455" s="428"/>
      <c r="C1455" s="429"/>
      <c r="D1455" s="428"/>
      <c r="E1455" s="431"/>
      <c r="F1455" s="432"/>
      <c r="G1455" s="434"/>
      <c r="H1455" s="434"/>
      <c r="I1455" s="240"/>
    </row>
    <row r="1456" outlineLevel="2">
      <c r="A1456" s="422"/>
      <c r="B1456" s="472" t="s">
        <v>285</v>
      </c>
      <c r="C1456" s="272">
        <v>11.6</v>
      </c>
      <c r="D1456" s="273" t="s">
        <v>286</v>
      </c>
      <c r="E1456" s="431"/>
      <c r="F1456" s="432"/>
      <c r="G1456" s="434"/>
      <c r="H1456" s="434"/>
      <c r="I1456" s="240"/>
    </row>
    <row r="1457" outlineLevel="2">
      <c r="A1457" s="422"/>
      <c r="B1457" s="428"/>
      <c r="C1457" s="429"/>
      <c r="D1457" s="428"/>
      <c r="E1457" s="431"/>
      <c r="F1457" s="432"/>
      <c r="G1457" s="434"/>
      <c r="H1457" s="434"/>
      <c r="I1457" s="240"/>
    </row>
    <row r="1458" outlineLevel="2">
      <c r="A1458" s="422"/>
      <c r="B1458" s="472" t="s">
        <v>287</v>
      </c>
      <c r="C1458" s="282" t="s">
        <v>2442</v>
      </c>
      <c r="D1458" s="268" t="s">
        <v>288</v>
      </c>
      <c r="E1458" s="486" t="s">
        <v>75</v>
      </c>
      <c r="F1458" s="270">
        <v>1.0</v>
      </c>
      <c r="G1458" s="205"/>
      <c r="H1458" s="206"/>
      <c r="I1458" s="240"/>
    </row>
    <row r="1459" outlineLevel="2">
      <c r="A1459" s="422"/>
      <c r="B1459" s="472"/>
      <c r="C1459" s="289"/>
      <c r="D1459" s="285"/>
      <c r="E1459" s="487"/>
      <c r="F1459" s="275"/>
      <c r="G1459" s="239"/>
      <c r="H1459" s="239"/>
      <c r="I1459" s="240"/>
    </row>
    <row r="1460" outlineLevel="2">
      <c r="A1460" s="422" t="str">
        <f>'Master List'!A644</f>
        <v>W-WIN-038</v>
      </c>
      <c r="B1460" s="472"/>
      <c r="C1460" s="198"/>
      <c r="D1460" s="462" t="str">
        <f>VLOOKUP(A1460,'Master List'!$A$1:$C$1192,2,FALSE)</f>
        <v>Монтаж дверей внутрішніх розміром 1.22x2.49м </v>
      </c>
      <c r="E1460" s="463" t="str">
        <f>VLOOKUP(A1460,'Master List'!$A$1:$C$1192,3,FALSE)</f>
        <v>шт</v>
      </c>
      <c r="F1460" s="464">
        <v>1.0</v>
      </c>
      <c r="G1460" s="463">
        <f>VLOOKUP(A1460,'Master List'!$A$4:$F4176,5,FALSE)</f>
        <v>224.9</v>
      </c>
      <c r="H1460" s="206">
        <f t="shared" ref="H1460:H1463" si="142">G1460*F1460</f>
        <v>224.9</v>
      </c>
      <c r="I1460" s="240"/>
    </row>
    <row r="1461" outlineLevel="2">
      <c r="A1461" s="422" t="str">
        <f>'Master List'!A162</f>
        <v>M-WIN-038</v>
      </c>
      <c r="B1461" s="472"/>
      <c r="C1461" s="198"/>
      <c r="D1461" s="462" t="str">
        <f>VLOOKUP(A1461,'Master List'!$A$1:$C$1192,2,FALSE)</f>
        <v>Двері внутрішні розміром 1.22x2.49м VI 0.1, VI 0.2</v>
      </c>
      <c r="E1461" s="463" t="str">
        <f>VLOOKUP(A1461,'Master List'!$A$1:$C$1192,3,FALSE)</f>
        <v>шт</v>
      </c>
      <c r="F1461" s="464">
        <v>1.0</v>
      </c>
      <c r="G1461" s="463">
        <f>VLOOKUP(A1461,'Master List'!$A$4:$F4177,5,FALSE)</f>
        <v>0</v>
      </c>
      <c r="H1461" s="206">
        <f t="shared" si="142"/>
        <v>0</v>
      </c>
      <c r="I1461" s="240"/>
    </row>
    <row r="1462" outlineLevel="2">
      <c r="A1462" s="422" t="str">
        <f>'Master List'!A165</f>
        <v>M-WIN-041</v>
      </c>
      <c r="B1462" s="472"/>
      <c r="C1462" s="198"/>
      <c r="D1462" s="462" t="str">
        <f>VLOOKUP(A1462,'Master List'!$A$1:$C$1192,2,FALSE)</f>
        <v>Кріплення для вікон і дверей</v>
      </c>
      <c r="E1462" s="463" t="str">
        <f>VLOOKUP(A1462,'Master List'!$A$1:$C$1192,3,FALSE)</f>
        <v>шт</v>
      </c>
      <c r="F1462" s="464">
        <v>8.0</v>
      </c>
      <c r="G1462" s="463">
        <f>VLOOKUP(A1462,'Master List'!$A$4:$F4178,5,FALSE)</f>
        <v>0</v>
      </c>
      <c r="H1462" s="206">
        <f t="shared" si="142"/>
        <v>0</v>
      </c>
      <c r="I1462" s="240"/>
    </row>
    <row r="1463" outlineLevel="2">
      <c r="A1463" s="422" t="str">
        <f>'Master List'!A166</f>
        <v>M-WIN-042</v>
      </c>
      <c r="B1463" s="472"/>
      <c r="C1463" s="198"/>
      <c r="D1463" s="462" t="str">
        <f>VLOOKUP(A1463,'Master List'!$A$1:$C$1192,2,FALSE)</f>
        <v>Піна монтажна 0,75л</v>
      </c>
      <c r="E1463" s="463" t="str">
        <f>VLOOKUP(A1463,'Master List'!$A$1:$C$1192,3,FALSE)</f>
        <v>шт</v>
      </c>
      <c r="F1463" s="464">
        <v>0.3</v>
      </c>
      <c r="G1463" s="463">
        <f>VLOOKUP(A1463,'Master List'!$A$4:$F4178,5,FALSE)</f>
        <v>5.057</v>
      </c>
      <c r="H1463" s="206">
        <f t="shared" si="142"/>
        <v>1.5171</v>
      </c>
      <c r="I1463" s="240"/>
    </row>
    <row r="1464" outlineLevel="2">
      <c r="A1464" s="422"/>
      <c r="B1464" s="428"/>
      <c r="C1464" s="429"/>
      <c r="D1464" s="428"/>
      <c r="E1464" s="431"/>
      <c r="F1464" s="432"/>
      <c r="G1464" s="434"/>
      <c r="H1464" s="434"/>
      <c r="I1464" s="240"/>
    </row>
    <row r="1465" outlineLevel="2">
      <c r="A1465" s="422"/>
      <c r="B1465" s="472" t="s">
        <v>289</v>
      </c>
      <c r="C1465" s="272">
        <v>11.7</v>
      </c>
      <c r="D1465" s="273" t="s">
        <v>290</v>
      </c>
      <c r="E1465" s="431"/>
      <c r="F1465" s="432"/>
      <c r="G1465" s="434"/>
      <c r="H1465" s="434"/>
      <c r="I1465" s="240"/>
    </row>
    <row r="1466" outlineLevel="2">
      <c r="A1466" s="422"/>
      <c r="B1466" s="428"/>
      <c r="C1466" s="429"/>
      <c r="D1466" s="428"/>
      <c r="E1466" s="431"/>
      <c r="F1466" s="432"/>
      <c r="G1466" s="434"/>
      <c r="H1466" s="434"/>
      <c r="I1466" s="240"/>
    </row>
    <row r="1467" outlineLevel="2">
      <c r="A1467" s="422"/>
      <c r="B1467" s="472" t="s">
        <v>291</v>
      </c>
      <c r="C1467" s="282" t="s">
        <v>2445</v>
      </c>
      <c r="D1467" s="268" t="s">
        <v>292</v>
      </c>
      <c r="E1467" s="486" t="s">
        <v>75</v>
      </c>
      <c r="F1467" s="270">
        <v>1.0</v>
      </c>
      <c r="G1467" s="205"/>
      <c r="H1467" s="206"/>
      <c r="I1467" s="240"/>
    </row>
    <row r="1468" outlineLevel="2">
      <c r="A1468" s="422"/>
      <c r="B1468" s="472" t="s">
        <v>293</v>
      </c>
      <c r="C1468" s="282" t="s">
        <v>2447</v>
      </c>
      <c r="D1468" s="268" t="s">
        <v>294</v>
      </c>
      <c r="E1468" s="486" t="s">
        <v>75</v>
      </c>
      <c r="F1468" s="270">
        <v>1.0</v>
      </c>
      <c r="G1468" s="205"/>
      <c r="H1468" s="206"/>
      <c r="I1468" s="240"/>
    </row>
    <row r="1469" outlineLevel="2">
      <c r="A1469" s="422"/>
      <c r="B1469" s="472"/>
      <c r="C1469" s="289"/>
      <c r="D1469" s="285"/>
      <c r="E1469" s="487"/>
      <c r="F1469" s="275"/>
      <c r="G1469" s="239"/>
      <c r="H1469" s="239"/>
      <c r="I1469" s="240"/>
    </row>
    <row r="1470" outlineLevel="2">
      <c r="A1470" s="422" t="str">
        <f>'Master List'!A645</f>
        <v>W-WIN-039</v>
      </c>
      <c r="B1470" s="472"/>
      <c r="C1470" s="198"/>
      <c r="D1470" s="462" t="str">
        <f>VLOOKUP(A1470,'Master List'!$A$1:$C$1192,2,FALSE)</f>
        <v>Монтаж дверей внутрішніх розміром 0.87x2.50м</v>
      </c>
      <c r="E1470" s="463" t="str">
        <f>VLOOKUP(A1470,'Master List'!$A$1:$C$1192,3,FALSE)</f>
        <v>шт</v>
      </c>
      <c r="F1470" s="464">
        <v>1.0</v>
      </c>
      <c r="G1470" s="463">
        <f>VLOOKUP(A1470,'Master List'!$A$4:$F4185,5,FALSE)</f>
        <v>183.3</v>
      </c>
      <c r="H1470" s="206">
        <f t="shared" ref="H1470:H1475" si="143">G1470*F1470</f>
        <v>183.3</v>
      </c>
      <c r="I1470" s="240"/>
    </row>
    <row r="1471" outlineLevel="2">
      <c r="A1471" s="422" t="str">
        <f>'Master List'!A646</f>
        <v>W-WIN-040</v>
      </c>
      <c r="B1471" s="472"/>
      <c r="C1471" s="198"/>
      <c r="D1471" s="462" t="str">
        <f>VLOOKUP(A1471,'Master List'!$A$1:$C$1192,2,FALSE)</f>
        <v>Монтаж дверей внутрішніх розміром 0.89x2.50м</v>
      </c>
      <c r="E1471" s="463" t="str">
        <f>VLOOKUP(A1471,'Master List'!$A$1:$C$1192,3,FALSE)</f>
        <v>шт</v>
      </c>
      <c r="F1471" s="464">
        <v>1.0</v>
      </c>
      <c r="G1471" s="463">
        <f>VLOOKUP(A1471,'Master List'!$A$4:$F4186,5,FALSE)</f>
        <v>188.5</v>
      </c>
      <c r="H1471" s="206">
        <f t="shared" si="143"/>
        <v>188.5</v>
      </c>
      <c r="I1471" s="240"/>
    </row>
    <row r="1472" outlineLevel="2">
      <c r="A1472" s="422" t="str">
        <f>'Master List'!A163</f>
        <v>M-WIN-039</v>
      </c>
      <c r="B1472" s="472"/>
      <c r="C1472" s="198"/>
      <c r="D1472" s="462" t="str">
        <f>VLOOKUP(A1472,'Master List'!$A$1:$C$1192,2,FALSE)</f>
        <v>Двері внутрішні розміром 0.87x2.50м VI 01.6</v>
      </c>
      <c r="E1472" s="463" t="str">
        <f>VLOOKUP(A1472,'Master List'!$A$1:$C$1192,3,FALSE)</f>
        <v>шт</v>
      </c>
      <c r="F1472" s="464">
        <v>1.0</v>
      </c>
      <c r="G1472" s="463">
        <f>VLOOKUP(A1472,'Master List'!$A$4:$F4187,5,FALSE)</f>
        <v>0</v>
      </c>
      <c r="H1472" s="206">
        <f t="shared" si="143"/>
        <v>0</v>
      </c>
      <c r="I1472" s="240"/>
    </row>
    <row r="1473" outlineLevel="2">
      <c r="A1473" s="422" t="str">
        <f>'Master List'!A164</f>
        <v>M-WIN-040</v>
      </c>
      <c r="B1473" s="472"/>
      <c r="C1473" s="198"/>
      <c r="D1473" s="462" t="str">
        <f>VLOOKUP(A1473,'Master List'!$A$1:$C$1192,2,FALSE)</f>
        <v>Двері внутрішні розміром 0.89x2.50м VI 01.7</v>
      </c>
      <c r="E1473" s="463" t="str">
        <f>VLOOKUP(A1473,'Master List'!$A$1:$C$1192,3,FALSE)</f>
        <v>шт</v>
      </c>
      <c r="F1473" s="464">
        <v>1.0</v>
      </c>
      <c r="G1473" s="463">
        <f>VLOOKUP(A1473,'Master List'!$A$4:$F4188,5,FALSE)</f>
        <v>0</v>
      </c>
      <c r="H1473" s="206">
        <f t="shared" si="143"/>
        <v>0</v>
      </c>
      <c r="I1473" s="240"/>
    </row>
    <row r="1474" outlineLevel="2">
      <c r="A1474" s="422" t="str">
        <f>'Master List'!A165</f>
        <v>M-WIN-041</v>
      </c>
      <c r="B1474" s="472"/>
      <c r="C1474" s="198"/>
      <c r="D1474" s="462" t="str">
        <f>VLOOKUP(A1474,'Master List'!$A$1:$C$1192,2,FALSE)</f>
        <v>Кріплення для вікон і дверей</v>
      </c>
      <c r="E1474" s="463" t="str">
        <f>VLOOKUP(A1474,'Master List'!$A$1:$C$1192,3,FALSE)</f>
        <v>шт</v>
      </c>
      <c r="F1474" s="464">
        <f>2*8</f>
        <v>16</v>
      </c>
      <c r="G1474" s="463">
        <f>VLOOKUP(A1474,'Master List'!$A$4:$F4189,5,FALSE)</f>
        <v>0</v>
      </c>
      <c r="H1474" s="206">
        <f t="shared" si="143"/>
        <v>0</v>
      </c>
      <c r="I1474" s="240"/>
    </row>
    <row r="1475" outlineLevel="2">
      <c r="A1475" s="422" t="str">
        <f>'Master List'!A166</f>
        <v>M-WIN-042</v>
      </c>
      <c r="B1475" s="472"/>
      <c r="C1475" s="198"/>
      <c r="D1475" s="462" t="str">
        <f>VLOOKUP(A1475,'Master List'!$A$1:$C$1192,2,FALSE)</f>
        <v>Піна монтажна 0,75л</v>
      </c>
      <c r="E1475" s="463" t="str">
        <f>VLOOKUP(A1475,'Master List'!$A$1:$C$1192,3,FALSE)</f>
        <v>шт</v>
      </c>
      <c r="F1475" s="464">
        <f>0.3*2</f>
        <v>0.6</v>
      </c>
      <c r="G1475" s="463">
        <f>VLOOKUP(A1475,'Master List'!$A$4:$F4190,5,FALSE)</f>
        <v>5.057</v>
      </c>
      <c r="H1475" s="206">
        <f t="shared" si="143"/>
        <v>3.0342</v>
      </c>
      <c r="I1475" s="240"/>
    </row>
    <row r="1476" outlineLevel="2">
      <c r="A1476" s="422"/>
      <c r="B1476" s="472"/>
      <c r="C1476" s="289"/>
      <c r="D1476" s="285"/>
      <c r="E1476" s="487"/>
      <c r="F1476" s="275"/>
      <c r="G1476" s="239"/>
      <c r="H1476" s="239"/>
      <c r="I1476" s="240"/>
    </row>
    <row r="1477" outlineLevel="2">
      <c r="A1477" s="422"/>
      <c r="B1477" s="428"/>
      <c r="C1477" s="429"/>
      <c r="D1477" s="428"/>
      <c r="E1477" s="431"/>
      <c r="F1477" s="432"/>
      <c r="G1477" s="434"/>
      <c r="H1477" s="434"/>
      <c r="I1477" s="240"/>
    </row>
    <row r="1478" outlineLevel="1">
      <c r="A1478" s="422"/>
      <c r="B1478" s="472" t="s">
        <v>295</v>
      </c>
      <c r="C1478" s="429"/>
      <c r="D1478" s="435" t="s">
        <v>296</v>
      </c>
      <c r="E1478" s="431"/>
      <c r="F1478" s="432"/>
      <c r="G1478" s="436">
        <f>SUM(H1482:H1551)</f>
        <v>57045.3</v>
      </c>
      <c r="H1478" s="434"/>
      <c r="I1478" s="240"/>
    </row>
    <row r="1479" outlineLevel="2">
      <c r="A1479" s="422"/>
      <c r="B1479" s="21"/>
      <c r="C1479" s="209"/>
      <c r="D1479" s="21"/>
      <c r="E1479" s="457"/>
      <c r="F1479" s="115"/>
      <c r="G1479" s="116"/>
      <c r="H1479" s="116"/>
      <c r="I1479" s="240"/>
    </row>
    <row r="1480" outlineLevel="2">
      <c r="A1480" s="422"/>
      <c r="B1480" s="472" t="s">
        <v>297</v>
      </c>
      <c r="C1480" s="272">
        <v>11.8</v>
      </c>
      <c r="D1480" s="273" t="s">
        <v>298</v>
      </c>
      <c r="E1480" s="431"/>
      <c r="F1480" s="432"/>
      <c r="G1480" s="434"/>
      <c r="H1480" s="428"/>
      <c r="I1480" s="240" t="s">
        <v>5609</v>
      </c>
    </row>
    <row r="1481" outlineLevel="2">
      <c r="A1481" s="422"/>
      <c r="B1481" s="428"/>
      <c r="C1481" s="429"/>
      <c r="D1481" s="428"/>
      <c r="E1481" s="431"/>
      <c r="F1481" s="432"/>
      <c r="G1481" s="434"/>
      <c r="H1481" s="434"/>
      <c r="I1481" s="240"/>
    </row>
    <row r="1482" outlineLevel="2">
      <c r="A1482" s="422" t="str">
        <f>'Master List'!A167</f>
        <v>M-WIN-043</v>
      </c>
      <c r="B1482" s="472" t="s">
        <v>300</v>
      </c>
      <c r="C1482" s="282" t="s">
        <v>2452</v>
      </c>
      <c r="D1482" s="268" t="s">
        <v>301</v>
      </c>
      <c r="E1482" s="486" t="s">
        <v>75</v>
      </c>
      <c r="F1482" s="270">
        <v>1.0</v>
      </c>
      <c r="G1482" s="463">
        <f>VLOOKUP(A1482,'Master List'!$A$4:$F4197,5,FALSE)</f>
        <v>2167.1</v>
      </c>
      <c r="H1482" s="206">
        <f>G1482*F1482</f>
        <v>2167.1</v>
      </c>
      <c r="I1482" s="240">
        <v>1667.0</v>
      </c>
    </row>
    <row r="1483" outlineLevel="2">
      <c r="A1483" s="422"/>
      <c r="B1483" s="428"/>
      <c r="C1483" s="429"/>
      <c r="D1483" s="428"/>
      <c r="E1483" s="431"/>
      <c r="F1483" s="432"/>
      <c r="G1483" s="434"/>
      <c r="H1483" s="434"/>
      <c r="I1483" s="240"/>
    </row>
    <row r="1484" outlineLevel="2">
      <c r="A1484" s="422"/>
      <c r="B1484" s="472" t="s">
        <v>302</v>
      </c>
      <c r="C1484" s="272">
        <v>11.9</v>
      </c>
      <c r="D1484" s="273" t="s">
        <v>303</v>
      </c>
      <c r="E1484" s="431"/>
      <c r="F1484" s="432"/>
      <c r="G1484" s="434"/>
      <c r="H1484" s="434"/>
      <c r="I1484" s="240" t="s">
        <v>5609</v>
      </c>
    </row>
    <row r="1485" outlineLevel="2">
      <c r="A1485" s="422"/>
      <c r="B1485" s="428"/>
      <c r="C1485" s="429"/>
      <c r="D1485" s="428"/>
      <c r="E1485" s="431"/>
      <c r="F1485" s="432"/>
      <c r="G1485" s="434"/>
      <c r="H1485" s="434"/>
      <c r="I1485" s="240"/>
    </row>
    <row r="1486" outlineLevel="2">
      <c r="A1486" s="422" t="str">
        <f>'Master List'!A168</f>
        <v>M-WIN-044</v>
      </c>
      <c r="B1486" s="472" t="s">
        <v>304</v>
      </c>
      <c r="C1486" s="282" t="s">
        <v>2455</v>
      </c>
      <c r="D1486" s="268" t="s">
        <v>305</v>
      </c>
      <c r="E1486" s="486" t="s">
        <v>75</v>
      </c>
      <c r="F1486" s="270">
        <v>1.0</v>
      </c>
      <c r="G1486" s="463">
        <f>VLOOKUP(A1486,'Master List'!$A$4:$F4201,5,FALSE)</f>
        <v>1454.7</v>
      </c>
      <c r="H1486" s="206">
        <f t="shared" ref="H1486:H1487" si="144">G1486*F1486</f>
        <v>1454.7</v>
      </c>
      <c r="I1486" s="240">
        <v>1119.0</v>
      </c>
    </row>
    <row r="1487" outlineLevel="2">
      <c r="A1487" s="422" t="str">
        <f>'Master List'!A169</f>
        <v>M-WIN-045</v>
      </c>
      <c r="B1487" s="472" t="s">
        <v>306</v>
      </c>
      <c r="C1487" s="282" t="s">
        <v>2457</v>
      </c>
      <c r="D1487" s="268" t="s">
        <v>307</v>
      </c>
      <c r="E1487" s="486" t="s">
        <v>75</v>
      </c>
      <c r="F1487" s="270">
        <v>1.0</v>
      </c>
      <c r="G1487" s="463">
        <f>VLOOKUP(A1487,'Master List'!$A$4:$F4202,5,FALSE)</f>
        <v>789.1</v>
      </c>
      <c r="H1487" s="206">
        <f t="shared" si="144"/>
        <v>789.1</v>
      </c>
      <c r="I1487" s="240">
        <v>607.0</v>
      </c>
    </row>
    <row r="1488" outlineLevel="2">
      <c r="A1488" s="422"/>
      <c r="B1488" s="428"/>
      <c r="C1488" s="429"/>
      <c r="D1488" s="428"/>
      <c r="E1488" s="431"/>
      <c r="F1488" s="432"/>
      <c r="G1488" s="434"/>
      <c r="H1488" s="434"/>
      <c r="I1488" s="240"/>
    </row>
    <row r="1489" outlineLevel="2">
      <c r="A1489" s="422"/>
      <c r="B1489" s="472" t="s">
        <v>308</v>
      </c>
      <c r="C1489" s="282">
        <v>11.1</v>
      </c>
      <c r="D1489" s="273" t="s">
        <v>309</v>
      </c>
      <c r="E1489" s="431"/>
      <c r="F1489" s="432"/>
      <c r="G1489" s="434"/>
      <c r="H1489" s="434"/>
      <c r="I1489" s="240" t="s">
        <v>5609</v>
      </c>
    </row>
    <row r="1490" outlineLevel="2">
      <c r="A1490" s="422"/>
      <c r="B1490" s="428"/>
      <c r="C1490" s="429"/>
      <c r="D1490" s="428"/>
      <c r="E1490" s="431"/>
      <c r="F1490" s="432"/>
      <c r="G1490" s="434"/>
      <c r="H1490" s="434"/>
      <c r="I1490" s="240"/>
    </row>
    <row r="1491" outlineLevel="2">
      <c r="A1491" s="422" t="str">
        <f>'Master List'!A170</f>
        <v>M-WIN-046</v>
      </c>
      <c r="B1491" s="472" t="s">
        <v>310</v>
      </c>
      <c r="C1491" s="282" t="s">
        <v>2460</v>
      </c>
      <c r="D1491" s="268" t="s">
        <v>311</v>
      </c>
      <c r="E1491" s="486" t="s">
        <v>75</v>
      </c>
      <c r="F1491" s="270">
        <v>1.0</v>
      </c>
      <c r="G1491" s="463">
        <f>VLOOKUP(A1491,'Master List'!$A$4:$F4206,5,FALSE)</f>
        <v>2884.7</v>
      </c>
      <c r="H1491" s="206">
        <f>G1491*F1491</f>
        <v>2884.7</v>
      </c>
      <c r="I1491" s="240">
        <v>2219.0</v>
      </c>
    </row>
    <row r="1492" outlineLevel="2">
      <c r="A1492" s="422"/>
      <c r="B1492" s="428"/>
      <c r="C1492" s="429"/>
      <c r="D1492" s="428"/>
      <c r="E1492" s="431"/>
      <c r="F1492" s="432"/>
      <c r="G1492" s="434"/>
      <c r="H1492" s="434"/>
      <c r="I1492" s="240"/>
    </row>
    <row r="1493" outlineLevel="2">
      <c r="A1493" s="422"/>
      <c r="B1493" s="472" t="s">
        <v>312</v>
      </c>
      <c r="C1493" s="282">
        <v>11.11</v>
      </c>
      <c r="D1493" s="273" t="s">
        <v>313</v>
      </c>
      <c r="E1493" s="431"/>
      <c r="F1493" s="432"/>
      <c r="G1493" s="434"/>
      <c r="H1493" s="434"/>
      <c r="I1493" s="240" t="s">
        <v>5609</v>
      </c>
    </row>
    <row r="1494" outlineLevel="2">
      <c r="A1494" s="422"/>
      <c r="B1494" s="428"/>
      <c r="C1494" s="429"/>
      <c r="D1494" s="428"/>
      <c r="E1494" s="431"/>
      <c r="F1494" s="432"/>
      <c r="G1494" s="434"/>
      <c r="H1494" s="434"/>
      <c r="I1494" s="240"/>
    </row>
    <row r="1495" outlineLevel="2">
      <c r="A1495" s="422" t="str">
        <f>'Master List'!A171</f>
        <v>M-WIN-047</v>
      </c>
      <c r="B1495" s="472" t="s">
        <v>314</v>
      </c>
      <c r="C1495" s="282" t="s">
        <v>2463</v>
      </c>
      <c r="D1495" s="268" t="s">
        <v>315</v>
      </c>
      <c r="E1495" s="486" t="s">
        <v>75</v>
      </c>
      <c r="F1495" s="270">
        <v>1.0</v>
      </c>
      <c r="G1495" s="463">
        <f>VLOOKUP(A1495,'Master List'!$A$4:$F4210,5,FALSE)</f>
        <v>4208.1</v>
      </c>
      <c r="H1495" s="206">
        <f>G1495*F1495</f>
        <v>4208.1</v>
      </c>
      <c r="I1495" s="240">
        <v>3237.0</v>
      </c>
    </row>
    <row r="1496" outlineLevel="2">
      <c r="A1496" s="422"/>
      <c r="B1496" s="428"/>
      <c r="C1496" s="429"/>
      <c r="D1496" s="428"/>
      <c r="E1496" s="431"/>
      <c r="F1496" s="432"/>
      <c r="G1496" s="434"/>
      <c r="H1496" s="434"/>
      <c r="I1496" s="240"/>
    </row>
    <row r="1497" outlineLevel="2">
      <c r="A1497" s="422"/>
      <c r="B1497" s="472" t="s">
        <v>316</v>
      </c>
      <c r="C1497" s="282">
        <v>11.12</v>
      </c>
      <c r="D1497" s="273" t="s">
        <v>317</v>
      </c>
      <c r="E1497" s="431"/>
      <c r="F1497" s="432"/>
      <c r="G1497" s="434"/>
      <c r="H1497" s="434"/>
      <c r="I1497" s="240" t="s">
        <v>5609</v>
      </c>
    </row>
    <row r="1498" outlineLevel="2">
      <c r="A1498" s="422"/>
      <c r="B1498" s="428"/>
      <c r="C1498" s="429"/>
      <c r="D1498" s="428"/>
      <c r="E1498" s="431"/>
      <c r="F1498" s="432"/>
      <c r="G1498" s="434"/>
      <c r="H1498" s="434"/>
      <c r="I1498" s="240"/>
    </row>
    <row r="1499" outlineLevel="2">
      <c r="A1499" s="422" t="str">
        <f>'Master List'!A172</f>
        <v>M-WIN-048</v>
      </c>
      <c r="B1499" s="472" t="s">
        <v>318</v>
      </c>
      <c r="C1499" s="282" t="s">
        <v>2466</v>
      </c>
      <c r="D1499" s="268" t="s">
        <v>319</v>
      </c>
      <c r="E1499" s="486" t="s">
        <v>75</v>
      </c>
      <c r="F1499" s="270">
        <v>1.0</v>
      </c>
      <c r="G1499" s="463">
        <f>VLOOKUP(A1499,'Master List'!$A$4:$F4214,5,FALSE)</f>
        <v>1274</v>
      </c>
      <c r="H1499" s="206">
        <f>G1499*F1499</f>
        <v>1274</v>
      </c>
      <c r="I1499" s="240">
        <v>980.0</v>
      </c>
    </row>
    <row r="1500" outlineLevel="2">
      <c r="A1500" s="422"/>
      <c r="B1500" s="428"/>
      <c r="C1500" s="429"/>
      <c r="D1500" s="428"/>
      <c r="E1500" s="431"/>
      <c r="F1500" s="432"/>
      <c r="G1500" s="434"/>
      <c r="H1500" s="434"/>
      <c r="I1500" s="240"/>
    </row>
    <row r="1501" outlineLevel="2">
      <c r="A1501" s="422"/>
      <c r="B1501" s="472" t="s">
        <v>320</v>
      </c>
      <c r="C1501" s="282">
        <v>11.13</v>
      </c>
      <c r="D1501" s="273" t="s">
        <v>321</v>
      </c>
      <c r="E1501" s="431"/>
      <c r="F1501" s="432"/>
      <c r="G1501" s="434"/>
      <c r="H1501" s="434"/>
      <c r="I1501" s="240" t="s">
        <v>5609</v>
      </c>
    </row>
    <row r="1502" outlineLevel="2">
      <c r="A1502" s="422"/>
      <c r="B1502" s="428"/>
      <c r="C1502" s="429"/>
      <c r="D1502" s="428"/>
      <c r="E1502" s="431"/>
      <c r="F1502" s="432"/>
      <c r="G1502" s="434"/>
      <c r="H1502" s="434"/>
      <c r="I1502" s="240"/>
    </row>
    <row r="1503" outlineLevel="2">
      <c r="A1503" s="422" t="str">
        <f>'Master List'!A173</f>
        <v>M-WIN-049</v>
      </c>
      <c r="B1503" s="472" t="s">
        <v>322</v>
      </c>
      <c r="C1503" s="282" t="s">
        <v>2469</v>
      </c>
      <c r="D1503" s="268" t="s">
        <v>323</v>
      </c>
      <c r="E1503" s="486" t="s">
        <v>75</v>
      </c>
      <c r="F1503" s="270">
        <v>1.0</v>
      </c>
      <c r="G1503" s="463">
        <f>VLOOKUP(A1503,'Master List'!$A$4:$F4218,5,FALSE)</f>
        <v>1466.4</v>
      </c>
      <c r="H1503" s="206">
        <f>G1503*F1503</f>
        <v>1466.4</v>
      </c>
      <c r="I1503" s="240">
        <v>1128.0</v>
      </c>
    </row>
    <row r="1504" outlineLevel="2">
      <c r="A1504" s="422"/>
      <c r="B1504" s="428"/>
      <c r="C1504" s="429"/>
      <c r="D1504" s="428"/>
      <c r="E1504" s="431"/>
      <c r="F1504" s="432"/>
      <c r="G1504" s="434"/>
      <c r="H1504" s="434"/>
      <c r="I1504" s="240"/>
    </row>
    <row r="1505" outlineLevel="2">
      <c r="A1505" s="422"/>
      <c r="B1505" s="472" t="s">
        <v>324</v>
      </c>
      <c r="C1505" s="282">
        <v>11.14</v>
      </c>
      <c r="D1505" s="273" t="s">
        <v>325</v>
      </c>
      <c r="E1505" s="431"/>
      <c r="F1505" s="432"/>
      <c r="G1505" s="434"/>
      <c r="H1505" s="434"/>
      <c r="I1505" s="240" t="s">
        <v>5609</v>
      </c>
    </row>
    <row r="1506" outlineLevel="2">
      <c r="A1506" s="422"/>
      <c r="B1506" s="428"/>
      <c r="C1506" s="429"/>
      <c r="D1506" s="428"/>
      <c r="E1506" s="431"/>
      <c r="F1506" s="432"/>
      <c r="G1506" s="434"/>
      <c r="H1506" s="434"/>
      <c r="I1506" s="240"/>
    </row>
    <row r="1507" outlineLevel="2">
      <c r="A1507" s="422" t="str">
        <f>'Master List'!A174</f>
        <v>M-WIN-050</v>
      </c>
      <c r="B1507" s="472" t="s">
        <v>326</v>
      </c>
      <c r="C1507" s="282" t="s">
        <v>2472</v>
      </c>
      <c r="D1507" s="268" t="s">
        <v>327</v>
      </c>
      <c r="E1507" s="486" t="s">
        <v>75</v>
      </c>
      <c r="F1507" s="270">
        <v>1.0</v>
      </c>
      <c r="G1507" s="463">
        <f>VLOOKUP(A1507,'Master List'!$A$4:$F4222,5,FALSE)</f>
        <v>2743</v>
      </c>
      <c r="H1507" s="206">
        <f>G1507*F1507</f>
        <v>2743</v>
      </c>
      <c r="I1507" s="240">
        <v>2110.0</v>
      </c>
    </row>
    <row r="1508" outlineLevel="2">
      <c r="A1508" s="422"/>
      <c r="B1508" s="428"/>
      <c r="C1508" s="429"/>
      <c r="D1508" s="428"/>
      <c r="E1508" s="431"/>
      <c r="F1508" s="432"/>
      <c r="G1508" s="434"/>
      <c r="H1508" s="434"/>
      <c r="I1508" s="240"/>
    </row>
    <row r="1509" outlineLevel="2">
      <c r="A1509" s="422"/>
      <c r="B1509" s="472" t="s">
        <v>328</v>
      </c>
      <c r="C1509" s="282">
        <v>11.15</v>
      </c>
      <c r="D1509" s="273" t="s">
        <v>329</v>
      </c>
      <c r="E1509" s="431"/>
      <c r="F1509" s="432"/>
      <c r="G1509" s="434"/>
      <c r="H1509" s="434"/>
      <c r="I1509" s="240" t="s">
        <v>5609</v>
      </c>
    </row>
    <row r="1510" outlineLevel="2">
      <c r="A1510" s="422"/>
      <c r="B1510" s="428"/>
      <c r="C1510" s="429"/>
      <c r="D1510" s="428"/>
      <c r="E1510" s="431"/>
      <c r="F1510" s="432"/>
      <c r="G1510" s="434"/>
      <c r="H1510" s="434"/>
      <c r="I1510" s="240"/>
    </row>
    <row r="1511" outlineLevel="2">
      <c r="A1511" s="422" t="str">
        <f>'Master List'!A175</f>
        <v>M-WIN-051</v>
      </c>
      <c r="B1511" s="472" t="s">
        <v>330</v>
      </c>
      <c r="C1511" s="282" t="s">
        <v>2475</v>
      </c>
      <c r="D1511" s="268" t="s">
        <v>331</v>
      </c>
      <c r="E1511" s="486" t="s">
        <v>75</v>
      </c>
      <c r="F1511" s="270">
        <v>1.0</v>
      </c>
      <c r="G1511" s="463">
        <f>VLOOKUP(A1511,'Master List'!$A$4:$F4226,5,FALSE)</f>
        <v>1310.4</v>
      </c>
      <c r="H1511" s="206">
        <f t="shared" ref="H1511:H1512" si="145">G1511*F1511</f>
        <v>1310.4</v>
      </c>
      <c r="I1511" s="240">
        <v>1008.0</v>
      </c>
    </row>
    <row r="1512" outlineLevel="2">
      <c r="A1512" s="422" t="str">
        <f>'Master List'!A176</f>
        <v>M-WIN-052</v>
      </c>
      <c r="B1512" s="472" t="s">
        <v>332</v>
      </c>
      <c r="C1512" s="282" t="s">
        <v>2477</v>
      </c>
      <c r="D1512" s="268" t="s">
        <v>333</v>
      </c>
      <c r="E1512" s="486" t="s">
        <v>75</v>
      </c>
      <c r="F1512" s="270">
        <v>1.0</v>
      </c>
      <c r="G1512" s="463">
        <f>VLOOKUP(A1512,'Master List'!$A$4:$F4227,5,FALSE)</f>
        <v>1310.4</v>
      </c>
      <c r="H1512" s="206">
        <f t="shared" si="145"/>
        <v>1310.4</v>
      </c>
      <c r="I1512" s="240">
        <v>1008.0</v>
      </c>
    </row>
    <row r="1513" outlineLevel="2">
      <c r="A1513" s="422"/>
      <c r="B1513" s="428"/>
      <c r="C1513" s="429"/>
      <c r="D1513" s="428"/>
      <c r="E1513" s="431"/>
      <c r="F1513" s="432"/>
      <c r="G1513" s="434"/>
      <c r="H1513" s="434"/>
      <c r="I1513" s="240"/>
    </row>
    <row r="1514" outlineLevel="2">
      <c r="A1514" s="422"/>
      <c r="B1514" s="472" t="s">
        <v>334</v>
      </c>
      <c r="C1514" s="282">
        <v>11.16</v>
      </c>
      <c r="D1514" s="273" t="s">
        <v>5610</v>
      </c>
      <c r="E1514" s="431"/>
      <c r="F1514" s="432"/>
      <c r="G1514" s="434"/>
      <c r="H1514" s="434"/>
      <c r="I1514" s="240" t="s">
        <v>5609</v>
      </c>
    </row>
    <row r="1515" outlineLevel="2">
      <c r="A1515" s="422"/>
      <c r="B1515" s="428"/>
      <c r="C1515" s="429"/>
      <c r="D1515" s="428"/>
      <c r="E1515" s="431"/>
      <c r="F1515" s="432"/>
      <c r="G1515" s="434"/>
      <c r="H1515" s="434"/>
      <c r="I1515" s="240"/>
    </row>
    <row r="1516" outlineLevel="2">
      <c r="A1516" s="422" t="str">
        <f>'Master List'!A177</f>
        <v>M-WIN-053</v>
      </c>
      <c r="B1516" s="472" t="s">
        <v>336</v>
      </c>
      <c r="C1516" s="282" t="s">
        <v>2480</v>
      </c>
      <c r="D1516" s="268" t="s">
        <v>337</v>
      </c>
      <c r="E1516" s="486" t="s">
        <v>75</v>
      </c>
      <c r="F1516" s="270">
        <v>2.0</v>
      </c>
      <c r="G1516" s="463">
        <f>VLOOKUP(A1516,'Master List'!$A$4:$F4231,5,FALSE)</f>
        <v>2470</v>
      </c>
      <c r="H1516" s="206">
        <f>G1516*F1516</f>
        <v>4940</v>
      </c>
      <c r="I1516" s="240">
        <v>1900.0</v>
      </c>
    </row>
    <row r="1517" outlineLevel="2">
      <c r="A1517" s="422"/>
      <c r="B1517" s="428"/>
      <c r="C1517" s="429"/>
      <c r="D1517" s="428"/>
      <c r="E1517" s="431"/>
      <c r="F1517" s="432"/>
      <c r="G1517" s="434"/>
      <c r="H1517" s="434"/>
      <c r="I1517" s="240"/>
    </row>
    <row r="1518" outlineLevel="2">
      <c r="A1518" s="422"/>
      <c r="B1518" s="472" t="s">
        <v>338</v>
      </c>
      <c r="C1518" s="282">
        <v>11.17</v>
      </c>
      <c r="D1518" s="273" t="s">
        <v>5611</v>
      </c>
      <c r="E1518" s="431"/>
      <c r="F1518" s="432"/>
      <c r="G1518" s="434"/>
      <c r="H1518" s="434"/>
      <c r="I1518" s="240" t="s">
        <v>5609</v>
      </c>
    </row>
    <row r="1519" outlineLevel="2">
      <c r="A1519" s="422"/>
      <c r="B1519" s="428"/>
      <c r="C1519" s="429"/>
      <c r="D1519" s="428"/>
      <c r="E1519" s="431"/>
      <c r="F1519" s="432"/>
      <c r="G1519" s="434"/>
      <c r="H1519" s="434"/>
      <c r="I1519" s="240"/>
    </row>
    <row r="1520" outlineLevel="2">
      <c r="A1520" s="422" t="str">
        <f>'Master List'!A178</f>
        <v>M-WIN-054</v>
      </c>
      <c r="B1520" s="472" t="s">
        <v>340</v>
      </c>
      <c r="C1520" s="282" t="s">
        <v>2483</v>
      </c>
      <c r="D1520" s="268" t="s">
        <v>341</v>
      </c>
      <c r="E1520" s="486" t="s">
        <v>75</v>
      </c>
      <c r="F1520" s="270">
        <v>1.0</v>
      </c>
      <c r="G1520" s="463">
        <f>VLOOKUP(A1520,'Master List'!$A$4:$F4235,5,FALSE)</f>
        <v>2753.4</v>
      </c>
      <c r="H1520" s="206">
        <f>G1520*F1520</f>
        <v>2753.4</v>
      </c>
      <c r="I1520" s="240">
        <v>2118.0</v>
      </c>
    </row>
    <row r="1521" outlineLevel="2">
      <c r="A1521" s="422"/>
      <c r="B1521" s="428"/>
      <c r="C1521" s="429"/>
      <c r="D1521" s="428"/>
      <c r="E1521" s="431"/>
      <c r="F1521" s="432"/>
      <c r="G1521" s="434"/>
      <c r="H1521" s="434"/>
      <c r="I1521" s="240"/>
    </row>
    <row r="1522" outlineLevel="2">
      <c r="A1522" s="422"/>
      <c r="B1522" s="472" t="s">
        <v>342</v>
      </c>
      <c r="C1522" s="282">
        <v>11.18</v>
      </c>
      <c r="D1522" s="273" t="s">
        <v>5612</v>
      </c>
      <c r="E1522" s="431"/>
      <c r="F1522" s="432"/>
      <c r="G1522" s="434"/>
      <c r="H1522" s="434"/>
      <c r="I1522" s="240" t="s">
        <v>5609</v>
      </c>
    </row>
    <row r="1523" outlineLevel="2">
      <c r="A1523" s="422"/>
      <c r="B1523" s="428"/>
      <c r="C1523" s="429"/>
      <c r="D1523" s="428"/>
      <c r="E1523" s="431"/>
      <c r="F1523" s="432"/>
      <c r="G1523" s="434"/>
      <c r="H1523" s="434"/>
      <c r="I1523" s="240"/>
    </row>
    <row r="1524" outlineLevel="2">
      <c r="A1524" s="422" t="str">
        <f>'Master List'!A179</f>
        <v>M-WIN-055</v>
      </c>
      <c r="B1524" s="472" t="s">
        <v>344</v>
      </c>
      <c r="C1524" s="282" t="s">
        <v>2486</v>
      </c>
      <c r="D1524" s="268" t="s">
        <v>345</v>
      </c>
      <c r="E1524" s="486" t="s">
        <v>75</v>
      </c>
      <c r="F1524" s="270">
        <v>1.0</v>
      </c>
      <c r="G1524" s="463">
        <f>VLOOKUP(A1524,'Master List'!$A$4:$F4239,5,FALSE)</f>
        <v>3266.9</v>
      </c>
      <c r="H1524" s="206">
        <f>G1524*F1524</f>
        <v>3266.9</v>
      </c>
      <c r="I1524" s="240">
        <v>2513.0</v>
      </c>
    </row>
    <row r="1525" outlineLevel="2">
      <c r="A1525" s="422"/>
      <c r="B1525" s="428"/>
      <c r="C1525" s="429"/>
      <c r="D1525" s="428"/>
      <c r="E1525" s="431"/>
      <c r="F1525" s="432"/>
      <c r="G1525" s="434"/>
      <c r="H1525" s="434"/>
      <c r="I1525" s="240"/>
    </row>
    <row r="1526" outlineLevel="2">
      <c r="A1526" s="422"/>
      <c r="B1526" s="472" t="s">
        <v>346</v>
      </c>
      <c r="C1526" s="282">
        <v>11.19</v>
      </c>
      <c r="D1526" s="273" t="s">
        <v>5613</v>
      </c>
      <c r="E1526" s="431"/>
      <c r="F1526" s="432"/>
      <c r="G1526" s="434"/>
      <c r="H1526" s="434"/>
      <c r="I1526" s="240" t="s">
        <v>5609</v>
      </c>
    </row>
    <row r="1527" outlineLevel="2">
      <c r="A1527" s="422"/>
      <c r="B1527" s="428"/>
      <c r="C1527" s="429"/>
      <c r="D1527" s="428"/>
      <c r="E1527" s="431"/>
      <c r="F1527" s="432"/>
      <c r="G1527" s="434"/>
      <c r="H1527" s="434"/>
      <c r="I1527" s="240"/>
    </row>
    <row r="1528" outlineLevel="2">
      <c r="A1528" s="422" t="str">
        <f>'Master List'!A180</f>
        <v>M-WIN-056</v>
      </c>
      <c r="B1528" s="472" t="s">
        <v>348</v>
      </c>
      <c r="C1528" s="282" t="s">
        <v>2489</v>
      </c>
      <c r="D1528" s="268" t="s">
        <v>349</v>
      </c>
      <c r="E1528" s="486" t="s">
        <v>75</v>
      </c>
      <c r="F1528" s="270">
        <v>1.0</v>
      </c>
      <c r="G1528" s="463">
        <f>VLOOKUP(A1528,'Master List'!$A$4:$F4243,5,FALSE)</f>
        <v>3266.9</v>
      </c>
      <c r="H1528" s="206">
        <f t="shared" ref="H1528:H1530" si="146">G1528*F1528</f>
        <v>3266.9</v>
      </c>
      <c r="I1528" s="240">
        <v>2513.0</v>
      </c>
    </row>
    <row r="1529" outlineLevel="2">
      <c r="A1529" s="422" t="str">
        <f>'Master List'!A181</f>
        <v>M-WIN-057</v>
      </c>
      <c r="B1529" s="472" t="s">
        <v>350</v>
      </c>
      <c r="C1529" s="282" t="s">
        <v>2491</v>
      </c>
      <c r="D1529" s="268" t="s">
        <v>351</v>
      </c>
      <c r="E1529" s="486" t="s">
        <v>75</v>
      </c>
      <c r="F1529" s="270">
        <v>1.0</v>
      </c>
      <c r="G1529" s="463">
        <f>VLOOKUP(A1529,'Master List'!$A$4:$F4244,5,FALSE)</f>
        <v>2332.2</v>
      </c>
      <c r="H1529" s="206">
        <f t="shared" si="146"/>
        <v>2332.2</v>
      </c>
      <c r="I1529" s="240">
        <v>1794.0</v>
      </c>
    </row>
    <row r="1530" outlineLevel="2">
      <c r="A1530" s="422" t="str">
        <f>'Master List'!A182</f>
        <v>M-WIN-058</v>
      </c>
      <c r="B1530" s="472" t="s">
        <v>352</v>
      </c>
      <c r="C1530" s="282" t="s">
        <v>2493</v>
      </c>
      <c r="D1530" s="268" t="s">
        <v>353</v>
      </c>
      <c r="E1530" s="486" t="s">
        <v>75</v>
      </c>
      <c r="F1530" s="270">
        <v>1.0</v>
      </c>
      <c r="G1530" s="463">
        <f>VLOOKUP(A1530,'Master List'!$A$4:$F4245,5,FALSE)</f>
        <v>780</v>
      </c>
      <c r="H1530" s="206">
        <f t="shared" si="146"/>
        <v>780</v>
      </c>
      <c r="I1530" s="240">
        <v>600.0</v>
      </c>
    </row>
    <row r="1531" outlineLevel="2">
      <c r="A1531" s="422"/>
      <c r="B1531" s="428"/>
      <c r="C1531" s="429"/>
      <c r="D1531" s="428"/>
      <c r="E1531" s="431"/>
      <c r="F1531" s="432"/>
      <c r="G1531" s="434"/>
      <c r="H1531" s="434"/>
      <c r="I1531" s="240"/>
    </row>
    <row r="1532" outlineLevel="2">
      <c r="A1532" s="422"/>
      <c r="B1532" s="472" t="s">
        <v>354</v>
      </c>
      <c r="C1532" s="282">
        <v>11.2</v>
      </c>
      <c r="D1532" s="273" t="s">
        <v>5614</v>
      </c>
      <c r="E1532" s="431"/>
      <c r="F1532" s="432"/>
      <c r="G1532" s="434"/>
      <c r="H1532" s="434"/>
      <c r="I1532" s="240" t="s">
        <v>5609</v>
      </c>
    </row>
    <row r="1533" outlineLevel="2">
      <c r="A1533" s="422"/>
      <c r="B1533" s="428"/>
      <c r="C1533" s="429"/>
      <c r="D1533" s="428"/>
      <c r="E1533" s="431"/>
      <c r="F1533" s="432"/>
      <c r="G1533" s="434"/>
      <c r="H1533" s="434"/>
      <c r="I1533" s="240"/>
    </row>
    <row r="1534" outlineLevel="2">
      <c r="A1534" s="422" t="str">
        <f>'Master List'!A183</f>
        <v>M-WIN-059</v>
      </c>
      <c r="B1534" s="472" t="s">
        <v>356</v>
      </c>
      <c r="C1534" s="282" t="s">
        <v>2496</v>
      </c>
      <c r="D1534" s="268" t="s">
        <v>357</v>
      </c>
      <c r="E1534" s="486" t="s">
        <v>75</v>
      </c>
      <c r="F1534" s="270">
        <v>1.0</v>
      </c>
      <c r="G1534" s="463">
        <f>VLOOKUP(A1534,'Master List'!$A$4:$F4249,5,FALSE)</f>
        <v>3682.9</v>
      </c>
      <c r="H1534" s="206">
        <f>G1534*F1534</f>
        <v>3682.9</v>
      </c>
      <c r="I1534" s="240">
        <v>2833.0</v>
      </c>
    </row>
    <row r="1535" outlineLevel="2">
      <c r="A1535" s="422"/>
      <c r="B1535" s="428"/>
      <c r="C1535" s="429"/>
      <c r="D1535" s="428"/>
      <c r="E1535" s="431"/>
      <c r="F1535" s="432"/>
      <c r="G1535" s="434"/>
      <c r="H1535" s="434"/>
      <c r="I1535" s="240"/>
    </row>
    <row r="1536" outlineLevel="2">
      <c r="A1536" s="422"/>
      <c r="B1536" s="472" t="s">
        <v>358</v>
      </c>
      <c r="C1536" s="282">
        <v>11.21</v>
      </c>
      <c r="D1536" s="273" t="s">
        <v>5615</v>
      </c>
      <c r="E1536" s="431"/>
      <c r="F1536" s="432"/>
      <c r="G1536" s="434"/>
      <c r="H1536" s="434"/>
      <c r="I1536" s="240" t="s">
        <v>5609</v>
      </c>
    </row>
    <row r="1537" outlineLevel="2">
      <c r="A1537" s="422"/>
      <c r="B1537" s="428"/>
      <c r="C1537" s="429"/>
      <c r="D1537" s="428"/>
      <c r="E1537" s="431"/>
      <c r="F1537" s="432"/>
      <c r="G1537" s="434"/>
      <c r="H1537" s="434"/>
      <c r="I1537" s="240"/>
    </row>
    <row r="1538" outlineLevel="2">
      <c r="A1538" s="422" t="str">
        <f>'Master List'!A184</f>
        <v>M-WIN-060</v>
      </c>
      <c r="B1538" s="472" t="s">
        <v>360</v>
      </c>
      <c r="C1538" s="282" t="s">
        <v>2499</v>
      </c>
      <c r="D1538" s="268" t="s">
        <v>361</v>
      </c>
      <c r="E1538" s="486" t="s">
        <v>75</v>
      </c>
      <c r="F1538" s="270">
        <v>1.0</v>
      </c>
      <c r="G1538" s="463">
        <f>VLOOKUP(A1538,'Master List'!$A$4:$F4253,5,FALSE)</f>
        <v>2817.1</v>
      </c>
      <c r="H1538" s="206">
        <f>G1538*F1538</f>
        <v>2817.1</v>
      </c>
      <c r="I1538" s="240">
        <v>2167.0</v>
      </c>
    </row>
    <row r="1539" outlineLevel="2">
      <c r="A1539" s="422"/>
      <c r="B1539" s="428"/>
      <c r="C1539" s="429"/>
      <c r="D1539" s="428"/>
      <c r="E1539" s="431"/>
      <c r="F1539" s="432"/>
      <c r="G1539" s="434"/>
      <c r="H1539" s="434"/>
      <c r="I1539" s="240"/>
    </row>
    <row r="1540" outlineLevel="2">
      <c r="A1540" s="422"/>
      <c r="B1540" s="472" t="s">
        <v>362</v>
      </c>
      <c r="C1540" s="282">
        <v>11.22</v>
      </c>
      <c r="D1540" s="273" t="s">
        <v>363</v>
      </c>
      <c r="E1540" s="431"/>
      <c r="F1540" s="432"/>
      <c r="G1540" s="434"/>
      <c r="H1540" s="434"/>
      <c r="I1540" s="240" t="s">
        <v>5609</v>
      </c>
    </row>
    <row r="1541" outlineLevel="2">
      <c r="A1541" s="422"/>
      <c r="B1541" s="428"/>
      <c r="C1541" s="429"/>
      <c r="D1541" s="428"/>
      <c r="E1541" s="431"/>
      <c r="F1541" s="432"/>
      <c r="G1541" s="434"/>
      <c r="H1541" s="434"/>
      <c r="I1541" s="240"/>
    </row>
    <row r="1542" outlineLevel="2">
      <c r="A1542" s="422" t="str">
        <f>'Master List'!A185</f>
        <v>M-WIN-061</v>
      </c>
      <c r="B1542" s="472" t="s">
        <v>364</v>
      </c>
      <c r="C1542" s="282" t="s">
        <v>2502</v>
      </c>
      <c r="D1542" s="268" t="s">
        <v>365</v>
      </c>
      <c r="E1542" s="486" t="s">
        <v>75</v>
      </c>
      <c r="F1542" s="270">
        <v>1.0</v>
      </c>
      <c r="G1542" s="463">
        <f>VLOOKUP(A1542,'Master List'!$A$4:$F4257,5,FALSE)</f>
        <v>1024.4</v>
      </c>
      <c r="H1542" s="206">
        <f>G1542*F1542</f>
        <v>1024.4</v>
      </c>
      <c r="I1542" s="240">
        <v>788.0</v>
      </c>
    </row>
    <row r="1543" outlineLevel="2">
      <c r="A1543" s="422"/>
      <c r="B1543" s="428"/>
      <c r="C1543" s="429"/>
      <c r="D1543" s="428"/>
      <c r="E1543" s="431"/>
      <c r="F1543" s="432"/>
      <c r="G1543" s="434"/>
      <c r="H1543" s="434"/>
      <c r="I1543" s="240"/>
    </row>
    <row r="1544" outlineLevel="2">
      <c r="A1544" s="422"/>
      <c r="B1544" s="472" t="s">
        <v>366</v>
      </c>
      <c r="C1544" s="282">
        <v>11.23</v>
      </c>
      <c r="D1544" s="273" t="s">
        <v>5616</v>
      </c>
      <c r="E1544" s="431"/>
      <c r="F1544" s="432"/>
      <c r="G1544" s="434"/>
      <c r="H1544" s="434"/>
      <c r="I1544" s="240" t="s">
        <v>5609</v>
      </c>
    </row>
    <row r="1545" outlineLevel="2">
      <c r="A1545" s="422"/>
      <c r="B1545" s="428"/>
      <c r="C1545" s="429"/>
      <c r="D1545" s="428"/>
      <c r="E1545" s="431"/>
      <c r="F1545" s="432"/>
      <c r="G1545" s="434"/>
      <c r="H1545" s="434"/>
      <c r="I1545" s="240"/>
    </row>
    <row r="1546" outlineLevel="2">
      <c r="A1546" s="422" t="str">
        <f>'Master List'!A186</f>
        <v>M-WIN-062</v>
      </c>
      <c r="B1546" s="472" t="s">
        <v>368</v>
      </c>
      <c r="C1546" s="282" t="s">
        <v>2505</v>
      </c>
      <c r="D1546" s="268" t="s">
        <v>369</v>
      </c>
      <c r="E1546" s="486" t="s">
        <v>75</v>
      </c>
      <c r="F1546" s="270">
        <v>1.0</v>
      </c>
      <c r="G1546" s="463">
        <f>VLOOKUP(A1546,'Master List'!$A$4:$F4261,5,FALSE)</f>
        <v>2753.4</v>
      </c>
      <c r="H1546" s="206">
        <f t="shared" ref="H1546:H1551" si="147">G1546*F1546</f>
        <v>2753.4</v>
      </c>
      <c r="I1546" s="240"/>
    </row>
    <row r="1547" outlineLevel="2">
      <c r="A1547" s="422" t="str">
        <f>'Master List'!A187</f>
        <v>M-WIN-063</v>
      </c>
      <c r="B1547" s="472" t="s">
        <v>370</v>
      </c>
      <c r="C1547" s="282" t="s">
        <v>2507</v>
      </c>
      <c r="D1547" s="268" t="s">
        <v>371</v>
      </c>
      <c r="E1547" s="486" t="s">
        <v>75</v>
      </c>
      <c r="F1547" s="270">
        <v>1.0</v>
      </c>
      <c r="G1547" s="463">
        <f>VLOOKUP(A1547,'Master List'!$A$4:$F4262,5,FALSE)</f>
        <v>2753.4</v>
      </c>
      <c r="H1547" s="206">
        <f t="shared" si="147"/>
        <v>2753.4</v>
      </c>
      <c r="I1547" s="240"/>
    </row>
    <row r="1548" outlineLevel="2">
      <c r="A1548" s="422" t="str">
        <f>'Master List'!A188</f>
        <v>M-WIN-064</v>
      </c>
      <c r="B1548" s="472" t="s">
        <v>372</v>
      </c>
      <c r="C1548" s="282" t="s">
        <v>2509</v>
      </c>
      <c r="D1548" s="268" t="s">
        <v>373</v>
      </c>
      <c r="E1548" s="486" t="s">
        <v>75</v>
      </c>
      <c r="F1548" s="270">
        <v>1.0</v>
      </c>
      <c r="G1548" s="463">
        <f>VLOOKUP(A1548,'Master List'!$A$4:$F4263,5,FALSE)</f>
        <v>780</v>
      </c>
      <c r="H1548" s="206">
        <f t="shared" si="147"/>
        <v>780</v>
      </c>
      <c r="I1548" s="240"/>
    </row>
    <row r="1549" outlineLevel="2">
      <c r="A1549" s="422" t="str">
        <f>'Master List'!A189</f>
        <v>M-WIN-065</v>
      </c>
      <c r="B1549" s="472" t="s">
        <v>374</v>
      </c>
      <c r="C1549" s="282" t="s">
        <v>2511</v>
      </c>
      <c r="D1549" s="268" t="s">
        <v>375</v>
      </c>
      <c r="E1549" s="486" t="s">
        <v>75</v>
      </c>
      <c r="F1549" s="270">
        <v>1.0</v>
      </c>
      <c r="G1549" s="463">
        <f>VLOOKUP(A1549,'Master List'!$A$4:$F4264,5,FALSE)</f>
        <v>2753.4</v>
      </c>
      <c r="H1549" s="206">
        <f t="shared" si="147"/>
        <v>2753.4</v>
      </c>
      <c r="I1549" s="240"/>
    </row>
    <row r="1550" outlineLevel="2">
      <c r="A1550" s="422" t="str">
        <f>'Master List'!A190</f>
        <v>M-WIN-066</v>
      </c>
      <c r="B1550" s="472" t="s">
        <v>376</v>
      </c>
      <c r="C1550" s="282" t="s">
        <v>2513</v>
      </c>
      <c r="D1550" s="268" t="s">
        <v>377</v>
      </c>
      <c r="E1550" s="486" t="s">
        <v>75</v>
      </c>
      <c r="F1550" s="270">
        <v>1.0</v>
      </c>
      <c r="G1550" s="463">
        <f>VLOOKUP(A1550,'Master List'!$A$4:$F4265,5,FALSE)</f>
        <v>2753.4</v>
      </c>
      <c r="H1550" s="206">
        <f t="shared" si="147"/>
        <v>2753.4</v>
      </c>
      <c r="I1550" s="240"/>
    </row>
    <row r="1551" outlineLevel="2">
      <c r="A1551" s="422" t="str">
        <f>'Master List'!A191</f>
        <v>M-WIN-067</v>
      </c>
      <c r="B1551" s="472" t="s">
        <v>378</v>
      </c>
      <c r="C1551" s="282" t="s">
        <v>2515</v>
      </c>
      <c r="D1551" s="268" t="s">
        <v>379</v>
      </c>
      <c r="E1551" s="486" t="s">
        <v>75</v>
      </c>
      <c r="F1551" s="270">
        <v>1.0</v>
      </c>
      <c r="G1551" s="463">
        <f>VLOOKUP(A1551,'Master List'!$A$4:$F4266,5,FALSE)</f>
        <v>780</v>
      </c>
      <c r="H1551" s="206">
        <f t="shared" si="147"/>
        <v>780</v>
      </c>
      <c r="I1551" s="240"/>
    </row>
    <row r="1552" outlineLevel="2">
      <c r="A1552" s="422"/>
      <c r="B1552" s="472"/>
      <c r="C1552" s="289"/>
      <c r="D1552" s="285"/>
      <c r="E1552" s="487"/>
      <c r="F1552" s="275"/>
      <c r="G1552" s="239"/>
      <c r="H1552" s="239"/>
      <c r="I1552" s="240"/>
    </row>
    <row r="1553" outlineLevel="1">
      <c r="A1553" s="422"/>
      <c r="B1553" s="472"/>
      <c r="C1553" s="289"/>
      <c r="D1553" s="285"/>
      <c r="E1553" s="487"/>
      <c r="F1553" s="275"/>
      <c r="G1553" s="239"/>
      <c r="H1553" s="239"/>
      <c r="I1553" s="240"/>
    </row>
    <row r="1554">
      <c r="A1554" s="422"/>
      <c r="B1554" s="471"/>
      <c r="C1554" s="492">
        <v>12.0</v>
      </c>
      <c r="D1554" s="476" t="s">
        <v>536</v>
      </c>
      <c r="E1554" s="493"/>
      <c r="F1554" s="214"/>
      <c r="G1554" s="205"/>
      <c r="H1554" s="426">
        <f>SUM(H1558:H1687)</f>
        <v>25273.2688</v>
      </c>
      <c r="I1554" s="427">
        <f>H1554-'Orcamento RU'!C520</f>
        <v>-30961.2712</v>
      </c>
    </row>
    <row r="1555" outlineLevel="1">
      <c r="A1555" s="422"/>
      <c r="B1555" s="472"/>
      <c r="C1555" s="288"/>
      <c r="D1555" s="285"/>
      <c r="E1555" s="487"/>
      <c r="F1555" s="275"/>
      <c r="G1555" s="239"/>
      <c r="H1555" s="239"/>
      <c r="I1555" s="240"/>
    </row>
    <row r="1556" outlineLevel="1">
      <c r="A1556" s="422"/>
      <c r="B1556" s="472" t="s">
        <v>537</v>
      </c>
      <c r="C1556" s="494"/>
      <c r="D1556" s="476" t="s">
        <v>538</v>
      </c>
      <c r="E1556" s="431"/>
      <c r="F1556" s="432"/>
      <c r="G1556" s="436">
        <f>SUM(H1560:H1564)</f>
        <v>0</v>
      </c>
      <c r="H1556" s="434"/>
      <c r="I1556" s="240"/>
    </row>
    <row r="1557" outlineLevel="2">
      <c r="A1557" s="422"/>
      <c r="B1557" s="428"/>
      <c r="C1557" s="494"/>
      <c r="D1557" s="428"/>
      <c r="E1557" s="431"/>
      <c r="F1557" s="432"/>
      <c r="G1557" s="434"/>
      <c r="H1557" s="434"/>
      <c r="I1557" s="240"/>
    </row>
    <row r="1558" outlineLevel="2">
      <c r="A1558" s="422"/>
      <c r="B1558" s="472" t="s">
        <v>539</v>
      </c>
      <c r="C1558" s="198" t="s">
        <v>2519</v>
      </c>
      <c r="D1558" s="202" t="s">
        <v>540</v>
      </c>
      <c r="E1558" s="444"/>
      <c r="F1558" s="214"/>
      <c r="G1558" s="205"/>
      <c r="H1558" s="206"/>
      <c r="I1558" s="219" t="s">
        <v>5617</v>
      </c>
    </row>
    <row r="1559" outlineLevel="2">
      <c r="A1559" s="422"/>
      <c r="B1559" s="428"/>
      <c r="C1559" s="495"/>
      <c r="D1559" s="428"/>
      <c r="E1559" s="431"/>
      <c r="F1559" s="432"/>
      <c r="G1559" s="434"/>
      <c r="H1559" s="434"/>
      <c r="I1559" s="240"/>
    </row>
    <row r="1560" outlineLevel="2">
      <c r="A1560" s="422" t="str">
        <f>'Master List'!A201</f>
        <v>M-WIN-077</v>
      </c>
      <c r="B1560" s="472" t="s">
        <v>541</v>
      </c>
      <c r="C1560" s="198" t="s">
        <v>2522</v>
      </c>
      <c r="D1560" s="202" t="s">
        <v>542</v>
      </c>
      <c r="E1560" s="444" t="s">
        <v>227</v>
      </c>
      <c r="F1560" s="214">
        <v>1.0</v>
      </c>
      <c r="G1560" s="463">
        <f>VLOOKUP(A1560,'Master List'!$A$4:$F4274,5,FALSE)</f>
        <v>0</v>
      </c>
      <c r="H1560" s="206">
        <f>F1560*G1560</f>
        <v>0</v>
      </c>
      <c r="I1560" s="219"/>
    </row>
    <row r="1561" outlineLevel="2">
      <c r="A1561" s="422"/>
      <c r="B1561" s="428"/>
      <c r="C1561" s="496"/>
      <c r="D1561" s="428"/>
      <c r="E1561" s="431"/>
      <c r="F1561" s="432"/>
      <c r="G1561" s="434"/>
      <c r="H1561" s="434"/>
      <c r="I1561" s="240"/>
    </row>
    <row r="1562" outlineLevel="2">
      <c r="A1562" s="422" t="str">
        <f>'Master List'!A202</f>
        <v>M-WIN-078</v>
      </c>
      <c r="B1562" s="472" t="s">
        <v>543</v>
      </c>
      <c r="C1562" s="198" t="s">
        <v>2524</v>
      </c>
      <c r="D1562" s="202" t="s">
        <v>544</v>
      </c>
      <c r="E1562" s="444" t="s">
        <v>227</v>
      </c>
      <c r="F1562" s="214">
        <v>1.0</v>
      </c>
      <c r="G1562" s="463">
        <f>VLOOKUP(A1562,'Master List'!$A$4:$F4276,5,FALSE)</f>
        <v>0</v>
      </c>
      <c r="H1562" s="206">
        <f>F1562*G1562</f>
        <v>0</v>
      </c>
      <c r="I1562" s="219"/>
    </row>
    <row r="1563" outlineLevel="2">
      <c r="A1563" s="422"/>
      <c r="B1563" s="428"/>
      <c r="C1563" s="496"/>
      <c r="D1563" s="428"/>
      <c r="E1563" s="431"/>
      <c r="F1563" s="432"/>
      <c r="G1563" s="434"/>
      <c r="H1563" s="434"/>
      <c r="I1563" s="240"/>
    </row>
    <row r="1564" outlineLevel="2">
      <c r="A1564" s="422" t="str">
        <f>'Master List'!A203</f>
        <v>M-WIN-079</v>
      </c>
      <c r="B1564" s="472" t="s">
        <v>545</v>
      </c>
      <c r="C1564" s="198" t="s">
        <v>2526</v>
      </c>
      <c r="D1564" s="202" t="s">
        <v>546</v>
      </c>
      <c r="E1564" s="444" t="s">
        <v>227</v>
      </c>
      <c r="F1564" s="214">
        <v>1.0</v>
      </c>
      <c r="G1564" s="463">
        <f>VLOOKUP(A1564,'Master List'!$A$4:$F4278,5,FALSE)</f>
        <v>0</v>
      </c>
      <c r="H1564" s="206">
        <f>F1564*G1564</f>
        <v>0</v>
      </c>
      <c r="I1564" s="219"/>
    </row>
    <row r="1565" outlineLevel="2">
      <c r="A1565" s="422"/>
      <c r="B1565" s="428"/>
      <c r="C1565" s="496"/>
      <c r="D1565" s="428"/>
      <c r="E1565" s="431"/>
      <c r="F1565" s="432"/>
      <c r="G1565" s="434"/>
      <c r="H1565" s="434"/>
      <c r="I1565" s="240"/>
    </row>
    <row r="1566" outlineLevel="1">
      <c r="A1566" s="422"/>
      <c r="B1566" s="472" t="s">
        <v>547</v>
      </c>
      <c r="C1566" s="496"/>
      <c r="D1566" s="476" t="s">
        <v>548</v>
      </c>
      <c r="E1566" s="431"/>
      <c r="F1566" s="432"/>
      <c r="G1566" s="436">
        <f>SUM(H1570:H1574)</f>
        <v>0</v>
      </c>
      <c r="H1566" s="434"/>
      <c r="I1566" s="240"/>
    </row>
    <row r="1567" outlineLevel="2">
      <c r="A1567" s="422"/>
      <c r="B1567" s="428"/>
      <c r="C1567" s="496"/>
      <c r="D1567" s="428"/>
      <c r="E1567" s="431"/>
      <c r="F1567" s="432"/>
      <c r="G1567" s="434"/>
      <c r="H1567" s="434"/>
      <c r="I1567" s="240"/>
    </row>
    <row r="1568" outlineLevel="2">
      <c r="A1568" s="422"/>
      <c r="B1568" s="448" t="s">
        <v>549</v>
      </c>
      <c r="C1568" s="264" t="s">
        <v>2529</v>
      </c>
      <c r="D1568" s="292" t="s">
        <v>550</v>
      </c>
      <c r="E1568" s="497"/>
      <c r="F1568" s="214"/>
      <c r="G1568" s="205"/>
      <c r="H1568" s="206"/>
      <c r="I1568" s="294"/>
    </row>
    <row r="1569" outlineLevel="2">
      <c r="A1569" s="422"/>
      <c r="B1569" s="450"/>
      <c r="C1569" s="496"/>
      <c r="D1569" s="450"/>
      <c r="E1569" s="431"/>
      <c r="F1569" s="453"/>
      <c r="G1569" s="498"/>
      <c r="H1569" s="498"/>
      <c r="I1569" s="295"/>
    </row>
    <row r="1570" outlineLevel="2">
      <c r="A1570" s="422" t="str">
        <f>'Master List'!A204</f>
        <v>M-WIN-080</v>
      </c>
      <c r="B1570" s="448" t="s">
        <v>551</v>
      </c>
      <c r="C1570" s="264" t="s">
        <v>2531</v>
      </c>
      <c r="D1570" s="292" t="s">
        <v>552</v>
      </c>
      <c r="E1570" s="497" t="s">
        <v>75</v>
      </c>
      <c r="F1570" s="214">
        <v>1.0</v>
      </c>
      <c r="G1570" s="463">
        <f>VLOOKUP(A1570,'Master List'!$A$4:$F4284,5,FALSE)</f>
        <v>0</v>
      </c>
      <c r="H1570" s="206">
        <f>F1570*G1570</f>
        <v>0</v>
      </c>
      <c r="I1570" s="294"/>
    </row>
    <row r="1571" outlineLevel="2">
      <c r="A1571" s="422"/>
      <c r="B1571" s="450"/>
      <c r="C1571" s="496"/>
      <c r="D1571" s="450"/>
      <c r="E1571" s="431"/>
      <c r="F1571" s="453"/>
      <c r="G1571" s="498"/>
      <c r="H1571" s="498"/>
      <c r="I1571" s="295"/>
    </row>
    <row r="1572" outlineLevel="2">
      <c r="A1572" s="422" t="str">
        <f>'Master List'!A204</f>
        <v>M-WIN-080</v>
      </c>
      <c r="B1572" s="448" t="s">
        <v>553</v>
      </c>
      <c r="C1572" s="264" t="s">
        <v>2533</v>
      </c>
      <c r="D1572" s="292" t="s">
        <v>554</v>
      </c>
      <c r="E1572" s="497" t="s">
        <v>75</v>
      </c>
      <c r="F1572" s="214">
        <v>1.0</v>
      </c>
      <c r="G1572" s="463">
        <f>VLOOKUP(A1572,'Master List'!$A$4:$F4286,5,FALSE)</f>
        <v>0</v>
      </c>
      <c r="H1572" s="206">
        <f>F1572*G1572</f>
        <v>0</v>
      </c>
      <c r="I1572" s="294"/>
    </row>
    <row r="1573" outlineLevel="2">
      <c r="A1573" s="422"/>
      <c r="B1573" s="450"/>
      <c r="C1573" s="496"/>
      <c r="D1573" s="450"/>
      <c r="E1573" s="431"/>
      <c r="F1573" s="453"/>
      <c r="G1573" s="498"/>
      <c r="H1573" s="498"/>
      <c r="I1573" s="295"/>
    </row>
    <row r="1574" outlineLevel="2">
      <c r="A1574" s="422" t="str">
        <f>'Master List'!A204</f>
        <v>M-WIN-080</v>
      </c>
      <c r="B1574" s="448" t="s">
        <v>555</v>
      </c>
      <c r="C1574" s="264" t="s">
        <v>2535</v>
      </c>
      <c r="D1574" s="292" t="s">
        <v>556</v>
      </c>
      <c r="E1574" s="497" t="s">
        <v>75</v>
      </c>
      <c r="F1574" s="214">
        <v>1.0</v>
      </c>
      <c r="G1574" s="463">
        <f>VLOOKUP(A1574,'Master List'!$A$4:$F4288,5,FALSE)</f>
        <v>0</v>
      </c>
      <c r="H1574" s="206">
        <f>F1574*G1574</f>
        <v>0</v>
      </c>
      <c r="I1574" s="294"/>
    </row>
    <row r="1575" outlineLevel="2">
      <c r="A1575" s="422"/>
      <c r="B1575" s="428"/>
      <c r="C1575" s="496"/>
      <c r="D1575" s="428"/>
      <c r="E1575" s="431"/>
      <c r="F1575" s="432"/>
      <c r="G1575" s="434"/>
      <c r="H1575" s="434"/>
      <c r="I1575" s="240"/>
    </row>
    <row r="1576" outlineLevel="1">
      <c r="A1576" s="422"/>
      <c r="B1576" s="472" t="s">
        <v>547</v>
      </c>
      <c r="C1576" s="496"/>
      <c r="D1576" s="476" t="s">
        <v>557</v>
      </c>
      <c r="E1576" s="431"/>
      <c r="F1576" s="432"/>
      <c r="G1576" s="436">
        <f>SUM(H1578:H1601)</f>
        <v>12414.922</v>
      </c>
      <c r="H1576" s="434"/>
      <c r="I1576" s="240"/>
    </row>
    <row r="1577" outlineLevel="2">
      <c r="A1577" s="422"/>
      <c r="B1577" s="428"/>
      <c r="C1577" s="496"/>
      <c r="D1577" s="428"/>
      <c r="E1577" s="431"/>
      <c r="F1577" s="432"/>
      <c r="G1577" s="434"/>
      <c r="H1577" s="434"/>
      <c r="I1577" s="240"/>
    </row>
    <row r="1578" outlineLevel="2">
      <c r="A1578" s="422"/>
      <c r="B1578" s="472" t="s">
        <v>549</v>
      </c>
      <c r="C1578" s="198">
        <v>12.3</v>
      </c>
      <c r="D1578" s="202" t="s">
        <v>558</v>
      </c>
      <c r="E1578" s="444" t="s">
        <v>75</v>
      </c>
      <c r="F1578" s="214">
        <v>7.0</v>
      </c>
      <c r="G1578" s="205"/>
      <c r="H1578" s="206"/>
      <c r="I1578" s="219"/>
    </row>
    <row r="1579" outlineLevel="2">
      <c r="A1579" s="422"/>
      <c r="B1579" s="472"/>
      <c r="C1579" s="230"/>
      <c r="D1579" s="246"/>
      <c r="E1579" s="437"/>
      <c r="F1579" s="170"/>
      <c r="G1579" s="239"/>
      <c r="H1579" s="239"/>
      <c r="I1579" s="240"/>
    </row>
    <row r="1580" outlineLevel="2">
      <c r="A1580" s="422" t="str">
        <f>'Master List'!A674</f>
        <v>W-PLB-001</v>
      </c>
      <c r="B1580" s="472"/>
      <c r="C1580" s="198"/>
      <c r="D1580" s="462" t="str">
        <f>VLOOKUP(A1580,'Master List'!$A$1:$C$1192,2,FALSE)</f>
        <v>Монтаж душового лотка</v>
      </c>
      <c r="E1580" s="463" t="str">
        <f>VLOOKUP(A1580,'Master List'!$A$1:$C$1192,3,FALSE)</f>
        <v>шт</v>
      </c>
      <c r="F1580" s="464">
        <f>F1578</f>
        <v>7</v>
      </c>
      <c r="G1580" s="463">
        <f>VLOOKUP(A1580,'Master List'!$A$4:$F4293,5,FALSE)</f>
        <v>390</v>
      </c>
      <c r="H1580" s="206">
        <f t="shared" ref="H1580:H1581" si="148">G1580*F1580</f>
        <v>2730</v>
      </c>
      <c r="I1580" s="240"/>
    </row>
    <row r="1581" outlineLevel="2">
      <c r="A1581" s="422" t="str">
        <f>'Master List'!A222</f>
        <v>M-PLB-001</v>
      </c>
      <c r="B1581" s="472"/>
      <c r="C1581" s="198"/>
      <c r="D1581" s="462" t="str">
        <f>VLOOKUP(A1581,'Master List'!$A$1:$C$1192,2,FALSE)</f>
        <v>Душовий лоток GEBERIT CLEANLINE20 90см</v>
      </c>
      <c r="E1581" s="463" t="str">
        <f>VLOOKUP(A1581,'Master List'!$A$1:$C$1192,3,FALSE)</f>
        <v>шт</v>
      </c>
      <c r="F1581" s="464">
        <f>F1578</f>
        <v>7</v>
      </c>
      <c r="G1581" s="463">
        <f>VLOOKUP(A1581,'Master List'!$A$4:$F4294,5,FALSE)</f>
        <v>339.3</v>
      </c>
      <c r="H1581" s="206">
        <f t="shared" si="148"/>
        <v>2375.1</v>
      </c>
      <c r="I1581" s="240"/>
    </row>
    <row r="1582" outlineLevel="2">
      <c r="A1582" s="422"/>
      <c r="B1582" s="472"/>
      <c r="C1582" s="230"/>
      <c r="D1582" s="246"/>
      <c r="E1582" s="437"/>
      <c r="F1582" s="170"/>
      <c r="G1582" s="239"/>
      <c r="H1582" s="239"/>
      <c r="I1582" s="240"/>
    </row>
    <row r="1583" outlineLevel="2">
      <c r="A1583" s="422"/>
      <c r="B1583" s="472" t="s">
        <v>560</v>
      </c>
      <c r="C1583" s="198" t="s">
        <v>2539</v>
      </c>
      <c r="D1583" s="202" t="s">
        <v>561</v>
      </c>
      <c r="E1583" s="444" t="s">
        <v>75</v>
      </c>
      <c r="F1583" s="214">
        <v>1.0</v>
      </c>
      <c r="G1583" s="205"/>
      <c r="H1583" s="206"/>
      <c r="I1583" s="219"/>
    </row>
    <row r="1584" outlineLevel="2">
      <c r="A1584" s="422"/>
      <c r="B1584" s="472"/>
      <c r="C1584" s="230"/>
      <c r="D1584" s="246"/>
      <c r="E1584" s="437"/>
      <c r="F1584" s="170"/>
      <c r="G1584" s="239"/>
      <c r="H1584" s="239"/>
      <c r="I1584" s="240"/>
    </row>
    <row r="1585" outlineLevel="2">
      <c r="A1585" s="422" t="str">
        <f>'Master List'!A675</f>
        <v>W-PLB-002</v>
      </c>
      <c r="B1585" s="472"/>
      <c r="C1585" s="198"/>
      <c r="D1585" s="462" t="str">
        <f>VLOOKUP(A1585,'Master List'!$A$1:$C$1192,2,FALSE)</f>
        <v>Монтаж ванни</v>
      </c>
      <c r="E1585" s="463" t="str">
        <f>VLOOKUP(A1585,'Master List'!$A$1:$C$1192,3,FALSE)</f>
        <v>шт</v>
      </c>
      <c r="F1585" s="464">
        <f>F1583</f>
        <v>1</v>
      </c>
      <c r="G1585" s="463">
        <f>VLOOKUP(A1585,'Master List'!$A$4:$F4300,5,FALSE)</f>
        <v>741</v>
      </c>
      <c r="H1585" s="206">
        <f t="shared" ref="H1585:H1586" si="149">G1585*F1585</f>
        <v>741</v>
      </c>
      <c r="I1585" s="240"/>
    </row>
    <row r="1586" outlineLevel="2">
      <c r="A1586" s="422" t="str">
        <f>'Master List'!A223</f>
        <v>M-PLB-002</v>
      </c>
      <c r="B1586" s="472"/>
      <c r="C1586" s="198"/>
      <c r="D1586" s="462" t="str">
        <f>VLOOKUP(A1586,'Master List'!$A$1:$C$1192,2,FALSE)</f>
        <v>Ванна ONE BB1.20 PADIMAT розміром 160x75см, арт. BB1.20.16075</v>
      </c>
      <c r="E1586" s="463" t="str">
        <f>VLOOKUP(A1586,'Master List'!$A$1:$C$1192,3,FALSE)</f>
        <v>шт</v>
      </c>
      <c r="F1586" s="464">
        <f>F1583</f>
        <v>1</v>
      </c>
      <c r="G1586" s="463">
        <f>VLOOKUP(A1586,'Master List'!$A$4:$F4301,5,FALSE)</f>
        <v>0</v>
      </c>
      <c r="H1586" s="206">
        <f t="shared" si="149"/>
        <v>0</v>
      </c>
      <c r="I1586" s="240"/>
    </row>
    <row r="1587" outlineLevel="2">
      <c r="A1587" s="422"/>
      <c r="B1587" s="428"/>
      <c r="C1587" s="496"/>
      <c r="D1587" s="428"/>
      <c r="E1587" s="431"/>
      <c r="F1587" s="432"/>
      <c r="G1587" s="434"/>
      <c r="H1587" s="434"/>
      <c r="I1587" s="240"/>
    </row>
    <row r="1588" outlineLevel="2">
      <c r="A1588" s="422"/>
      <c r="B1588" s="472" t="s">
        <v>562</v>
      </c>
      <c r="C1588" s="198" t="s">
        <v>2541</v>
      </c>
      <c r="D1588" s="202" t="s">
        <v>563</v>
      </c>
      <c r="E1588" s="444" t="s">
        <v>75</v>
      </c>
      <c r="F1588" s="214">
        <v>6.0</v>
      </c>
      <c r="G1588" s="205"/>
      <c r="H1588" s="206"/>
      <c r="I1588" s="219"/>
    </row>
    <row r="1589" outlineLevel="2">
      <c r="A1589" s="422"/>
      <c r="B1589" s="472"/>
      <c r="C1589" s="230"/>
      <c r="D1589" s="246"/>
      <c r="E1589" s="437"/>
      <c r="F1589" s="170"/>
      <c r="G1589" s="239"/>
      <c r="H1589" s="239"/>
      <c r="I1589" s="240"/>
    </row>
    <row r="1590" outlineLevel="2">
      <c r="A1590" s="422" t="str">
        <f>'Master List'!A676</f>
        <v>W-PLB-003</v>
      </c>
      <c r="B1590" s="472"/>
      <c r="C1590" s="198"/>
      <c r="D1590" s="462" t="str">
        <f>VLOOKUP(A1590,'Master List'!$A$1:$C$1192,2,FALSE)</f>
        <v>Монтаж унітазу підвісного</v>
      </c>
      <c r="E1590" s="463" t="str">
        <f>VLOOKUP(A1590,'Master List'!$A$1:$C$1192,3,FALSE)</f>
        <v>шт</v>
      </c>
      <c r="F1590" s="464">
        <f>F1588</f>
        <v>6</v>
      </c>
      <c r="G1590" s="463">
        <f>VLOOKUP(A1590,'Master List'!$A$4:$F4306,5,FALSE)</f>
        <v>481</v>
      </c>
      <c r="H1590" s="206">
        <f t="shared" ref="H1590:H1591" si="150">G1590*F1590</f>
        <v>2886</v>
      </c>
      <c r="I1590" s="240"/>
    </row>
    <row r="1591" outlineLevel="2">
      <c r="A1591" s="422" t="str">
        <f>'Master List'!A224</f>
        <v>M-PLB-003</v>
      </c>
      <c r="B1591" s="472"/>
      <c r="C1591" s="198"/>
      <c r="D1591" s="462" t="str">
        <f>VLOOKUP(A1591,'Master List'!$A$1:$C$1192,2,FALSE)</f>
        <v>Унітаз підвісний BORMIO BR18 PADIMAT, арт. 5603313495638</v>
      </c>
      <c r="E1591" s="463" t="str">
        <f>VLOOKUP(A1591,'Master List'!$A$1:$C$1192,3,FALSE)</f>
        <v>шт</v>
      </c>
      <c r="F1591" s="464">
        <f>F1588</f>
        <v>6</v>
      </c>
      <c r="G1591" s="463">
        <f>VLOOKUP(A1591,'Master List'!$A$4:$F4307,5,FALSE)</f>
        <v>461.747</v>
      </c>
      <c r="H1591" s="206">
        <f t="shared" si="150"/>
        <v>2770.482</v>
      </c>
      <c r="I1591" s="240"/>
    </row>
    <row r="1592" outlineLevel="2">
      <c r="A1592" s="422"/>
      <c r="B1592" s="428"/>
      <c r="C1592" s="496"/>
      <c r="D1592" s="428"/>
      <c r="E1592" s="431"/>
      <c r="F1592" s="432"/>
      <c r="G1592" s="434"/>
      <c r="H1592" s="434"/>
      <c r="I1592" s="240"/>
    </row>
    <row r="1593" outlineLevel="2">
      <c r="A1593" s="422"/>
      <c r="B1593" s="472" t="s">
        <v>564</v>
      </c>
      <c r="C1593" s="198" t="s">
        <v>2543</v>
      </c>
      <c r="D1593" s="202" t="s">
        <v>565</v>
      </c>
      <c r="E1593" s="444" t="s">
        <v>75</v>
      </c>
      <c r="F1593" s="214">
        <v>2.0</v>
      </c>
      <c r="G1593" s="205"/>
      <c r="H1593" s="206"/>
      <c r="I1593" s="219"/>
    </row>
    <row r="1594" outlineLevel="2">
      <c r="A1594" s="422"/>
      <c r="B1594" s="472"/>
      <c r="C1594" s="230"/>
      <c r="D1594" s="246"/>
      <c r="E1594" s="437"/>
      <c r="F1594" s="170"/>
      <c r="G1594" s="239"/>
      <c r="H1594" s="239"/>
      <c r="I1594" s="240"/>
    </row>
    <row r="1595" outlineLevel="2">
      <c r="A1595" s="422" t="str">
        <f>'Master List'!A677</f>
        <v>W-PLB-004</v>
      </c>
      <c r="B1595" s="472"/>
      <c r="C1595" s="198"/>
      <c r="D1595" s="462" t="str">
        <f>VLOOKUP(A1595,'Master List'!$A$1:$C$1192,2,FALSE)</f>
        <v>Монтаж кнопки зливу</v>
      </c>
      <c r="E1595" s="463" t="str">
        <f>VLOOKUP(A1595,'Master List'!$A$1:$C$1192,3,FALSE)</f>
        <v>шт</v>
      </c>
      <c r="F1595" s="464">
        <f>F1593</f>
        <v>2</v>
      </c>
      <c r="G1595" s="463">
        <f>VLOOKUP(A1595,'Master List'!$A$4:$F4312,5,FALSE)</f>
        <v>32.5</v>
      </c>
      <c r="H1595" s="206">
        <f t="shared" ref="H1595:H1596" si="151">G1595*F1595</f>
        <v>65</v>
      </c>
      <c r="I1595" s="240"/>
    </row>
    <row r="1596" outlineLevel="2">
      <c r="A1596" s="422" t="str">
        <f>'Master List'!A225</f>
        <v>M-PLB-004</v>
      </c>
      <c r="B1596" s="472"/>
      <c r="C1596" s="198"/>
      <c r="D1596" s="462" t="str">
        <f>VLOOKUP(A1596,'Master List'!$A$1:$C$1192,2,FALSE)</f>
        <v>Кнопка зливу GEBERIT DELTA10 115.101.00.5</v>
      </c>
      <c r="E1596" s="463" t="str">
        <f>VLOOKUP(A1596,'Master List'!$A$1:$C$1192,3,FALSE)</f>
        <v>шт</v>
      </c>
      <c r="F1596" s="464">
        <f>F1593</f>
        <v>2</v>
      </c>
      <c r="G1596" s="463">
        <f>VLOOKUP(A1596,'Master List'!$A$4:$F4313,5,FALSE)</f>
        <v>96.07</v>
      </c>
      <c r="H1596" s="206">
        <f t="shared" si="151"/>
        <v>192.14</v>
      </c>
      <c r="I1596" s="240"/>
    </row>
    <row r="1597" outlineLevel="2">
      <c r="A1597" s="422"/>
      <c r="B1597" s="428"/>
      <c r="C1597" s="496"/>
      <c r="D1597" s="428"/>
      <c r="E1597" s="431"/>
      <c r="F1597" s="432"/>
      <c r="G1597" s="434"/>
      <c r="H1597" s="434"/>
      <c r="I1597" s="240"/>
    </row>
    <row r="1598" outlineLevel="2">
      <c r="A1598" s="422"/>
      <c r="B1598" s="472" t="s">
        <v>566</v>
      </c>
      <c r="C1598" s="198" t="s">
        <v>2545</v>
      </c>
      <c r="D1598" s="202" t="s">
        <v>567</v>
      </c>
      <c r="E1598" s="444" t="s">
        <v>75</v>
      </c>
      <c r="F1598" s="214">
        <v>4.0</v>
      </c>
      <c r="G1598" s="205"/>
      <c r="H1598" s="206"/>
      <c r="I1598" s="219"/>
    </row>
    <row r="1599" outlineLevel="2">
      <c r="A1599" s="422"/>
      <c r="B1599" s="472"/>
      <c r="C1599" s="230"/>
      <c r="D1599" s="246"/>
      <c r="E1599" s="437"/>
      <c r="F1599" s="170"/>
      <c r="G1599" s="239"/>
      <c r="H1599" s="239"/>
      <c r="I1599" s="240"/>
    </row>
    <row r="1600" outlineLevel="2">
      <c r="A1600" s="422" t="str">
        <f>'Master List'!A677</f>
        <v>W-PLB-004</v>
      </c>
      <c r="B1600" s="472"/>
      <c r="C1600" s="198"/>
      <c r="D1600" s="462" t="str">
        <f>VLOOKUP(A1600,'Master List'!$A$1:$C$1192,2,FALSE)</f>
        <v>Монтаж кнопки зливу</v>
      </c>
      <c r="E1600" s="463" t="str">
        <f>VLOOKUP(A1600,'Master List'!$A$1:$C$1192,3,FALSE)</f>
        <v>шт</v>
      </c>
      <c r="F1600" s="464">
        <f>F1598</f>
        <v>4</v>
      </c>
      <c r="G1600" s="463">
        <f>VLOOKUP(A1600,'Master List'!$A$4:$F4318,5,FALSE)</f>
        <v>32.5</v>
      </c>
      <c r="H1600" s="206">
        <f t="shared" ref="H1600:H1601" si="152">G1600*F1600</f>
        <v>130</v>
      </c>
      <c r="I1600" s="240"/>
    </row>
    <row r="1601" outlineLevel="2">
      <c r="A1601" s="422" t="str">
        <f>'Master List'!A226</f>
        <v>M-PLB-005</v>
      </c>
      <c r="B1601" s="472"/>
      <c r="C1601" s="198"/>
      <c r="D1601" s="462" t="str">
        <f>VLOOKUP(A1601,'Master List'!$A$1:$C$1192,2,FALSE)</f>
        <v>Кнопка зливу GEBERIT 10 116.056.JQ.1</v>
      </c>
      <c r="E1601" s="463" t="str">
        <f>VLOOKUP(A1601,'Master List'!$A$1:$C$1192,3,FALSE)</f>
        <v>шт</v>
      </c>
      <c r="F1601" s="464">
        <f>F1598</f>
        <v>4</v>
      </c>
      <c r="G1601" s="463">
        <f>VLOOKUP(A1601,'Master List'!$A$4:$F4319,5,FALSE)</f>
        <v>131.3</v>
      </c>
      <c r="H1601" s="206">
        <f t="shared" si="152"/>
        <v>525.2</v>
      </c>
      <c r="I1601" s="240"/>
    </row>
    <row r="1602" outlineLevel="2">
      <c r="A1602" s="422"/>
      <c r="B1602" s="472"/>
      <c r="C1602" s="230"/>
      <c r="D1602" s="246"/>
      <c r="E1602" s="437"/>
      <c r="F1602" s="170"/>
      <c r="G1602" s="239"/>
      <c r="H1602" s="239"/>
      <c r="I1602" s="240"/>
    </row>
    <row r="1603" outlineLevel="2">
      <c r="A1603" s="422"/>
      <c r="B1603" s="428"/>
      <c r="C1603" s="496"/>
      <c r="D1603" s="428"/>
      <c r="E1603" s="431"/>
      <c r="F1603" s="432"/>
      <c r="G1603" s="434"/>
      <c r="H1603" s="434"/>
      <c r="I1603" s="240"/>
    </row>
    <row r="1604" outlineLevel="1">
      <c r="A1604" s="422"/>
      <c r="B1604" s="472" t="s">
        <v>569</v>
      </c>
      <c r="C1604" s="496"/>
      <c r="D1604" s="476" t="s">
        <v>570</v>
      </c>
      <c r="E1604" s="431"/>
      <c r="F1604" s="432"/>
      <c r="G1604" s="436">
        <f>SUM(H1606:H1644)</f>
        <v>5241.574</v>
      </c>
      <c r="H1604" s="434"/>
      <c r="I1604" s="240"/>
    </row>
    <row r="1605" outlineLevel="2">
      <c r="A1605" s="422"/>
      <c r="B1605" s="428"/>
      <c r="C1605" s="496"/>
      <c r="D1605" s="428"/>
      <c r="E1605" s="431"/>
      <c r="F1605" s="432"/>
      <c r="G1605" s="434"/>
      <c r="H1605" s="434"/>
      <c r="I1605" s="240"/>
    </row>
    <row r="1606" outlineLevel="2">
      <c r="A1606" s="422"/>
      <c r="B1606" s="472" t="s">
        <v>571</v>
      </c>
      <c r="C1606" s="198">
        <v>12.4</v>
      </c>
      <c r="D1606" s="202" t="s">
        <v>572</v>
      </c>
      <c r="E1606" s="444" t="s">
        <v>75</v>
      </c>
      <c r="F1606" s="214">
        <v>14.0</v>
      </c>
      <c r="G1606" s="205"/>
      <c r="H1606" s="206"/>
      <c r="I1606" s="219"/>
    </row>
    <row r="1607" outlineLevel="2">
      <c r="A1607" s="422"/>
      <c r="B1607" s="472"/>
      <c r="C1607" s="230"/>
      <c r="D1607" s="246"/>
      <c r="E1607" s="437"/>
      <c r="F1607" s="170"/>
      <c r="G1607" s="239"/>
      <c r="H1607" s="239"/>
      <c r="I1607" s="240"/>
    </row>
    <row r="1608" outlineLevel="2">
      <c r="A1608" s="422" t="str">
        <f>'Master List'!A678</f>
        <v>W-PLB-005</v>
      </c>
      <c r="B1608" s="472"/>
      <c r="C1608" s="198"/>
      <c r="D1608" s="462" t="str">
        <f>VLOOKUP(A1608,'Master List'!$A$1:$C$1192,2,FALSE)</f>
        <v>Монтаж прохідного крану</v>
      </c>
      <c r="E1608" s="463" t="str">
        <f>VLOOKUP(A1608,'Master List'!$A$1:$C$1192,3,FALSE)</f>
        <v>шт</v>
      </c>
      <c r="F1608" s="464">
        <f>F1606</f>
        <v>14</v>
      </c>
      <c r="G1608" s="463">
        <f>VLOOKUP(A1608,'Master List'!$A$4:$F4326,5,FALSE)</f>
        <v>45.5</v>
      </c>
      <c r="H1608" s="206">
        <f t="shared" ref="H1608:H1609" si="153">G1608*F1608</f>
        <v>637</v>
      </c>
      <c r="I1608" s="240"/>
    </row>
    <row r="1609" outlineLevel="2">
      <c r="A1609" s="422" t="str">
        <f>'Master List'!A227</f>
        <v>M-PLB-006</v>
      </c>
      <c r="B1609" s="472"/>
      <c r="C1609" s="198"/>
      <c r="D1609" s="462" t="str">
        <f>VLOOKUP(A1609,'Master List'!$A$1:$C$1192,2,FALSE)</f>
        <v>Кран прохідний 3/4"</v>
      </c>
      <c r="E1609" s="463" t="str">
        <f>VLOOKUP(A1609,'Master List'!$A$1:$C$1192,3,FALSE)</f>
        <v>шт</v>
      </c>
      <c r="F1609" s="464">
        <f>F1606</f>
        <v>14</v>
      </c>
      <c r="G1609" s="463">
        <f>VLOOKUP(A1609,'Master List'!$A$4:$F4327,5,FALSE)</f>
        <v>10.27</v>
      </c>
      <c r="H1609" s="206">
        <f t="shared" si="153"/>
        <v>143.78</v>
      </c>
      <c r="I1609" s="240"/>
    </row>
    <row r="1610" outlineLevel="2">
      <c r="A1610" s="422"/>
      <c r="B1610" s="428"/>
      <c r="C1610" s="496"/>
      <c r="D1610" s="428"/>
      <c r="E1610" s="431"/>
      <c r="F1610" s="432"/>
      <c r="G1610" s="434"/>
      <c r="H1610" s="434"/>
      <c r="I1610" s="240"/>
    </row>
    <row r="1611" outlineLevel="2">
      <c r="A1611" s="422"/>
      <c r="B1611" s="472" t="s">
        <v>574</v>
      </c>
      <c r="C1611" s="198" t="s">
        <v>2549</v>
      </c>
      <c r="D1611" s="202" t="s">
        <v>575</v>
      </c>
      <c r="E1611" s="444" t="s">
        <v>75</v>
      </c>
      <c r="F1611" s="214">
        <v>6.0</v>
      </c>
      <c r="G1611" s="205"/>
      <c r="H1611" s="206"/>
      <c r="I1611" s="219"/>
    </row>
    <row r="1612" outlineLevel="2">
      <c r="A1612" s="422"/>
      <c r="B1612" s="472"/>
      <c r="C1612" s="230"/>
      <c r="D1612" s="246"/>
      <c r="E1612" s="437"/>
      <c r="F1612" s="170"/>
      <c r="G1612" s="239"/>
      <c r="H1612" s="239"/>
      <c r="I1612" s="240"/>
    </row>
    <row r="1613" outlineLevel="2">
      <c r="A1613" s="422" t="str">
        <f>'Master List'!A679</f>
        <v>W-PLB-006</v>
      </c>
      <c r="B1613" s="472"/>
      <c r="C1613" s="198"/>
      <c r="D1613" s="462" t="str">
        <f>VLOOKUP(A1613,'Master List'!$A$1:$C$1192,2,FALSE)</f>
        <v>Монтаж клапана</v>
      </c>
      <c r="E1613" s="463" t="str">
        <f>VLOOKUP(A1613,'Master List'!$A$1:$C$1192,3,FALSE)</f>
        <v>шт</v>
      </c>
      <c r="F1613" s="464">
        <f>F1611</f>
        <v>6</v>
      </c>
      <c r="G1613" s="463">
        <f>VLOOKUP(A1613,'Master List'!$A$4:$F4332,5,FALSE)</f>
        <v>39</v>
      </c>
      <c r="H1613" s="206">
        <f t="shared" ref="H1613:H1614" si="154">G1613*F1613</f>
        <v>234</v>
      </c>
      <c r="I1613" s="240"/>
    </row>
    <row r="1614" outlineLevel="2">
      <c r="A1614" s="422" t="str">
        <f>'Master List'!A228</f>
        <v>M-PLB-007</v>
      </c>
      <c r="B1614" s="472"/>
      <c r="C1614" s="198"/>
      <c r="D1614" s="462" t="str">
        <f>VLOOKUP(A1614,'Master List'!$A$1:$C$1192,2,FALSE)</f>
        <v>Клапан 1 1/4"</v>
      </c>
      <c r="E1614" s="463" t="str">
        <f>VLOOKUP(A1614,'Master List'!$A$1:$C$1192,3,FALSE)</f>
        <v>шт</v>
      </c>
      <c r="F1614" s="464">
        <f>F1611</f>
        <v>6</v>
      </c>
      <c r="G1614" s="463">
        <f>VLOOKUP(A1614,'Master List'!$A$4:$F4334,5,FALSE)</f>
        <v>15.99</v>
      </c>
      <c r="H1614" s="206">
        <f t="shared" si="154"/>
        <v>95.94</v>
      </c>
      <c r="I1614" s="240"/>
    </row>
    <row r="1615" outlineLevel="2">
      <c r="A1615" s="422"/>
      <c r="B1615" s="428"/>
      <c r="C1615" s="496"/>
      <c r="D1615" s="428"/>
      <c r="E1615" s="431"/>
      <c r="F1615" s="432"/>
      <c r="G1615" s="434"/>
      <c r="H1615" s="434"/>
      <c r="I1615" s="240"/>
    </row>
    <row r="1616" outlineLevel="2">
      <c r="A1616" s="422"/>
      <c r="B1616" s="472" t="s">
        <v>576</v>
      </c>
      <c r="C1616" s="198" t="s">
        <v>2551</v>
      </c>
      <c r="D1616" s="202" t="s">
        <v>577</v>
      </c>
      <c r="E1616" s="444" t="s">
        <v>75</v>
      </c>
      <c r="F1616" s="214">
        <v>1.0</v>
      </c>
      <c r="G1616" s="205"/>
      <c r="H1616" s="206"/>
      <c r="I1616" s="219"/>
    </row>
    <row r="1617" outlineLevel="2">
      <c r="A1617" s="422"/>
      <c r="B1617" s="472"/>
      <c r="C1617" s="230"/>
      <c r="D1617" s="246"/>
      <c r="E1617" s="437"/>
      <c r="F1617" s="170"/>
      <c r="G1617" s="239"/>
      <c r="H1617" s="239"/>
      <c r="I1617" s="240"/>
    </row>
    <row r="1618" outlineLevel="2">
      <c r="A1618" s="422" t="str">
        <f>'Master List'!A680</f>
        <v>W-PLB-007</v>
      </c>
      <c r="B1618" s="472"/>
      <c r="C1618" s="198"/>
      <c r="D1618" s="462" t="str">
        <f>VLOOKUP(A1618,'Master List'!$A$1:$C$1192,2,FALSE)</f>
        <v>Монтаж змішувача для умивальника</v>
      </c>
      <c r="E1618" s="463" t="str">
        <f>VLOOKUP(A1618,'Master List'!$A$1:$C$1192,3,FALSE)</f>
        <v>шт</v>
      </c>
      <c r="F1618" s="464">
        <f>F1616</f>
        <v>1</v>
      </c>
      <c r="G1618" s="463">
        <f>VLOOKUP(A1618,'Master List'!$A$4:$F4338,5,FALSE)</f>
        <v>65</v>
      </c>
      <c r="H1618" s="206">
        <f t="shared" ref="H1618:H1619" si="155">G1618*F1618</f>
        <v>65</v>
      </c>
      <c r="I1618" s="240"/>
    </row>
    <row r="1619" outlineLevel="2">
      <c r="A1619" s="422" t="str">
        <f>'Master List'!A229</f>
        <v>M-PLB-008</v>
      </c>
      <c r="B1619" s="472"/>
      <c r="C1619" s="198"/>
      <c r="D1619" s="462" t="str">
        <f>VLOOKUP(A1619,'Master List'!$A$1:$C$1192,2,FALSE)</f>
        <v>Змішувач для умивальника</v>
      </c>
      <c r="E1619" s="463" t="str">
        <f>VLOOKUP(A1619,'Master List'!$A$1:$C$1192,3,FALSE)</f>
        <v>шт</v>
      </c>
      <c r="F1619" s="464">
        <f>F1616</f>
        <v>1</v>
      </c>
      <c r="G1619" s="463">
        <f>VLOOKUP(A1619,'Master List'!$A$4:$F4339,5,FALSE)</f>
        <v>55.874</v>
      </c>
      <c r="H1619" s="206">
        <f t="shared" si="155"/>
        <v>55.874</v>
      </c>
      <c r="I1619" s="240"/>
    </row>
    <row r="1620" outlineLevel="2">
      <c r="A1620" s="422"/>
      <c r="B1620" s="428"/>
      <c r="C1620" s="496"/>
      <c r="D1620" s="428"/>
      <c r="E1620" s="431"/>
      <c r="F1620" s="432"/>
      <c r="G1620" s="434"/>
      <c r="H1620" s="434"/>
      <c r="I1620" s="240"/>
    </row>
    <row r="1621" outlineLevel="2">
      <c r="A1621" s="422"/>
      <c r="B1621" s="472" t="s">
        <v>578</v>
      </c>
      <c r="C1621" s="198" t="s">
        <v>2553</v>
      </c>
      <c r="D1621" s="202" t="s">
        <v>579</v>
      </c>
      <c r="E1621" s="444" t="s">
        <v>75</v>
      </c>
      <c r="F1621" s="214">
        <v>2.0</v>
      </c>
      <c r="G1621" s="205"/>
      <c r="H1621" s="206"/>
      <c r="I1621" s="219"/>
    </row>
    <row r="1622" outlineLevel="2">
      <c r="A1622" s="422"/>
      <c r="B1622" s="472"/>
      <c r="C1622" s="230"/>
      <c r="D1622" s="246"/>
      <c r="E1622" s="437"/>
      <c r="F1622" s="170"/>
      <c r="G1622" s="239"/>
      <c r="H1622" s="239"/>
      <c r="I1622" s="240"/>
    </row>
    <row r="1623" outlineLevel="2">
      <c r="A1623" s="422" t="str">
        <f>'Master List'!A680</f>
        <v>W-PLB-007</v>
      </c>
      <c r="B1623" s="472"/>
      <c r="C1623" s="198"/>
      <c r="D1623" s="462" t="str">
        <f>VLOOKUP(A1623,'Master List'!$A$1:$C$1192,2,FALSE)</f>
        <v>Монтаж змішувача для умивальника</v>
      </c>
      <c r="E1623" s="463" t="str">
        <f>VLOOKUP(A1623,'Master List'!$A$1:$C$1192,3,FALSE)</f>
        <v>шт</v>
      </c>
      <c r="F1623" s="464">
        <f>F1621</f>
        <v>2</v>
      </c>
      <c r="G1623" s="463">
        <f>VLOOKUP(A1623,'Master List'!$A$4:$F4344,5,FALSE)</f>
        <v>65</v>
      </c>
      <c r="H1623" s="206">
        <f t="shared" ref="H1623:H1624" si="156">G1623*F1623</f>
        <v>130</v>
      </c>
      <c r="I1623" s="240"/>
    </row>
    <row r="1624" outlineLevel="2">
      <c r="A1624" s="422" t="str">
        <f>'Master List'!A229</f>
        <v>M-PLB-008</v>
      </c>
      <c r="B1624" s="472"/>
      <c r="C1624" s="198"/>
      <c r="D1624" s="462" t="str">
        <f>VLOOKUP(A1624,'Master List'!$A$1:$C$1192,2,FALSE)</f>
        <v>Змішувач для умивальника</v>
      </c>
      <c r="E1624" s="463" t="str">
        <f>VLOOKUP(A1624,'Master List'!$A$1:$C$1192,3,FALSE)</f>
        <v>шт</v>
      </c>
      <c r="F1624" s="464">
        <f>F1621</f>
        <v>2</v>
      </c>
      <c r="G1624" s="463">
        <f>VLOOKUP(A1624,'Master List'!$A$4:$F4345,5,FALSE)</f>
        <v>55.874</v>
      </c>
      <c r="H1624" s="206">
        <f t="shared" si="156"/>
        <v>111.748</v>
      </c>
      <c r="I1624" s="240"/>
    </row>
    <row r="1625" outlineLevel="2">
      <c r="A1625" s="422"/>
      <c r="B1625" s="428"/>
      <c r="C1625" s="496"/>
      <c r="D1625" s="428"/>
      <c r="E1625" s="431"/>
      <c r="F1625" s="432"/>
      <c r="G1625" s="434"/>
      <c r="H1625" s="434"/>
      <c r="I1625" s="240"/>
    </row>
    <row r="1626" outlineLevel="2">
      <c r="A1626" s="422"/>
      <c r="B1626" s="472" t="s">
        <v>580</v>
      </c>
      <c r="C1626" s="198" t="s">
        <v>2555</v>
      </c>
      <c r="D1626" s="202" t="s">
        <v>581</v>
      </c>
      <c r="E1626" s="444" t="s">
        <v>75</v>
      </c>
      <c r="F1626" s="214">
        <v>1.0</v>
      </c>
      <c r="G1626" s="205"/>
      <c r="H1626" s="206"/>
      <c r="I1626" s="219"/>
    </row>
    <row r="1627" outlineLevel="2">
      <c r="A1627" s="422"/>
      <c r="B1627" s="472"/>
      <c r="C1627" s="230"/>
      <c r="D1627" s="246"/>
      <c r="E1627" s="437"/>
      <c r="F1627" s="170"/>
      <c r="G1627" s="239"/>
      <c r="H1627" s="239"/>
      <c r="I1627" s="240"/>
    </row>
    <row r="1628" outlineLevel="2">
      <c r="A1628" s="422" t="str">
        <f>'Master List'!A681</f>
        <v>W-PLB-008</v>
      </c>
      <c r="B1628" s="472"/>
      <c r="C1628" s="198"/>
      <c r="D1628" s="462" t="str">
        <f>VLOOKUP(A1628,'Master List'!$A$1:$C$1192,2,FALSE)</f>
        <v>Монтаж змішувача для ванни</v>
      </c>
      <c r="E1628" s="463" t="str">
        <f>VLOOKUP(A1628,'Master List'!$A$1:$C$1192,3,FALSE)</f>
        <v>шт</v>
      </c>
      <c r="F1628" s="464">
        <f>F1626</f>
        <v>1</v>
      </c>
      <c r="G1628" s="463">
        <f>VLOOKUP(A1628,'Master List'!$A$4:$F4350,5,FALSE)</f>
        <v>91</v>
      </c>
      <c r="H1628" s="206">
        <f t="shared" ref="H1628:H1629" si="157">G1628*F1628</f>
        <v>91</v>
      </c>
      <c r="I1628" s="240"/>
    </row>
    <row r="1629" outlineLevel="2">
      <c r="A1629" s="422" t="str">
        <f>'Master List'!A230</f>
        <v>M-PLB-009</v>
      </c>
      <c r="B1629" s="472"/>
      <c r="C1629" s="198"/>
      <c r="D1629" s="462" t="str">
        <f>VLOOKUP(A1629,'Master List'!$A$1:$C$1192,2,FALSE)</f>
        <v>Змішувач для ванни BRUMA, Ref. 186 980 2IS</v>
      </c>
      <c r="E1629" s="463" t="str">
        <f>VLOOKUP(A1629,'Master List'!$A$1:$C$1192,3,FALSE)</f>
        <v>шт</v>
      </c>
      <c r="F1629" s="464">
        <f>F1626</f>
        <v>1</v>
      </c>
      <c r="G1629" s="463">
        <f>VLOOKUP(A1629,'Master List'!$A$4:$F4351,5,FALSE)</f>
        <v>0</v>
      </c>
      <c r="H1629" s="206">
        <f t="shared" si="157"/>
        <v>0</v>
      </c>
      <c r="I1629" s="240"/>
    </row>
    <row r="1630" outlineLevel="2">
      <c r="A1630" s="422"/>
      <c r="B1630" s="428"/>
      <c r="C1630" s="496"/>
      <c r="D1630" s="428"/>
      <c r="E1630" s="431"/>
      <c r="F1630" s="432"/>
      <c r="G1630" s="434"/>
      <c r="H1630" s="434"/>
      <c r="I1630" s="240"/>
    </row>
    <row r="1631" outlineLevel="2">
      <c r="A1631" s="422"/>
      <c r="B1631" s="472" t="s">
        <v>584</v>
      </c>
      <c r="C1631" s="198" t="s">
        <v>2557</v>
      </c>
      <c r="D1631" s="202" t="s">
        <v>585</v>
      </c>
      <c r="E1631" s="444" t="s">
        <v>75</v>
      </c>
      <c r="F1631" s="214">
        <v>6.0</v>
      </c>
      <c r="G1631" s="205"/>
      <c r="H1631" s="206"/>
      <c r="I1631" s="219"/>
    </row>
    <row r="1632" outlineLevel="2">
      <c r="A1632" s="422"/>
      <c r="B1632" s="472"/>
      <c r="C1632" s="230"/>
      <c r="D1632" s="246"/>
      <c r="E1632" s="437"/>
      <c r="F1632" s="170"/>
      <c r="G1632" s="239"/>
      <c r="H1632" s="239"/>
      <c r="I1632" s="240"/>
    </row>
    <row r="1633" outlineLevel="2">
      <c r="A1633" s="422" t="str">
        <f>'Master List'!A682</f>
        <v>W-PLB-009</v>
      </c>
      <c r="B1633" s="472"/>
      <c r="C1633" s="198"/>
      <c r="D1633" s="462" t="str">
        <f>VLOOKUP(A1633,'Master List'!$A$1:$C$1192,2,FALSE)</f>
        <v>Монтаж змішувача для біде</v>
      </c>
      <c r="E1633" s="463" t="str">
        <f>VLOOKUP(A1633,'Master List'!$A$1:$C$1192,3,FALSE)</f>
        <v>шт</v>
      </c>
      <c r="F1633" s="464">
        <f>F1631</f>
        <v>6</v>
      </c>
      <c r="G1633" s="463">
        <f>VLOOKUP(A1633,'Master List'!$A$4:$F4356,5,FALSE)</f>
        <v>65</v>
      </c>
      <c r="H1633" s="206">
        <f t="shared" ref="H1633:H1634" si="158">G1633*F1633</f>
        <v>390</v>
      </c>
      <c r="I1633" s="240"/>
    </row>
    <row r="1634" outlineLevel="2">
      <c r="A1634" s="422" t="str">
        <f>'Master List'!A231</f>
        <v>M-PLB-010</v>
      </c>
      <c r="B1634" s="472"/>
      <c r="C1634" s="198"/>
      <c r="D1634" s="462" t="str">
        <f>VLOOKUP(A1634,'Master List'!$A$1:$C$1192,2,FALSE)</f>
        <v>Змішувач для біде</v>
      </c>
      <c r="E1634" s="463" t="str">
        <f>VLOOKUP(A1634,'Master List'!$A$1:$C$1192,3,FALSE)</f>
        <v>шт</v>
      </c>
      <c r="F1634" s="464">
        <f>F1631</f>
        <v>6</v>
      </c>
      <c r="G1634" s="463">
        <f>VLOOKUP(A1634,'Master List'!$A$4:$F4357,5,FALSE)</f>
        <v>85.67</v>
      </c>
      <c r="H1634" s="206">
        <f t="shared" si="158"/>
        <v>514.02</v>
      </c>
      <c r="I1634" s="240"/>
    </row>
    <row r="1635" outlineLevel="2">
      <c r="A1635" s="422"/>
      <c r="B1635" s="428"/>
      <c r="C1635" s="496"/>
      <c r="D1635" s="428"/>
      <c r="E1635" s="431"/>
      <c r="F1635" s="432"/>
      <c r="G1635" s="434"/>
      <c r="H1635" s="434"/>
      <c r="I1635" s="240"/>
    </row>
    <row r="1636" outlineLevel="2">
      <c r="A1636" s="422"/>
      <c r="B1636" s="472" t="s">
        <v>587</v>
      </c>
      <c r="C1636" s="198" t="s">
        <v>2559</v>
      </c>
      <c r="D1636" s="202" t="s">
        <v>588</v>
      </c>
      <c r="E1636" s="444" t="s">
        <v>75</v>
      </c>
      <c r="F1636" s="214">
        <v>7.0</v>
      </c>
      <c r="G1636" s="205"/>
      <c r="H1636" s="206"/>
      <c r="I1636" s="219"/>
    </row>
    <row r="1637" outlineLevel="2">
      <c r="A1637" s="422"/>
      <c r="B1637" s="472"/>
      <c r="C1637" s="230"/>
      <c r="D1637" s="246"/>
      <c r="E1637" s="437"/>
      <c r="F1637" s="170"/>
      <c r="G1637" s="239"/>
      <c r="H1637" s="239"/>
      <c r="I1637" s="240"/>
    </row>
    <row r="1638" outlineLevel="2">
      <c r="A1638" s="422" t="str">
        <f>'Master List'!A683</f>
        <v>W-PLB-010</v>
      </c>
      <c r="B1638" s="472"/>
      <c r="C1638" s="198"/>
      <c r="D1638" s="462" t="str">
        <f>VLOOKUP(A1638,'Master List'!$A$1:$C$1192,2,FALSE)</f>
        <v>Монтаж змішувача для душу</v>
      </c>
      <c r="E1638" s="463" t="str">
        <f>VLOOKUP(A1638,'Master List'!$A$1:$C$1192,3,FALSE)</f>
        <v>шт</v>
      </c>
      <c r="F1638" s="464">
        <f>F1636</f>
        <v>7</v>
      </c>
      <c r="G1638" s="463">
        <f>VLOOKUP(A1638,'Master List'!$A$4:$F4362,5,FALSE)</f>
        <v>65</v>
      </c>
      <c r="H1638" s="206">
        <f t="shared" ref="H1638:H1639" si="159">G1638*F1638</f>
        <v>455</v>
      </c>
      <c r="I1638" s="240"/>
    </row>
    <row r="1639" outlineLevel="2">
      <c r="A1639" s="422" t="str">
        <f>'Master List'!A232</f>
        <v>M-PLB-011</v>
      </c>
      <c r="B1639" s="472"/>
      <c r="C1639" s="198"/>
      <c r="D1639" s="462" t="str">
        <f>VLOOKUP(A1639,'Master List'!$A$1:$C$1192,2,FALSE)</f>
        <v>Змішувач для душу BRUMA</v>
      </c>
      <c r="E1639" s="463" t="str">
        <f>VLOOKUP(A1639,'Master List'!$A$1:$C$1192,3,FALSE)</f>
        <v>шт</v>
      </c>
      <c r="F1639" s="464">
        <f>F1636</f>
        <v>7</v>
      </c>
      <c r="G1639" s="463">
        <f>VLOOKUP(A1639,'Master List'!$A$4:$F4363,5,FALSE)</f>
        <v>279.37</v>
      </c>
      <c r="H1639" s="206">
        <f t="shared" si="159"/>
        <v>1955.59</v>
      </c>
      <c r="I1639" s="240"/>
    </row>
    <row r="1640" outlineLevel="2">
      <c r="A1640" s="422"/>
      <c r="B1640" s="428"/>
      <c r="C1640" s="496"/>
      <c r="D1640" s="428"/>
      <c r="E1640" s="431"/>
      <c r="F1640" s="432"/>
      <c r="G1640" s="434"/>
      <c r="H1640" s="434"/>
      <c r="I1640" s="240"/>
    </row>
    <row r="1641" outlineLevel="2">
      <c r="A1641" s="422"/>
      <c r="B1641" s="472" t="s">
        <v>589</v>
      </c>
      <c r="C1641" s="198" t="s">
        <v>2561</v>
      </c>
      <c r="D1641" s="202" t="s">
        <v>590</v>
      </c>
      <c r="E1641" s="444" t="s">
        <v>75</v>
      </c>
      <c r="F1641" s="214">
        <v>3.0</v>
      </c>
      <c r="G1641" s="205"/>
      <c r="H1641" s="206"/>
      <c r="I1641" s="219"/>
    </row>
    <row r="1642" outlineLevel="2">
      <c r="A1642" s="422"/>
      <c r="B1642" s="472"/>
      <c r="C1642" s="230"/>
      <c r="D1642" s="246"/>
      <c r="E1642" s="437"/>
      <c r="F1642" s="170"/>
      <c r="G1642" s="239"/>
      <c r="H1642" s="239"/>
      <c r="I1642" s="240"/>
    </row>
    <row r="1643" outlineLevel="2">
      <c r="A1643" s="422" t="str">
        <f>'Master List'!A680</f>
        <v>W-PLB-007</v>
      </c>
      <c r="B1643" s="472"/>
      <c r="C1643" s="198"/>
      <c r="D1643" s="462" t="str">
        <f>VLOOKUP(A1643,'Master List'!$A$1:$C$1192,2,FALSE)</f>
        <v>Монтаж змішувача для умивальника</v>
      </c>
      <c r="E1643" s="463" t="str">
        <f>VLOOKUP(A1643,'Master List'!$A$1:$C$1192,3,FALSE)</f>
        <v>шт</v>
      </c>
      <c r="F1643" s="464">
        <f>F1641</f>
        <v>3</v>
      </c>
      <c r="G1643" s="463">
        <f>VLOOKUP(A1643,'Master List'!$A$4:$F4368,5,FALSE)</f>
        <v>65</v>
      </c>
      <c r="H1643" s="206">
        <f t="shared" ref="H1643:H1644" si="160">G1643*F1643</f>
        <v>195</v>
      </c>
      <c r="I1643" s="240"/>
    </row>
    <row r="1644" outlineLevel="2">
      <c r="A1644" s="422" t="str">
        <f>'Master List'!A229</f>
        <v>M-PLB-008</v>
      </c>
      <c r="B1644" s="472"/>
      <c r="C1644" s="198"/>
      <c r="D1644" s="462" t="str">
        <f>VLOOKUP(A1644,'Master List'!$A$1:$C$1192,2,FALSE)</f>
        <v>Змішувач для умивальника</v>
      </c>
      <c r="E1644" s="463" t="str">
        <f>VLOOKUP(A1644,'Master List'!$A$1:$C$1192,3,FALSE)</f>
        <v>шт</v>
      </c>
      <c r="F1644" s="464">
        <f>F1641</f>
        <v>3</v>
      </c>
      <c r="G1644" s="463">
        <f>VLOOKUP(A1644,'Master List'!$A$4:$F4369,5,FALSE)</f>
        <v>55.874</v>
      </c>
      <c r="H1644" s="206">
        <f t="shared" si="160"/>
        <v>167.622</v>
      </c>
      <c r="I1644" s="240"/>
    </row>
    <row r="1645" outlineLevel="2">
      <c r="A1645" s="422"/>
      <c r="B1645" s="472"/>
      <c r="C1645" s="230"/>
      <c r="D1645" s="246"/>
      <c r="E1645" s="437"/>
      <c r="F1645" s="170"/>
      <c r="G1645" s="239"/>
      <c r="H1645" s="239"/>
      <c r="I1645" s="240"/>
    </row>
    <row r="1646" outlineLevel="2">
      <c r="A1646" s="422"/>
      <c r="B1646" s="428"/>
      <c r="C1646" s="496"/>
      <c r="D1646" s="428"/>
      <c r="E1646" s="431"/>
      <c r="F1646" s="432"/>
      <c r="G1646" s="434"/>
      <c r="H1646" s="434"/>
      <c r="I1646" s="240"/>
    </row>
    <row r="1647" outlineLevel="1">
      <c r="A1647" s="422"/>
      <c r="B1647" s="472" t="s">
        <v>591</v>
      </c>
      <c r="C1647" s="496"/>
      <c r="D1647" s="476" t="s">
        <v>592</v>
      </c>
      <c r="E1647" s="431"/>
      <c r="F1647" s="432"/>
      <c r="G1647" s="436">
        <f>SUM(H1649:H1687)</f>
        <v>7616.7728</v>
      </c>
      <c r="H1647" s="434"/>
      <c r="I1647" s="240"/>
    </row>
    <row r="1648" outlineLevel="2">
      <c r="A1648" s="422"/>
      <c r="B1648" s="428"/>
      <c r="C1648" s="496"/>
      <c r="D1648" s="428"/>
      <c r="E1648" s="431"/>
      <c r="F1648" s="432"/>
      <c r="G1648" s="434"/>
      <c r="H1648" s="434"/>
      <c r="I1648" s="240"/>
    </row>
    <row r="1649" outlineLevel="2">
      <c r="A1649" s="422"/>
      <c r="B1649" s="472" t="s">
        <v>593</v>
      </c>
      <c r="C1649" s="198">
        <v>12.5</v>
      </c>
      <c r="D1649" s="202" t="s">
        <v>594</v>
      </c>
      <c r="E1649" s="444" t="s">
        <v>75</v>
      </c>
      <c r="F1649" s="214">
        <v>6.0</v>
      </c>
      <c r="G1649" s="205"/>
      <c r="H1649" s="206"/>
      <c r="I1649" s="219"/>
    </row>
    <row r="1650" outlineLevel="2">
      <c r="A1650" s="422"/>
      <c r="B1650" s="472"/>
      <c r="C1650" s="230"/>
      <c r="D1650" s="246"/>
      <c r="E1650" s="437"/>
      <c r="F1650" s="170"/>
      <c r="G1650" s="239"/>
      <c r="H1650" s="239"/>
      <c r="I1650" s="240"/>
    </row>
    <row r="1651" outlineLevel="2">
      <c r="A1651" s="422" t="str">
        <f>'Master List'!A684</f>
        <v>W-PLB-011</v>
      </c>
      <c r="B1651" s="472"/>
      <c r="C1651" s="198"/>
      <c r="D1651" s="462" t="str">
        <f>VLOOKUP(A1651,'Master List'!$A$1:$C$1192,2,FALSE)</f>
        <v>Монтаж тримача туалетного паперу</v>
      </c>
      <c r="E1651" s="463" t="str">
        <f>VLOOKUP(A1651,'Master List'!$A$1:$C$1192,3,FALSE)</f>
        <v>шт</v>
      </c>
      <c r="F1651" s="464">
        <f>F1649</f>
        <v>6</v>
      </c>
      <c r="G1651" s="463">
        <f>VLOOKUP(A1651,'Master List'!$A$4:$F4376,5,FALSE)</f>
        <v>19.5</v>
      </c>
      <c r="H1651" s="206">
        <f t="shared" ref="H1651:H1652" si="161">G1651*F1651</f>
        <v>117</v>
      </c>
      <c r="I1651" s="240"/>
    </row>
    <row r="1652" outlineLevel="2">
      <c r="A1652" s="422" t="str">
        <f>'Master List'!A233</f>
        <v>M-PLB-012</v>
      </c>
      <c r="B1652" s="472"/>
      <c r="C1652" s="198"/>
      <c r="D1652" s="462" t="str">
        <f>VLOOKUP(A1652,'Master List'!$A$1:$C$1192,2,FALSE)</f>
        <v>Тримач туалетного паперу LOJA AREA, Ref. 84633</v>
      </c>
      <c r="E1652" s="463" t="str">
        <f>VLOOKUP(A1652,'Master List'!$A$1:$C$1192,3,FALSE)</f>
        <v>шт</v>
      </c>
      <c r="F1652" s="464">
        <f>F1649</f>
        <v>6</v>
      </c>
      <c r="G1652" s="463">
        <f>VLOOKUP(A1652,'Master List'!$A$4:$F4377,5,FALSE)</f>
        <v>35.1</v>
      </c>
      <c r="H1652" s="206">
        <f t="shared" si="161"/>
        <v>210.6</v>
      </c>
      <c r="I1652" s="240"/>
    </row>
    <row r="1653" outlineLevel="2">
      <c r="A1653" s="422"/>
      <c r="B1653" s="428"/>
      <c r="C1653" s="496"/>
      <c r="D1653" s="428"/>
      <c r="E1653" s="431"/>
      <c r="F1653" s="432"/>
      <c r="G1653" s="434"/>
      <c r="H1653" s="434"/>
      <c r="I1653" s="240"/>
    </row>
    <row r="1654" outlineLevel="2">
      <c r="A1654" s="422"/>
      <c r="B1654" s="472" t="s">
        <v>595</v>
      </c>
      <c r="C1654" s="198" t="s">
        <v>2565</v>
      </c>
      <c r="D1654" s="202" t="s">
        <v>596</v>
      </c>
      <c r="E1654" s="444" t="s">
        <v>75</v>
      </c>
      <c r="F1654" s="214">
        <v>11.0</v>
      </c>
      <c r="G1654" s="205"/>
      <c r="H1654" s="206"/>
      <c r="I1654" s="219"/>
    </row>
    <row r="1655" outlineLevel="2">
      <c r="A1655" s="422"/>
      <c r="B1655" s="472"/>
      <c r="C1655" s="230"/>
      <c r="D1655" s="246"/>
      <c r="E1655" s="437"/>
      <c r="F1655" s="170"/>
      <c r="G1655" s="239"/>
      <c r="H1655" s="239"/>
      <c r="I1655" s="240"/>
    </row>
    <row r="1656" outlineLevel="2">
      <c r="A1656" s="422" t="str">
        <f>'Master List'!A685</f>
        <v>W-PLB-012</v>
      </c>
      <c r="B1656" s="472"/>
      <c r="C1656" s="198"/>
      <c r="D1656" s="462" t="str">
        <f>VLOOKUP(A1656,'Master List'!$A$1:$C$1192,2,FALSE)</f>
        <v>Монтаж рушникотримача</v>
      </c>
      <c r="E1656" s="463" t="str">
        <f>VLOOKUP(A1656,'Master List'!$A$1:$C$1192,3,FALSE)</f>
        <v>шт</v>
      </c>
      <c r="F1656" s="464">
        <f>F1654</f>
        <v>11</v>
      </c>
      <c r="G1656" s="463">
        <f>VLOOKUP(A1656,'Master List'!$A$4:$F4382,5,FALSE)</f>
        <v>23.4</v>
      </c>
      <c r="H1656" s="206">
        <f t="shared" ref="H1656:H1657" si="162">G1656*F1656</f>
        <v>257.4</v>
      </c>
      <c r="I1656" s="240"/>
    </row>
    <row r="1657" outlineLevel="2">
      <c r="A1657" s="422" t="str">
        <f>'Master List'!A234</f>
        <v>M-PLB-013</v>
      </c>
      <c r="B1657" s="472"/>
      <c r="C1657" s="198"/>
      <c r="D1657" s="462" t="str">
        <f>VLOOKUP(A1657,'Master List'!$A$1:$C$1192,2,FALSE)</f>
        <v>Рушникотримач LOJA AREA, Ref. 84635</v>
      </c>
      <c r="E1657" s="463" t="str">
        <f>VLOOKUP(A1657,'Master List'!$A$1:$C$1192,3,FALSE)</f>
        <v>шт</v>
      </c>
      <c r="F1657" s="464">
        <f>F1654</f>
        <v>11</v>
      </c>
      <c r="G1657" s="463">
        <f>VLOOKUP(A1657,'Master List'!$A$4:$F4383,5,FALSE)</f>
        <v>74.1</v>
      </c>
      <c r="H1657" s="206">
        <f t="shared" si="162"/>
        <v>815.1</v>
      </c>
      <c r="I1657" s="240"/>
    </row>
    <row r="1658" outlineLevel="2">
      <c r="A1658" s="422"/>
      <c r="B1658" s="428"/>
      <c r="C1658" s="496"/>
      <c r="D1658" s="428"/>
      <c r="E1658" s="431"/>
      <c r="F1658" s="432"/>
      <c r="G1658" s="434"/>
      <c r="H1658" s="434"/>
      <c r="I1658" s="240"/>
    </row>
    <row r="1659" outlineLevel="2">
      <c r="A1659" s="422"/>
      <c r="B1659" s="472" t="s">
        <v>597</v>
      </c>
      <c r="C1659" s="198" t="s">
        <v>2567</v>
      </c>
      <c r="D1659" s="202" t="s">
        <v>598</v>
      </c>
      <c r="E1659" s="444" t="s">
        <v>75</v>
      </c>
      <c r="F1659" s="214">
        <v>3.0</v>
      </c>
      <c r="G1659" s="205"/>
      <c r="H1659" s="206"/>
      <c r="I1659" s="219"/>
    </row>
    <row r="1660" outlineLevel="2">
      <c r="A1660" s="422"/>
      <c r="B1660" s="472"/>
      <c r="C1660" s="230"/>
      <c r="D1660" s="246"/>
      <c r="E1660" s="437"/>
      <c r="F1660" s="170"/>
      <c r="G1660" s="239"/>
      <c r="H1660" s="239"/>
      <c r="I1660" s="240"/>
    </row>
    <row r="1661" outlineLevel="2">
      <c r="A1661" s="422" t="str">
        <f>'Master List'!A686</f>
        <v>W-PLB-013</v>
      </c>
      <c r="B1661" s="472"/>
      <c r="C1661" s="198"/>
      <c r="D1661" s="462" t="str">
        <f>VLOOKUP(A1661,'Master List'!$A$1:$C$1192,2,FALSE)</f>
        <v>Монтаж сифона для умивальника</v>
      </c>
      <c r="E1661" s="463" t="str">
        <f>VLOOKUP(A1661,'Master List'!$A$1:$C$1192,3,FALSE)</f>
        <v>шт</v>
      </c>
      <c r="F1661" s="464">
        <f>F1659</f>
        <v>3</v>
      </c>
      <c r="G1661" s="463">
        <f>VLOOKUP(A1661,'Master List'!$A$4:$F4388,5,FALSE)</f>
        <v>23.4</v>
      </c>
      <c r="H1661" s="206">
        <f t="shared" ref="H1661:H1662" si="163">G1661*F1661</f>
        <v>70.2</v>
      </c>
      <c r="I1661" s="240"/>
    </row>
    <row r="1662" outlineLevel="2">
      <c r="A1662" s="422" t="str">
        <f>'Master List'!A235</f>
        <v>M-PLB-014</v>
      </c>
      <c r="B1662" s="472"/>
      <c r="C1662" s="198"/>
      <c r="D1662" s="462" t="str">
        <f>VLOOKUP(A1662,'Master List'!$A$1:$C$1192,2,FALSE)</f>
        <v>Сифон для умивальника ELO BRUMA, Ref. 1370001CR</v>
      </c>
      <c r="E1662" s="463" t="str">
        <f>VLOOKUP(A1662,'Master List'!$A$1:$C$1192,3,FALSE)</f>
        <v>шт</v>
      </c>
      <c r="F1662" s="464">
        <f>F1659</f>
        <v>3</v>
      </c>
      <c r="G1662" s="463">
        <f>VLOOKUP(A1662,'Master List'!$A$4:$F4389,5,FALSE)</f>
        <v>54.21</v>
      </c>
      <c r="H1662" s="206">
        <f t="shared" si="163"/>
        <v>162.63</v>
      </c>
      <c r="I1662" s="240"/>
    </row>
    <row r="1663" outlineLevel="2">
      <c r="A1663" s="422"/>
      <c r="B1663" s="428"/>
      <c r="C1663" s="499"/>
      <c r="D1663" s="428"/>
      <c r="E1663" s="431"/>
      <c r="F1663" s="432"/>
      <c r="G1663" s="434"/>
      <c r="H1663" s="434"/>
      <c r="I1663" s="240"/>
    </row>
    <row r="1664" outlineLevel="2">
      <c r="A1664" s="422"/>
      <c r="B1664" s="472" t="s">
        <v>599</v>
      </c>
      <c r="C1664" s="198" t="s">
        <v>2569</v>
      </c>
      <c r="D1664" s="202" t="s">
        <v>600</v>
      </c>
      <c r="E1664" s="444" t="s">
        <v>75</v>
      </c>
      <c r="F1664" s="214">
        <v>3.0</v>
      </c>
      <c r="G1664" s="205"/>
      <c r="H1664" s="206"/>
      <c r="I1664" s="219"/>
    </row>
    <row r="1665" outlineLevel="2">
      <c r="A1665" s="422"/>
      <c r="B1665" s="472"/>
      <c r="C1665" s="230"/>
      <c r="D1665" s="246"/>
      <c r="E1665" s="437"/>
      <c r="F1665" s="170"/>
      <c r="G1665" s="239"/>
      <c r="H1665" s="239"/>
      <c r="I1665" s="240"/>
    </row>
    <row r="1666" outlineLevel="2">
      <c r="A1666" s="422" t="str">
        <f>'Master List'!A686</f>
        <v>W-PLB-013</v>
      </c>
      <c r="B1666" s="472"/>
      <c r="C1666" s="198"/>
      <c r="D1666" s="462" t="str">
        <f>VLOOKUP(A1666,'Master List'!$A$1:$C$1192,2,FALSE)</f>
        <v>Монтаж сифона для умивальника</v>
      </c>
      <c r="E1666" s="463" t="str">
        <f>VLOOKUP(A1666,'Master List'!$A$1:$C$1192,3,FALSE)</f>
        <v>шт</v>
      </c>
      <c r="F1666" s="464">
        <f>F1664</f>
        <v>3</v>
      </c>
      <c r="G1666" s="463">
        <f>VLOOKUP(A1666,'Master List'!$A$4:$F4394,5,FALSE)</f>
        <v>23.4</v>
      </c>
      <c r="H1666" s="206">
        <f t="shared" ref="H1666:H1667" si="164">G1666*F1666</f>
        <v>70.2</v>
      </c>
      <c r="I1666" s="240"/>
    </row>
    <row r="1667" outlineLevel="2">
      <c r="A1667" s="422" t="str">
        <f>'Master List'!A236</f>
        <v>M-PLB-015</v>
      </c>
      <c r="B1667" s="472"/>
      <c r="C1667" s="198"/>
      <c r="D1667" s="462" t="str">
        <f>VLOOKUP(A1667,'Master List'!$A$1:$C$1192,2,FALSE)</f>
        <v>Сифон для умивальника JIMTEN 1.1/4X32</v>
      </c>
      <c r="E1667" s="463" t="str">
        <f>VLOOKUP(A1667,'Master List'!$A$1:$C$1192,3,FALSE)</f>
        <v>шт</v>
      </c>
      <c r="F1667" s="464">
        <f>F1664</f>
        <v>3</v>
      </c>
      <c r="G1667" s="463">
        <f>VLOOKUP(A1667,'Master List'!$A$4:$F4395,5,FALSE)</f>
        <v>31.616</v>
      </c>
      <c r="H1667" s="206">
        <f t="shared" si="164"/>
        <v>94.848</v>
      </c>
      <c r="I1667" s="240"/>
    </row>
    <row r="1668" outlineLevel="2">
      <c r="A1668" s="422"/>
      <c r="B1668" s="428"/>
      <c r="C1668" s="499"/>
      <c r="D1668" s="428"/>
      <c r="E1668" s="431"/>
      <c r="F1668" s="432"/>
      <c r="G1668" s="434"/>
      <c r="H1668" s="434"/>
      <c r="I1668" s="240"/>
    </row>
    <row r="1669" outlineLevel="2">
      <c r="A1669" s="422"/>
      <c r="B1669" s="472" t="s">
        <v>601</v>
      </c>
      <c r="C1669" s="198" t="s">
        <v>2571</v>
      </c>
      <c r="D1669" s="202" t="s">
        <v>602</v>
      </c>
      <c r="E1669" s="444" t="s">
        <v>75</v>
      </c>
      <c r="F1669" s="214">
        <v>1.0</v>
      </c>
      <c r="G1669" s="205"/>
      <c r="H1669" s="206"/>
      <c r="I1669" s="219"/>
    </row>
    <row r="1670" outlineLevel="2">
      <c r="A1670" s="422"/>
      <c r="B1670" s="472"/>
      <c r="C1670" s="230"/>
      <c r="D1670" s="246"/>
      <c r="E1670" s="437"/>
      <c r="F1670" s="170"/>
      <c r="G1670" s="239"/>
      <c r="H1670" s="239"/>
      <c r="I1670" s="240"/>
    </row>
    <row r="1671" outlineLevel="2">
      <c r="A1671" s="422" t="str">
        <f>'Master List'!A687</f>
        <v>W-PLB-014</v>
      </c>
      <c r="B1671" s="472"/>
      <c r="C1671" s="198"/>
      <c r="D1671" s="462" t="str">
        <f>VLOOKUP(A1671,'Master List'!$A$1:$C$1192,2,FALSE)</f>
        <v>Монтаж лавки підвісної розміром 0,60x0,51x2,10м</v>
      </c>
      <c r="E1671" s="463" t="str">
        <f>VLOOKUP(A1671,'Master List'!$A$1:$C$1192,3,FALSE)</f>
        <v>шт</v>
      </c>
      <c r="F1671" s="464">
        <f>F1669</f>
        <v>1</v>
      </c>
      <c r="G1671" s="463">
        <f>VLOOKUP(A1671,'Master List'!$A$4:$F4400,5,FALSE)</f>
        <v>156</v>
      </c>
      <c r="H1671" s="206">
        <f t="shared" ref="H1671:H1672" si="165">G1671*F1671</f>
        <v>156</v>
      </c>
      <c r="I1671" s="240"/>
    </row>
    <row r="1672" outlineLevel="2">
      <c r="A1672" s="422" t="str">
        <f>'Master List'!A237</f>
        <v>M-PLB-016</v>
      </c>
      <c r="B1672" s="472"/>
      <c r="C1672" s="198"/>
      <c r="D1672" s="462" t="str">
        <f>VLOOKUP(A1672,'Master List'!$A$1:$C$1192,2,FALSE)</f>
        <v>Лавка підвісна розміром 0,60x0,51x2,10м</v>
      </c>
      <c r="E1672" s="463" t="str">
        <f>VLOOKUP(A1672,'Master List'!$A$1:$C$1192,3,FALSE)</f>
        <v>шт</v>
      </c>
      <c r="F1672" s="464">
        <f>F1669</f>
        <v>1</v>
      </c>
      <c r="G1672" s="463">
        <f>VLOOKUP(A1672,'Master List'!$A$4:$F4401,5,FALSE)</f>
        <v>0</v>
      </c>
      <c r="H1672" s="206">
        <f t="shared" si="165"/>
        <v>0</v>
      </c>
      <c r="I1672" s="240"/>
    </row>
    <row r="1673" outlineLevel="2">
      <c r="A1673" s="422"/>
      <c r="B1673" s="428"/>
      <c r="C1673" s="499"/>
      <c r="D1673" s="428"/>
      <c r="E1673" s="431"/>
      <c r="F1673" s="432"/>
      <c r="G1673" s="434"/>
      <c r="H1673" s="434"/>
      <c r="I1673" s="240"/>
    </row>
    <row r="1674" outlineLevel="2">
      <c r="A1674" s="422"/>
      <c r="B1674" s="472" t="s">
        <v>603</v>
      </c>
      <c r="C1674" s="198" t="s">
        <v>2573</v>
      </c>
      <c r="D1674" s="202" t="s">
        <v>604</v>
      </c>
      <c r="E1674" s="444" t="s">
        <v>40</v>
      </c>
      <c r="F1674" s="214">
        <v>21.85</v>
      </c>
      <c r="G1674" s="205"/>
      <c r="H1674" s="206"/>
      <c r="I1674" s="219"/>
    </row>
    <row r="1675" outlineLevel="2">
      <c r="A1675" s="422"/>
      <c r="B1675" s="472"/>
      <c r="C1675" s="230"/>
      <c r="D1675" s="246"/>
      <c r="E1675" s="437"/>
      <c r="F1675" s="170"/>
      <c r="G1675" s="239"/>
      <c r="H1675" s="239"/>
      <c r="I1675" s="240"/>
    </row>
    <row r="1676" outlineLevel="2">
      <c r="A1676" s="422" t="str">
        <f>'Master List'!A688</f>
        <v>W-PLB-015</v>
      </c>
      <c r="B1676" s="472"/>
      <c r="C1676" s="198"/>
      <c r="D1676" s="462" t="str">
        <f>VLOOKUP(A1676,'Master List'!$A$1:$C$1192,2,FALSE)</f>
        <v>Монтаж огорожі душової кабіни із загартованого скла</v>
      </c>
      <c r="E1676" s="463" t="str">
        <f>VLOOKUP(A1676,'Master List'!$A$1:$C$1192,3,FALSE)</f>
        <v>м2</v>
      </c>
      <c r="F1676" s="464">
        <f>F1674</f>
        <v>21.85</v>
      </c>
      <c r="G1676" s="463">
        <f>VLOOKUP(A1676,'Master List'!$A$4:$F4406,5,FALSE)</f>
        <v>104</v>
      </c>
      <c r="H1676" s="206">
        <f t="shared" ref="H1676:H1677" si="166">G1676*F1676</f>
        <v>2272.4</v>
      </c>
      <c r="I1676" s="240"/>
    </row>
    <row r="1677" outlineLevel="2">
      <c r="A1677" s="422" t="str">
        <f>'Master List'!A238</f>
        <v>M-PLB-017</v>
      </c>
      <c r="B1677" s="472"/>
      <c r="C1677" s="198"/>
      <c r="D1677" s="462" t="str">
        <f>VLOOKUP(A1677,'Master List'!$A$1:$C$1192,2,FALSE)</f>
        <v>Огорожа душової кабіни із загартованого скла товщиною 12мм</v>
      </c>
      <c r="E1677" s="463" t="str">
        <f>VLOOKUP(A1677,'Master List'!$A$1:$C$1192,3,FALSE)</f>
        <v>м2</v>
      </c>
      <c r="F1677" s="464">
        <f>F1674</f>
        <v>21.85</v>
      </c>
      <c r="G1677" s="463">
        <f>VLOOKUP(A1677,'Master List'!$A$4:$F4407,5,FALSE)</f>
        <v>0</v>
      </c>
      <c r="H1677" s="206">
        <f t="shared" si="166"/>
        <v>0</v>
      </c>
      <c r="I1677" s="240"/>
    </row>
    <row r="1678" outlineLevel="2">
      <c r="A1678" s="422"/>
      <c r="B1678" s="428"/>
      <c r="C1678" s="499"/>
      <c r="D1678" s="428"/>
      <c r="E1678" s="431"/>
      <c r="F1678" s="432"/>
      <c r="G1678" s="434"/>
      <c r="H1678" s="434"/>
      <c r="I1678" s="240"/>
    </row>
    <row r="1679" outlineLevel="2">
      <c r="A1679" s="422"/>
      <c r="B1679" s="472" t="s">
        <v>605</v>
      </c>
      <c r="C1679" s="198" t="s">
        <v>2575</v>
      </c>
      <c r="D1679" s="202" t="s">
        <v>606</v>
      </c>
      <c r="E1679" s="444" t="s">
        <v>75</v>
      </c>
      <c r="F1679" s="214">
        <v>2.0</v>
      </c>
      <c r="G1679" s="205"/>
      <c r="H1679" s="206"/>
      <c r="I1679" s="219"/>
    </row>
    <row r="1680" outlineLevel="2">
      <c r="A1680" s="422"/>
      <c r="B1680" s="472"/>
      <c r="C1680" s="230"/>
      <c r="D1680" s="246"/>
      <c r="E1680" s="437"/>
      <c r="F1680" s="170"/>
      <c r="G1680" s="239"/>
      <c r="H1680" s="239"/>
      <c r="I1680" s="240"/>
    </row>
    <row r="1681" outlineLevel="2">
      <c r="A1681" s="422" t="str">
        <f>'Master List'!A689</f>
        <v>W-PLB-016</v>
      </c>
      <c r="B1681" s="472"/>
      <c r="C1681" s="198"/>
      <c r="D1681" s="462" t="str">
        <f>VLOOKUP(A1681,'Master List'!$A$1:$C$1192,2,FALSE)</f>
        <v>Монтаж дзеркала круглого діаметром 40см</v>
      </c>
      <c r="E1681" s="463" t="str">
        <f>VLOOKUP(A1681,'Master List'!$A$1:$C$1192,3,FALSE)</f>
        <v>шт</v>
      </c>
      <c r="F1681" s="464">
        <f>F1679</f>
        <v>2</v>
      </c>
      <c r="G1681" s="463">
        <f>VLOOKUP(A1681,'Master List'!$A$4:$F4412,5,FALSE)</f>
        <v>26</v>
      </c>
      <c r="H1681" s="206">
        <f t="shared" ref="H1681:H1682" si="167">G1681*F1681</f>
        <v>52</v>
      </c>
      <c r="I1681" s="240"/>
    </row>
    <row r="1682" outlineLevel="2">
      <c r="A1682" s="422" t="str">
        <f>'Master List'!A239</f>
        <v>M-PLB-018</v>
      </c>
      <c r="B1682" s="472"/>
      <c r="C1682" s="198"/>
      <c r="D1682" s="462" t="str">
        <f>VLOOKUP(A1682,'Master List'!$A$1:$C$1192,2,FALSE)</f>
        <v>Дзеркало кругле діаметром 40см</v>
      </c>
      <c r="E1682" s="463" t="str">
        <f>VLOOKUP(A1682,'Master List'!$A$1:$C$1192,3,FALSE)</f>
        <v>шт</v>
      </c>
      <c r="F1682" s="464">
        <f>F1679</f>
        <v>2</v>
      </c>
      <c r="G1682" s="463">
        <f>VLOOKUP(A1682,'Master List'!$A$4:$F4413,5,FALSE)</f>
        <v>105.3</v>
      </c>
      <c r="H1682" s="206">
        <f t="shared" si="167"/>
        <v>210.6</v>
      </c>
      <c r="I1682" s="240"/>
    </row>
    <row r="1683" outlineLevel="2">
      <c r="A1683" s="422"/>
      <c r="B1683" s="428"/>
      <c r="C1683" s="499"/>
      <c r="D1683" s="428"/>
      <c r="E1683" s="431"/>
      <c r="F1683" s="432"/>
      <c r="G1683" s="434"/>
      <c r="H1683" s="434"/>
      <c r="I1683" s="240"/>
    </row>
    <row r="1684" outlineLevel="2">
      <c r="A1684" s="422"/>
      <c r="B1684" s="472" t="s">
        <v>607</v>
      </c>
      <c r="C1684" s="198" t="s">
        <v>2577</v>
      </c>
      <c r="D1684" s="202" t="s">
        <v>608</v>
      </c>
      <c r="E1684" s="444" t="s">
        <v>40</v>
      </c>
      <c r="F1684" s="214">
        <v>22.6</v>
      </c>
      <c r="G1684" s="205"/>
      <c r="H1684" s="206"/>
      <c r="I1684" s="219"/>
    </row>
    <row r="1685" outlineLevel="2">
      <c r="A1685" s="422"/>
      <c r="B1685" s="472"/>
      <c r="C1685" s="230"/>
      <c r="D1685" s="246"/>
      <c r="E1685" s="437"/>
      <c r="F1685" s="170"/>
      <c r="G1685" s="239"/>
      <c r="H1685" s="239"/>
      <c r="I1685" s="240"/>
    </row>
    <row r="1686" outlineLevel="2">
      <c r="A1686" s="422" t="str">
        <f>'Master List'!A690</f>
        <v>W-PLB-017</v>
      </c>
      <c r="B1686" s="472"/>
      <c r="C1686" s="198"/>
      <c r="D1686" s="462" t="str">
        <f>VLOOKUP(A1686,'Master List'!$A$1:$C$1192,2,FALSE)</f>
        <v>Монтаж дзеркала товщиною 6мм</v>
      </c>
      <c r="E1686" s="463" t="str">
        <f>VLOOKUP(A1686,'Master List'!$A$1:$C$1192,3,FALSE)</f>
        <v>м2</v>
      </c>
      <c r="F1686" s="464">
        <f>F1684</f>
        <v>22.6</v>
      </c>
      <c r="G1686" s="463">
        <f>VLOOKUP(A1686,'Master List'!$A$4:$F4418,5,FALSE)</f>
        <v>49.4</v>
      </c>
      <c r="H1686" s="206">
        <f t="shared" ref="H1686:H1687" si="168">G1686*F1686</f>
        <v>1116.44</v>
      </c>
      <c r="I1686" s="240"/>
    </row>
    <row r="1687" outlineLevel="2">
      <c r="A1687" s="422" t="str">
        <f>'Master List'!A240</f>
        <v>M-PLB-019</v>
      </c>
      <c r="B1687" s="472"/>
      <c r="C1687" s="198"/>
      <c r="D1687" s="462" t="str">
        <f>VLOOKUP(A1687,'Master List'!$A$1:$C$1192,2,FALSE)</f>
        <v>Дзеркало товщиною 6мм</v>
      </c>
      <c r="E1687" s="463" t="str">
        <f>VLOOKUP(A1687,'Master List'!$A$1:$C$1192,3,FALSE)</f>
        <v>м2</v>
      </c>
      <c r="F1687" s="464">
        <f>F1684</f>
        <v>22.6</v>
      </c>
      <c r="G1687" s="463">
        <f>VLOOKUP(A1687,'Master List'!$A$4:$F4419,5,FALSE)</f>
        <v>88.998</v>
      </c>
      <c r="H1687" s="206">
        <f t="shared" si="168"/>
        <v>2011.3548</v>
      </c>
      <c r="I1687" s="240"/>
    </row>
    <row r="1688" outlineLevel="2">
      <c r="A1688" s="422"/>
      <c r="B1688" s="472"/>
      <c r="C1688" s="230"/>
      <c r="D1688" s="466"/>
      <c r="E1688" s="467"/>
      <c r="F1688" s="468"/>
      <c r="G1688" s="467"/>
      <c r="H1688" s="239"/>
      <c r="I1688" s="240"/>
    </row>
    <row r="1689" outlineLevel="1">
      <c r="A1689" s="422"/>
      <c r="B1689" s="472"/>
      <c r="C1689" s="288"/>
      <c r="D1689" s="285"/>
      <c r="E1689" s="487"/>
      <c r="F1689" s="275"/>
      <c r="G1689" s="239"/>
      <c r="H1689" s="239"/>
      <c r="I1689" s="240"/>
    </row>
    <row r="1690">
      <c r="A1690" s="422"/>
      <c r="B1690" s="471"/>
      <c r="C1690" s="492">
        <v>13.0</v>
      </c>
      <c r="D1690" s="476" t="s">
        <v>609</v>
      </c>
      <c r="E1690" s="493"/>
      <c r="F1690" s="214"/>
      <c r="G1690" s="205"/>
      <c r="H1690" s="426">
        <f>SUM(H1696:H1740)</f>
        <v>4262.83975</v>
      </c>
      <c r="I1690" s="427">
        <f>H1690-'Orcamento RU'!C590</f>
        <v>-15098.16025</v>
      </c>
    </row>
    <row r="1691" outlineLevel="1">
      <c r="A1691" s="422"/>
      <c r="B1691" s="472"/>
      <c r="C1691" s="289"/>
      <c r="D1691" s="285"/>
      <c r="E1691" s="487"/>
      <c r="F1691" s="275"/>
      <c r="G1691" s="239"/>
      <c r="H1691" s="239"/>
      <c r="I1691" s="240"/>
    </row>
    <row r="1692" outlineLevel="1">
      <c r="A1692" s="422"/>
      <c r="B1692" s="472" t="s">
        <v>610</v>
      </c>
      <c r="C1692" s="429"/>
      <c r="D1692" s="476" t="s">
        <v>611</v>
      </c>
      <c r="E1692" s="431"/>
      <c r="F1692" s="432"/>
      <c r="G1692" s="436">
        <f>SUM(H1696:H1734)</f>
        <v>4106.83975</v>
      </c>
      <c r="H1692" s="434"/>
      <c r="I1692" s="240"/>
    </row>
    <row r="1693" outlineLevel="2">
      <c r="A1693" s="422"/>
      <c r="B1693" s="428"/>
      <c r="C1693" s="429"/>
      <c r="D1693" s="428"/>
      <c r="E1693" s="431"/>
      <c r="F1693" s="432"/>
      <c r="G1693" s="428"/>
      <c r="H1693" s="434"/>
      <c r="I1693" s="240"/>
    </row>
    <row r="1694" outlineLevel="2">
      <c r="A1694" s="422"/>
      <c r="B1694" s="448" t="s">
        <v>612</v>
      </c>
      <c r="C1694" s="297">
        <v>13.1</v>
      </c>
      <c r="D1694" s="298" t="s">
        <v>613</v>
      </c>
      <c r="E1694" s="437"/>
      <c r="F1694" s="170"/>
      <c r="G1694" s="239"/>
      <c r="H1694" s="239"/>
      <c r="I1694" s="240" t="s">
        <v>5618</v>
      </c>
    </row>
    <row r="1695" outlineLevel="2">
      <c r="A1695" s="422"/>
      <c r="B1695" s="472"/>
      <c r="C1695" s="299"/>
      <c r="D1695" s="202"/>
      <c r="E1695" s="437"/>
      <c r="F1695" s="170"/>
      <c r="G1695" s="239"/>
      <c r="H1695" s="239"/>
      <c r="I1695" s="240"/>
    </row>
    <row r="1696" outlineLevel="2">
      <c r="A1696" s="422" t="str">
        <f>'Master List'!A789</f>
        <v>W-KIT-001</v>
      </c>
      <c r="B1696" s="472" t="s">
        <v>615</v>
      </c>
      <c r="C1696" s="300" t="s">
        <v>2582</v>
      </c>
      <c r="D1696" s="202" t="s">
        <v>616</v>
      </c>
      <c r="E1696" s="444" t="s">
        <v>227</v>
      </c>
      <c r="F1696" s="214">
        <v>1.0</v>
      </c>
      <c r="G1696" s="463">
        <f>VLOOKUP(A1696,'Master List'!$A$4:$F4428,5,FALSE)</f>
        <v>455</v>
      </c>
      <c r="H1696" s="206">
        <f t="shared" ref="H1696:H1697" si="169">G1696*F1696</f>
        <v>455</v>
      </c>
      <c r="I1696" s="219"/>
    </row>
    <row r="1697" outlineLevel="2">
      <c r="A1697" s="422" t="str">
        <f>'Master List'!A790</f>
        <v>W-KIT-002</v>
      </c>
      <c r="B1697" s="472" t="s">
        <v>617</v>
      </c>
      <c r="C1697" s="198" t="s">
        <v>2584</v>
      </c>
      <c r="D1697" s="202" t="s">
        <v>618</v>
      </c>
      <c r="E1697" s="444" t="s">
        <v>227</v>
      </c>
      <c r="F1697" s="214">
        <v>1.0</v>
      </c>
      <c r="G1697" s="463">
        <f>VLOOKUP(A1697,'Master List'!$A$4:$F4429,5,FALSE)</f>
        <v>585</v>
      </c>
      <c r="H1697" s="206">
        <f t="shared" si="169"/>
        <v>585</v>
      </c>
      <c r="I1697" s="219"/>
    </row>
    <row r="1698" outlineLevel="2">
      <c r="A1698" s="422"/>
      <c r="B1698" s="472"/>
      <c r="C1698" s="230"/>
      <c r="D1698" s="246"/>
      <c r="E1698" s="437"/>
      <c r="F1698" s="170"/>
      <c r="G1698" s="239"/>
      <c r="H1698" s="239"/>
      <c r="I1698" s="240"/>
    </row>
    <row r="1699" outlineLevel="2">
      <c r="A1699" s="422"/>
      <c r="B1699" s="472" t="s">
        <v>620</v>
      </c>
      <c r="C1699" s="297">
        <v>13.2</v>
      </c>
      <c r="D1699" s="202" t="s">
        <v>621</v>
      </c>
      <c r="E1699" s="456"/>
      <c r="F1699" s="170"/>
      <c r="G1699" s="239"/>
      <c r="H1699" s="239"/>
      <c r="I1699" s="240"/>
    </row>
    <row r="1700" outlineLevel="2">
      <c r="A1700" s="422"/>
      <c r="B1700" s="472"/>
      <c r="C1700" s="299"/>
      <c r="D1700" s="202"/>
      <c r="E1700" s="437"/>
      <c r="F1700" s="170"/>
      <c r="G1700" s="239"/>
      <c r="H1700" s="239"/>
      <c r="I1700" s="240"/>
    </row>
    <row r="1701" outlineLevel="2">
      <c r="A1701" s="422" t="str">
        <f>'Master List'!A791</f>
        <v>W-KIT-003</v>
      </c>
      <c r="B1701" s="472" t="s">
        <v>622</v>
      </c>
      <c r="C1701" s="300" t="s">
        <v>2587</v>
      </c>
      <c r="D1701" s="202" t="s">
        <v>623</v>
      </c>
      <c r="E1701" s="444" t="s">
        <v>227</v>
      </c>
      <c r="F1701" s="214">
        <v>1.0</v>
      </c>
      <c r="G1701" s="463">
        <f>VLOOKUP(A1701,'Master List'!$A$4:$F4433,5,FALSE)</f>
        <v>175.5</v>
      </c>
      <c r="H1701" s="206">
        <f t="shared" ref="H1701:H1702" si="170">G1701*F1701</f>
        <v>175.5</v>
      </c>
      <c r="I1701" s="219"/>
    </row>
    <row r="1702" outlineLevel="2">
      <c r="A1702" s="422" t="str">
        <f>'Master List'!A792</f>
        <v>W-KIT-004</v>
      </c>
      <c r="B1702" s="472" t="s">
        <v>624</v>
      </c>
      <c r="C1702" s="198" t="s">
        <v>2589</v>
      </c>
      <c r="D1702" s="202" t="s">
        <v>625</v>
      </c>
      <c r="E1702" s="444" t="s">
        <v>227</v>
      </c>
      <c r="F1702" s="214">
        <v>1.0</v>
      </c>
      <c r="G1702" s="463">
        <f>VLOOKUP(A1702,'Master List'!$A$4:$F4434,5,FALSE)</f>
        <v>143</v>
      </c>
      <c r="H1702" s="206">
        <f t="shared" si="170"/>
        <v>143</v>
      </c>
      <c r="I1702" s="219"/>
    </row>
    <row r="1703" outlineLevel="2">
      <c r="A1703" s="422"/>
      <c r="B1703" s="428"/>
      <c r="C1703" s="429"/>
      <c r="D1703" s="428"/>
      <c r="E1703" s="431"/>
      <c r="F1703" s="432"/>
      <c r="G1703" s="434"/>
      <c r="H1703" s="434"/>
      <c r="I1703" s="240"/>
    </row>
    <row r="1704" outlineLevel="2">
      <c r="A1704" s="422"/>
      <c r="B1704" s="472" t="s">
        <v>626</v>
      </c>
      <c r="C1704" s="198">
        <v>13.3</v>
      </c>
      <c r="D1704" s="202" t="s">
        <v>627</v>
      </c>
      <c r="E1704" s="444" t="s">
        <v>75</v>
      </c>
      <c r="F1704" s="214">
        <v>1.0</v>
      </c>
      <c r="G1704" s="205"/>
      <c r="H1704" s="206"/>
      <c r="I1704" s="219"/>
    </row>
    <row r="1705" outlineLevel="2">
      <c r="A1705" s="422"/>
      <c r="B1705" s="472"/>
      <c r="C1705" s="230"/>
      <c r="D1705" s="246"/>
      <c r="E1705" s="437"/>
      <c r="F1705" s="170"/>
      <c r="G1705" s="239"/>
      <c r="H1705" s="239"/>
      <c r="I1705" s="240"/>
    </row>
    <row r="1706" outlineLevel="2">
      <c r="A1706" s="422" t="str">
        <f>'Master List'!A691</f>
        <v>W-PLB-018</v>
      </c>
      <c r="B1706" s="472"/>
      <c r="C1706" s="198"/>
      <c r="D1706" s="462" t="str">
        <f>VLOOKUP(A1706,'Master List'!$A$1:$C$1192,2,FALSE)</f>
        <v>Монтаж мийки кухонної</v>
      </c>
      <c r="E1706" s="463" t="str">
        <f>VLOOKUP(A1706,'Master List'!$A$1:$C$1192,3,FALSE)</f>
        <v>шт</v>
      </c>
      <c r="F1706" s="464">
        <v>1.0</v>
      </c>
      <c r="G1706" s="463">
        <f>VLOOKUP(A1706,'Master List'!$A$4:$F4438,5,FALSE)</f>
        <v>65</v>
      </c>
      <c r="H1706" s="206">
        <f t="shared" ref="H1706:H1707" si="171">G1706*F1706</f>
        <v>65</v>
      </c>
      <c r="I1706" s="240"/>
    </row>
    <row r="1707" outlineLevel="2">
      <c r="A1707" s="422" t="str">
        <f>'Master List'!A241</f>
        <v>M-PLB-020</v>
      </c>
      <c r="B1707" s="472"/>
      <c r="C1707" s="198"/>
      <c r="D1707" s="462" t="str">
        <f>VLOOKUP(A1707,'Master List'!$A$1:$C$1192,2,FALSE)</f>
        <v>Мийка кухонна AXIA III 6 SBLANCO, Ref. 525849</v>
      </c>
      <c r="E1707" s="463" t="str">
        <f>VLOOKUP(A1707,'Master List'!$A$1:$C$1192,3,FALSE)</f>
        <v>шт</v>
      </c>
      <c r="F1707" s="464">
        <v>1.0</v>
      </c>
      <c r="G1707" s="463">
        <f>VLOOKUP(A1707,'Master List'!$A$4:$F4439,5,FALSE)</f>
        <v>1124.69175</v>
      </c>
      <c r="H1707" s="206">
        <f t="shared" si="171"/>
        <v>1124.69175</v>
      </c>
      <c r="I1707" s="240"/>
    </row>
    <row r="1708" outlineLevel="2">
      <c r="A1708" s="422"/>
      <c r="B1708" s="428"/>
      <c r="C1708" s="429"/>
      <c r="D1708" s="428"/>
      <c r="E1708" s="431"/>
      <c r="F1708" s="432"/>
      <c r="G1708" s="434"/>
      <c r="H1708" s="434"/>
      <c r="I1708" s="240"/>
    </row>
    <row r="1709" outlineLevel="2">
      <c r="A1709" s="422"/>
      <c r="B1709" s="472" t="s">
        <v>628</v>
      </c>
      <c r="C1709" s="198">
        <v>13.4</v>
      </c>
      <c r="D1709" s="202" t="s">
        <v>629</v>
      </c>
      <c r="E1709" s="444" t="s">
        <v>75</v>
      </c>
      <c r="F1709" s="214">
        <v>1.0</v>
      </c>
      <c r="G1709" s="205"/>
      <c r="H1709" s="206"/>
      <c r="I1709" s="219"/>
    </row>
    <row r="1710" outlineLevel="2">
      <c r="A1710" s="422"/>
      <c r="B1710" s="472"/>
      <c r="C1710" s="230"/>
      <c r="D1710" s="246"/>
      <c r="E1710" s="437"/>
      <c r="F1710" s="170"/>
      <c r="G1710" s="239"/>
      <c r="H1710" s="239"/>
      <c r="I1710" s="240"/>
    </row>
    <row r="1711" outlineLevel="2">
      <c r="A1711" s="422" t="str">
        <f>'Master List'!A692</f>
        <v>W-PLB-019</v>
      </c>
      <c r="B1711" s="472"/>
      <c r="C1711" s="198"/>
      <c r="D1711" s="462" t="str">
        <f>VLOOKUP(A1711,'Master List'!$A$1:$C$1192,2,FALSE)</f>
        <v>Монтаж змішувача для мийки</v>
      </c>
      <c r="E1711" s="463" t="str">
        <f>VLOOKUP(A1711,'Master List'!$A$1:$C$1192,3,FALSE)</f>
        <v>шт</v>
      </c>
      <c r="F1711" s="464">
        <v>1.0</v>
      </c>
      <c r="G1711" s="463">
        <f>VLOOKUP(A1711,'Master List'!$A$4:$F4443,5,FALSE)</f>
        <v>39</v>
      </c>
      <c r="H1711" s="206">
        <f t="shared" ref="H1711:H1712" si="172">G1711*F1711</f>
        <v>39</v>
      </c>
      <c r="I1711" s="240"/>
    </row>
    <row r="1712" outlineLevel="2">
      <c r="A1712" s="422" t="str">
        <f>'Master List'!A242</f>
        <v>M-PLB-021</v>
      </c>
      <c r="B1712" s="472"/>
      <c r="C1712" s="198"/>
      <c r="D1712" s="462" t="str">
        <f>VLOOKUP(A1712,'Master List'!$A$1:$C$1192,2,FALSE)</f>
        <v>Змішувач для мийки BRUMA, Ref. 197 011 1IS</v>
      </c>
      <c r="E1712" s="463" t="str">
        <f>VLOOKUP(A1712,'Master List'!$A$1:$C$1192,3,FALSE)</f>
        <v>шт</v>
      </c>
      <c r="F1712" s="464">
        <v>1.0</v>
      </c>
      <c r="G1712" s="463">
        <f>VLOOKUP(A1712,'Master List'!$A$4:$F4444,5,FALSE)</f>
        <v>443.248</v>
      </c>
      <c r="H1712" s="206">
        <f t="shared" si="172"/>
        <v>443.248</v>
      </c>
      <c r="I1712" s="240"/>
    </row>
    <row r="1713" outlineLevel="2">
      <c r="A1713" s="422"/>
      <c r="B1713" s="428"/>
      <c r="C1713" s="429"/>
      <c r="D1713" s="428"/>
      <c r="E1713" s="431"/>
      <c r="F1713" s="432"/>
      <c r="G1713" s="434"/>
      <c r="H1713" s="434"/>
      <c r="I1713" s="240"/>
    </row>
    <row r="1714" outlineLevel="2">
      <c r="A1714" s="422" t="str">
        <f>'Master List'!A793</f>
        <v>W-KIT-005</v>
      </c>
      <c r="B1714" s="472" t="s">
        <v>630</v>
      </c>
      <c r="C1714" s="198">
        <v>13.5</v>
      </c>
      <c r="D1714" s="202" t="s">
        <v>631</v>
      </c>
      <c r="E1714" s="444" t="s">
        <v>75</v>
      </c>
      <c r="F1714" s="214">
        <v>1.0</v>
      </c>
      <c r="G1714" s="463">
        <f>VLOOKUP(A1714,'Master List'!$A$4:$F4446,5,FALSE)</f>
        <v>45.5</v>
      </c>
      <c r="H1714" s="206">
        <f>G1714*F1714</f>
        <v>45.5</v>
      </c>
      <c r="I1714" s="219"/>
    </row>
    <row r="1715" outlineLevel="2">
      <c r="A1715" s="422"/>
      <c r="B1715" s="428"/>
      <c r="C1715" s="429"/>
      <c r="D1715" s="428"/>
      <c r="E1715" s="431"/>
      <c r="F1715" s="432"/>
      <c r="G1715" s="434"/>
      <c r="H1715" s="434"/>
      <c r="I1715" s="240"/>
    </row>
    <row r="1716" outlineLevel="2">
      <c r="A1716" s="422" t="str">
        <f>'Master List'!A794</f>
        <v>W-KIT-006</v>
      </c>
      <c r="B1716" s="472" t="s">
        <v>632</v>
      </c>
      <c r="C1716" s="198">
        <v>13.6</v>
      </c>
      <c r="D1716" s="202" t="s">
        <v>633</v>
      </c>
      <c r="E1716" s="444" t="s">
        <v>75</v>
      </c>
      <c r="F1716" s="214">
        <v>1.0</v>
      </c>
      <c r="G1716" s="463">
        <f>VLOOKUP(A1716,'Master List'!$A$4:$F4448,5,FALSE)</f>
        <v>58.5</v>
      </c>
      <c r="H1716" s="206">
        <f>G1716*F1716</f>
        <v>58.5</v>
      </c>
      <c r="I1716" s="219"/>
    </row>
    <row r="1717" outlineLevel="2">
      <c r="A1717" s="422"/>
      <c r="B1717" s="428"/>
      <c r="C1717" s="429"/>
      <c r="D1717" s="428"/>
      <c r="E1717" s="431"/>
      <c r="F1717" s="432"/>
      <c r="G1717" s="434"/>
      <c r="H1717" s="434"/>
      <c r="I1717" s="240"/>
    </row>
    <row r="1718" outlineLevel="2">
      <c r="A1718" s="422" t="str">
        <f>'Master List'!A795</f>
        <v>W-KIT-007</v>
      </c>
      <c r="B1718" s="472" t="s">
        <v>635</v>
      </c>
      <c r="C1718" s="198">
        <v>13.7</v>
      </c>
      <c r="D1718" s="202" t="s">
        <v>636</v>
      </c>
      <c r="E1718" s="444" t="s">
        <v>75</v>
      </c>
      <c r="F1718" s="214">
        <v>1.0</v>
      </c>
      <c r="G1718" s="463">
        <f>VLOOKUP(A1718,'Master List'!$A$4:$F4450,5,FALSE)</f>
        <v>130</v>
      </c>
      <c r="H1718" s="206">
        <f>G1718*F1718</f>
        <v>130</v>
      </c>
      <c r="I1718" s="219"/>
    </row>
    <row r="1719" outlineLevel="2">
      <c r="A1719" s="422"/>
      <c r="B1719" s="428"/>
      <c r="C1719" s="429"/>
      <c r="D1719" s="428"/>
      <c r="E1719" s="431"/>
      <c r="F1719" s="432"/>
      <c r="G1719" s="434"/>
      <c r="H1719" s="434"/>
      <c r="I1719" s="240"/>
    </row>
    <row r="1720" outlineLevel="2">
      <c r="A1720" s="422" t="str">
        <f>'Master List'!A796</f>
        <v>W-KIT-008</v>
      </c>
      <c r="B1720" s="472" t="s">
        <v>638</v>
      </c>
      <c r="C1720" s="198">
        <v>13.8</v>
      </c>
      <c r="D1720" s="202" t="s">
        <v>639</v>
      </c>
      <c r="E1720" s="444" t="s">
        <v>75</v>
      </c>
      <c r="F1720" s="214">
        <v>1.0</v>
      </c>
      <c r="G1720" s="463">
        <f>VLOOKUP(A1720,'Master List'!$A$4:$F4452,5,FALSE)</f>
        <v>130</v>
      </c>
      <c r="H1720" s="206">
        <f>G1720*F1720</f>
        <v>130</v>
      </c>
      <c r="I1720" s="219"/>
    </row>
    <row r="1721" outlineLevel="2">
      <c r="A1721" s="422"/>
      <c r="B1721" s="428"/>
      <c r="C1721" s="429"/>
      <c r="D1721" s="428"/>
      <c r="E1721" s="431"/>
      <c r="F1721" s="432"/>
      <c r="G1721" s="434"/>
      <c r="H1721" s="434"/>
      <c r="I1721" s="240"/>
    </row>
    <row r="1722" outlineLevel="2">
      <c r="A1722" s="422" t="str">
        <f>'Master List'!A797</f>
        <v>W-KIT-009</v>
      </c>
      <c r="B1722" s="472" t="s">
        <v>641</v>
      </c>
      <c r="C1722" s="198">
        <v>13.9</v>
      </c>
      <c r="D1722" s="202" t="s">
        <v>642</v>
      </c>
      <c r="E1722" s="444" t="s">
        <v>75</v>
      </c>
      <c r="F1722" s="214">
        <v>1.0</v>
      </c>
      <c r="G1722" s="463">
        <f>VLOOKUP(A1722,'Master List'!$A$4:$F4454,5,FALSE)</f>
        <v>52</v>
      </c>
      <c r="H1722" s="206">
        <f>G1722*F1722</f>
        <v>52</v>
      </c>
      <c r="I1722" s="219"/>
    </row>
    <row r="1723" outlineLevel="2">
      <c r="A1723" s="422"/>
      <c r="B1723" s="428"/>
      <c r="C1723" s="429"/>
      <c r="D1723" s="428"/>
      <c r="E1723" s="431"/>
      <c r="F1723" s="432"/>
      <c r="G1723" s="434"/>
      <c r="H1723" s="434"/>
      <c r="I1723" s="240"/>
    </row>
    <row r="1724" outlineLevel="2">
      <c r="A1724" s="422" t="str">
        <f>'Master List'!A798</f>
        <v>W-KIT-010</v>
      </c>
      <c r="B1724" s="472" t="s">
        <v>644</v>
      </c>
      <c r="C1724" s="301" t="s">
        <v>2598</v>
      </c>
      <c r="D1724" s="202" t="s">
        <v>645</v>
      </c>
      <c r="E1724" s="444" t="s">
        <v>75</v>
      </c>
      <c r="F1724" s="214">
        <v>1.0</v>
      </c>
      <c r="G1724" s="463">
        <f>VLOOKUP(A1724,'Master List'!$A$4:$F4456,5,FALSE)</f>
        <v>65</v>
      </c>
      <c r="H1724" s="206">
        <f>G1724*F1724</f>
        <v>65</v>
      </c>
      <c r="I1724" s="219"/>
    </row>
    <row r="1725" outlineLevel="2">
      <c r="A1725" s="422"/>
      <c r="B1725" s="428"/>
      <c r="C1725" s="429"/>
      <c r="D1725" s="428"/>
      <c r="E1725" s="431"/>
      <c r="F1725" s="432"/>
      <c r="G1725" s="434"/>
      <c r="H1725" s="434"/>
      <c r="I1725" s="240"/>
    </row>
    <row r="1726" outlineLevel="2">
      <c r="A1726" s="422" t="str">
        <f>'Master List'!A799</f>
        <v>W-KIT-011</v>
      </c>
      <c r="B1726" s="472" t="s">
        <v>647</v>
      </c>
      <c r="C1726" s="198">
        <v>13.11</v>
      </c>
      <c r="D1726" s="202" t="s">
        <v>648</v>
      </c>
      <c r="E1726" s="444" t="s">
        <v>75</v>
      </c>
      <c r="F1726" s="214">
        <v>1.0</v>
      </c>
      <c r="G1726" s="463">
        <f>VLOOKUP(A1726,'Master List'!$A$4:$F4458,5,FALSE)</f>
        <v>208</v>
      </c>
      <c r="H1726" s="206">
        <f>G1726*F1726</f>
        <v>208</v>
      </c>
      <c r="I1726" s="219"/>
    </row>
    <row r="1727" outlineLevel="2">
      <c r="A1727" s="422"/>
      <c r="B1727" s="428"/>
      <c r="C1727" s="429"/>
      <c r="D1727" s="428"/>
      <c r="E1727" s="431"/>
      <c r="F1727" s="432"/>
      <c r="G1727" s="434"/>
      <c r="H1727" s="434"/>
      <c r="I1727" s="240"/>
    </row>
    <row r="1728" outlineLevel="2">
      <c r="A1728" s="422" t="str">
        <f>'Master List'!A800</f>
        <v>W-KIT-012</v>
      </c>
      <c r="B1728" s="472" t="s">
        <v>649</v>
      </c>
      <c r="C1728" s="198">
        <v>13.12</v>
      </c>
      <c r="D1728" s="202" t="s">
        <v>650</v>
      </c>
      <c r="E1728" s="444" t="s">
        <v>75</v>
      </c>
      <c r="F1728" s="214">
        <v>1.0</v>
      </c>
      <c r="G1728" s="463">
        <f>VLOOKUP(A1728,'Master List'!$A$4:$F4460,5,FALSE)</f>
        <v>221</v>
      </c>
      <c r="H1728" s="206">
        <f>G1728*F1728</f>
        <v>221</v>
      </c>
      <c r="I1728" s="219"/>
    </row>
    <row r="1729" outlineLevel="2">
      <c r="A1729" s="422"/>
      <c r="B1729" s="428"/>
      <c r="C1729" s="429"/>
      <c r="D1729" s="428"/>
      <c r="E1729" s="431"/>
      <c r="F1729" s="432"/>
      <c r="G1729" s="434"/>
      <c r="H1729" s="434"/>
      <c r="I1729" s="240"/>
    </row>
    <row r="1730" outlineLevel="2">
      <c r="A1730" s="422" t="str">
        <f>'Master List'!A801</f>
        <v>W-KIT-013</v>
      </c>
      <c r="B1730" s="472" t="s">
        <v>651</v>
      </c>
      <c r="C1730" s="198">
        <v>13.13</v>
      </c>
      <c r="D1730" s="202" t="s">
        <v>652</v>
      </c>
      <c r="E1730" s="444" t="s">
        <v>75</v>
      </c>
      <c r="F1730" s="214">
        <v>1.0</v>
      </c>
      <c r="G1730" s="463">
        <f>VLOOKUP(A1730,'Master List'!$A$4:$F4462,5,FALSE)</f>
        <v>32.5</v>
      </c>
      <c r="H1730" s="206">
        <f>G1730*F1730</f>
        <v>32.5</v>
      </c>
      <c r="I1730" s="219"/>
    </row>
    <row r="1731" outlineLevel="2">
      <c r="A1731" s="422"/>
      <c r="B1731" s="428"/>
      <c r="C1731" s="429"/>
      <c r="D1731" s="428"/>
      <c r="E1731" s="431"/>
      <c r="F1731" s="432"/>
      <c r="G1731" s="434"/>
      <c r="H1731" s="434"/>
      <c r="I1731" s="240"/>
    </row>
    <row r="1732" outlineLevel="2">
      <c r="A1732" s="422" t="str">
        <f>'Master List'!A802</f>
        <v>W-KIT-014</v>
      </c>
      <c r="B1732" s="472" t="s">
        <v>653</v>
      </c>
      <c r="C1732" s="198">
        <v>13.14</v>
      </c>
      <c r="D1732" s="202" t="s">
        <v>654</v>
      </c>
      <c r="E1732" s="444" t="s">
        <v>75</v>
      </c>
      <c r="F1732" s="214">
        <v>1.0</v>
      </c>
      <c r="G1732" s="463">
        <f>VLOOKUP(A1732,'Master List'!$A$4:$F4464,5,FALSE)</f>
        <v>23.4</v>
      </c>
      <c r="H1732" s="206">
        <f>G1732*F1732</f>
        <v>23.4</v>
      </c>
      <c r="I1732" s="219"/>
    </row>
    <row r="1733" outlineLevel="2">
      <c r="A1733" s="422"/>
      <c r="B1733" s="428"/>
      <c r="C1733" s="429"/>
      <c r="D1733" s="428"/>
      <c r="E1733" s="431"/>
      <c r="F1733" s="432"/>
      <c r="G1733" s="434"/>
      <c r="H1733" s="434"/>
      <c r="I1733" s="240"/>
    </row>
    <row r="1734" outlineLevel="2">
      <c r="A1734" s="422" t="str">
        <f>'Master List'!A803</f>
        <v>W-KIT-015</v>
      </c>
      <c r="B1734" s="472" t="s">
        <v>655</v>
      </c>
      <c r="C1734" s="198">
        <v>13.15</v>
      </c>
      <c r="D1734" s="202" t="s">
        <v>656</v>
      </c>
      <c r="E1734" s="444" t="s">
        <v>75</v>
      </c>
      <c r="F1734" s="214">
        <v>1.0</v>
      </c>
      <c r="G1734" s="463">
        <f>VLOOKUP(A1734,'Master List'!$A$4:$F4466,5,FALSE)</f>
        <v>110.5</v>
      </c>
      <c r="H1734" s="206">
        <f>G1734*F1734</f>
        <v>110.5</v>
      </c>
      <c r="I1734" s="219"/>
    </row>
    <row r="1735" outlineLevel="2">
      <c r="A1735" s="422"/>
      <c r="B1735" s="428"/>
      <c r="C1735" s="429"/>
      <c r="D1735" s="428"/>
      <c r="E1735" s="431"/>
      <c r="F1735" s="432"/>
      <c r="G1735" s="434"/>
      <c r="H1735" s="434"/>
      <c r="I1735" s="240"/>
    </row>
    <row r="1736" outlineLevel="1">
      <c r="A1736" s="422"/>
      <c r="B1736" s="472" t="s">
        <v>657</v>
      </c>
      <c r="C1736" s="429"/>
      <c r="D1736" s="476" t="s">
        <v>658</v>
      </c>
      <c r="E1736" s="431"/>
      <c r="F1736" s="432"/>
      <c r="G1736" s="436">
        <f>SUM(H1738:H1740)</f>
        <v>156</v>
      </c>
      <c r="H1736" s="434"/>
      <c r="I1736" s="240"/>
    </row>
    <row r="1737" outlineLevel="2">
      <c r="A1737" s="422"/>
      <c r="B1737" s="428"/>
      <c r="C1737" s="429"/>
      <c r="D1737" s="428"/>
      <c r="E1737" s="431"/>
      <c r="F1737" s="432"/>
      <c r="G1737" s="434"/>
      <c r="H1737" s="434"/>
      <c r="I1737" s="240"/>
    </row>
    <row r="1738" outlineLevel="2">
      <c r="A1738" s="422" t="str">
        <f>'Master List'!A804</f>
        <v>W-KIT-016</v>
      </c>
      <c r="B1738" s="472" t="s">
        <v>659</v>
      </c>
      <c r="C1738" s="198">
        <v>13.16</v>
      </c>
      <c r="D1738" s="202" t="s">
        <v>660</v>
      </c>
      <c r="E1738" s="444" t="s">
        <v>75</v>
      </c>
      <c r="F1738" s="214">
        <v>1.0</v>
      </c>
      <c r="G1738" s="463">
        <f>VLOOKUP(A1738,'Master List'!$A$4:$F4470,5,FALSE)</f>
        <v>78</v>
      </c>
      <c r="H1738" s="206">
        <f>G1738*F1738</f>
        <v>78</v>
      </c>
      <c r="I1738" s="219"/>
    </row>
    <row r="1739" outlineLevel="2">
      <c r="A1739" s="422"/>
      <c r="B1739" s="428"/>
      <c r="C1739" s="429"/>
      <c r="D1739" s="428"/>
      <c r="E1739" s="431"/>
      <c r="F1739" s="432"/>
      <c r="G1739" s="434"/>
      <c r="H1739" s="434"/>
      <c r="I1739" s="240"/>
    </row>
    <row r="1740" outlineLevel="2">
      <c r="A1740" s="422" t="str">
        <f>'Master List'!A805</f>
        <v>W-KIT-017</v>
      </c>
      <c r="B1740" s="472" t="s">
        <v>662</v>
      </c>
      <c r="C1740" s="198">
        <v>13.17</v>
      </c>
      <c r="D1740" s="202" t="s">
        <v>663</v>
      </c>
      <c r="E1740" s="444" t="s">
        <v>75</v>
      </c>
      <c r="F1740" s="214">
        <v>1.0</v>
      </c>
      <c r="G1740" s="463">
        <f>VLOOKUP(A1740,'Master List'!$A$4:$F4472,5,FALSE)</f>
        <v>78</v>
      </c>
      <c r="H1740" s="206">
        <f>G1740*F1740</f>
        <v>78</v>
      </c>
      <c r="I1740" s="219"/>
    </row>
    <row r="1741" outlineLevel="2">
      <c r="A1741" s="422"/>
      <c r="B1741" s="472"/>
      <c r="C1741" s="289"/>
      <c r="D1741" s="285"/>
      <c r="E1741" s="487"/>
      <c r="F1741" s="275"/>
      <c r="G1741" s="239"/>
      <c r="H1741" s="239"/>
      <c r="I1741" s="240"/>
    </row>
    <row r="1742" outlineLevel="1">
      <c r="A1742" s="422"/>
      <c r="B1742" s="472"/>
      <c r="C1742" s="289"/>
      <c r="D1742" s="285"/>
      <c r="E1742" s="487"/>
      <c r="F1742" s="275"/>
      <c r="G1742" s="239"/>
      <c r="H1742" s="239"/>
      <c r="I1742" s="240"/>
    </row>
    <row r="1743">
      <c r="A1743" s="422"/>
      <c r="B1743" s="471"/>
      <c r="C1743" s="500">
        <v>14.0</v>
      </c>
      <c r="D1743" s="476" t="s">
        <v>5619</v>
      </c>
      <c r="E1743" s="493"/>
      <c r="F1743" s="214"/>
      <c r="G1743" s="205"/>
      <c r="H1743" s="426">
        <f>SUM(H1747:H1898)</f>
        <v>34663.2696</v>
      </c>
      <c r="I1743" s="427">
        <f>H1743-Resumo!J41</f>
        <v>-5675.330401</v>
      </c>
    </row>
    <row r="1744" outlineLevel="1">
      <c r="A1744" s="422"/>
      <c r="B1744" s="472"/>
      <c r="C1744" s="501"/>
      <c r="D1744" s="285"/>
      <c r="E1744" s="487"/>
      <c r="F1744" s="275"/>
      <c r="G1744" s="239"/>
      <c r="H1744" s="239"/>
      <c r="I1744" s="240"/>
    </row>
    <row r="1745" outlineLevel="1">
      <c r="A1745" s="422"/>
      <c r="B1745" s="472"/>
      <c r="C1745" s="502"/>
      <c r="D1745" s="476" t="s">
        <v>938</v>
      </c>
      <c r="E1745" s="431"/>
      <c r="F1745" s="432"/>
      <c r="G1745" s="436">
        <f>SUM(H1751:H1843)</f>
        <v>16353.83693</v>
      </c>
      <c r="H1745" s="239"/>
      <c r="I1745" s="240"/>
    </row>
    <row r="1746" outlineLevel="2">
      <c r="A1746" s="422"/>
      <c r="B1746" s="428"/>
      <c r="C1746" s="502"/>
      <c r="D1746" s="428"/>
      <c r="E1746" s="431"/>
      <c r="F1746" s="432"/>
      <c r="G1746" s="434"/>
      <c r="H1746" s="239"/>
      <c r="I1746" s="240"/>
    </row>
    <row r="1747" outlineLevel="2">
      <c r="A1747" s="422"/>
      <c r="B1747" s="472">
        <v>3.1</v>
      </c>
      <c r="C1747" s="503">
        <v>14.1</v>
      </c>
      <c r="D1747" s="245" t="s">
        <v>939</v>
      </c>
      <c r="E1747" s="437"/>
      <c r="F1747" s="170"/>
      <c r="G1747" s="239"/>
      <c r="H1747" s="239"/>
      <c r="I1747" s="240"/>
    </row>
    <row r="1748" outlineLevel="2">
      <c r="A1748" s="422"/>
      <c r="B1748" s="428"/>
      <c r="C1748" s="502"/>
      <c r="D1748" s="428"/>
      <c r="E1748" s="431"/>
      <c r="F1748" s="432"/>
      <c r="G1748" s="434"/>
      <c r="H1748" s="239"/>
      <c r="I1748" s="240"/>
    </row>
    <row r="1749" outlineLevel="2">
      <c r="A1749" s="422"/>
      <c r="B1749" s="472" t="s">
        <v>940</v>
      </c>
      <c r="C1749" s="503">
        <v>14.2</v>
      </c>
      <c r="D1749" s="245" t="s">
        <v>941</v>
      </c>
      <c r="E1749" s="437"/>
      <c r="F1749" s="170"/>
      <c r="G1749" s="239"/>
      <c r="H1749" s="239"/>
      <c r="I1749" s="240"/>
    </row>
    <row r="1750" outlineLevel="2">
      <c r="A1750" s="422"/>
      <c r="B1750" s="472"/>
      <c r="C1750" s="504"/>
      <c r="D1750" s="246"/>
      <c r="E1750" s="437"/>
      <c r="F1750" s="170"/>
      <c r="G1750" s="239"/>
      <c r="H1750" s="239"/>
      <c r="I1750" s="240"/>
    </row>
    <row r="1751" outlineLevel="2">
      <c r="A1751" s="422"/>
      <c r="B1751" s="472" t="s">
        <v>942</v>
      </c>
      <c r="C1751" s="505" t="s">
        <v>2612</v>
      </c>
      <c r="D1751" s="249" t="s">
        <v>943</v>
      </c>
      <c r="E1751" s="444" t="s">
        <v>161</v>
      </c>
      <c r="F1751" s="214">
        <v>111.35</v>
      </c>
      <c r="G1751" s="205"/>
      <c r="H1751" s="206"/>
      <c r="I1751" s="506"/>
    </row>
    <row r="1752" outlineLevel="2">
      <c r="A1752" s="422"/>
      <c r="B1752" s="472" t="s">
        <v>944</v>
      </c>
      <c r="C1752" s="503" t="s">
        <v>2614</v>
      </c>
      <c r="D1752" s="507" t="s">
        <v>945</v>
      </c>
      <c r="E1752" s="508" t="s">
        <v>161</v>
      </c>
      <c r="F1752" s="509">
        <v>1.7</v>
      </c>
      <c r="G1752" s="510"/>
      <c r="H1752" s="511"/>
      <c r="I1752" s="219"/>
    </row>
    <row r="1753" outlineLevel="2">
      <c r="A1753" s="422"/>
      <c r="B1753" s="472" t="s">
        <v>946</v>
      </c>
      <c r="C1753" s="503" t="s">
        <v>2616</v>
      </c>
      <c r="D1753" s="202" t="s">
        <v>947</v>
      </c>
      <c r="E1753" s="444" t="s">
        <v>161</v>
      </c>
      <c r="F1753" s="214">
        <v>42.4</v>
      </c>
      <c r="G1753" s="205"/>
      <c r="H1753" s="206"/>
      <c r="I1753" s="219"/>
    </row>
    <row r="1754" outlineLevel="2">
      <c r="A1754" s="422"/>
      <c r="B1754" s="472"/>
      <c r="C1754" s="504"/>
      <c r="D1754" s="246"/>
      <c r="E1754" s="437"/>
      <c r="F1754" s="170"/>
      <c r="G1754" s="239"/>
      <c r="H1754" s="239"/>
      <c r="I1754" s="240"/>
    </row>
    <row r="1755" outlineLevel="2">
      <c r="A1755" s="422" t="str">
        <f>'Master List'!A693</f>
        <v>W-PLB-040</v>
      </c>
      <c r="B1755" s="472"/>
      <c r="C1755" s="505"/>
      <c r="D1755" s="462" t="str">
        <f>VLOOKUP(A1755,'Master List'!$A$1:$C$1192,2,FALSE)</f>
        <v>Прокладання пластикових труб діаметром до 20мм</v>
      </c>
      <c r="E1755" s="463" t="str">
        <f>VLOOKUP(A1755,'Master List'!$A$1:$C$1192,3,FALSE)</f>
        <v>м</v>
      </c>
      <c r="F1755" s="464">
        <f t="shared" ref="F1755:F1757" si="173">F1751</f>
        <v>111.35</v>
      </c>
      <c r="G1755" s="463">
        <f>VLOOKUP(A1755,'Master List'!$A$4:$F4468,5,FALSE)</f>
        <v>5.85</v>
      </c>
      <c r="H1755" s="206">
        <f t="shared" ref="H1755:H1760" si="174">G1755*F1755</f>
        <v>651.3975</v>
      </c>
      <c r="I1755" s="240"/>
    </row>
    <row r="1756" outlineLevel="2">
      <c r="A1756" s="422" t="str">
        <f>'Master List'!A694</f>
        <v>W-PLB-041</v>
      </c>
      <c r="B1756" s="472"/>
      <c r="C1756" s="505"/>
      <c r="D1756" s="462" t="str">
        <f>VLOOKUP(A1756,'Master List'!$A$1:$C$1192,2,FALSE)</f>
        <v>Прокладання пластикових труб діаметром до 32мм</v>
      </c>
      <c r="E1756" s="463" t="str">
        <f>VLOOKUP(A1756,'Master List'!$A$1:$C$1192,3,FALSE)</f>
        <v>м</v>
      </c>
      <c r="F1756" s="464">
        <f t="shared" si="173"/>
        <v>1.7</v>
      </c>
      <c r="G1756" s="463">
        <f>VLOOKUP(A1756,'Master List'!$A$4:$F4469,5,FALSE)</f>
        <v>7.15</v>
      </c>
      <c r="H1756" s="206">
        <f t="shared" si="174"/>
        <v>12.155</v>
      </c>
      <c r="I1756" s="240"/>
    </row>
    <row r="1757" outlineLevel="2">
      <c r="A1757" s="422" t="str">
        <f>'Master List'!A695</f>
        <v>W-PLB-042</v>
      </c>
      <c r="B1757" s="472"/>
      <c r="C1757" s="505"/>
      <c r="D1757" s="462" t="str">
        <f>VLOOKUP(A1757,'Master List'!$A$1:$C$1192,2,FALSE)</f>
        <v>Прокладання пластикових труб діаметром до 50мм</v>
      </c>
      <c r="E1757" s="463" t="str">
        <f>VLOOKUP(A1757,'Master List'!$A$1:$C$1192,3,FALSE)</f>
        <v>м</v>
      </c>
      <c r="F1757" s="464">
        <f t="shared" si="173"/>
        <v>42.4</v>
      </c>
      <c r="G1757" s="463">
        <f>VLOOKUP(A1757,'Master List'!$A$4:$F4470,5,FALSE)</f>
        <v>9.1</v>
      </c>
      <c r="H1757" s="206">
        <f t="shared" si="174"/>
        <v>385.84</v>
      </c>
      <c r="I1757" s="240"/>
    </row>
    <row r="1758" outlineLevel="2">
      <c r="A1758" s="422" t="str">
        <f>'Master List'!A243</f>
        <v>M-PLB-040</v>
      </c>
      <c r="B1758" s="472"/>
      <c r="C1758" s="505"/>
      <c r="D1758" s="462" t="str">
        <f>VLOOKUP(A1758,'Master List'!$A$1:$C$1192,2,FALSE)</f>
        <v>Труба поліетиленова SDR 13,6 діаметром 20мм</v>
      </c>
      <c r="E1758" s="463" t="str">
        <f>VLOOKUP(A1758,'Master List'!$A$1:$C$1192,3,FALSE)</f>
        <v>м</v>
      </c>
      <c r="F1758" s="464">
        <f t="shared" ref="F1758:F1760" si="175">F1755*1.02</f>
        <v>113.577</v>
      </c>
      <c r="G1758" s="463">
        <f>VLOOKUP(A1758,'Master List'!$A$4:$F4471,5,FALSE)</f>
        <v>0.845</v>
      </c>
      <c r="H1758" s="206">
        <f t="shared" si="174"/>
        <v>95.972565</v>
      </c>
      <c r="I1758" s="240"/>
    </row>
    <row r="1759" outlineLevel="2">
      <c r="A1759" s="422" t="str">
        <f>'Master List'!A244</f>
        <v>M-PLB-041</v>
      </c>
      <c r="B1759" s="472"/>
      <c r="C1759" s="505"/>
      <c r="D1759" s="462" t="str">
        <f>VLOOKUP(A1759,'Master List'!$A$1:$C$1192,2,FALSE)</f>
        <v>Труба поліетиленова SDR 13,6 діаметром 25мм</v>
      </c>
      <c r="E1759" s="463" t="str">
        <f>VLOOKUP(A1759,'Master List'!$A$1:$C$1192,3,FALSE)</f>
        <v>м</v>
      </c>
      <c r="F1759" s="464">
        <f t="shared" si="175"/>
        <v>1.734</v>
      </c>
      <c r="G1759" s="463">
        <f>VLOOKUP(A1759,'Master List'!$A$4:$F4472,5,FALSE)</f>
        <v>1.378</v>
      </c>
      <c r="H1759" s="206">
        <f t="shared" si="174"/>
        <v>2.389452</v>
      </c>
      <c r="I1759" s="240"/>
    </row>
    <row r="1760" outlineLevel="2">
      <c r="A1760" s="422" t="str">
        <f>'Master List'!A245</f>
        <v>M-PLB-042</v>
      </c>
      <c r="B1760" s="472"/>
      <c r="C1760" s="505"/>
      <c r="D1760" s="462" t="str">
        <f>VLOOKUP(A1760,'Master List'!$A$1:$C$1192,2,FALSE)</f>
        <v>Труба поліетиленова SDR 13,6 діаметром 40мм</v>
      </c>
      <c r="E1760" s="463" t="str">
        <f>VLOOKUP(A1760,'Master List'!$A$1:$C$1192,3,FALSE)</f>
        <v>м</v>
      </c>
      <c r="F1760" s="464">
        <f t="shared" si="175"/>
        <v>43.248</v>
      </c>
      <c r="G1760" s="463">
        <f>VLOOKUP(A1760,'Master List'!$A$4:$F4473,5,FALSE)</f>
        <v>4.576</v>
      </c>
      <c r="H1760" s="206">
        <f t="shared" si="174"/>
        <v>197.902848</v>
      </c>
      <c r="I1760" s="240"/>
    </row>
    <row r="1761" outlineLevel="2">
      <c r="A1761" s="422"/>
      <c r="B1761" s="428"/>
      <c r="C1761" s="502"/>
      <c r="D1761" s="428"/>
      <c r="E1761" s="431"/>
      <c r="F1761" s="432"/>
      <c r="G1761" s="434"/>
      <c r="H1761" s="239"/>
      <c r="I1761" s="240"/>
    </row>
    <row r="1762" outlineLevel="2">
      <c r="A1762" s="422"/>
      <c r="B1762" s="472" t="s">
        <v>948</v>
      </c>
      <c r="C1762" s="503">
        <v>14.3</v>
      </c>
      <c r="D1762" s="245" t="s">
        <v>949</v>
      </c>
      <c r="E1762" s="437"/>
      <c r="F1762" s="170"/>
      <c r="G1762" s="239"/>
      <c r="H1762" s="239"/>
      <c r="I1762" s="240"/>
    </row>
    <row r="1763" outlineLevel="2">
      <c r="A1763" s="422"/>
      <c r="B1763" s="472"/>
      <c r="C1763" s="504"/>
      <c r="D1763" s="246"/>
      <c r="E1763" s="437"/>
      <c r="F1763" s="170"/>
      <c r="G1763" s="239"/>
      <c r="H1763" s="239"/>
      <c r="I1763" s="240"/>
    </row>
    <row r="1764" outlineLevel="2">
      <c r="A1764" s="422"/>
      <c r="B1764" s="472" t="s">
        <v>950</v>
      </c>
      <c r="C1764" s="512" t="s">
        <v>2619</v>
      </c>
      <c r="D1764" s="249" t="s">
        <v>951</v>
      </c>
      <c r="E1764" s="444" t="s">
        <v>161</v>
      </c>
      <c r="F1764" s="214">
        <v>64.54</v>
      </c>
      <c r="G1764" s="205"/>
      <c r="H1764" s="206"/>
      <c r="I1764" s="506"/>
    </row>
    <row r="1765" outlineLevel="2">
      <c r="A1765" s="422"/>
      <c r="B1765" s="472" t="s">
        <v>952</v>
      </c>
      <c r="C1765" s="503" t="s">
        <v>2621</v>
      </c>
      <c r="D1765" s="507" t="s">
        <v>953</v>
      </c>
      <c r="E1765" s="508" t="s">
        <v>161</v>
      </c>
      <c r="F1765" s="509">
        <v>82.73</v>
      </c>
      <c r="G1765" s="510"/>
      <c r="H1765" s="511"/>
      <c r="I1765" s="219"/>
    </row>
    <row r="1766" outlineLevel="2">
      <c r="A1766" s="422"/>
      <c r="B1766" s="472" t="s">
        <v>954</v>
      </c>
      <c r="C1766" s="503" t="s">
        <v>2623</v>
      </c>
      <c r="D1766" s="202" t="s">
        <v>955</v>
      </c>
      <c r="E1766" s="444" t="s">
        <v>161</v>
      </c>
      <c r="F1766" s="214">
        <v>39.6</v>
      </c>
      <c r="G1766" s="205"/>
      <c r="H1766" s="206"/>
      <c r="I1766" s="219"/>
    </row>
    <row r="1767" outlineLevel="2">
      <c r="A1767" s="422"/>
      <c r="B1767" s="472" t="s">
        <v>956</v>
      </c>
      <c r="C1767" s="503" t="s">
        <v>2625</v>
      </c>
      <c r="D1767" s="202" t="s">
        <v>957</v>
      </c>
      <c r="E1767" s="444" t="s">
        <v>161</v>
      </c>
      <c r="F1767" s="214">
        <v>27.8</v>
      </c>
      <c r="G1767" s="205"/>
      <c r="H1767" s="206"/>
      <c r="I1767" s="219"/>
    </row>
    <row r="1768" outlineLevel="2">
      <c r="A1768" s="422"/>
      <c r="B1768" s="472" t="s">
        <v>958</v>
      </c>
      <c r="C1768" s="503" t="s">
        <v>2627</v>
      </c>
      <c r="D1768" s="202" t="s">
        <v>959</v>
      </c>
      <c r="E1768" s="444" t="s">
        <v>161</v>
      </c>
      <c r="F1768" s="214">
        <v>17.28</v>
      </c>
      <c r="G1768" s="205"/>
      <c r="H1768" s="206"/>
      <c r="I1768" s="219"/>
    </row>
    <row r="1769" outlineLevel="2">
      <c r="A1769" s="422"/>
      <c r="B1769" s="472"/>
      <c r="C1769" s="504"/>
      <c r="D1769" s="246"/>
      <c r="E1769" s="437"/>
      <c r="F1769" s="170"/>
      <c r="G1769" s="239"/>
      <c r="H1769" s="239"/>
      <c r="I1769" s="240"/>
    </row>
    <row r="1770" outlineLevel="2">
      <c r="A1770" s="422" t="str">
        <f>'Master List'!A693</f>
        <v>W-PLB-040</v>
      </c>
      <c r="B1770" s="472"/>
      <c r="C1770" s="505"/>
      <c r="D1770" s="462" t="str">
        <f>VLOOKUP(A1770,'Master List'!$A$1:$C$1192,2,FALSE)</f>
        <v>Прокладання пластикових труб діаметром до 20мм</v>
      </c>
      <c r="E1770" s="463" t="str">
        <f>VLOOKUP(A1770,'Master List'!$A$1:$C$1192,3,FALSE)</f>
        <v>м</v>
      </c>
      <c r="F1770" s="464">
        <f>F1764+F1765</f>
        <v>147.27</v>
      </c>
      <c r="G1770" s="463">
        <f>VLOOKUP(A1770,'Master List'!$A$4:$F4484,5,FALSE)</f>
        <v>5.85</v>
      </c>
      <c r="H1770" s="206">
        <f t="shared" ref="H1770:H1777" si="176">G1770*F1770</f>
        <v>861.5295</v>
      </c>
      <c r="I1770" s="240"/>
    </row>
    <row r="1771" outlineLevel="2">
      <c r="A1771" s="422" t="str">
        <f>'Master List'!A694</f>
        <v>W-PLB-041</v>
      </c>
      <c r="B1771" s="472"/>
      <c r="C1771" s="505"/>
      <c r="D1771" s="462" t="str">
        <f>VLOOKUP(A1771,'Master List'!$A$1:$C$1192,2,FALSE)</f>
        <v>Прокладання пластикових труб діаметром до 32мм</v>
      </c>
      <c r="E1771" s="463" t="str">
        <f>VLOOKUP(A1771,'Master List'!$A$1:$C$1192,3,FALSE)</f>
        <v>м</v>
      </c>
      <c r="F1771" s="464">
        <f>F1766+F1767</f>
        <v>67.4</v>
      </c>
      <c r="G1771" s="463">
        <f>VLOOKUP(A1771,'Master List'!$A$4:$F4485,5,FALSE)</f>
        <v>7.15</v>
      </c>
      <c r="H1771" s="206">
        <f t="shared" si="176"/>
        <v>481.91</v>
      </c>
      <c r="I1771" s="240"/>
    </row>
    <row r="1772" outlineLevel="2">
      <c r="A1772" s="422" t="str">
        <f>'Master List'!A695</f>
        <v>W-PLB-042</v>
      </c>
      <c r="B1772" s="472"/>
      <c r="C1772" s="505"/>
      <c r="D1772" s="462" t="str">
        <f>VLOOKUP(A1772,'Master List'!$A$1:$C$1192,2,FALSE)</f>
        <v>Прокладання пластикових труб діаметром до 50мм</v>
      </c>
      <c r="E1772" s="463" t="str">
        <f>VLOOKUP(A1772,'Master List'!$A$1:$C$1192,3,FALSE)</f>
        <v>м</v>
      </c>
      <c r="F1772" s="464">
        <f>F1768</f>
        <v>17.28</v>
      </c>
      <c r="G1772" s="463">
        <f>VLOOKUP(A1772,'Master List'!$A$4:$F4486,5,FALSE)</f>
        <v>9.1</v>
      </c>
      <c r="H1772" s="206">
        <f t="shared" si="176"/>
        <v>157.248</v>
      </c>
      <c r="I1772" s="240"/>
    </row>
    <row r="1773" outlineLevel="2">
      <c r="A1773" s="422" t="str">
        <f>'Master List'!A246</f>
        <v>M-PLB-043</v>
      </c>
      <c r="B1773" s="472"/>
      <c r="C1773" s="505"/>
      <c r="D1773" s="462" t="str">
        <f>VLOOKUP(A1773,'Master List'!$A$1:$C$1192,2,FALSE)</f>
        <v>Труба багатошарова Mepla діаметром 16мм</v>
      </c>
      <c r="E1773" s="463" t="str">
        <f>VLOOKUP(A1773,'Master List'!$A$1:$C$1192,3,FALSE)</f>
        <v>м</v>
      </c>
      <c r="F1773" s="464">
        <f t="shared" ref="F1773:F1777" si="177">F1764*1.02</f>
        <v>65.8308</v>
      </c>
      <c r="G1773" s="463">
        <f>VLOOKUP(A1773,'Master List'!$A$4:$F4487,5,FALSE)</f>
        <v>3.627</v>
      </c>
      <c r="H1773" s="206">
        <f t="shared" si="176"/>
        <v>238.7683116</v>
      </c>
      <c r="I1773" s="240"/>
    </row>
    <row r="1774" outlineLevel="2">
      <c r="A1774" s="422" t="str">
        <f>'Master List'!A247</f>
        <v>M-PLB-044</v>
      </c>
      <c r="B1774" s="472"/>
      <c r="C1774" s="505"/>
      <c r="D1774" s="462" t="str">
        <f>VLOOKUP(A1774,'Master List'!$A$1:$C$1192,2,FALSE)</f>
        <v>Труба багатошарова Mepla діаметром 20мм</v>
      </c>
      <c r="E1774" s="463" t="str">
        <f>VLOOKUP(A1774,'Master List'!$A$1:$C$1192,3,FALSE)</f>
        <v>м</v>
      </c>
      <c r="F1774" s="464">
        <f t="shared" si="177"/>
        <v>84.3846</v>
      </c>
      <c r="G1774" s="463">
        <f>VLOOKUP(A1774,'Master List'!$A$4:$F4488,5,FALSE)</f>
        <v>5.395</v>
      </c>
      <c r="H1774" s="206">
        <f t="shared" si="176"/>
        <v>455.254917</v>
      </c>
      <c r="I1774" s="240"/>
    </row>
    <row r="1775" outlineLevel="2">
      <c r="A1775" s="422" t="str">
        <f>'Master List'!A248</f>
        <v>M-PLB-045</v>
      </c>
      <c r="B1775" s="472"/>
      <c r="C1775" s="505"/>
      <c r="D1775" s="462" t="str">
        <f>VLOOKUP(A1775,'Master List'!$A$1:$C$1192,2,FALSE)</f>
        <v>Труба багатошарова Mepla діаметром 26мм</v>
      </c>
      <c r="E1775" s="463" t="str">
        <f>VLOOKUP(A1775,'Master List'!$A$1:$C$1192,3,FALSE)</f>
        <v>м</v>
      </c>
      <c r="F1775" s="464">
        <f t="shared" si="177"/>
        <v>40.392</v>
      </c>
      <c r="G1775" s="463">
        <f>VLOOKUP(A1775,'Master List'!$A$4:$F4489,5,FALSE)</f>
        <v>7.722</v>
      </c>
      <c r="H1775" s="206">
        <f t="shared" si="176"/>
        <v>311.907024</v>
      </c>
      <c r="I1775" s="240"/>
    </row>
    <row r="1776" outlineLevel="2">
      <c r="A1776" s="422" t="str">
        <f>'Master List'!A249</f>
        <v>M-PLB-046</v>
      </c>
      <c r="B1776" s="472"/>
      <c r="C1776" s="505"/>
      <c r="D1776" s="462" t="str">
        <f>VLOOKUP(A1776,'Master List'!$A$1:$C$1192,2,FALSE)</f>
        <v>Труба багатошарова Mepla діаметром 32мм</v>
      </c>
      <c r="E1776" s="463" t="str">
        <f>VLOOKUP(A1776,'Master List'!$A$1:$C$1192,3,FALSE)</f>
        <v>м</v>
      </c>
      <c r="F1776" s="464">
        <f t="shared" si="177"/>
        <v>28.356</v>
      </c>
      <c r="G1776" s="463">
        <f>VLOOKUP(A1776,'Master List'!$A$4:$F4490,5,FALSE)</f>
        <v>10.647</v>
      </c>
      <c r="H1776" s="206">
        <f t="shared" si="176"/>
        <v>301.906332</v>
      </c>
      <c r="I1776" s="240"/>
    </row>
    <row r="1777" outlineLevel="2">
      <c r="A1777" s="422" t="str">
        <f>'Master List'!A250</f>
        <v>M-PLB-047</v>
      </c>
      <c r="B1777" s="472"/>
      <c r="C1777" s="505"/>
      <c r="D1777" s="462" t="str">
        <f>VLOOKUP(A1777,'Master List'!$A$1:$C$1192,2,FALSE)</f>
        <v>Труба багатошарова Mepla діаметром 40мм</v>
      </c>
      <c r="E1777" s="463" t="str">
        <f>VLOOKUP(A1777,'Master List'!$A$1:$C$1192,3,FALSE)</f>
        <v>м</v>
      </c>
      <c r="F1777" s="464">
        <f t="shared" si="177"/>
        <v>17.6256</v>
      </c>
      <c r="G1777" s="463">
        <f>VLOOKUP(A1777,'Master List'!$A$4:$F4491,5,FALSE)</f>
        <v>19.032</v>
      </c>
      <c r="H1777" s="206">
        <f t="shared" si="176"/>
        <v>335.4504192</v>
      </c>
      <c r="I1777" s="240"/>
    </row>
    <row r="1778" outlineLevel="2">
      <c r="A1778" s="422"/>
      <c r="B1778" s="428"/>
      <c r="C1778" s="502"/>
      <c r="D1778" s="428"/>
      <c r="E1778" s="431"/>
      <c r="F1778" s="432"/>
      <c r="G1778" s="434"/>
      <c r="H1778" s="239"/>
      <c r="I1778" s="240"/>
    </row>
    <row r="1779" outlineLevel="2">
      <c r="A1779" s="422"/>
      <c r="B1779" s="472">
        <v>3.2</v>
      </c>
      <c r="C1779" s="503">
        <v>14.4</v>
      </c>
      <c r="D1779" s="245" t="s">
        <v>960</v>
      </c>
      <c r="E1779" s="437"/>
      <c r="F1779" s="170"/>
      <c r="G1779" s="239"/>
      <c r="H1779" s="239"/>
      <c r="I1779" s="240"/>
    </row>
    <row r="1780" outlineLevel="2">
      <c r="A1780" s="422"/>
      <c r="B1780" s="428"/>
      <c r="C1780" s="502"/>
      <c r="D1780" s="428"/>
      <c r="E1780" s="431"/>
      <c r="F1780" s="432"/>
      <c r="G1780" s="434"/>
      <c r="H1780" s="239"/>
      <c r="I1780" s="240"/>
    </row>
    <row r="1781" outlineLevel="2">
      <c r="A1781" s="422"/>
      <c r="B1781" s="472" t="s">
        <v>961</v>
      </c>
      <c r="C1781" s="503">
        <v>14.5</v>
      </c>
      <c r="D1781" s="245" t="s">
        <v>962</v>
      </c>
      <c r="E1781" s="437"/>
      <c r="F1781" s="170"/>
      <c r="G1781" s="239"/>
      <c r="H1781" s="239"/>
      <c r="I1781" s="240"/>
    </row>
    <row r="1782" outlineLevel="2">
      <c r="A1782" s="422"/>
      <c r="B1782" s="472"/>
      <c r="C1782" s="504"/>
      <c r="D1782" s="246"/>
      <c r="E1782" s="437"/>
      <c r="F1782" s="170"/>
      <c r="G1782" s="239"/>
      <c r="H1782" s="239"/>
      <c r="I1782" s="240"/>
    </row>
    <row r="1783" outlineLevel="2">
      <c r="A1783" s="422"/>
      <c r="B1783" s="472" t="s">
        <v>963</v>
      </c>
      <c r="C1783" s="505" t="s">
        <v>2631</v>
      </c>
      <c r="D1783" s="249" t="s">
        <v>951</v>
      </c>
      <c r="E1783" s="444" t="s">
        <v>161</v>
      </c>
      <c r="F1783" s="214">
        <v>33.18</v>
      </c>
      <c r="G1783" s="205"/>
      <c r="H1783" s="206"/>
      <c r="I1783" s="506"/>
    </row>
    <row r="1784" outlineLevel="2">
      <c r="A1784" s="422"/>
      <c r="B1784" s="472" t="s">
        <v>964</v>
      </c>
      <c r="C1784" s="503" t="s">
        <v>2632</v>
      </c>
      <c r="D1784" s="507" t="s">
        <v>953</v>
      </c>
      <c r="E1784" s="508" t="s">
        <v>161</v>
      </c>
      <c r="F1784" s="509">
        <v>87.49</v>
      </c>
      <c r="G1784" s="510"/>
      <c r="H1784" s="511"/>
      <c r="I1784" s="219"/>
    </row>
    <row r="1785" outlineLevel="2">
      <c r="A1785" s="422"/>
      <c r="B1785" s="472" t="s">
        <v>965</v>
      </c>
      <c r="C1785" s="503" t="s">
        <v>2633</v>
      </c>
      <c r="D1785" s="202" t="s">
        <v>955</v>
      </c>
      <c r="E1785" s="444" t="s">
        <v>161</v>
      </c>
      <c r="F1785" s="214">
        <v>45.63</v>
      </c>
      <c r="G1785" s="205"/>
      <c r="H1785" s="206"/>
      <c r="I1785" s="219"/>
    </row>
    <row r="1786" outlineLevel="2">
      <c r="A1786" s="422"/>
      <c r="B1786" s="472" t="s">
        <v>966</v>
      </c>
      <c r="C1786" s="503" t="s">
        <v>2634</v>
      </c>
      <c r="D1786" s="202" t="s">
        <v>957</v>
      </c>
      <c r="E1786" s="444" t="s">
        <v>161</v>
      </c>
      <c r="F1786" s="214">
        <v>13.94</v>
      </c>
      <c r="G1786" s="205"/>
      <c r="H1786" s="206"/>
      <c r="I1786" s="219"/>
    </row>
    <row r="1787" outlineLevel="2">
      <c r="A1787" s="422"/>
      <c r="B1787" s="472"/>
      <c r="C1787" s="504"/>
      <c r="D1787" s="246"/>
      <c r="E1787" s="437"/>
      <c r="F1787" s="170"/>
      <c r="G1787" s="239"/>
      <c r="H1787" s="239"/>
      <c r="I1787" s="240"/>
    </row>
    <row r="1788" outlineLevel="2">
      <c r="A1788" s="422" t="str">
        <f>'Master List'!A693</f>
        <v>W-PLB-040</v>
      </c>
      <c r="B1788" s="472"/>
      <c r="C1788" s="505"/>
      <c r="D1788" s="462" t="str">
        <f>VLOOKUP(A1788,'Master List'!$A$1:$C$1192,2,FALSE)</f>
        <v>Прокладання пластикових труб діаметром до 20мм</v>
      </c>
      <c r="E1788" s="463" t="str">
        <f>VLOOKUP(A1788,'Master List'!$A$1:$C$1192,3,FALSE)</f>
        <v>м</v>
      </c>
      <c r="F1788" s="464">
        <f>F1783+F1784</f>
        <v>120.67</v>
      </c>
      <c r="G1788" s="463">
        <f>VLOOKUP(A1788,'Master List'!$A$4:$F4504,5,FALSE)</f>
        <v>5.85</v>
      </c>
      <c r="H1788" s="206">
        <f t="shared" ref="H1788:H1793" si="178">G1788*F1788</f>
        <v>705.9195</v>
      </c>
      <c r="I1788" s="240"/>
    </row>
    <row r="1789" outlineLevel="2">
      <c r="A1789" s="422" t="str">
        <f>'Master List'!A694</f>
        <v>W-PLB-041</v>
      </c>
      <c r="B1789" s="472"/>
      <c r="C1789" s="505"/>
      <c r="D1789" s="462" t="str">
        <f>VLOOKUP(A1789,'Master List'!$A$1:$C$1192,2,FALSE)</f>
        <v>Прокладання пластикових труб діаметром до 32мм</v>
      </c>
      <c r="E1789" s="463" t="str">
        <f>VLOOKUP(A1789,'Master List'!$A$1:$C$1192,3,FALSE)</f>
        <v>м</v>
      </c>
      <c r="F1789" s="464">
        <f>F1785+F1786</f>
        <v>59.57</v>
      </c>
      <c r="G1789" s="463">
        <f>VLOOKUP(A1789,'Master List'!$A$4:$F4505,5,FALSE)</f>
        <v>7.15</v>
      </c>
      <c r="H1789" s="206">
        <f t="shared" si="178"/>
        <v>425.9255</v>
      </c>
      <c r="I1789" s="240"/>
    </row>
    <row r="1790" outlineLevel="2">
      <c r="A1790" s="422" t="str">
        <f>'Master List'!A246</f>
        <v>M-PLB-043</v>
      </c>
      <c r="B1790" s="472"/>
      <c r="C1790" s="505"/>
      <c r="D1790" s="462" t="str">
        <f>VLOOKUP(A1790,'Master List'!$A$1:$C$1192,2,FALSE)</f>
        <v>Труба багатошарова Mepla діаметром 16мм</v>
      </c>
      <c r="E1790" s="463" t="str">
        <f>VLOOKUP(A1790,'Master List'!$A$1:$C$1192,3,FALSE)</f>
        <v>м</v>
      </c>
      <c r="F1790" s="464">
        <f t="shared" ref="F1790:F1793" si="179">F1783*1.02</f>
        <v>33.8436</v>
      </c>
      <c r="G1790" s="463">
        <f>VLOOKUP(A1790,'Master List'!$A$4:$F4506,5,FALSE)</f>
        <v>3.627</v>
      </c>
      <c r="H1790" s="206">
        <f t="shared" si="178"/>
        <v>122.7507372</v>
      </c>
      <c r="I1790" s="240"/>
    </row>
    <row r="1791" outlineLevel="2">
      <c r="A1791" s="422" t="str">
        <f>'Master List'!A247</f>
        <v>M-PLB-044</v>
      </c>
      <c r="B1791" s="472"/>
      <c r="C1791" s="505"/>
      <c r="D1791" s="462" t="str">
        <f>VLOOKUP(A1791,'Master List'!$A$1:$C$1192,2,FALSE)</f>
        <v>Труба багатошарова Mepla діаметром 20мм</v>
      </c>
      <c r="E1791" s="463" t="str">
        <f>VLOOKUP(A1791,'Master List'!$A$1:$C$1192,3,FALSE)</f>
        <v>м</v>
      </c>
      <c r="F1791" s="464">
        <f t="shared" si="179"/>
        <v>89.2398</v>
      </c>
      <c r="G1791" s="463">
        <f>VLOOKUP(A1791,'Master List'!$A$4:$F4507,5,FALSE)</f>
        <v>5.395</v>
      </c>
      <c r="H1791" s="206">
        <f t="shared" si="178"/>
        <v>481.448721</v>
      </c>
      <c r="I1791" s="240"/>
    </row>
    <row r="1792" outlineLevel="2">
      <c r="A1792" s="422" t="str">
        <f>'Master List'!A248</f>
        <v>M-PLB-045</v>
      </c>
      <c r="B1792" s="472"/>
      <c r="C1792" s="505"/>
      <c r="D1792" s="462" t="str">
        <f>VLOOKUP(A1792,'Master List'!$A$1:$C$1192,2,FALSE)</f>
        <v>Труба багатошарова Mepla діаметром 26мм</v>
      </c>
      <c r="E1792" s="463" t="str">
        <f>VLOOKUP(A1792,'Master List'!$A$1:$C$1192,3,FALSE)</f>
        <v>м</v>
      </c>
      <c r="F1792" s="464">
        <f t="shared" si="179"/>
        <v>46.5426</v>
      </c>
      <c r="G1792" s="463">
        <f>VLOOKUP(A1792,'Master List'!$A$4:$F4508,5,FALSE)</f>
        <v>7.722</v>
      </c>
      <c r="H1792" s="206">
        <f t="shared" si="178"/>
        <v>359.4019572</v>
      </c>
      <c r="I1792" s="240"/>
    </row>
    <row r="1793" outlineLevel="2">
      <c r="A1793" s="422" t="str">
        <f>'Master List'!A249</f>
        <v>M-PLB-046</v>
      </c>
      <c r="B1793" s="472"/>
      <c r="C1793" s="505"/>
      <c r="D1793" s="462" t="str">
        <f>VLOOKUP(A1793,'Master List'!$A$1:$C$1192,2,FALSE)</f>
        <v>Труба багатошарова Mepla діаметром 32мм</v>
      </c>
      <c r="E1793" s="463" t="str">
        <f>VLOOKUP(A1793,'Master List'!$A$1:$C$1192,3,FALSE)</f>
        <v>м</v>
      </c>
      <c r="F1793" s="464">
        <f t="shared" si="179"/>
        <v>14.2188</v>
      </c>
      <c r="G1793" s="463">
        <f>VLOOKUP(A1793,'Master List'!$A$4:$F4509,5,FALSE)</f>
        <v>10.647</v>
      </c>
      <c r="H1793" s="206">
        <f t="shared" si="178"/>
        <v>151.3875636</v>
      </c>
      <c r="I1793" s="240"/>
    </row>
    <row r="1794" outlineLevel="2">
      <c r="A1794" s="422"/>
      <c r="B1794" s="428"/>
      <c r="C1794" s="502"/>
      <c r="D1794" s="428"/>
      <c r="E1794" s="431"/>
      <c r="F1794" s="432"/>
      <c r="G1794" s="434"/>
      <c r="H1794" s="239"/>
      <c r="I1794" s="240"/>
    </row>
    <row r="1795" outlineLevel="2">
      <c r="A1795" s="422"/>
      <c r="B1795" s="472">
        <v>3.3</v>
      </c>
      <c r="C1795" s="503">
        <v>14.6</v>
      </c>
      <c r="D1795" s="245" t="s">
        <v>967</v>
      </c>
      <c r="E1795" s="437"/>
      <c r="F1795" s="170"/>
      <c r="G1795" s="239"/>
      <c r="H1795" s="239"/>
      <c r="I1795" s="240"/>
    </row>
    <row r="1796" outlineLevel="2">
      <c r="A1796" s="422"/>
      <c r="B1796" s="428"/>
      <c r="C1796" s="502"/>
      <c r="D1796" s="428"/>
      <c r="E1796" s="431"/>
      <c r="F1796" s="432"/>
      <c r="G1796" s="434"/>
      <c r="H1796" s="239"/>
      <c r="I1796" s="240"/>
    </row>
    <row r="1797" outlineLevel="2">
      <c r="A1797" s="422"/>
      <c r="B1797" s="472" t="s">
        <v>968</v>
      </c>
      <c r="C1797" s="503">
        <v>14.7</v>
      </c>
      <c r="D1797" s="245" t="s">
        <v>969</v>
      </c>
      <c r="E1797" s="437"/>
      <c r="F1797" s="170"/>
      <c r="G1797" s="239"/>
      <c r="H1797" s="239"/>
      <c r="I1797" s="240"/>
    </row>
    <row r="1798" outlineLevel="2">
      <c r="A1798" s="422"/>
      <c r="B1798" s="472"/>
      <c r="C1798" s="504"/>
      <c r="D1798" s="246"/>
      <c r="E1798" s="437"/>
      <c r="F1798" s="170"/>
      <c r="G1798" s="239"/>
      <c r="H1798" s="239"/>
      <c r="I1798" s="240"/>
    </row>
    <row r="1799" outlineLevel="2">
      <c r="A1799" s="422"/>
      <c r="B1799" s="472" t="s">
        <v>970</v>
      </c>
      <c r="C1799" s="512" t="s">
        <v>2637</v>
      </c>
      <c r="D1799" s="249" t="s">
        <v>951</v>
      </c>
      <c r="E1799" s="444" t="s">
        <v>161</v>
      </c>
      <c r="F1799" s="214">
        <v>121.86</v>
      </c>
      <c r="G1799" s="205"/>
      <c r="H1799" s="206"/>
      <c r="I1799" s="506"/>
    </row>
    <row r="1800" outlineLevel="2">
      <c r="A1800" s="422"/>
      <c r="B1800" s="472" t="s">
        <v>971</v>
      </c>
      <c r="C1800" s="503" t="s">
        <v>2638</v>
      </c>
      <c r="D1800" s="507" t="s">
        <v>953</v>
      </c>
      <c r="E1800" s="508" t="s">
        <v>161</v>
      </c>
      <c r="F1800" s="509">
        <v>22.29</v>
      </c>
      <c r="G1800" s="510"/>
      <c r="H1800" s="511"/>
      <c r="I1800" s="219"/>
    </row>
    <row r="1801" outlineLevel="2">
      <c r="A1801" s="422"/>
      <c r="B1801" s="472"/>
      <c r="C1801" s="504"/>
      <c r="D1801" s="246"/>
      <c r="E1801" s="437"/>
      <c r="F1801" s="170"/>
      <c r="G1801" s="239"/>
      <c r="H1801" s="239"/>
      <c r="I1801" s="240"/>
    </row>
    <row r="1802" outlineLevel="2">
      <c r="A1802" s="422" t="str">
        <f>'Master List'!A693</f>
        <v>W-PLB-040</v>
      </c>
      <c r="B1802" s="472"/>
      <c r="C1802" s="505"/>
      <c r="D1802" s="462" t="str">
        <f>VLOOKUP(A1802,'Master List'!$A$1:$C$1192,2,FALSE)</f>
        <v>Прокладання пластикових труб діаметром до 20мм</v>
      </c>
      <c r="E1802" s="463" t="str">
        <f>VLOOKUP(A1802,'Master List'!$A$1:$C$1192,3,FALSE)</f>
        <v>м</v>
      </c>
      <c r="F1802" s="464">
        <f>F1799+F1800</f>
        <v>144.15</v>
      </c>
      <c r="G1802" s="463">
        <f>VLOOKUP(A1802,'Master List'!$A$4:$F4520,5,FALSE)</f>
        <v>5.85</v>
      </c>
      <c r="H1802" s="206">
        <f t="shared" ref="H1802:H1804" si="180">G1802*F1802</f>
        <v>843.2775</v>
      </c>
      <c r="I1802" s="240"/>
    </row>
    <row r="1803" outlineLevel="2">
      <c r="A1803" s="422" t="str">
        <f>'Master List'!A246</f>
        <v>M-PLB-043</v>
      </c>
      <c r="B1803" s="472"/>
      <c r="C1803" s="505"/>
      <c r="D1803" s="462" t="str">
        <f>VLOOKUP(A1803,'Master List'!$A$1:$C$1192,2,FALSE)</f>
        <v>Труба багатошарова Mepla діаметром 16мм</v>
      </c>
      <c r="E1803" s="463" t="str">
        <f>VLOOKUP(A1803,'Master List'!$A$1:$C$1192,3,FALSE)</f>
        <v>м</v>
      </c>
      <c r="F1803" s="464">
        <f t="shared" ref="F1803:F1804" si="181">F1799*1.02</f>
        <v>124.2972</v>
      </c>
      <c r="G1803" s="463">
        <f>VLOOKUP(A1803,'Master List'!$A$4:$F4521,5,FALSE)</f>
        <v>3.627</v>
      </c>
      <c r="H1803" s="206">
        <f t="shared" si="180"/>
        <v>450.8259444</v>
      </c>
      <c r="I1803" s="240"/>
    </row>
    <row r="1804" outlineLevel="2">
      <c r="A1804" s="422" t="str">
        <f>'Master List'!A247</f>
        <v>M-PLB-044</v>
      </c>
      <c r="B1804" s="472"/>
      <c r="C1804" s="505"/>
      <c r="D1804" s="462" t="str">
        <f>VLOOKUP(A1804,'Master List'!$A$1:$C$1192,2,FALSE)</f>
        <v>Труба багатошарова Mepla діаметром 20мм</v>
      </c>
      <c r="E1804" s="463" t="str">
        <f>VLOOKUP(A1804,'Master List'!$A$1:$C$1192,3,FALSE)</f>
        <v>м</v>
      </c>
      <c r="F1804" s="464">
        <f t="shared" si="181"/>
        <v>22.7358</v>
      </c>
      <c r="G1804" s="463">
        <f>VLOOKUP(A1804,'Master List'!$A$4:$F4522,5,FALSE)</f>
        <v>5.395</v>
      </c>
      <c r="H1804" s="206">
        <f t="shared" si="180"/>
        <v>122.659641</v>
      </c>
      <c r="I1804" s="240"/>
    </row>
    <row r="1805" outlineLevel="2">
      <c r="A1805" s="422"/>
      <c r="B1805" s="428"/>
      <c r="C1805" s="502"/>
      <c r="D1805" s="428"/>
      <c r="E1805" s="431"/>
      <c r="F1805" s="432"/>
      <c r="G1805" s="434"/>
      <c r="H1805" s="239"/>
      <c r="I1805" s="240"/>
    </row>
    <row r="1806" outlineLevel="2">
      <c r="A1806" s="422"/>
      <c r="B1806" s="472">
        <v>3.4</v>
      </c>
      <c r="C1806" s="505">
        <v>14.8</v>
      </c>
      <c r="D1806" s="202" t="s">
        <v>972</v>
      </c>
      <c r="E1806" s="444" t="s">
        <v>75</v>
      </c>
      <c r="F1806" s="214">
        <v>1.0</v>
      </c>
      <c r="G1806" s="205"/>
      <c r="H1806" s="206"/>
      <c r="I1806" s="219"/>
    </row>
    <row r="1807" outlineLevel="2">
      <c r="A1807" s="422"/>
      <c r="B1807" s="472"/>
      <c r="C1807" s="504"/>
      <c r="D1807" s="246"/>
      <c r="E1807" s="437"/>
      <c r="F1807" s="170"/>
      <c r="G1807" s="239"/>
      <c r="H1807" s="239"/>
      <c r="I1807" s="240"/>
    </row>
    <row r="1808" outlineLevel="2">
      <c r="A1808" s="422" t="str">
        <f>'Master List'!A711</f>
        <v>W-PLB-070</v>
      </c>
      <c r="B1808" s="472"/>
      <c r="C1808" s="505"/>
      <c r="D1808" s="462" t="str">
        <f>VLOOKUP(A1808,'Master List'!$A$1:$C$1192,2,FALSE)</f>
        <v>Монтаж системи зворотнього осмосу</v>
      </c>
      <c r="E1808" s="463" t="str">
        <f>VLOOKUP(A1808,'Master List'!$A$1:$C$1192,3,FALSE)</f>
        <v>шт</v>
      </c>
      <c r="F1808" s="464">
        <v>1.0</v>
      </c>
      <c r="G1808" s="463">
        <f>VLOOKUP(A1808,'Master List'!$A$4:$F4527,5,FALSE)</f>
        <v>234</v>
      </c>
      <c r="H1808" s="206">
        <f t="shared" ref="H1808:H1809" si="182">G1808*F1808</f>
        <v>234</v>
      </c>
      <c r="I1808" s="240"/>
    </row>
    <row r="1809" outlineLevel="2">
      <c r="A1809" s="422" t="str">
        <f>'Master List'!A270</f>
        <v>M-PLB-070</v>
      </c>
      <c r="B1809" s="472"/>
      <c r="C1809" s="505"/>
      <c r="D1809" s="462" t="str">
        <f>VLOOKUP(A1809,'Master List'!$A$1:$C$1192,2,FALSE)</f>
        <v>Система зворотнього осмосу</v>
      </c>
      <c r="E1809" s="463" t="str">
        <f>VLOOKUP(A1809,'Master List'!$A$1:$C$1192,3,FALSE)</f>
        <v>шт</v>
      </c>
      <c r="F1809" s="464">
        <v>1.0</v>
      </c>
      <c r="G1809" s="463">
        <f>VLOOKUP(A1809,'Master List'!$A$4:$F4528,5,FALSE)</f>
        <v>323.7</v>
      </c>
      <c r="H1809" s="206">
        <f t="shared" si="182"/>
        <v>323.7</v>
      </c>
      <c r="I1809" s="240"/>
    </row>
    <row r="1810" outlineLevel="2">
      <c r="A1810" s="422"/>
      <c r="B1810" s="428"/>
      <c r="C1810" s="502"/>
      <c r="D1810" s="428"/>
      <c r="E1810" s="431"/>
      <c r="F1810" s="432"/>
      <c r="G1810" s="434"/>
      <c r="H1810" s="239"/>
      <c r="I1810" s="240"/>
    </row>
    <row r="1811" outlineLevel="2">
      <c r="A1811" s="422"/>
      <c r="B1811" s="472">
        <v>3.5</v>
      </c>
      <c r="C1811" s="505">
        <v>14.9</v>
      </c>
      <c r="D1811" s="202" t="s">
        <v>973</v>
      </c>
      <c r="E1811" s="444" t="s">
        <v>75</v>
      </c>
      <c r="F1811" s="214">
        <v>1.0</v>
      </c>
      <c r="G1811" s="205"/>
      <c r="H1811" s="206"/>
      <c r="I1811" s="219"/>
    </row>
    <row r="1812" outlineLevel="2">
      <c r="A1812" s="422"/>
      <c r="B1812" s="472"/>
      <c r="C1812" s="504"/>
      <c r="D1812" s="246"/>
      <c r="E1812" s="437"/>
      <c r="F1812" s="170"/>
      <c r="G1812" s="239"/>
      <c r="H1812" s="239"/>
      <c r="I1812" s="240"/>
    </row>
    <row r="1813" outlineLevel="2">
      <c r="A1813" s="422" t="str">
        <f>'Master List'!A712</f>
        <v>W-PLB-071</v>
      </c>
      <c r="B1813" s="472"/>
      <c r="C1813" s="505"/>
      <c r="D1813" s="462" t="str">
        <f>VLOOKUP(A1813,'Master List'!$A$1:$C$1192,2,FALSE)</f>
        <v>Монтаж системи фільтрації, оброблення, накопичення та підвищення тиску води</v>
      </c>
      <c r="E1813" s="463" t="str">
        <f>VLOOKUP(A1813,'Master List'!$A$1:$C$1192,3,FALSE)</f>
        <v>шт</v>
      </c>
      <c r="F1813" s="464">
        <v>1.0</v>
      </c>
      <c r="G1813" s="463">
        <f>VLOOKUP(A1813,'Master List'!$A$4:$F4535,5,FALSE)</f>
        <v>1105</v>
      </c>
      <c r="H1813" s="206">
        <f t="shared" ref="H1813:H1814" si="183">G1813*F1813</f>
        <v>1105</v>
      </c>
      <c r="I1813" s="240"/>
    </row>
    <row r="1814" outlineLevel="2">
      <c r="A1814" s="422" t="str">
        <f>'Master List'!A271</f>
        <v>M-PLB-071</v>
      </c>
      <c r="B1814" s="472"/>
      <c r="C1814" s="505"/>
      <c r="D1814" s="462" t="str">
        <f>VLOOKUP(A1814,'Master List'!$A$1:$C$1192,2,FALSE)</f>
        <v>Система фільтрації, оброблення, накопичення та підвищення тиску води</v>
      </c>
      <c r="E1814" s="463" t="str">
        <f>VLOOKUP(A1814,'Master List'!$A$1:$C$1192,3,FALSE)</f>
        <v>шт</v>
      </c>
      <c r="F1814" s="464">
        <v>1.0</v>
      </c>
      <c r="G1814" s="463">
        <f>VLOOKUP(A1814,'Master List'!$A$4:$F4536,5,FALSE)</f>
        <v>258.7</v>
      </c>
      <c r="H1814" s="206">
        <f t="shared" si="183"/>
        <v>258.7</v>
      </c>
      <c r="I1814" s="240"/>
    </row>
    <row r="1815" outlineLevel="2">
      <c r="A1815" s="422"/>
      <c r="B1815" s="428"/>
      <c r="C1815" s="502"/>
      <c r="D1815" s="428"/>
      <c r="E1815" s="431"/>
      <c r="F1815" s="432"/>
      <c r="G1815" s="434"/>
      <c r="H1815" s="239"/>
      <c r="I1815" s="240"/>
    </row>
    <row r="1816" outlineLevel="2">
      <c r="A1816" s="422"/>
      <c r="B1816" s="472">
        <v>3.6</v>
      </c>
      <c r="C1816" s="513" t="s">
        <v>2641</v>
      </c>
      <c r="D1816" s="202" t="s">
        <v>974</v>
      </c>
      <c r="E1816" s="444" t="s">
        <v>75</v>
      </c>
      <c r="F1816" s="214">
        <v>3.0</v>
      </c>
      <c r="G1816" s="205"/>
      <c r="H1816" s="206"/>
      <c r="I1816" s="219"/>
    </row>
    <row r="1817" outlineLevel="2">
      <c r="A1817" s="422"/>
      <c r="B1817" s="472"/>
      <c r="C1817" s="514"/>
      <c r="D1817" s="246"/>
      <c r="E1817" s="437"/>
      <c r="F1817" s="170"/>
      <c r="G1817" s="239"/>
      <c r="H1817" s="239"/>
      <c r="I1817" s="240"/>
    </row>
    <row r="1818" outlineLevel="2">
      <c r="A1818" s="422" t="str">
        <f>'Master List'!A713</f>
        <v>W-PLB-072</v>
      </c>
      <c r="B1818" s="472"/>
      <c r="C1818" s="505"/>
      <c r="D1818" s="462" t="str">
        <f>VLOOKUP(A1818,'Master List'!$A$1:$C$1192,2,FALSE)</f>
        <v>Монтаж запірної арматури</v>
      </c>
      <c r="E1818" s="463" t="str">
        <f>VLOOKUP(A1818,'Master List'!$A$1:$C$1192,3,FALSE)</f>
        <v>шт</v>
      </c>
      <c r="F1818" s="464">
        <v>3.0</v>
      </c>
      <c r="G1818" s="463">
        <f>VLOOKUP(A1818,'Master List'!$A$4:$F4544,5,FALSE)</f>
        <v>39</v>
      </c>
      <c r="H1818" s="206">
        <f t="shared" ref="H1818:H1819" si="184">G1818*F1818</f>
        <v>117</v>
      </c>
      <c r="I1818" s="240"/>
    </row>
    <row r="1819" outlineLevel="2">
      <c r="A1819" s="422" t="str">
        <f>'Master List'!A272</f>
        <v>M-PLB-072</v>
      </c>
      <c r="B1819" s="472"/>
      <c r="C1819" s="505"/>
      <c r="D1819" s="462" t="str">
        <f>VLOOKUP(A1819,'Master List'!$A$1:$C$1192,2,FALSE)</f>
        <v>Кран запірний з патрубком для шлангу</v>
      </c>
      <c r="E1819" s="463" t="str">
        <f>VLOOKUP(A1819,'Master List'!$A$1:$C$1192,3,FALSE)</f>
        <v>шт</v>
      </c>
      <c r="F1819" s="464">
        <v>3.0</v>
      </c>
      <c r="G1819" s="463">
        <f>VLOOKUP(A1819,'Master List'!$A$4:$F4545,5,FALSE)</f>
        <v>8.32</v>
      </c>
      <c r="H1819" s="206">
        <f t="shared" si="184"/>
        <v>24.96</v>
      </c>
      <c r="I1819" s="240"/>
    </row>
    <row r="1820" outlineLevel="2">
      <c r="A1820" s="422"/>
      <c r="B1820" s="428"/>
      <c r="C1820" s="515"/>
      <c r="D1820" s="428"/>
      <c r="E1820" s="431"/>
      <c r="F1820" s="432"/>
      <c r="G1820" s="434"/>
      <c r="H1820" s="239"/>
      <c r="I1820" s="240"/>
    </row>
    <row r="1821" outlineLevel="2">
      <c r="A1821" s="422"/>
      <c r="B1821" s="472">
        <v>3.7</v>
      </c>
      <c r="C1821" s="513" t="s">
        <v>2643</v>
      </c>
      <c r="D1821" s="202" t="s">
        <v>975</v>
      </c>
      <c r="E1821" s="444" t="s">
        <v>75</v>
      </c>
      <c r="F1821" s="214">
        <v>1.0</v>
      </c>
      <c r="G1821" s="205"/>
      <c r="H1821" s="206"/>
      <c r="I1821" s="219"/>
    </row>
    <row r="1822" outlineLevel="2">
      <c r="A1822" s="422"/>
      <c r="B1822" s="472"/>
      <c r="C1822" s="514"/>
      <c r="D1822" s="246"/>
      <c r="E1822" s="437"/>
      <c r="F1822" s="170"/>
      <c r="G1822" s="239"/>
      <c r="H1822" s="239"/>
      <c r="I1822" s="240"/>
    </row>
    <row r="1823" outlineLevel="2">
      <c r="A1823" s="422" t="str">
        <f>'Master List'!A713</f>
        <v>W-PLB-072</v>
      </c>
      <c r="B1823" s="472"/>
      <c r="C1823" s="505"/>
      <c r="D1823" s="462" t="str">
        <f>VLOOKUP(A1823,'Master List'!$A$1:$C$1192,2,FALSE)</f>
        <v>Монтаж запірної арматури</v>
      </c>
      <c r="E1823" s="463" t="str">
        <f>VLOOKUP(A1823,'Master List'!$A$1:$C$1192,3,FALSE)</f>
        <v>шт</v>
      </c>
      <c r="F1823" s="464">
        <v>1.0</v>
      </c>
      <c r="G1823" s="463">
        <f>VLOOKUP(A1823,'Master List'!$A$4:$F4550,5,FALSE)</f>
        <v>39</v>
      </c>
      <c r="H1823" s="206">
        <f t="shared" ref="H1823:H1824" si="185">G1823*F1823</f>
        <v>39</v>
      </c>
      <c r="I1823" s="240"/>
    </row>
    <row r="1824" outlineLevel="2">
      <c r="A1824" s="422" t="str">
        <f>'Master List'!A273</f>
        <v>M-PLB-073</v>
      </c>
      <c r="B1824" s="472"/>
      <c r="C1824" s="505"/>
      <c r="D1824" s="462" t="str">
        <f>VLOOKUP(A1824,'Master List'!$A$1:$C$1192,2,FALSE)</f>
        <v>Кран запірний RAINBIRD Standard Rectangular Series VB-STD</v>
      </c>
      <c r="E1824" s="463" t="str">
        <f>VLOOKUP(A1824,'Master List'!$A$1:$C$1192,3,FALSE)</f>
        <v>шт</v>
      </c>
      <c r="F1824" s="464">
        <v>1.0</v>
      </c>
      <c r="G1824" s="463">
        <f>VLOOKUP(A1824,'Master List'!$A$4:$F4551,5,FALSE)</f>
        <v>81.9</v>
      </c>
      <c r="H1824" s="206">
        <f t="shared" si="185"/>
        <v>81.9</v>
      </c>
      <c r="I1824" s="240"/>
    </row>
    <row r="1825" outlineLevel="2">
      <c r="A1825" s="422"/>
      <c r="B1825" s="428"/>
      <c r="C1825" s="515"/>
      <c r="D1825" s="428"/>
      <c r="E1825" s="431"/>
      <c r="F1825" s="432"/>
      <c r="G1825" s="434"/>
      <c r="H1825" s="239"/>
      <c r="I1825" s="240"/>
    </row>
    <row r="1826" outlineLevel="2">
      <c r="A1826" s="422"/>
      <c r="B1826" s="472">
        <v>3.8</v>
      </c>
      <c r="C1826" s="513" t="s">
        <v>2645</v>
      </c>
      <c r="D1826" s="202" t="s">
        <v>976</v>
      </c>
      <c r="E1826" s="444" t="s">
        <v>75</v>
      </c>
      <c r="F1826" s="214">
        <v>19.0</v>
      </c>
      <c r="G1826" s="205"/>
      <c r="H1826" s="206"/>
      <c r="I1826" s="219"/>
    </row>
    <row r="1827" outlineLevel="2">
      <c r="A1827" s="422"/>
      <c r="B1827" s="472"/>
      <c r="C1827" s="514"/>
      <c r="D1827" s="246"/>
      <c r="E1827" s="437"/>
      <c r="F1827" s="170"/>
      <c r="G1827" s="239"/>
      <c r="H1827" s="239"/>
      <c r="I1827" s="240"/>
    </row>
    <row r="1828" outlineLevel="2">
      <c r="A1828" s="422" t="str">
        <f>'Master List'!A713</f>
        <v>W-PLB-072</v>
      </c>
      <c r="B1828" s="472"/>
      <c r="C1828" s="505"/>
      <c r="D1828" s="462" t="str">
        <f>VLOOKUP(A1828,'Master List'!$A$1:$C$1192,2,FALSE)</f>
        <v>Монтаж запірної арматури</v>
      </c>
      <c r="E1828" s="463" t="str">
        <f>VLOOKUP(A1828,'Master List'!$A$1:$C$1192,3,FALSE)</f>
        <v>шт</v>
      </c>
      <c r="F1828" s="464">
        <v>19.0</v>
      </c>
      <c r="G1828" s="463">
        <f>VLOOKUP(A1828,'Master List'!$A$4:$F4557,5,FALSE)</f>
        <v>39</v>
      </c>
      <c r="H1828" s="206">
        <f t="shared" ref="H1828:H1829" si="186">G1828*F1828</f>
        <v>741</v>
      </c>
      <c r="I1828" s="240"/>
    </row>
    <row r="1829" outlineLevel="2">
      <c r="A1829" s="422" t="str">
        <f>'Master List'!A274</f>
        <v>M-PLB-074</v>
      </c>
      <c r="B1829" s="472"/>
      <c r="C1829" s="505"/>
      <c r="D1829" s="462" t="str">
        <f>VLOOKUP(A1829,'Master List'!$A$1:$C$1192,2,FALSE)</f>
        <v>Клапан запірний Klimapress</v>
      </c>
      <c r="E1829" s="463" t="str">
        <f>VLOOKUP(A1829,'Master List'!$A$1:$C$1192,3,FALSE)</f>
        <v>шт</v>
      </c>
      <c r="F1829" s="464">
        <v>19.0</v>
      </c>
      <c r="G1829" s="463">
        <f>VLOOKUP(A1829,'Master List'!$A$4:$F4558,5,FALSE)</f>
        <v>36.4</v>
      </c>
      <c r="H1829" s="206">
        <f t="shared" si="186"/>
        <v>691.6</v>
      </c>
      <c r="I1829" s="240"/>
    </row>
    <row r="1830" outlineLevel="2">
      <c r="A1830" s="422"/>
      <c r="B1830" s="428"/>
      <c r="C1830" s="515"/>
      <c r="D1830" s="428"/>
      <c r="E1830" s="431"/>
      <c r="F1830" s="432"/>
      <c r="G1830" s="434"/>
      <c r="H1830" s="239"/>
      <c r="I1830" s="240"/>
    </row>
    <row r="1831" outlineLevel="2">
      <c r="A1831" s="422"/>
      <c r="B1831" s="472">
        <v>3.9</v>
      </c>
      <c r="C1831" s="513" t="s">
        <v>2647</v>
      </c>
      <c r="D1831" s="202" t="s">
        <v>977</v>
      </c>
      <c r="E1831" s="444" t="s">
        <v>75</v>
      </c>
      <c r="F1831" s="214">
        <v>4.0</v>
      </c>
      <c r="G1831" s="205"/>
      <c r="H1831" s="206"/>
      <c r="I1831" s="219"/>
    </row>
    <row r="1832" outlineLevel="2">
      <c r="A1832" s="422"/>
      <c r="B1832" s="472"/>
      <c r="C1832" s="514"/>
      <c r="D1832" s="246"/>
      <c r="E1832" s="437"/>
      <c r="F1832" s="170"/>
      <c r="G1832" s="239"/>
      <c r="H1832" s="239"/>
      <c r="I1832" s="240"/>
    </row>
    <row r="1833" outlineLevel="2">
      <c r="A1833" s="422" t="str">
        <f>'Master List'!A713</f>
        <v>W-PLB-072</v>
      </c>
      <c r="B1833" s="472"/>
      <c r="C1833" s="505"/>
      <c r="D1833" s="462" t="str">
        <f>VLOOKUP(A1833,'Master List'!$A$1:$C$1192,2,FALSE)</f>
        <v>Монтаж запірної арматури</v>
      </c>
      <c r="E1833" s="463" t="str">
        <f>VLOOKUP(A1833,'Master List'!$A$1:$C$1192,3,FALSE)</f>
        <v>шт</v>
      </c>
      <c r="F1833" s="464">
        <v>4.0</v>
      </c>
      <c r="G1833" s="463">
        <f>VLOOKUP(A1833,'Master List'!$A$4:$F4564,5,FALSE)</f>
        <v>39</v>
      </c>
      <c r="H1833" s="206">
        <f t="shared" ref="H1833:H1834" si="187">G1833*F1833</f>
        <v>156</v>
      </c>
      <c r="I1833" s="240"/>
    </row>
    <row r="1834" outlineLevel="2">
      <c r="A1834" s="422" t="str">
        <f>'Master List'!A275</f>
        <v>M-PLB-075</v>
      </c>
      <c r="B1834" s="472"/>
      <c r="C1834" s="505"/>
      <c r="D1834" s="462" t="str">
        <f>VLOOKUP(A1834,'Master List'!$A$1:$C$1192,2,FALSE)</f>
        <v>Клапан регулюючий Calefi</v>
      </c>
      <c r="E1834" s="463" t="str">
        <f>VLOOKUP(A1834,'Master List'!$A$1:$C$1192,3,FALSE)</f>
        <v>шт</v>
      </c>
      <c r="F1834" s="464">
        <v>4.0</v>
      </c>
      <c r="G1834" s="463">
        <f>VLOOKUP(A1834,'Master List'!$A$4:$F4565,5,FALSE)</f>
        <v>47.437</v>
      </c>
      <c r="H1834" s="206">
        <f t="shared" si="187"/>
        <v>189.748</v>
      </c>
      <c r="I1834" s="240"/>
    </row>
    <row r="1835" outlineLevel="2">
      <c r="A1835" s="422"/>
      <c r="B1835" s="428"/>
      <c r="C1835" s="515"/>
      <c r="D1835" s="428"/>
      <c r="E1835" s="431"/>
      <c r="F1835" s="432"/>
      <c r="G1835" s="434"/>
      <c r="H1835" s="239"/>
      <c r="I1835" s="240"/>
    </row>
    <row r="1836" outlineLevel="2">
      <c r="A1836" s="422"/>
      <c r="B1836" s="472">
        <v>3.1</v>
      </c>
      <c r="C1836" s="513" t="s">
        <v>2649</v>
      </c>
      <c r="D1836" s="202" t="s">
        <v>978</v>
      </c>
      <c r="E1836" s="444" t="s">
        <v>75</v>
      </c>
      <c r="F1836" s="214">
        <v>1.0</v>
      </c>
      <c r="G1836" s="205"/>
      <c r="H1836" s="206"/>
      <c r="I1836" s="219"/>
    </row>
    <row r="1837" outlineLevel="2">
      <c r="A1837" s="422"/>
      <c r="B1837" s="472"/>
      <c r="C1837" s="514"/>
      <c r="D1837" s="246"/>
      <c r="E1837" s="437"/>
      <c r="F1837" s="170"/>
      <c r="G1837" s="239"/>
      <c r="H1837" s="239"/>
      <c r="I1837" s="240"/>
    </row>
    <row r="1838" outlineLevel="2">
      <c r="A1838" s="422" t="str">
        <f>'Master List'!A714</f>
        <v>W-PLB-073</v>
      </c>
      <c r="B1838" s="472"/>
      <c r="C1838" s="505"/>
      <c r="D1838" s="462" t="str">
        <f>VLOOKUP(A1838,'Master List'!$A$1:$C$1192,2,FALSE)</f>
        <v>Монтаж пожежного гідранту</v>
      </c>
      <c r="E1838" s="463" t="str">
        <f>VLOOKUP(A1838,'Master List'!$A$1:$C$1192,3,FALSE)</f>
        <v>шт</v>
      </c>
      <c r="F1838" s="464">
        <v>1.0</v>
      </c>
      <c r="G1838" s="463">
        <f>VLOOKUP(A1838,'Master List'!$A$4:$F4572,5,FALSE)</f>
        <v>455</v>
      </c>
      <c r="H1838" s="206">
        <f t="shared" ref="H1838:H1839" si="188">G1838*F1838</f>
        <v>455</v>
      </c>
      <c r="I1838" s="240"/>
    </row>
    <row r="1839" outlineLevel="2">
      <c r="A1839" s="422" t="str">
        <f>'Master List'!A276</f>
        <v>M-PLB-076</v>
      </c>
      <c r="B1839" s="472"/>
      <c r="C1839" s="505"/>
      <c r="D1839" s="462" t="str">
        <f>VLOOKUP(A1839,'Master List'!$A$1:$C$1192,2,FALSE)</f>
        <v>Пожежний гідрант</v>
      </c>
      <c r="E1839" s="463" t="str">
        <f>VLOOKUP(A1839,'Master List'!$A$1:$C$1192,3,FALSE)</f>
        <v>шт</v>
      </c>
      <c r="F1839" s="464">
        <v>1.0</v>
      </c>
      <c r="G1839" s="463">
        <f>VLOOKUP(A1839,'Master List'!$A$4:$F4573,5,FALSE)</f>
        <v>1378</v>
      </c>
      <c r="H1839" s="206">
        <f t="shared" si="188"/>
        <v>1378</v>
      </c>
      <c r="I1839" s="240"/>
    </row>
    <row r="1840" outlineLevel="2">
      <c r="A1840" s="422"/>
      <c r="B1840" s="428"/>
      <c r="C1840" s="515"/>
      <c r="D1840" s="428"/>
      <c r="E1840" s="431"/>
      <c r="F1840" s="432"/>
      <c r="G1840" s="434"/>
      <c r="H1840" s="239"/>
      <c r="I1840" s="240"/>
    </row>
    <row r="1841" outlineLevel="2">
      <c r="A1841" s="422" t="str">
        <f>'Master List'!A717</f>
        <v>W-PLB-079</v>
      </c>
      <c r="B1841" s="472">
        <v>3.11</v>
      </c>
      <c r="C1841" s="513" t="s">
        <v>2651</v>
      </c>
      <c r="D1841" s="202" t="s">
        <v>979</v>
      </c>
      <c r="E1841" s="444" t="s">
        <v>33</v>
      </c>
      <c r="F1841" s="214">
        <v>1.0</v>
      </c>
      <c r="G1841" s="463">
        <f>VLOOKUP(A1841,'Master List'!$A$4:$F4575,5,FALSE)</f>
        <v>1950</v>
      </c>
      <c r="H1841" s="206">
        <f>G1841*F1841</f>
        <v>1950</v>
      </c>
      <c r="I1841" s="219"/>
    </row>
    <row r="1842" outlineLevel="2">
      <c r="A1842" s="422"/>
      <c r="B1842" s="428"/>
      <c r="C1842" s="515"/>
      <c r="D1842" s="428"/>
      <c r="E1842" s="431"/>
      <c r="F1842" s="432"/>
      <c r="G1842" s="434"/>
      <c r="H1842" s="239"/>
      <c r="I1842" s="240"/>
    </row>
    <row r="1843" outlineLevel="2">
      <c r="A1843" s="422" t="str">
        <f>'Master List'!A718</f>
        <v>W-PLB-080</v>
      </c>
      <c r="B1843" s="472">
        <v>3.12</v>
      </c>
      <c r="C1843" s="513" t="s">
        <v>2653</v>
      </c>
      <c r="D1843" s="202" t="s">
        <v>980</v>
      </c>
      <c r="E1843" s="444" t="s">
        <v>75</v>
      </c>
      <c r="F1843" s="214">
        <v>1.0</v>
      </c>
      <c r="G1843" s="463">
        <f>VLOOKUP(A1843,'Master List'!$A$4:$F4577,5,FALSE)</f>
        <v>455</v>
      </c>
      <c r="H1843" s="206">
        <f>G1843*F1843</f>
        <v>455</v>
      </c>
      <c r="I1843" s="219"/>
    </row>
    <row r="1844" outlineLevel="2">
      <c r="A1844" s="422"/>
      <c r="B1844" s="472"/>
      <c r="C1844" s="514"/>
      <c r="D1844" s="246"/>
      <c r="E1844" s="437"/>
      <c r="F1844" s="170"/>
      <c r="G1844" s="239"/>
      <c r="H1844" s="239"/>
      <c r="I1844" s="240"/>
    </row>
    <row r="1845" outlineLevel="2">
      <c r="A1845" s="422"/>
      <c r="B1845" s="428"/>
      <c r="C1845" s="502"/>
      <c r="D1845" s="428"/>
      <c r="E1845" s="431"/>
      <c r="F1845" s="432"/>
      <c r="G1845" s="434"/>
      <c r="H1845" s="239"/>
      <c r="I1845" s="240"/>
    </row>
    <row r="1846" outlineLevel="1">
      <c r="A1846" s="422"/>
      <c r="B1846" s="472">
        <v>3.13</v>
      </c>
      <c r="C1846" s="502"/>
      <c r="D1846" s="516" t="s">
        <v>5620</v>
      </c>
      <c r="E1846" s="431"/>
      <c r="F1846" s="432"/>
      <c r="G1846" s="436">
        <f>SUM(H1850:H1876)</f>
        <v>13253.43759</v>
      </c>
      <c r="H1846" s="239"/>
      <c r="I1846" s="240"/>
    </row>
    <row r="1847" outlineLevel="2">
      <c r="A1847" s="422"/>
      <c r="B1847" s="428"/>
      <c r="C1847" s="502"/>
      <c r="D1847" s="428"/>
      <c r="E1847" s="431"/>
      <c r="F1847" s="432"/>
      <c r="G1847" s="434"/>
      <c r="H1847" s="239"/>
      <c r="I1847" s="240"/>
    </row>
    <row r="1848" outlineLevel="2">
      <c r="A1848" s="422"/>
      <c r="B1848" s="472" t="s">
        <v>982</v>
      </c>
      <c r="C1848" s="517" t="s">
        <v>2656</v>
      </c>
      <c r="D1848" s="518" t="s">
        <v>983</v>
      </c>
      <c r="E1848" s="519"/>
      <c r="F1848" s="520"/>
      <c r="G1848" s="521"/>
      <c r="H1848" s="521"/>
      <c r="I1848" s="240"/>
    </row>
    <row r="1849" outlineLevel="2">
      <c r="A1849" s="422"/>
      <c r="B1849" s="428"/>
      <c r="C1849" s="502"/>
      <c r="D1849" s="428"/>
      <c r="E1849" s="431"/>
      <c r="F1849" s="432"/>
      <c r="G1849" s="434"/>
      <c r="H1849" s="239"/>
      <c r="I1849" s="240"/>
    </row>
    <row r="1850" outlineLevel="2">
      <c r="A1850" s="422"/>
      <c r="B1850" s="472" t="s">
        <v>984</v>
      </c>
      <c r="C1850" s="513" t="s">
        <v>2658</v>
      </c>
      <c r="D1850" s="202" t="s">
        <v>985</v>
      </c>
      <c r="E1850" s="444" t="s">
        <v>161</v>
      </c>
      <c r="F1850" s="214">
        <v>52.18</v>
      </c>
      <c r="G1850" s="205"/>
      <c r="H1850" s="206"/>
      <c r="I1850" s="219"/>
    </row>
    <row r="1851" outlineLevel="2">
      <c r="A1851" s="422"/>
      <c r="B1851" s="472"/>
      <c r="C1851" s="514"/>
      <c r="D1851" s="246"/>
      <c r="E1851" s="437"/>
      <c r="F1851" s="170"/>
      <c r="G1851" s="239"/>
      <c r="H1851" s="239"/>
      <c r="I1851" s="240"/>
    </row>
    <row r="1852" outlineLevel="2">
      <c r="A1852" s="422" t="str">
        <f>'Master List'!A696</f>
        <v>W-PLB-043</v>
      </c>
      <c r="B1852" s="472"/>
      <c r="C1852" s="505"/>
      <c r="D1852" s="462" t="str">
        <f>VLOOKUP(A1852,'Master List'!$A$1:$C$1192,2,FALSE)</f>
        <v>Прокладання труб з ПВХ діаметром 63мм</v>
      </c>
      <c r="E1852" s="463" t="str">
        <f>VLOOKUP(A1852,'Master List'!$A$1:$C$1192,3,FALSE)</f>
        <v>м</v>
      </c>
      <c r="F1852" s="464">
        <f>F1850</f>
        <v>52.18</v>
      </c>
      <c r="G1852" s="463">
        <f>VLOOKUP(A1852,'Master List'!$A$4:$F4586,5,FALSE)</f>
        <v>10.4</v>
      </c>
      <c r="H1852" s="206">
        <f t="shared" ref="H1852:H1853" si="189">G1852*F1852</f>
        <v>542.672</v>
      </c>
      <c r="I1852" s="240"/>
    </row>
    <row r="1853" outlineLevel="2">
      <c r="A1853" s="422" t="str">
        <f>'Master List'!A251</f>
        <v>M-PLB-048</v>
      </c>
      <c r="B1853" s="472"/>
      <c r="C1853" s="505"/>
      <c r="D1853" s="462" t="str">
        <f>VLOOKUP(A1853,'Master List'!$A$1:$C$1192,2,FALSE)</f>
        <v>Труба ПВХ PN10 діаметром 63мм</v>
      </c>
      <c r="E1853" s="463" t="str">
        <f>VLOOKUP(A1853,'Master List'!$A$1:$C$1192,3,FALSE)</f>
        <v>м</v>
      </c>
      <c r="F1853" s="464">
        <f>F1852*1.02</f>
        <v>53.2236</v>
      </c>
      <c r="G1853" s="463">
        <f>VLOOKUP(A1853,'Master List'!$A$4:$F4587,5,FALSE)</f>
        <v>5.369</v>
      </c>
      <c r="H1853" s="206">
        <f t="shared" si="189"/>
        <v>285.7575084</v>
      </c>
      <c r="I1853" s="240"/>
    </row>
    <row r="1854" outlineLevel="2">
      <c r="A1854" s="422"/>
      <c r="B1854" s="428"/>
      <c r="C1854" s="502"/>
      <c r="D1854" s="428"/>
      <c r="E1854" s="431"/>
      <c r="F1854" s="432"/>
      <c r="G1854" s="434"/>
      <c r="H1854" s="239"/>
      <c r="I1854" s="240"/>
    </row>
    <row r="1855" outlineLevel="2">
      <c r="A1855" s="422"/>
      <c r="B1855" s="472" t="s">
        <v>986</v>
      </c>
      <c r="C1855" s="517" t="s">
        <v>2660</v>
      </c>
      <c r="D1855" s="518" t="s">
        <v>987</v>
      </c>
      <c r="E1855" s="519"/>
      <c r="F1855" s="520"/>
      <c r="G1855" s="521"/>
      <c r="H1855" s="521"/>
      <c r="I1855" s="240"/>
    </row>
    <row r="1856" outlineLevel="2">
      <c r="A1856" s="422"/>
      <c r="B1856" s="428"/>
      <c r="C1856" s="502"/>
      <c r="D1856" s="428"/>
      <c r="E1856" s="431"/>
      <c r="F1856" s="432"/>
      <c r="G1856" s="434"/>
      <c r="H1856" s="239"/>
      <c r="I1856" s="240"/>
    </row>
    <row r="1857" outlineLevel="2">
      <c r="A1857" s="422"/>
      <c r="B1857" s="472" t="s">
        <v>988</v>
      </c>
      <c r="C1857" s="513" t="s">
        <v>2662</v>
      </c>
      <c r="D1857" s="202" t="s">
        <v>989</v>
      </c>
      <c r="E1857" s="444" t="s">
        <v>161</v>
      </c>
      <c r="F1857" s="214">
        <v>30.19</v>
      </c>
      <c r="G1857" s="205"/>
      <c r="H1857" s="206"/>
      <c r="I1857" s="219"/>
    </row>
    <row r="1858" outlineLevel="2">
      <c r="A1858" s="422"/>
      <c r="B1858" s="472"/>
      <c r="C1858" s="514"/>
      <c r="D1858" s="246"/>
      <c r="E1858" s="437"/>
      <c r="F1858" s="170"/>
      <c r="G1858" s="239"/>
      <c r="H1858" s="239"/>
      <c r="I1858" s="240"/>
    </row>
    <row r="1859" outlineLevel="2">
      <c r="A1859" s="422" t="str">
        <f>'Master List'!A697</f>
        <v>W-PLB-044</v>
      </c>
      <c r="B1859" s="472"/>
      <c r="C1859" s="505"/>
      <c r="D1859" s="462" t="str">
        <f>VLOOKUP(A1859,'Master List'!$A$1:$C$1192,2,FALSE)</f>
        <v>Прокладання труб з ПВХ діаметром 110мм</v>
      </c>
      <c r="E1859" s="463" t="str">
        <f>VLOOKUP(A1859,'Master List'!$A$1:$C$1192,3,FALSE)</f>
        <v>м</v>
      </c>
      <c r="F1859" s="464">
        <f>F1857</f>
        <v>30.19</v>
      </c>
      <c r="G1859" s="463">
        <f>VLOOKUP(A1859,'Master List'!$A$4:$F4593,5,FALSE)</f>
        <v>13</v>
      </c>
      <c r="H1859" s="206">
        <f t="shared" ref="H1859:H1860" si="190">G1859*F1859</f>
        <v>392.47</v>
      </c>
      <c r="I1859" s="240"/>
    </row>
    <row r="1860" outlineLevel="2">
      <c r="A1860" s="422" t="str">
        <f>'Master List'!A252</f>
        <v>M-PLB-049</v>
      </c>
      <c r="B1860" s="472"/>
      <c r="C1860" s="505"/>
      <c r="D1860" s="462" t="str">
        <f>VLOOKUP(A1860,'Master List'!$A$1:$C$1192,2,FALSE)</f>
        <v>Труба ПВХ PN10 діаметром 110мм</v>
      </c>
      <c r="E1860" s="463" t="str">
        <f>VLOOKUP(A1860,'Master List'!$A$1:$C$1192,3,FALSE)</f>
        <v>м</v>
      </c>
      <c r="F1860" s="464">
        <f>F1857*1.02</f>
        <v>30.7938</v>
      </c>
      <c r="G1860" s="463">
        <f>VLOOKUP(A1860,'Master List'!$A$4:$F4594,5,FALSE)</f>
        <v>21.697</v>
      </c>
      <c r="H1860" s="206">
        <f t="shared" si="190"/>
        <v>668.1330786</v>
      </c>
      <c r="I1860" s="240"/>
    </row>
    <row r="1861" outlineLevel="2">
      <c r="A1861" s="422"/>
      <c r="B1861" s="428"/>
      <c r="C1861" s="502"/>
      <c r="D1861" s="428"/>
      <c r="E1861" s="431"/>
      <c r="F1861" s="432"/>
      <c r="G1861" s="434"/>
      <c r="H1861" s="239"/>
      <c r="I1861" s="240"/>
    </row>
    <row r="1862" outlineLevel="2">
      <c r="A1862" s="422"/>
      <c r="B1862" s="472" t="s">
        <v>990</v>
      </c>
      <c r="C1862" s="517" t="s">
        <v>2664</v>
      </c>
      <c r="D1862" s="518" t="s">
        <v>991</v>
      </c>
      <c r="E1862" s="519"/>
      <c r="F1862" s="520"/>
      <c r="G1862" s="521"/>
      <c r="H1862" s="521"/>
      <c r="I1862" s="240"/>
    </row>
    <row r="1863" outlineLevel="2">
      <c r="A1863" s="422"/>
      <c r="B1863" s="472"/>
      <c r="C1863" s="522"/>
      <c r="D1863" s="523"/>
      <c r="E1863" s="519"/>
      <c r="F1863" s="520"/>
      <c r="G1863" s="521"/>
      <c r="H1863" s="521"/>
      <c r="I1863" s="240"/>
    </row>
    <row r="1864" outlineLevel="2">
      <c r="A1864" s="422" t="str">
        <f>'Master List'!A715</f>
        <v>W-PLB-074</v>
      </c>
      <c r="B1864" s="472"/>
      <c r="C1864" s="505"/>
      <c r="D1864" s="462" t="str">
        <f>VLOOKUP(A1864,'Master List'!$A$1:$C$1192,2,FALSE)</f>
        <v>Монтаж системи фільтрації та функціонування басейну</v>
      </c>
      <c r="E1864" s="463" t="str">
        <f>VLOOKUP(A1864,'Master List'!$A$1:$C$1192,3,FALSE)</f>
        <v>шт</v>
      </c>
      <c r="F1864" s="464">
        <v>1.0</v>
      </c>
      <c r="G1864" s="463">
        <f>VLOOKUP(A1864,'Master List'!$A$4:$F4599,5,FALSE)</f>
        <v>1560</v>
      </c>
      <c r="H1864" s="206">
        <f>G1864*F1864</f>
        <v>1560</v>
      </c>
      <c r="I1864" s="240"/>
    </row>
    <row r="1865" outlineLevel="2">
      <c r="A1865" s="422"/>
      <c r="B1865" s="428"/>
      <c r="C1865" s="502"/>
      <c r="D1865" s="428"/>
      <c r="E1865" s="431"/>
      <c r="F1865" s="432"/>
      <c r="G1865" s="434"/>
      <c r="H1865" s="239"/>
      <c r="I1865" s="240"/>
    </row>
    <row r="1866" outlineLevel="2">
      <c r="A1866" s="422" t="str">
        <f>'Master List'!A277</f>
        <v>M-PLB-077</v>
      </c>
      <c r="B1866" s="472" t="s">
        <v>992</v>
      </c>
      <c r="C1866" s="513" t="str">
        <f t="shared" ref="C1866:C1876" si="191">CONCATENATE("14.19",RIGHT(B1866,LEN(B1866) - (FIND(CHAR(160),SUBSTITUTE(B1866,".",CHAR(160),2)) + 1)))</f>
        <v>14.19.1</v>
      </c>
      <c r="D1866" s="202" t="s">
        <v>993</v>
      </c>
      <c r="E1866" s="444" t="s">
        <v>75</v>
      </c>
      <c r="F1866" s="214">
        <v>1.0</v>
      </c>
      <c r="G1866" s="463">
        <f>VLOOKUP(A1866,'Master List'!$A$4:$F4601,5,FALSE)</f>
        <v>4602.494</v>
      </c>
      <c r="H1866" s="206">
        <f>G1866*F1866</f>
        <v>4602.494</v>
      </c>
      <c r="I1866" s="219"/>
    </row>
    <row r="1867" outlineLevel="2">
      <c r="A1867" s="422"/>
      <c r="B1867" s="472" t="s">
        <v>994</v>
      </c>
      <c r="C1867" s="513" t="str">
        <f t="shared" si="191"/>
        <v>14.19.2</v>
      </c>
      <c r="D1867" s="202" t="s">
        <v>5621</v>
      </c>
      <c r="E1867" s="444"/>
      <c r="F1867" s="214"/>
      <c r="G1867" s="463"/>
      <c r="H1867" s="206"/>
      <c r="I1867" s="219"/>
    </row>
    <row r="1868" outlineLevel="2">
      <c r="A1868" s="422" t="str">
        <f>'Master List'!A278</f>
        <v>M-PLB-078</v>
      </c>
      <c r="B1868" s="472" t="s">
        <v>996</v>
      </c>
      <c r="C1868" s="513" t="str">
        <f t="shared" si="191"/>
        <v>14.19.3</v>
      </c>
      <c r="D1868" s="202" t="s">
        <v>997</v>
      </c>
      <c r="E1868" s="444" t="s">
        <v>75</v>
      </c>
      <c r="F1868" s="214">
        <v>1.0</v>
      </c>
      <c r="G1868" s="463">
        <f>VLOOKUP(A1868,'Master List'!$A$4:$F4603,5,FALSE)</f>
        <v>3432</v>
      </c>
      <c r="H1868" s="206">
        <f t="shared" ref="H1868:H1876" si="192">G1868*F1868</f>
        <v>3432</v>
      </c>
      <c r="I1868" s="219"/>
    </row>
    <row r="1869" outlineLevel="2">
      <c r="A1869" s="422" t="str">
        <f>'Master List'!A279</f>
        <v>M-PLB-079</v>
      </c>
      <c r="B1869" s="472" t="s">
        <v>998</v>
      </c>
      <c r="C1869" s="513" t="str">
        <f t="shared" si="191"/>
        <v>14.19.4</v>
      </c>
      <c r="D1869" s="202" t="s">
        <v>999</v>
      </c>
      <c r="E1869" s="444" t="s">
        <v>75</v>
      </c>
      <c r="F1869" s="214">
        <v>1.0</v>
      </c>
      <c r="G1869" s="463">
        <f>VLOOKUP(A1869,'Master List'!$A$4:$F4604,5,FALSE)</f>
        <v>0</v>
      </c>
      <c r="H1869" s="206">
        <f t="shared" si="192"/>
        <v>0</v>
      </c>
      <c r="I1869" s="219"/>
    </row>
    <row r="1870" outlineLevel="2">
      <c r="A1870" s="422" t="str">
        <f>'Master List'!A280</f>
        <v>M-PLB-080</v>
      </c>
      <c r="B1870" s="472" t="s">
        <v>1000</v>
      </c>
      <c r="C1870" s="513" t="str">
        <f t="shared" si="191"/>
        <v>14.19.5</v>
      </c>
      <c r="D1870" s="202" t="s">
        <v>1001</v>
      </c>
      <c r="E1870" s="444" t="s">
        <v>75</v>
      </c>
      <c r="F1870" s="214">
        <v>5.0</v>
      </c>
      <c r="G1870" s="463">
        <f>VLOOKUP(A1870,'Master List'!$A$4:$F4605,5,FALSE)</f>
        <v>59.007</v>
      </c>
      <c r="H1870" s="206">
        <f t="shared" si="192"/>
        <v>295.035</v>
      </c>
      <c r="I1870" s="219"/>
    </row>
    <row r="1871" outlineLevel="2">
      <c r="A1871" s="422" t="str">
        <f>'Master List'!A281</f>
        <v>M-PLB-081</v>
      </c>
      <c r="B1871" s="472" t="s">
        <v>1004</v>
      </c>
      <c r="C1871" s="513" t="str">
        <f t="shared" si="191"/>
        <v>14.19.7</v>
      </c>
      <c r="D1871" s="202" t="s">
        <v>1005</v>
      </c>
      <c r="E1871" s="444" t="s">
        <v>75</v>
      </c>
      <c r="F1871" s="214">
        <v>1.0</v>
      </c>
      <c r="G1871" s="463">
        <f>VLOOKUP(A1871,'Master List'!$A$4:$F4606,5,FALSE)</f>
        <v>12.948</v>
      </c>
      <c r="H1871" s="206">
        <f t="shared" si="192"/>
        <v>12.948</v>
      </c>
      <c r="I1871" s="219"/>
    </row>
    <row r="1872" outlineLevel="2">
      <c r="A1872" s="422" t="str">
        <f>'Master List'!A282</f>
        <v>M-PLB-082</v>
      </c>
      <c r="B1872" s="472" t="s">
        <v>1006</v>
      </c>
      <c r="C1872" s="513" t="str">
        <f t="shared" si="191"/>
        <v>14.19.8</v>
      </c>
      <c r="D1872" s="202" t="s">
        <v>1007</v>
      </c>
      <c r="E1872" s="444" t="s">
        <v>75</v>
      </c>
      <c r="F1872" s="214">
        <v>5.0</v>
      </c>
      <c r="G1872" s="463">
        <f>VLOOKUP(A1872,'Master List'!$A$4:$F4607,5,FALSE)</f>
        <v>17.55</v>
      </c>
      <c r="H1872" s="206">
        <f t="shared" si="192"/>
        <v>87.75</v>
      </c>
      <c r="I1872" s="219"/>
    </row>
    <row r="1873" outlineLevel="2">
      <c r="A1873" s="422" t="str">
        <f>'Master List'!A283</f>
        <v>M-PLB-083</v>
      </c>
      <c r="B1873" s="472" t="s">
        <v>1008</v>
      </c>
      <c r="C1873" s="513" t="str">
        <f t="shared" si="191"/>
        <v>14.19.9</v>
      </c>
      <c r="D1873" s="202" t="s">
        <v>1009</v>
      </c>
      <c r="E1873" s="444" t="s">
        <v>75</v>
      </c>
      <c r="F1873" s="214">
        <v>1.0</v>
      </c>
      <c r="G1873" s="463">
        <f>VLOOKUP(A1873,'Master List'!$A$4:$F4608,5,FALSE)</f>
        <v>101.543</v>
      </c>
      <c r="H1873" s="206">
        <f t="shared" si="192"/>
        <v>101.543</v>
      </c>
      <c r="I1873" s="219"/>
    </row>
    <row r="1874" outlineLevel="2">
      <c r="A1874" s="422" t="str">
        <f>'Master List'!A284</f>
        <v>M-PLB-084</v>
      </c>
      <c r="B1874" s="472" t="s">
        <v>1010</v>
      </c>
      <c r="C1874" s="513" t="str">
        <f t="shared" si="191"/>
        <v>14.19.10</v>
      </c>
      <c r="D1874" s="202" t="s">
        <v>1011</v>
      </c>
      <c r="E1874" s="444" t="s">
        <v>75</v>
      </c>
      <c r="F1874" s="214">
        <v>1.0</v>
      </c>
      <c r="G1874" s="463">
        <f>VLOOKUP(A1874,'Master List'!$A$4:$F4609,5,FALSE)</f>
        <v>636.935</v>
      </c>
      <c r="H1874" s="206">
        <f t="shared" si="192"/>
        <v>636.935</v>
      </c>
      <c r="I1874" s="219"/>
    </row>
    <row r="1875" outlineLevel="2">
      <c r="A1875" s="422" t="str">
        <f>'Master List'!A285</f>
        <v>M-PLB-085</v>
      </c>
      <c r="B1875" s="472" t="s">
        <v>1012</v>
      </c>
      <c r="C1875" s="513" t="str">
        <f t="shared" si="191"/>
        <v>14.19.11</v>
      </c>
      <c r="D1875" s="202" t="s">
        <v>1013</v>
      </c>
      <c r="E1875" s="444" t="s">
        <v>75</v>
      </c>
      <c r="F1875" s="214">
        <v>15.0</v>
      </c>
      <c r="G1875" s="463">
        <f>VLOOKUP(A1875,'Master List'!$A$4:$F4610,5,FALSE)</f>
        <v>39</v>
      </c>
      <c r="H1875" s="206">
        <f t="shared" si="192"/>
        <v>585</v>
      </c>
      <c r="I1875" s="219"/>
    </row>
    <row r="1876" outlineLevel="2">
      <c r="A1876" s="422" t="str">
        <f>'Master List'!A286</f>
        <v>M-PLB-086</v>
      </c>
      <c r="B1876" s="472" t="s">
        <v>1014</v>
      </c>
      <c r="C1876" s="513" t="str">
        <f t="shared" si="191"/>
        <v>14.19.12</v>
      </c>
      <c r="D1876" s="202" t="s">
        <v>1015</v>
      </c>
      <c r="E1876" s="444" t="s">
        <v>75</v>
      </c>
      <c r="F1876" s="214">
        <v>1.0</v>
      </c>
      <c r="G1876" s="463">
        <f>VLOOKUP(A1876,'Master List'!$A$4:$F4611,5,FALSE)</f>
        <v>50.7</v>
      </c>
      <c r="H1876" s="206">
        <f t="shared" si="192"/>
        <v>50.7</v>
      </c>
      <c r="I1876" s="219"/>
    </row>
    <row r="1877" outlineLevel="2">
      <c r="A1877" s="422"/>
      <c r="B1877" s="428"/>
      <c r="C1877" s="502"/>
      <c r="D1877" s="428"/>
      <c r="E1877" s="431"/>
      <c r="F1877" s="432"/>
      <c r="G1877" s="434"/>
      <c r="H1877" s="239"/>
      <c r="I1877" s="240"/>
    </row>
    <row r="1878" outlineLevel="1">
      <c r="A1878" s="422"/>
      <c r="B1878" s="472">
        <v>3.14</v>
      </c>
      <c r="C1878" s="502"/>
      <c r="D1878" s="524" t="s">
        <v>5622</v>
      </c>
      <c r="E1878" s="431"/>
      <c r="F1878" s="432"/>
      <c r="G1878" s="436">
        <f>SUM(H1882:H1898)</f>
        <v>5055.995079</v>
      </c>
      <c r="H1878" s="239"/>
      <c r="I1878" s="240"/>
    </row>
    <row r="1879" outlineLevel="2">
      <c r="A1879" s="422"/>
      <c r="B1879" s="428"/>
      <c r="C1879" s="502"/>
      <c r="D1879" s="428"/>
      <c r="E1879" s="431"/>
      <c r="F1879" s="432"/>
      <c r="G1879" s="434"/>
      <c r="H1879" s="239"/>
      <c r="I1879" s="240"/>
    </row>
    <row r="1880" outlineLevel="2">
      <c r="A1880" s="422"/>
      <c r="B1880" s="472" t="s">
        <v>1017</v>
      </c>
      <c r="C1880" s="517" t="s">
        <v>2678</v>
      </c>
      <c r="D1880" s="518" t="s">
        <v>1018</v>
      </c>
      <c r="E1880" s="519"/>
      <c r="F1880" s="520"/>
      <c r="G1880" s="521"/>
      <c r="H1880" s="521"/>
      <c r="I1880" s="240"/>
    </row>
    <row r="1881" outlineLevel="2">
      <c r="A1881" s="422"/>
      <c r="B1881" s="428"/>
      <c r="C1881" s="502"/>
      <c r="D1881" s="428"/>
      <c r="E1881" s="431"/>
      <c r="F1881" s="432"/>
      <c r="G1881" s="434"/>
      <c r="H1881" s="239"/>
      <c r="I1881" s="240"/>
    </row>
    <row r="1882" outlineLevel="2">
      <c r="A1882" s="422"/>
      <c r="B1882" s="472" t="s">
        <v>1019</v>
      </c>
      <c r="C1882" s="513" t="s">
        <v>2680</v>
      </c>
      <c r="D1882" s="202" t="s">
        <v>985</v>
      </c>
      <c r="E1882" s="444" t="s">
        <v>161</v>
      </c>
      <c r="F1882" s="214">
        <v>34.84</v>
      </c>
      <c r="G1882" s="205"/>
      <c r="H1882" s="206"/>
      <c r="I1882" s="219"/>
    </row>
    <row r="1883" outlineLevel="2">
      <c r="A1883" s="422"/>
      <c r="B1883" s="472"/>
      <c r="C1883" s="514"/>
      <c r="D1883" s="246"/>
      <c r="E1883" s="437"/>
      <c r="F1883" s="170"/>
      <c r="G1883" s="239"/>
      <c r="H1883" s="239"/>
      <c r="I1883" s="240"/>
    </row>
    <row r="1884" outlineLevel="2">
      <c r="A1884" s="422" t="str">
        <f>'Master List'!A696</f>
        <v>W-PLB-043</v>
      </c>
      <c r="B1884" s="472"/>
      <c r="C1884" s="505"/>
      <c r="D1884" s="462" t="str">
        <f>VLOOKUP(A1884,'Master List'!$A$1:$C$1192,2,FALSE)</f>
        <v>Прокладання труб з ПВХ діаметром 63мм</v>
      </c>
      <c r="E1884" s="463" t="str">
        <f>VLOOKUP(A1884,'Master List'!$A$1:$C$1192,3,FALSE)</f>
        <v>м</v>
      </c>
      <c r="F1884" s="464">
        <f>F1882</f>
        <v>34.84</v>
      </c>
      <c r="G1884" s="463">
        <f>VLOOKUP(A1884,'Master List'!$A$4:$F4618,5,FALSE)</f>
        <v>10.4</v>
      </c>
      <c r="H1884" s="206">
        <f t="shared" ref="H1884:H1885" si="193">G1884*F1884</f>
        <v>362.336</v>
      </c>
      <c r="I1884" s="240"/>
    </row>
    <row r="1885" outlineLevel="2">
      <c r="A1885" s="422" t="str">
        <f>'Master List'!A251</f>
        <v>M-PLB-048</v>
      </c>
      <c r="B1885" s="472"/>
      <c r="C1885" s="505"/>
      <c r="D1885" s="462" t="str">
        <f>VLOOKUP(A1885,'Master List'!$A$1:$C$1192,2,FALSE)</f>
        <v>Труба ПВХ PN10 діаметром 63мм</v>
      </c>
      <c r="E1885" s="463" t="str">
        <f>VLOOKUP(A1885,'Master List'!$A$1:$C$1192,3,FALSE)</f>
        <v>м</v>
      </c>
      <c r="F1885" s="464">
        <f>F1884*1.02</f>
        <v>35.5368</v>
      </c>
      <c r="G1885" s="463">
        <f>VLOOKUP(A1885,'Master List'!$A$4:$F4619,5,FALSE)</f>
        <v>5.369</v>
      </c>
      <c r="H1885" s="206">
        <f t="shared" si="193"/>
        <v>190.7970792</v>
      </c>
      <c r="I1885" s="240"/>
    </row>
    <row r="1886" outlineLevel="2">
      <c r="A1886" s="422"/>
      <c r="B1886" s="428"/>
      <c r="C1886" s="502"/>
      <c r="D1886" s="428"/>
      <c r="E1886" s="431"/>
      <c r="F1886" s="432"/>
      <c r="G1886" s="434"/>
      <c r="H1886" s="239"/>
      <c r="I1886" s="240"/>
    </row>
    <row r="1887" outlineLevel="2">
      <c r="A1887" s="422"/>
      <c r="B1887" s="472" t="s">
        <v>1020</v>
      </c>
      <c r="C1887" s="517" t="s">
        <v>2681</v>
      </c>
      <c r="D1887" s="518" t="s">
        <v>1021</v>
      </c>
      <c r="E1887" s="519"/>
      <c r="F1887" s="520"/>
      <c r="G1887" s="521"/>
      <c r="H1887" s="521"/>
      <c r="I1887" s="240"/>
    </row>
    <row r="1888" outlineLevel="2">
      <c r="A1888" s="422"/>
      <c r="B1888" s="472"/>
      <c r="C1888" s="522"/>
      <c r="D1888" s="523"/>
      <c r="E1888" s="519"/>
      <c r="F1888" s="520"/>
      <c r="G1888" s="521"/>
      <c r="H1888" s="521"/>
      <c r="I1888" s="240"/>
    </row>
    <row r="1889" outlineLevel="2">
      <c r="A1889" s="422" t="str">
        <f>'Master List'!A716</f>
        <v>W-PLB-075</v>
      </c>
      <c r="B1889" s="472"/>
      <c r="C1889" s="505"/>
      <c r="D1889" s="462" t="str">
        <f>VLOOKUP(A1889,'Master List'!$A$1:$C$1192,2,FALSE)</f>
        <v>Монтаж системи фільтрації та функціонування водяних ємностей</v>
      </c>
      <c r="E1889" s="463" t="str">
        <f>VLOOKUP(A1889,'Master List'!$A$1:$C$1192,3,FALSE)</f>
        <v>шт</v>
      </c>
      <c r="F1889" s="464">
        <v>1.0</v>
      </c>
      <c r="G1889" s="463">
        <f>VLOOKUP(A1889,'Master List'!$A$4:$F4623,5,FALSE)</f>
        <v>585</v>
      </c>
      <c r="H1889" s="206">
        <f>G1889*F1889</f>
        <v>585</v>
      </c>
      <c r="I1889" s="240"/>
    </row>
    <row r="1890" outlineLevel="2">
      <c r="A1890" s="422"/>
      <c r="B1890" s="428"/>
      <c r="C1890" s="502"/>
      <c r="D1890" s="428"/>
      <c r="E1890" s="431"/>
      <c r="F1890" s="432"/>
      <c r="G1890" s="434"/>
      <c r="H1890" s="239"/>
      <c r="I1890" s="240"/>
    </row>
    <row r="1891" outlineLevel="2">
      <c r="A1891" s="422" t="str">
        <f>'Master List'!A287</f>
        <v>M-PLB-087</v>
      </c>
      <c r="B1891" s="472" t="s">
        <v>1022</v>
      </c>
      <c r="C1891" s="513" t="s">
        <v>2683</v>
      </c>
      <c r="D1891" s="202" t="s">
        <v>1023</v>
      </c>
      <c r="E1891" s="444" t="s">
        <v>75</v>
      </c>
      <c r="F1891" s="214">
        <v>1.0</v>
      </c>
      <c r="G1891" s="463">
        <f>VLOOKUP(A1891,'Master List'!$A$4:$F4625,5,FALSE)</f>
        <v>563.667</v>
      </c>
      <c r="H1891" s="206">
        <f t="shared" ref="H1891:H1896" si="194">G1891*F1891</f>
        <v>563.667</v>
      </c>
      <c r="I1891" s="219"/>
    </row>
    <row r="1892" outlineLevel="2">
      <c r="A1892" s="422" t="str">
        <f>'Master List'!A288</f>
        <v>M-PLB-088</v>
      </c>
      <c r="B1892" s="472" t="s">
        <v>1024</v>
      </c>
      <c r="C1892" s="513" t="s">
        <v>2685</v>
      </c>
      <c r="D1892" s="202" t="s">
        <v>1025</v>
      </c>
      <c r="E1892" s="444" t="s">
        <v>75</v>
      </c>
      <c r="F1892" s="214">
        <v>1.0</v>
      </c>
      <c r="G1892" s="463">
        <f>VLOOKUP(A1892,'Master List'!$A$4:$F4626,5,FALSE)</f>
        <v>406.9</v>
      </c>
      <c r="H1892" s="206">
        <f t="shared" si="194"/>
        <v>406.9</v>
      </c>
      <c r="I1892" s="219"/>
    </row>
    <row r="1893" outlineLevel="2">
      <c r="A1893" s="422" t="str">
        <f>'Master List'!A289</f>
        <v>M-PLB-089</v>
      </c>
      <c r="B1893" s="472" t="s">
        <v>1026</v>
      </c>
      <c r="C1893" s="513" t="s">
        <v>2687</v>
      </c>
      <c r="D1893" s="202" t="s">
        <v>1027</v>
      </c>
      <c r="E1893" s="444" t="s">
        <v>75</v>
      </c>
      <c r="F1893" s="214">
        <v>4.0</v>
      </c>
      <c r="G1893" s="463">
        <f>VLOOKUP(A1893,'Master List'!$A$4:$F4627,5,FALSE)</f>
        <v>20.15</v>
      </c>
      <c r="H1893" s="206">
        <f t="shared" si="194"/>
        <v>80.6</v>
      </c>
      <c r="I1893" s="219"/>
    </row>
    <row r="1894" outlineLevel="2">
      <c r="A1894" s="422" t="str">
        <f>'Master List'!A290</f>
        <v>M-PLB-090</v>
      </c>
      <c r="B1894" s="472" t="s">
        <v>1028</v>
      </c>
      <c r="C1894" s="513" t="s">
        <v>2689</v>
      </c>
      <c r="D1894" s="202" t="s">
        <v>1029</v>
      </c>
      <c r="E1894" s="444" t="s">
        <v>75</v>
      </c>
      <c r="F1894" s="214">
        <v>1.0</v>
      </c>
      <c r="G1894" s="463">
        <f>VLOOKUP(A1894,'Master List'!$A$4:$F4628,5,FALSE)</f>
        <v>19.5</v>
      </c>
      <c r="H1894" s="206">
        <f t="shared" si="194"/>
        <v>19.5</v>
      </c>
      <c r="I1894" s="219"/>
    </row>
    <row r="1895" outlineLevel="2">
      <c r="A1895" s="422" t="str">
        <f>'Master List'!A291</f>
        <v>M-PLB-091</v>
      </c>
      <c r="B1895" s="472" t="s">
        <v>1030</v>
      </c>
      <c r="C1895" s="513" t="s">
        <v>2691</v>
      </c>
      <c r="D1895" s="202" t="s">
        <v>1031</v>
      </c>
      <c r="E1895" s="444" t="s">
        <v>75</v>
      </c>
      <c r="F1895" s="214">
        <v>1.0</v>
      </c>
      <c r="G1895" s="463">
        <f>VLOOKUP(A1895,'Master List'!$A$4:$F4629,5,FALSE)</f>
        <v>692.367</v>
      </c>
      <c r="H1895" s="206">
        <f t="shared" si="194"/>
        <v>692.367</v>
      </c>
      <c r="I1895" s="219"/>
    </row>
    <row r="1896" outlineLevel="2">
      <c r="A1896" s="422" t="str">
        <f>'Master List'!A292</f>
        <v>M-PLB-092</v>
      </c>
      <c r="B1896" s="472" t="s">
        <v>1032</v>
      </c>
      <c r="C1896" s="513" t="s">
        <v>2693</v>
      </c>
      <c r="D1896" s="202" t="s">
        <v>1033</v>
      </c>
      <c r="E1896" s="444" t="s">
        <v>75</v>
      </c>
      <c r="F1896" s="214">
        <v>1.0</v>
      </c>
      <c r="G1896" s="463">
        <f>VLOOKUP(A1896,'Master List'!$A$4:$F4630,5,FALSE)</f>
        <v>204.828</v>
      </c>
      <c r="H1896" s="206">
        <f t="shared" si="194"/>
        <v>204.828</v>
      </c>
      <c r="I1896" s="219"/>
    </row>
    <row r="1897" outlineLevel="2">
      <c r="A1897" s="422"/>
      <c r="B1897" s="428"/>
      <c r="C1897" s="502"/>
      <c r="D1897" s="428"/>
      <c r="E1897" s="431"/>
      <c r="F1897" s="432"/>
      <c r="G1897" s="434"/>
      <c r="H1897" s="239"/>
      <c r="I1897" s="240"/>
    </row>
    <row r="1898" outlineLevel="2">
      <c r="A1898" s="422" t="str">
        <f>'Master List'!A717</f>
        <v>W-PLB-079</v>
      </c>
      <c r="B1898" s="472" t="s">
        <v>1034</v>
      </c>
      <c r="C1898" s="513" t="s">
        <v>2695</v>
      </c>
      <c r="D1898" s="202" t="s">
        <v>979</v>
      </c>
      <c r="E1898" s="444" t="s">
        <v>33</v>
      </c>
      <c r="F1898" s="214">
        <v>1.0</v>
      </c>
      <c r="G1898" s="463">
        <f>VLOOKUP(A1898,'Master List'!$A$4:$F4632,5,FALSE)</f>
        <v>1950</v>
      </c>
      <c r="H1898" s="206">
        <f>G1898*F1898</f>
        <v>1950</v>
      </c>
      <c r="I1898" s="219"/>
    </row>
    <row r="1899" outlineLevel="1">
      <c r="A1899" s="422"/>
      <c r="B1899" s="472"/>
      <c r="C1899" s="502"/>
      <c r="D1899" s="525"/>
      <c r="E1899" s="526"/>
      <c r="F1899" s="527"/>
      <c r="G1899" s="439"/>
      <c r="H1899" s="239"/>
      <c r="I1899" s="240"/>
    </row>
    <row r="1900" outlineLevel="1">
      <c r="A1900" s="422"/>
      <c r="B1900" s="472"/>
      <c r="C1900" s="502"/>
      <c r="D1900" s="525"/>
      <c r="E1900" s="526"/>
      <c r="F1900" s="527"/>
      <c r="G1900" s="439"/>
      <c r="H1900" s="239"/>
      <c r="I1900" s="240"/>
    </row>
    <row r="1901">
      <c r="A1901" s="422"/>
      <c r="B1901" s="471"/>
      <c r="C1901" s="500">
        <v>15.0</v>
      </c>
      <c r="D1901" s="476" t="s">
        <v>1122</v>
      </c>
      <c r="E1901" s="493"/>
      <c r="F1901" s="214"/>
      <c r="G1901" s="205"/>
      <c r="H1901" s="426">
        <f>SUM(H1905:H1931)</f>
        <v>3640.671921</v>
      </c>
      <c r="I1901" s="427">
        <f>H1901-Resumo!J43</f>
        <v>872.4919206</v>
      </c>
    </row>
    <row r="1902" outlineLevel="1">
      <c r="A1902" s="422"/>
      <c r="B1902" s="472"/>
      <c r="C1902" s="502"/>
      <c r="D1902" s="525"/>
      <c r="E1902" s="526"/>
      <c r="F1902" s="527"/>
      <c r="G1902" s="439"/>
      <c r="H1902" s="239"/>
      <c r="I1902" s="240"/>
    </row>
    <row r="1903" outlineLevel="1">
      <c r="A1903" s="422"/>
      <c r="B1903" s="472"/>
      <c r="C1903" s="528"/>
      <c r="D1903" s="476" t="s">
        <v>1123</v>
      </c>
      <c r="E1903" s="431"/>
      <c r="F1903" s="432"/>
      <c r="G1903" s="436">
        <f>SUM(H1905:H1913)</f>
        <v>365.2049206</v>
      </c>
      <c r="H1903" s="239"/>
      <c r="I1903" s="240"/>
    </row>
    <row r="1904" outlineLevel="2">
      <c r="A1904" s="422"/>
      <c r="B1904" s="472"/>
      <c r="C1904" s="502"/>
      <c r="D1904" s="428"/>
      <c r="E1904" s="431"/>
      <c r="F1904" s="432"/>
      <c r="G1904" s="434"/>
      <c r="H1904" s="239"/>
      <c r="I1904" s="240"/>
    </row>
    <row r="1905" outlineLevel="2">
      <c r="A1905" s="422"/>
      <c r="B1905" s="472"/>
      <c r="C1905" s="513" t="s">
        <v>2698</v>
      </c>
      <c r="D1905" s="202" t="s">
        <v>5623</v>
      </c>
      <c r="E1905" s="444" t="s">
        <v>161</v>
      </c>
      <c r="F1905" s="214">
        <v>19.19</v>
      </c>
      <c r="G1905" s="205"/>
      <c r="H1905" s="206"/>
      <c r="I1905" s="219"/>
    </row>
    <row r="1906" outlineLevel="2">
      <c r="A1906" s="422"/>
      <c r="B1906" s="472"/>
      <c r="C1906" s="514"/>
      <c r="D1906" s="246"/>
      <c r="E1906" s="437"/>
      <c r="F1906" s="170"/>
      <c r="G1906" s="239"/>
      <c r="H1906" s="239"/>
      <c r="I1906" s="240"/>
    </row>
    <row r="1907" outlineLevel="2">
      <c r="A1907" s="422" t="str">
        <f>'Master List'!A698</f>
        <v>W-PLB-045</v>
      </c>
      <c r="B1907" s="472"/>
      <c r="C1907" s="505"/>
      <c r="D1907" s="462" t="str">
        <f>VLOOKUP(A1907,'Master List'!$A$1:$C$1192,2,FALSE)</f>
        <v>Прокладання газових поліетиленових труб діаметром 20мм</v>
      </c>
      <c r="E1907" s="463" t="str">
        <f>VLOOKUP(A1907,'Master List'!$A$1:$C$1192,3,FALSE)</f>
        <v>м</v>
      </c>
      <c r="F1907" s="464">
        <f>F1905</f>
        <v>19.19</v>
      </c>
      <c r="G1907" s="463">
        <f>VLOOKUP(A1907,'Master List'!$A$4:$F4641,5,FALSE)</f>
        <v>7.8</v>
      </c>
      <c r="H1907" s="206">
        <f t="shared" ref="H1907:H1908" si="195">G1907*F1907</f>
        <v>149.682</v>
      </c>
      <c r="I1907" s="240"/>
    </row>
    <row r="1908" outlineLevel="2">
      <c r="A1908" s="422" t="str">
        <f>'Master List'!A253</f>
        <v>M-PLB-050</v>
      </c>
      <c r="B1908" s="472"/>
      <c r="C1908" s="505"/>
      <c r="D1908" s="462" t="str">
        <f>VLOOKUP(A1908,'Master List'!$A$1:$C$1192,2,FALSE)</f>
        <v>Труба поліетиленова для газу діаметром 20мм</v>
      </c>
      <c r="E1908" s="463" t="str">
        <f>VLOOKUP(A1908,'Master List'!$A$1:$C$1192,3,FALSE)</f>
        <v>м</v>
      </c>
      <c r="F1908" s="464">
        <f>F1907*1.02</f>
        <v>19.5738</v>
      </c>
      <c r="G1908" s="463">
        <f>VLOOKUP(A1908,'Master List'!$A$4:$F4642,5,FALSE)</f>
        <v>1.547</v>
      </c>
      <c r="H1908" s="206">
        <f t="shared" si="195"/>
        <v>30.2806686</v>
      </c>
      <c r="I1908" s="240"/>
    </row>
    <row r="1909" outlineLevel="2">
      <c r="A1909" s="422"/>
      <c r="B1909" s="472"/>
      <c r="C1909" s="502"/>
      <c r="D1909" s="428"/>
      <c r="E1909" s="431"/>
      <c r="F1909" s="432"/>
      <c r="G1909" s="434"/>
      <c r="H1909" s="239"/>
      <c r="I1909" s="240"/>
    </row>
    <row r="1910" outlineLevel="2">
      <c r="A1910" s="422"/>
      <c r="B1910" s="472"/>
      <c r="C1910" s="513" t="s">
        <v>2700</v>
      </c>
      <c r="D1910" s="202" t="s">
        <v>5624</v>
      </c>
      <c r="E1910" s="444" t="s">
        <v>161</v>
      </c>
      <c r="F1910" s="214">
        <v>13.91</v>
      </c>
      <c r="G1910" s="205"/>
      <c r="H1910" s="206"/>
      <c r="I1910" s="219"/>
    </row>
    <row r="1911" outlineLevel="2">
      <c r="A1911" s="422"/>
      <c r="B1911" s="472"/>
      <c r="C1911" s="514"/>
      <c r="D1911" s="246"/>
      <c r="E1911" s="437"/>
      <c r="F1911" s="170"/>
      <c r="G1911" s="239"/>
      <c r="H1911" s="239"/>
      <c r="I1911" s="240"/>
    </row>
    <row r="1912" outlineLevel="2">
      <c r="A1912" s="422" t="str">
        <f>'Master List'!A699</f>
        <v>W-PLB-046</v>
      </c>
      <c r="B1912" s="472"/>
      <c r="C1912" s="505"/>
      <c r="D1912" s="462" t="str">
        <f>VLOOKUP(A1912,'Master List'!$A$1:$C$1192,2,FALSE)</f>
        <v>Прокладання газових мідних труб діаметром 15мм</v>
      </c>
      <c r="E1912" s="463" t="str">
        <f>VLOOKUP(A1912,'Master List'!$A$1:$C$1192,3,FALSE)</f>
        <v>м</v>
      </c>
      <c r="F1912" s="464">
        <f>F1910</f>
        <v>13.91</v>
      </c>
      <c r="G1912" s="463">
        <f>VLOOKUP(A1912,'Master List'!$A$4:$F4646,5,FALSE)</f>
        <v>10.4</v>
      </c>
      <c r="H1912" s="206">
        <f t="shared" ref="H1912:H1913" si="196">G1912*F1912</f>
        <v>144.664</v>
      </c>
      <c r="I1912" s="240"/>
    </row>
    <row r="1913" outlineLevel="2">
      <c r="A1913" s="422" t="str">
        <f>'Master List'!A254</f>
        <v>M-PLB-051</v>
      </c>
      <c r="B1913" s="472"/>
      <c r="C1913" s="505"/>
      <c r="D1913" s="462" t="str">
        <f>VLOOKUP(A1913,'Master List'!$A$1:$C$1192,2,FALSE)</f>
        <v>Труба мідна для газу діаметром 15мм</v>
      </c>
      <c r="E1913" s="463" t="str">
        <f>VLOOKUP(A1913,'Master List'!$A$1:$C$1192,3,FALSE)</f>
        <v>м</v>
      </c>
      <c r="F1913" s="464">
        <f>F1912*1.02</f>
        <v>14.1882</v>
      </c>
      <c r="G1913" s="463">
        <f>VLOOKUP(A1913,'Master List'!$A$4:$F4647,5,FALSE)</f>
        <v>2.86</v>
      </c>
      <c r="H1913" s="206">
        <f t="shared" si="196"/>
        <v>40.578252</v>
      </c>
      <c r="I1913" s="240"/>
    </row>
    <row r="1914" outlineLevel="2">
      <c r="A1914" s="422"/>
      <c r="B1914" s="472"/>
      <c r="C1914" s="502"/>
      <c r="D1914" s="428"/>
      <c r="E1914" s="431"/>
      <c r="F1914" s="432"/>
      <c r="G1914" s="434"/>
      <c r="H1914" s="239"/>
      <c r="I1914" s="240"/>
    </row>
    <row r="1915" outlineLevel="1">
      <c r="A1915" s="422"/>
      <c r="B1915" s="472"/>
      <c r="C1915" s="528"/>
      <c r="D1915" s="476" t="s">
        <v>1128</v>
      </c>
      <c r="E1915" s="431"/>
      <c r="F1915" s="432"/>
      <c r="G1915" s="436">
        <f>SUM(H1917:H1925)</f>
        <v>415.467</v>
      </c>
      <c r="H1915" s="239"/>
      <c r="I1915" s="240"/>
    </row>
    <row r="1916" outlineLevel="2">
      <c r="A1916" s="422"/>
      <c r="B1916" s="472"/>
      <c r="C1916" s="502"/>
      <c r="D1916" s="428"/>
      <c r="E1916" s="431"/>
      <c r="F1916" s="432"/>
      <c r="G1916" s="434"/>
      <c r="H1916" s="239"/>
      <c r="I1916" s="240"/>
    </row>
    <row r="1917" outlineLevel="2">
      <c r="A1917" s="422"/>
      <c r="B1917" s="472"/>
      <c r="C1917" s="513" t="s">
        <v>2703</v>
      </c>
      <c r="D1917" s="202" t="s">
        <v>1130</v>
      </c>
      <c r="E1917" s="444" t="s">
        <v>33</v>
      </c>
      <c r="F1917" s="214">
        <v>1.0</v>
      </c>
      <c r="G1917" s="205"/>
      <c r="H1917" s="206"/>
      <c r="I1917" s="219"/>
    </row>
    <row r="1918" outlineLevel="2">
      <c r="A1918" s="422"/>
      <c r="B1918" s="472"/>
      <c r="C1918" s="514"/>
      <c r="D1918" s="246"/>
      <c r="E1918" s="437"/>
      <c r="F1918" s="170"/>
      <c r="G1918" s="239"/>
      <c r="H1918" s="239"/>
      <c r="I1918" s="240"/>
    </row>
    <row r="1919" outlineLevel="2">
      <c r="A1919" s="422" t="str">
        <f>'Master List'!A709</f>
        <v>W-PLB-065</v>
      </c>
      <c r="B1919" s="472"/>
      <c r="C1919" s="505"/>
      <c r="D1919" s="462" t="str">
        <f>VLOOKUP(A1919,'Master List'!$A$1:$C$1192,2,FALSE)</f>
        <v>Монтаж лічильника газового G4</v>
      </c>
      <c r="E1919" s="463" t="str">
        <f>VLOOKUP(A1919,'Master List'!$A$1:$C$1192,3,FALSE)</f>
        <v>шт</v>
      </c>
      <c r="F1919" s="464">
        <v>1.0</v>
      </c>
      <c r="G1919" s="463">
        <f>VLOOKUP(A1919,'Master List'!$A$4:$F4653,5,FALSE)</f>
        <v>156</v>
      </c>
      <c r="H1919" s="206">
        <f t="shared" ref="H1919:H1920" si="197">G1919*F1919</f>
        <v>156</v>
      </c>
      <c r="I1919" s="240"/>
    </row>
    <row r="1920" outlineLevel="2">
      <c r="A1920" s="422" t="str">
        <f>'Master List'!A268</f>
        <v>M-PLB-065</v>
      </c>
      <c r="B1920" s="472"/>
      <c r="C1920" s="505"/>
      <c r="D1920" s="462" t="str">
        <f>VLOOKUP(A1920,'Master List'!$A$1:$C$1192,2,FALSE)</f>
        <v>Лічильник газовий G4 в комплекті з клапанами і редуктором</v>
      </c>
      <c r="E1920" s="463" t="str">
        <f>VLOOKUP(A1920,'Master List'!$A$1:$C$1192,3,FALSE)</f>
        <v>шт</v>
      </c>
      <c r="F1920" s="464">
        <v>1.0</v>
      </c>
      <c r="G1920" s="463">
        <f>VLOOKUP(A1920,'Master List'!$A$4:$F4654,5,FALSE)</f>
        <v>107.367</v>
      </c>
      <c r="H1920" s="206">
        <f t="shared" si="197"/>
        <v>107.367</v>
      </c>
      <c r="I1920" s="240"/>
    </row>
    <row r="1921" outlineLevel="2">
      <c r="A1921" s="422"/>
      <c r="B1921" s="472"/>
      <c r="C1921" s="502"/>
      <c r="D1921" s="428"/>
      <c r="E1921" s="431"/>
      <c r="F1921" s="432"/>
      <c r="G1921" s="434"/>
      <c r="H1921" s="239"/>
      <c r="I1921" s="240"/>
    </row>
    <row r="1922" outlineLevel="2">
      <c r="A1922" s="422"/>
      <c r="B1922" s="472"/>
      <c r="C1922" s="513" t="s">
        <v>2705</v>
      </c>
      <c r="D1922" s="202" t="s">
        <v>1132</v>
      </c>
      <c r="E1922" s="444" t="s">
        <v>33</v>
      </c>
      <c r="F1922" s="214">
        <v>1.0</v>
      </c>
      <c r="G1922" s="205"/>
      <c r="H1922" s="206"/>
      <c r="I1922" s="219"/>
    </row>
    <row r="1923" outlineLevel="2">
      <c r="A1923" s="422"/>
      <c r="B1923" s="472"/>
      <c r="C1923" s="514"/>
      <c r="D1923" s="246"/>
      <c r="E1923" s="437"/>
      <c r="F1923" s="170"/>
      <c r="G1923" s="239"/>
      <c r="H1923" s="239"/>
      <c r="I1923" s="240"/>
    </row>
    <row r="1924" outlineLevel="2">
      <c r="A1924" s="422" t="str">
        <f>'Master List'!A710</f>
        <v>W-PLB-066</v>
      </c>
      <c r="B1924" s="472"/>
      <c r="C1924" s="505"/>
      <c r="D1924" s="462" t="str">
        <f>VLOOKUP(A1924,'Master List'!$A$1:$C$1192,2,FALSE)</f>
        <v>Монтаж коробки відключення і переходу ПЕ-CU</v>
      </c>
      <c r="E1924" s="463" t="str">
        <f>VLOOKUP(A1924,'Master List'!$A$1:$C$1192,3,FALSE)</f>
        <v>шт</v>
      </c>
      <c r="F1924" s="464">
        <v>1.0</v>
      </c>
      <c r="G1924" s="463">
        <f>VLOOKUP(A1924,'Master List'!$A$4:$F4658,5,FALSE)</f>
        <v>71.5</v>
      </c>
      <c r="H1924" s="206">
        <f t="shared" ref="H1924:H1925" si="198">G1924*F1924</f>
        <v>71.5</v>
      </c>
      <c r="I1924" s="240"/>
    </row>
    <row r="1925" outlineLevel="2">
      <c r="A1925" s="422" t="str">
        <f>'Master List'!A269</f>
        <v>M-PLB-066</v>
      </c>
      <c r="B1925" s="472"/>
      <c r="C1925" s="505"/>
      <c r="D1925" s="462" t="str">
        <f>VLOOKUP(A1925,'Master List'!$A$1:$C$1192,2,FALSE)</f>
        <v>Коробка відключення і переходу ПЕ-CU</v>
      </c>
      <c r="E1925" s="463" t="str">
        <f>VLOOKUP(A1925,'Master List'!$A$1:$C$1192,3,FALSE)</f>
        <v>шт</v>
      </c>
      <c r="F1925" s="464">
        <v>1.0</v>
      </c>
      <c r="G1925" s="463">
        <f>VLOOKUP(A1925,'Master List'!$A$4:$F4659,5,FALSE)</f>
        <v>80.6</v>
      </c>
      <c r="H1925" s="206">
        <f t="shared" si="198"/>
        <v>80.6</v>
      </c>
      <c r="I1925" s="240"/>
    </row>
    <row r="1926" outlineLevel="2">
      <c r="A1926" s="422"/>
      <c r="B1926" s="472"/>
      <c r="C1926" s="502"/>
      <c r="D1926" s="428"/>
      <c r="E1926" s="431"/>
      <c r="F1926" s="432"/>
      <c r="G1926" s="434"/>
      <c r="H1926" s="239"/>
      <c r="I1926" s="240"/>
    </row>
    <row r="1927" outlineLevel="1">
      <c r="A1927" s="422"/>
      <c r="B1927" s="472"/>
      <c r="C1927" s="528"/>
      <c r="D1927" s="476" t="s">
        <v>928</v>
      </c>
      <c r="E1927" s="431"/>
      <c r="F1927" s="432"/>
      <c r="G1927" s="436">
        <f>SUM(H1929:H1931)</f>
        <v>2860</v>
      </c>
      <c r="H1927" s="239"/>
      <c r="I1927" s="240"/>
    </row>
    <row r="1928" outlineLevel="2">
      <c r="A1928" s="422"/>
      <c r="B1928" s="472"/>
      <c r="C1928" s="502"/>
      <c r="D1928" s="428"/>
      <c r="E1928" s="431"/>
      <c r="F1928" s="432"/>
      <c r="G1928" s="434"/>
      <c r="H1928" s="239"/>
      <c r="I1928" s="240"/>
    </row>
    <row r="1929" outlineLevel="2">
      <c r="A1929" s="422" t="str">
        <f>'Master List'!A719</f>
        <v>W-PLB-081</v>
      </c>
      <c r="B1929" s="472"/>
      <c r="C1929" s="513" t="s">
        <v>2707</v>
      </c>
      <c r="D1929" s="202" t="s">
        <v>979</v>
      </c>
      <c r="E1929" s="444" t="s">
        <v>33</v>
      </c>
      <c r="F1929" s="214">
        <v>1.0</v>
      </c>
      <c r="G1929" s="463">
        <f>VLOOKUP(A1929,'Master List'!$A$4:$F4663,5,FALSE)</f>
        <v>2340</v>
      </c>
      <c r="H1929" s="206">
        <f>G1929*F1929</f>
        <v>2340</v>
      </c>
      <c r="I1929" s="219"/>
    </row>
    <row r="1930" outlineLevel="2">
      <c r="A1930" s="422"/>
      <c r="B1930" s="472"/>
      <c r="C1930" s="502"/>
      <c r="D1930" s="428"/>
      <c r="E1930" s="431"/>
      <c r="F1930" s="432"/>
      <c r="G1930" s="434"/>
      <c r="H1930" s="239"/>
      <c r="I1930" s="240"/>
    </row>
    <row r="1931" outlineLevel="2">
      <c r="A1931" s="422" t="str">
        <f>'Master List'!A720</f>
        <v>W-PLB-082</v>
      </c>
      <c r="B1931" s="472"/>
      <c r="C1931" s="513" t="s">
        <v>2708</v>
      </c>
      <c r="D1931" s="202" t="s">
        <v>1135</v>
      </c>
      <c r="E1931" s="444" t="s">
        <v>33</v>
      </c>
      <c r="F1931" s="214">
        <v>1.0</v>
      </c>
      <c r="G1931" s="463">
        <f>VLOOKUP(A1931,'Master List'!$A$4:$F4665,5,FALSE)</f>
        <v>520</v>
      </c>
      <c r="H1931" s="206">
        <f>G1931*F1931</f>
        <v>520</v>
      </c>
      <c r="I1931" s="219"/>
    </row>
    <row r="1932" outlineLevel="2">
      <c r="A1932" s="422"/>
      <c r="B1932" s="472"/>
      <c r="C1932" s="502"/>
      <c r="D1932" s="525"/>
      <c r="E1932" s="526"/>
      <c r="F1932" s="527"/>
      <c r="G1932" s="439"/>
      <c r="H1932" s="239"/>
      <c r="I1932" s="240"/>
    </row>
    <row r="1933" outlineLevel="1">
      <c r="A1933" s="422"/>
      <c r="B1933" s="472"/>
      <c r="C1933" s="502"/>
      <c r="D1933" s="525"/>
      <c r="E1933" s="526"/>
      <c r="F1933" s="527"/>
      <c r="G1933" s="439"/>
      <c r="H1933" s="239"/>
      <c r="I1933" s="240"/>
    </row>
    <row r="1934">
      <c r="A1934" s="422"/>
      <c r="B1934" s="471"/>
      <c r="C1934" s="500">
        <v>16.0</v>
      </c>
      <c r="D1934" s="516" t="s">
        <v>1136</v>
      </c>
      <c r="E1934" s="493"/>
      <c r="F1934" s="214"/>
      <c r="G1934" s="205"/>
      <c r="H1934" s="426">
        <f>SUM(H1938:H2218)</f>
        <v>131227.3633</v>
      </c>
      <c r="I1934" s="427">
        <f>H1934-Resumo!J44</f>
        <v>-50013.63672</v>
      </c>
    </row>
    <row r="1935" outlineLevel="1">
      <c r="A1935" s="422"/>
      <c r="B1935" s="472"/>
      <c r="C1935" s="502"/>
      <c r="D1935" s="525"/>
      <c r="E1935" s="526"/>
      <c r="F1935" s="527"/>
      <c r="G1935" s="439"/>
      <c r="H1935" s="239"/>
      <c r="I1935" s="240"/>
    </row>
    <row r="1936" outlineLevel="1">
      <c r="A1936" s="422"/>
      <c r="B1936" s="472"/>
      <c r="C1936" s="502"/>
      <c r="D1936" s="476" t="s">
        <v>5625</v>
      </c>
      <c r="E1936" s="526"/>
      <c r="F1936" s="527"/>
      <c r="G1936" s="436">
        <f>SUM(H1938:H2023)</f>
        <v>56036.08686</v>
      </c>
      <c r="H1936" s="439"/>
      <c r="I1936" s="240"/>
    </row>
    <row r="1937" outlineLevel="2">
      <c r="A1937" s="422"/>
      <c r="B1937" s="472"/>
      <c r="C1937" s="502"/>
      <c r="D1937" s="525"/>
      <c r="E1937" s="526"/>
      <c r="F1937" s="527"/>
      <c r="G1937" s="439"/>
      <c r="H1937" s="439"/>
      <c r="I1937" s="240"/>
    </row>
    <row r="1938" outlineLevel="2">
      <c r="A1938" s="422"/>
      <c r="B1938" s="472" t="s">
        <v>1137</v>
      </c>
      <c r="C1938" s="513" t="s">
        <v>2712</v>
      </c>
      <c r="D1938" s="315" t="s">
        <v>1138</v>
      </c>
      <c r="E1938" s="444" t="s">
        <v>75</v>
      </c>
      <c r="F1938" s="214">
        <v>1.0</v>
      </c>
      <c r="G1938" s="205"/>
      <c r="H1938" s="206"/>
      <c r="I1938" s="219" t="s">
        <v>5626</v>
      </c>
    </row>
    <row r="1939" outlineLevel="2">
      <c r="A1939" s="422"/>
      <c r="B1939" s="472"/>
      <c r="C1939" s="514"/>
      <c r="D1939" s="329"/>
      <c r="E1939" s="437"/>
      <c r="F1939" s="170"/>
      <c r="G1939" s="239"/>
      <c r="H1939" s="239"/>
      <c r="I1939" s="240"/>
    </row>
    <row r="1940" outlineLevel="2">
      <c r="A1940" s="422" t="str">
        <f>'Master List'!A721</f>
        <v>W-PLB-0109</v>
      </c>
      <c r="B1940" s="472"/>
      <c r="C1940" s="505"/>
      <c r="D1940" s="462" t="str">
        <f>VLOOKUP(A1940,'Master List'!$A$1:$C$1192,2,FALSE)</f>
        <v>Монтаж зовнішнього блоку кондиціонування типу VRF</v>
      </c>
      <c r="E1940" s="463" t="str">
        <f>VLOOKUP(A1940,'Master List'!$A$1:$C$1192,3,FALSE)</f>
        <v>шт</v>
      </c>
      <c r="F1940" s="464">
        <v>1.0</v>
      </c>
      <c r="G1940" s="463">
        <f>VLOOKUP(A1940,'Master List'!$A$4:$F4671,5,FALSE)</f>
        <v>1846</v>
      </c>
      <c r="H1940" s="206">
        <f t="shared" ref="H1940:H1941" si="199">G1940*F1940</f>
        <v>1846</v>
      </c>
      <c r="I1940" s="240"/>
    </row>
    <row r="1941" outlineLevel="2">
      <c r="A1941" s="422" t="str">
        <f>'Master List'!A296</f>
        <v>M-PLB-119</v>
      </c>
      <c r="B1941" s="472"/>
      <c r="C1941" s="505"/>
      <c r="D1941" s="462" t="str">
        <f>VLOOKUP(A1941,'Master List'!$A$1:$C$1192,2,FALSE)</f>
        <v>Зовнішній блок кондиціонування типу VRF</v>
      </c>
      <c r="E1941" s="463" t="str">
        <f>VLOOKUP(A1941,'Master List'!$A$1:$C$1192,3,FALSE)</f>
        <v>шт</v>
      </c>
      <c r="F1941" s="464">
        <v>1.0</v>
      </c>
      <c r="G1941" s="463">
        <f>VLOOKUP(A1941,'Master List'!$A$4:$F4672,5,FALSE)</f>
        <v>13608.621</v>
      </c>
      <c r="H1941" s="206">
        <f t="shared" si="199"/>
        <v>13608.621</v>
      </c>
      <c r="I1941" s="240"/>
    </row>
    <row r="1942" outlineLevel="2">
      <c r="A1942" s="422"/>
      <c r="B1942" s="428"/>
      <c r="C1942" s="502"/>
      <c r="D1942" s="428"/>
      <c r="E1942" s="431"/>
      <c r="F1942" s="432"/>
      <c r="G1942" s="434"/>
      <c r="H1942" s="434"/>
      <c r="I1942" s="240"/>
    </row>
    <row r="1943" outlineLevel="2">
      <c r="A1943" s="422"/>
      <c r="B1943" s="472" t="s">
        <v>1139</v>
      </c>
      <c r="C1943" s="513" t="s">
        <v>2715</v>
      </c>
      <c r="D1943" s="314" t="s">
        <v>1140</v>
      </c>
      <c r="E1943" s="437"/>
      <c r="F1943" s="170"/>
      <c r="G1943" s="239"/>
      <c r="H1943" s="239"/>
      <c r="I1943" s="240"/>
    </row>
    <row r="1944" outlineLevel="2">
      <c r="A1944" s="422"/>
      <c r="B1944" s="428"/>
      <c r="C1944" s="502"/>
      <c r="D1944" s="428"/>
      <c r="E1944" s="431"/>
      <c r="F1944" s="432"/>
      <c r="G1944" s="434"/>
      <c r="H1944" s="434"/>
      <c r="I1944" s="240"/>
    </row>
    <row r="1945" outlineLevel="2">
      <c r="A1945" s="422"/>
      <c r="B1945" s="428"/>
      <c r="C1945" s="513" t="s">
        <v>2717</v>
      </c>
      <c r="D1945" s="315" t="s">
        <v>1141</v>
      </c>
      <c r="E1945" s="444" t="s">
        <v>75</v>
      </c>
      <c r="F1945" s="214">
        <v>2.0</v>
      </c>
      <c r="G1945" s="205"/>
      <c r="H1945" s="206"/>
      <c r="I1945" s="219"/>
    </row>
    <row r="1946" outlineLevel="2">
      <c r="A1946" s="422"/>
      <c r="B1946" s="428"/>
      <c r="C1946" s="513" t="s">
        <v>2718</v>
      </c>
      <c r="D1946" s="315" t="s">
        <v>1142</v>
      </c>
      <c r="E1946" s="444" t="s">
        <v>75</v>
      </c>
      <c r="F1946" s="214">
        <v>4.0</v>
      </c>
      <c r="G1946" s="205"/>
      <c r="H1946" s="206"/>
      <c r="I1946" s="219"/>
    </row>
    <row r="1947" outlineLevel="2">
      <c r="A1947" s="422"/>
      <c r="B1947" s="428"/>
      <c r="C1947" s="513" t="s">
        <v>2719</v>
      </c>
      <c r="D1947" s="315" t="s">
        <v>1143</v>
      </c>
      <c r="E1947" s="444" t="s">
        <v>75</v>
      </c>
      <c r="F1947" s="214">
        <v>1.0</v>
      </c>
      <c r="G1947" s="205"/>
      <c r="H1947" s="206"/>
      <c r="I1947" s="219"/>
    </row>
    <row r="1948" outlineLevel="2">
      <c r="A1948" s="422"/>
      <c r="B1948" s="428"/>
      <c r="C1948" s="514"/>
      <c r="D1948" s="329"/>
      <c r="E1948" s="437"/>
      <c r="F1948" s="170"/>
      <c r="G1948" s="239"/>
      <c r="H1948" s="239"/>
      <c r="I1948" s="240"/>
    </row>
    <row r="1949" outlineLevel="2">
      <c r="A1949" s="422" t="str">
        <f>'Master List'!A722</f>
        <v>W-PLB-0110</v>
      </c>
      <c r="B1949" s="428"/>
      <c r="C1949" s="505"/>
      <c r="D1949" s="462" t="str">
        <f>VLOOKUP(A1949,'Master List'!$A$1:$C$1192,2,FALSE)</f>
        <v>Монтаж внутрішніх блоків системи VRF канального типу UI.01.##.25C</v>
      </c>
      <c r="E1949" s="463" t="str">
        <f>VLOOKUP(A1949,'Master List'!$A$1:$C$1192,3,FALSE)</f>
        <v>шт</v>
      </c>
      <c r="F1949" s="464">
        <f t="shared" ref="F1949:F1951" si="200">F1945</f>
        <v>2</v>
      </c>
      <c r="G1949" s="463">
        <f>VLOOKUP(A1949,'Master List'!$A$4:$F4680,5,FALSE)</f>
        <v>325</v>
      </c>
      <c r="H1949" s="206">
        <f t="shared" ref="H1949:H1954" si="201">G1949*F1949</f>
        <v>650</v>
      </c>
      <c r="I1949" s="240"/>
    </row>
    <row r="1950" outlineLevel="2">
      <c r="A1950" s="422" t="str">
        <f>'Master List'!A723</f>
        <v>W-PLB-0111</v>
      </c>
      <c r="B1950" s="428"/>
      <c r="C1950" s="505"/>
      <c r="D1950" s="462" t="str">
        <f>VLOOKUP(A1950,'Master List'!$A$1:$C$1192,2,FALSE)</f>
        <v>Монтаж внутрішніх блоків системи VRF канального типу UI.01.##.50C</v>
      </c>
      <c r="E1950" s="463" t="str">
        <f>VLOOKUP(A1950,'Master List'!$A$1:$C$1192,3,FALSE)</f>
        <v>шт</v>
      </c>
      <c r="F1950" s="464">
        <f t="shared" si="200"/>
        <v>4</v>
      </c>
      <c r="G1950" s="463">
        <f>VLOOKUP(A1950,'Master List'!$A$4:$F4681,5,FALSE)</f>
        <v>455</v>
      </c>
      <c r="H1950" s="206">
        <f t="shared" si="201"/>
        <v>1820</v>
      </c>
      <c r="I1950" s="240"/>
    </row>
    <row r="1951" outlineLevel="2">
      <c r="A1951" s="422" t="str">
        <f>'Master List'!A724</f>
        <v>W-PLB-0112</v>
      </c>
      <c r="B1951" s="428"/>
      <c r="C1951" s="505"/>
      <c r="D1951" s="462" t="str">
        <f>VLOOKUP(A1951,'Master List'!$A$1:$C$1192,2,FALSE)</f>
        <v>Монтаж внутрішніх блоків системи VRF канального типу UI.01.##.140C</v>
      </c>
      <c r="E1951" s="463" t="str">
        <f>VLOOKUP(A1951,'Master List'!$A$1:$C$1192,3,FALSE)</f>
        <v>шт</v>
      </c>
      <c r="F1951" s="464">
        <f t="shared" si="200"/>
        <v>1</v>
      </c>
      <c r="G1951" s="463">
        <f>VLOOKUP(A1951,'Master List'!$A$4:$F4682,5,FALSE)</f>
        <v>1040</v>
      </c>
      <c r="H1951" s="206">
        <f t="shared" si="201"/>
        <v>1040</v>
      </c>
      <c r="I1951" s="240"/>
    </row>
    <row r="1952" outlineLevel="2">
      <c r="A1952" s="422" t="str">
        <f>'Master List'!A297</f>
        <v>M-PLB-120</v>
      </c>
      <c r="B1952" s="428"/>
      <c r="C1952" s="505"/>
      <c r="D1952" s="462" t="str">
        <f>VLOOKUP(A1952,'Master List'!$A$1:$C$1192,2,FALSE)</f>
        <v>Внутрішні блоки системи VRF канального типу UI.01.##.25C</v>
      </c>
      <c r="E1952" s="463" t="str">
        <f>VLOOKUP(A1952,'Master List'!$A$1:$C$1192,3,FALSE)</f>
        <v>шт</v>
      </c>
      <c r="F1952" s="464">
        <f t="shared" ref="F1952:F1954" si="202">F1945</f>
        <v>2</v>
      </c>
      <c r="G1952" s="463">
        <f>VLOOKUP(A1952,'Master List'!$A$4:$F4682,5,FALSE)</f>
        <v>1909.7</v>
      </c>
      <c r="H1952" s="206">
        <f t="shared" si="201"/>
        <v>3819.4</v>
      </c>
      <c r="I1952" s="240"/>
    </row>
    <row r="1953" outlineLevel="2">
      <c r="A1953" s="422" t="str">
        <f>'Master List'!A298</f>
        <v>M-PLB-121</v>
      </c>
      <c r="B1953" s="428"/>
      <c r="C1953" s="505"/>
      <c r="D1953" s="462" t="str">
        <f>VLOOKUP(A1953,'Master List'!$A$1:$C$1192,2,FALSE)</f>
        <v>Внутрішні блоки системи VRF канального типу UI.01##.50C</v>
      </c>
      <c r="E1953" s="463" t="str">
        <f>VLOOKUP(A1953,'Master List'!$A$1:$C$1192,3,FALSE)</f>
        <v>шт</v>
      </c>
      <c r="F1953" s="464">
        <f t="shared" si="202"/>
        <v>4</v>
      </c>
      <c r="G1953" s="463">
        <f>VLOOKUP(A1953,'Master List'!$A$4:$F4683,5,FALSE)</f>
        <v>2707.172</v>
      </c>
      <c r="H1953" s="206">
        <f t="shared" si="201"/>
        <v>10828.688</v>
      </c>
      <c r="I1953" s="240"/>
    </row>
    <row r="1954" outlineLevel="2">
      <c r="A1954" s="422" t="str">
        <f>'Master List'!A299</f>
        <v>M-PLB-122</v>
      </c>
      <c r="B1954" s="428"/>
      <c r="C1954" s="505"/>
      <c r="D1954" s="462" t="str">
        <f>VLOOKUP(A1954,'Master List'!$A$1:$C$1192,2,FALSE)</f>
        <v>Внутрішні блоки системи VRF канального типу UI.01.##.140C</v>
      </c>
      <c r="E1954" s="463" t="str">
        <f>VLOOKUP(A1954,'Master List'!$A$1:$C$1192,3,FALSE)</f>
        <v>шт</v>
      </c>
      <c r="F1954" s="464">
        <f t="shared" si="202"/>
        <v>1</v>
      </c>
      <c r="G1954" s="463">
        <f>VLOOKUP(A1954,'Master List'!$A$4:$F4684,5,FALSE)</f>
        <v>2293.044</v>
      </c>
      <c r="H1954" s="206">
        <f t="shared" si="201"/>
        <v>2293.044</v>
      </c>
      <c r="I1954" s="240"/>
    </row>
    <row r="1955" outlineLevel="2">
      <c r="A1955" s="422"/>
      <c r="B1955" s="428"/>
      <c r="C1955" s="502"/>
      <c r="D1955" s="428"/>
      <c r="E1955" s="431"/>
      <c r="F1955" s="432"/>
      <c r="G1955" s="434"/>
      <c r="H1955" s="434"/>
      <c r="I1955" s="240"/>
    </row>
    <row r="1956" outlineLevel="2">
      <c r="A1956" s="422"/>
      <c r="B1956" s="472" t="s">
        <v>1144</v>
      </c>
      <c r="C1956" s="513" t="s">
        <v>2720</v>
      </c>
      <c r="D1956" s="316" t="s">
        <v>1145</v>
      </c>
      <c r="E1956" s="437"/>
      <c r="F1956" s="170"/>
      <c r="G1956" s="239"/>
      <c r="H1956" s="239"/>
      <c r="I1956" s="240"/>
    </row>
    <row r="1957" outlineLevel="2">
      <c r="A1957" s="422"/>
      <c r="B1957" s="428"/>
      <c r="C1957" s="502"/>
      <c r="D1957" s="428"/>
      <c r="E1957" s="431"/>
      <c r="F1957" s="432"/>
      <c r="G1957" s="434"/>
      <c r="H1957" s="434"/>
      <c r="I1957" s="240"/>
    </row>
    <row r="1958" outlineLevel="2">
      <c r="A1958" s="422"/>
      <c r="B1958" s="428"/>
      <c r="C1958" s="513" t="s">
        <v>2722</v>
      </c>
      <c r="D1958" s="315" t="s">
        <v>1146</v>
      </c>
      <c r="E1958" s="444" t="s">
        <v>75</v>
      </c>
      <c r="F1958" s="214">
        <v>7.0</v>
      </c>
      <c r="G1958" s="205"/>
      <c r="H1958" s="206"/>
      <c r="I1958" s="219"/>
    </row>
    <row r="1959" outlineLevel="2">
      <c r="A1959" s="422"/>
      <c r="B1959" s="428"/>
      <c r="C1959" s="514"/>
      <c r="D1959" s="329"/>
      <c r="E1959" s="437"/>
      <c r="F1959" s="170"/>
      <c r="G1959" s="239"/>
      <c r="H1959" s="239"/>
      <c r="I1959" s="240"/>
    </row>
    <row r="1960" outlineLevel="2">
      <c r="A1960" s="422" t="str">
        <f>'Master List'!A725</f>
        <v>W-PLB-0113</v>
      </c>
      <c r="B1960" s="428"/>
      <c r="C1960" s="505"/>
      <c r="D1960" s="462" t="str">
        <f>VLOOKUP(A1960,'Master List'!$A$1:$C$1192,2,FALSE)</f>
        <v>Монтаж люка 60x60см </v>
      </c>
      <c r="E1960" s="463" t="str">
        <f>VLOOKUP(A1960,'Master List'!$A$1:$C$1192,3,FALSE)</f>
        <v>шт</v>
      </c>
      <c r="F1960" s="464">
        <v>7.0</v>
      </c>
      <c r="G1960" s="463">
        <f>VLOOKUP(A1960,'Master List'!$A$4:$F4690,5,FALSE)</f>
        <v>58.5</v>
      </c>
      <c r="H1960" s="206">
        <f t="shared" ref="H1960:H1961" si="203">G1960*F1960</f>
        <v>409.5</v>
      </c>
      <c r="I1960" s="240"/>
    </row>
    <row r="1961" outlineLevel="2">
      <c r="A1961" s="422" t="str">
        <f>'Master List'!A300</f>
        <v>M-PLB-123</v>
      </c>
      <c r="B1961" s="428"/>
      <c r="C1961" s="505"/>
      <c r="D1961" s="462" t="str">
        <f>VLOOKUP(A1961,'Master List'!$A$1:$C$1192,2,FALSE)</f>
        <v>Люк 60x60см </v>
      </c>
      <c r="E1961" s="463" t="str">
        <f>VLOOKUP(A1961,'Master List'!$A$1:$C$1192,3,FALSE)</f>
        <v>шт</v>
      </c>
      <c r="F1961" s="464">
        <v>7.0</v>
      </c>
      <c r="G1961" s="463">
        <f>VLOOKUP(A1961,'Master List'!$A$4:$F4691,5,FALSE)</f>
        <v>36.4</v>
      </c>
      <c r="H1961" s="206">
        <f t="shared" si="203"/>
        <v>254.8</v>
      </c>
      <c r="I1961" s="240"/>
    </row>
    <row r="1962" outlineLevel="2">
      <c r="A1962" s="422"/>
      <c r="B1962" s="428"/>
      <c r="C1962" s="502"/>
      <c r="D1962" s="428"/>
      <c r="E1962" s="431"/>
      <c r="F1962" s="432"/>
      <c r="G1962" s="434"/>
      <c r="H1962" s="434"/>
      <c r="I1962" s="240"/>
    </row>
    <row r="1963" outlineLevel="2">
      <c r="A1963" s="422"/>
      <c r="B1963" s="472" t="s">
        <v>1147</v>
      </c>
      <c r="C1963" s="513" t="s">
        <v>2724</v>
      </c>
      <c r="D1963" s="316" t="s">
        <v>1148</v>
      </c>
      <c r="E1963" s="437"/>
      <c r="F1963" s="170"/>
      <c r="G1963" s="239"/>
      <c r="H1963" s="239"/>
      <c r="I1963" s="240"/>
    </row>
    <row r="1964" outlineLevel="2">
      <c r="A1964" s="422"/>
      <c r="B1964" s="428"/>
      <c r="C1964" s="502"/>
      <c r="D1964" s="428"/>
      <c r="E1964" s="431"/>
      <c r="F1964" s="432"/>
      <c r="G1964" s="434"/>
      <c r="H1964" s="434"/>
      <c r="I1964" s="240"/>
    </row>
    <row r="1965" outlineLevel="2">
      <c r="A1965" s="422"/>
      <c r="B1965" s="428"/>
      <c r="C1965" s="513" t="s">
        <v>2726</v>
      </c>
      <c r="D1965" s="315" t="s">
        <v>1149</v>
      </c>
      <c r="E1965" s="444" t="s">
        <v>75</v>
      </c>
      <c r="F1965" s="214">
        <v>6.0</v>
      </c>
      <c r="G1965" s="205"/>
      <c r="H1965" s="206"/>
      <c r="I1965" s="219"/>
    </row>
    <row r="1966" outlineLevel="2">
      <c r="A1966" s="422"/>
      <c r="B1966" s="428"/>
      <c r="C1966" s="514"/>
      <c r="D1966" s="329"/>
      <c r="E1966" s="437"/>
      <c r="F1966" s="170"/>
      <c r="G1966" s="239"/>
      <c r="H1966" s="239"/>
      <c r="I1966" s="240"/>
    </row>
    <row r="1967" outlineLevel="2">
      <c r="A1967" s="422" t="str">
        <f>'Master List'!A726</f>
        <v>W-PLB-0114</v>
      </c>
      <c r="B1967" s="428"/>
      <c r="C1967" s="505"/>
      <c r="D1967" s="462" t="str">
        <f>VLOOKUP(A1967,'Master List'!$A$1:$C$1192,2,FALSE)</f>
        <v>Монтаж розгалужувачів для системи VRF</v>
      </c>
      <c r="E1967" s="463" t="str">
        <f>VLOOKUP(A1967,'Master List'!$A$1:$C$1192,3,FALSE)</f>
        <v>шт</v>
      </c>
      <c r="F1967" s="464">
        <v>6.0</v>
      </c>
      <c r="G1967" s="463">
        <f>VLOOKUP(A1967,'Master List'!$A$4:$F4697,5,FALSE)</f>
        <v>234</v>
      </c>
      <c r="H1967" s="206">
        <f t="shared" ref="H1967:H1968" si="204">G1967*F1967</f>
        <v>1404</v>
      </c>
      <c r="I1967" s="240"/>
    </row>
    <row r="1968" outlineLevel="2">
      <c r="A1968" s="422" t="str">
        <f>'Master List'!A301</f>
        <v>M-PLB-124</v>
      </c>
      <c r="B1968" s="428"/>
      <c r="C1968" s="505"/>
      <c r="D1968" s="462" t="str">
        <f>VLOOKUP(A1968,'Master List'!$A$1:$C$1192,2,FALSE)</f>
        <v>Розгалужувачі для системи VRF</v>
      </c>
      <c r="E1968" s="463" t="str">
        <f>VLOOKUP(A1968,'Master List'!$A$1:$C$1192,3,FALSE)</f>
        <v>шт</v>
      </c>
      <c r="F1968" s="464">
        <v>6.0</v>
      </c>
      <c r="G1968" s="463">
        <f>VLOOKUP(A1968,'Master List'!$A$4:$F4698,5,FALSE)</f>
        <v>274.846</v>
      </c>
      <c r="H1968" s="206">
        <f t="shared" si="204"/>
        <v>1649.076</v>
      </c>
      <c r="I1968" s="240"/>
    </row>
    <row r="1969" outlineLevel="2">
      <c r="A1969" s="422"/>
      <c r="B1969" s="428"/>
      <c r="C1969" s="502"/>
      <c r="D1969" s="428"/>
      <c r="E1969" s="431"/>
      <c r="F1969" s="432"/>
      <c r="G1969" s="434"/>
      <c r="H1969" s="434"/>
      <c r="I1969" s="240"/>
    </row>
    <row r="1970" outlineLevel="2">
      <c r="A1970" s="422"/>
      <c r="B1970" s="472" t="s">
        <v>1150</v>
      </c>
      <c r="C1970" s="513" t="s">
        <v>2727</v>
      </c>
      <c r="D1970" s="316" t="s">
        <v>1151</v>
      </c>
      <c r="E1970" s="437"/>
      <c r="F1970" s="170"/>
      <c r="G1970" s="239"/>
      <c r="H1970" s="239"/>
      <c r="I1970" s="240"/>
    </row>
    <row r="1971" outlineLevel="2">
      <c r="A1971" s="422"/>
      <c r="B1971" s="428"/>
      <c r="C1971" s="502"/>
      <c r="D1971" s="428"/>
      <c r="E1971" s="431"/>
      <c r="F1971" s="432"/>
      <c r="G1971" s="434"/>
      <c r="H1971" s="434"/>
      <c r="I1971" s="240"/>
    </row>
    <row r="1972" outlineLevel="2">
      <c r="A1972" s="422"/>
      <c r="B1972" s="428"/>
      <c r="C1972" s="513" t="s">
        <v>2729</v>
      </c>
      <c r="D1972" s="315" t="s">
        <v>1152</v>
      </c>
      <c r="E1972" s="444" t="s">
        <v>75</v>
      </c>
      <c r="F1972" s="214">
        <v>1.0</v>
      </c>
      <c r="G1972" s="205"/>
      <c r="H1972" s="206"/>
      <c r="I1972" s="219"/>
    </row>
    <row r="1973" outlineLevel="2">
      <c r="A1973" s="422"/>
      <c r="B1973" s="428"/>
      <c r="C1973" s="514"/>
      <c r="D1973" s="329"/>
      <c r="E1973" s="437"/>
      <c r="F1973" s="170"/>
      <c r="G1973" s="239"/>
      <c r="H1973" s="239"/>
      <c r="I1973" s="240"/>
    </row>
    <row r="1974" outlineLevel="2">
      <c r="A1974" s="422" t="str">
        <f>'Master List'!A727</f>
        <v>W-PLB-0115</v>
      </c>
      <c r="B1974" s="428"/>
      <c r="C1974" s="505"/>
      <c r="D1974" s="462" t="str">
        <f>VLOOKUP(A1974,'Master List'!$A$1:$C$1192,2,FALSE)</f>
        <v>Монтаж теплового насосу с гідравлічним модулем </v>
      </c>
      <c r="E1974" s="463" t="str">
        <f>VLOOKUP(A1974,'Master List'!$A$1:$C$1192,3,FALSE)</f>
        <v>шт</v>
      </c>
      <c r="F1974" s="464">
        <v>1.0</v>
      </c>
      <c r="G1974" s="463">
        <f>VLOOKUP(A1974,'Master List'!$A$4:$F4704,5,FALSE)</f>
        <v>1560</v>
      </c>
      <c r="H1974" s="206">
        <f t="shared" ref="H1974:H1975" si="205">G1974*F1974</f>
        <v>1560</v>
      </c>
      <c r="I1974" s="240"/>
    </row>
    <row r="1975" outlineLevel="2">
      <c r="A1975" s="422" t="str">
        <f>'Master List'!A302</f>
        <v>M-PLB-125</v>
      </c>
      <c r="B1975" s="428"/>
      <c r="C1975" s="505"/>
      <c r="D1975" s="462" t="str">
        <f>VLOOKUP(A1975,'Master List'!$A$1:$C$1192,2,FALSE)</f>
        <v>Тепловий насос с гідравлічниим модулем </v>
      </c>
      <c r="E1975" s="463" t="str">
        <f>VLOOKUP(A1975,'Master List'!$A$1:$C$1192,3,FALSE)</f>
        <v>шт</v>
      </c>
      <c r="F1975" s="464">
        <v>1.0</v>
      </c>
      <c r="G1975" s="463">
        <f>VLOOKUP(A1975,'Master List'!$A$4:$F4705,5,FALSE)</f>
        <v>4549.896</v>
      </c>
      <c r="H1975" s="206">
        <f t="shared" si="205"/>
        <v>4549.896</v>
      </c>
      <c r="I1975" s="240"/>
    </row>
    <row r="1976" outlineLevel="2">
      <c r="A1976" s="422"/>
      <c r="B1976" s="428"/>
      <c r="C1976" s="502"/>
      <c r="D1976" s="428"/>
      <c r="E1976" s="431"/>
      <c r="F1976" s="432"/>
      <c r="G1976" s="434"/>
      <c r="H1976" s="434"/>
      <c r="I1976" s="240"/>
    </row>
    <row r="1977" outlineLevel="2">
      <c r="A1977" s="422"/>
      <c r="B1977" s="472" t="s">
        <v>1153</v>
      </c>
      <c r="C1977" s="513" t="s">
        <v>2730</v>
      </c>
      <c r="D1977" s="315" t="s">
        <v>1154</v>
      </c>
      <c r="E1977" s="444" t="s">
        <v>75</v>
      </c>
      <c r="F1977" s="214">
        <v>1.0</v>
      </c>
      <c r="G1977" s="205"/>
      <c r="H1977" s="206"/>
      <c r="I1977" s="219"/>
    </row>
    <row r="1978" outlineLevel="2">
      <c r="A1978" s="422"/>
      <c r="B1978" s="472"/>
      <c r="C1978" s="514"/>
      <c r="D1978" s="329"/>
      <c r="E1978" s="437"/>
      <c r="F1978" s="170"/>
      <c r="G1978" s="239"/>
      <c r="H1978" s="239"/>
      <c r="I1978" s="240"/>
    </row>
    <row r="1979" outlineLevel="2">
      <c r="A1979" s="422" t="str">
        <f>'Master List'!A728</f>
        <v>W-PLB-0116</v>
      </c>
      <c r="B1979" s="472"/>
      <c r="C1979" s="505"/>
      <c r="D1979" s="462" t="str">
        <f>VLOOKUP(A1979,'Master List'!$A$1:$C$1192,2,FALSE)</f>
        <v>Монтаж системи централізованого управління з сенсорним екраном</v>
      </c>
      <c r="E1979" s="463" t="str">
        <f>VLOOKUP(A1979,'Master List'!$A$1:$C$1192,3,FALSE)</f>
        <v>шт</v>
      </c>
      <c r="F1979" s="464">
        <v>1.0</v>
      </c>
      <c r="G1979" s="463">
        <f>VLOOKUP(A1979,'Master List'!$A$4:$F4709,5,FALSE)</f>
        <v>585</v>
      </c>
      <c r="H1979" s="206">
        <f t="shared" ref="H1979:H1980" si="206">G1979*F1979</f>
        <v>585</v>
      </c>
      <c r="I1979" s="240"/>
    </row>
    <row r="1980" outlineLevel="2">
      <c r="A1980" s="422" t="str">
        <f>'Master List'!A303</f>
        <v>M-PLB-126</v>
      </c>
      <c r="B1980" s="472"/>
      <c r="C1980" s="505"/>
      <c r="D1980" s="462" t="str">
        <f>VLOOKUP(A1980,'Master List'!$A$1:$C$1192,2,FALSE)</f>
        <v>Система централізованого управління з сенсорним екраном</v>
      </c>
      <c r="E1980" s="463" t="str">
        <f>VLOOKUP(A1980,'Master List'!$A$1:$C$1192,3,FALSE)</f>
        <v>шт</v>
      </c>
      <c r="F1980" s="464">
        <v>1.0</v>
      </c>
      <c r="G1980" s="463">
        <f>VLOOKUP(A1980,'Master List'!$A$4:$F4710,5,FALSE)</f>
        <v>102.7</v>
      </c>
      <c r="H1980" s="206">
        <f t="shared" si="206"/>
        <v>102.7</v>
      </c>
      <c r="I1980" s="240"/>
    </row>
    <row r="1981" outlineLevel="2">
      <c r="A1981" s="422"/>
      <c r="B1981" s="428"/>
      <c r="C1981" s="502"/>
      <c r="D1981" s="428"/>
      <c r="E1981" s="431"/>
      <c r="F1981" s="432"/>
      <c r="G1981" s="434"/>
      <c r="H1981" s="434"/>
      <c r="I1981" s="240"/>
    </row>
    <row r="1982" outlineLevel="2">
      <c r="A1982" s="422"/>
      <c r="B1982" s="472" t="s">
        <v>1155</v>
      </c>
      <c r="C1982" s="513" t="s">
        <v>2732</v>
      </c>
      <c r="D1982" s="315" t="s">
        <v>1156</v>
      </c>
      <c r="E1982" s="444" t="s">
        <v>75</v>
      </c>
      <c r="F1982" s="214">
        <v>7.0</v>
      </c>
      <c r="G1982" s="205"/>
      <c r="H1982" s="206"/>
      <c r="I1982" s="219"/>
    </row>
    <row r="1983" outlineLevel="2">
      <c r="A1983" s="422"/>
      <c r="B1983" s="472"/>
      <c r="C1983" s="514"/>
      <c r="D1983" s="329"/>
      <c r="E1983" s="437"/>
      <c r="F1983" s="170"/>
      <c r="G1983" s="239"/>
      <c r="H1983" s="239"/>
      <c r="I1983" s="240"/>
    </row>
    <row r="1984" outlineLevel="2">
      <c r="A1984" s="422" t="str">
        <f>'Master List'!A729</f>
        <v>W-PLB-0117</v>
      </c>
      <c r="B1984" s="472"/>
      <c r="C1984" s="505"/>
      <c r="D1984" s="462" t="str">
        <f>VLOOKUP(A1984,'Master List'!$A$1:$C$1192,2,FALSE)</f>
        <v>Монтаж системи індивідуального управління</v>
      </c>
      <c r="E1984" s="463" t="str">
        <f>VLOOKUP(A1984,'Master List'!$A$1:$C$1192,3,FALSE)</f>
        <v>шт</v>
      </c>
      <c r="F1984" s="464">
        <v>7.0</v>
      </c>
      <c r="G1984" s="463">
        <f>VLOOKUP(A1984,'Master List'!$A$4:$F4715,5,FALSE)</f>
        <v>110.5</v>
      </c>
      <c r="H1984" s="206">
        <f t="shared" ref="H1984:H1985" si="207">G1984*F1984</f>
        <v>773.5</v>
      </c>
      <c r="I1984" s="240"/>
    </row>
    <row r="1985" outlineLevel="2">
      <c r="A1985" s="422" t="str">
        <f>'Master List'!A304</f>
        <v>M-PLB-127</v>
      </c>
      <c r="B1985" s="472"/>
      <c r="C1985" s="505"/>
      <c r="D1985" s="462" t="str">
        <f>VLOOKUP(A1985,'Master List'!$A$1:$C$1192,2,FALSE)</f>
        <v>Система індивідуальногоного управління </v>
      </c>
      <c r="E1985" s="463" t="str">
        <f>VLOOKUP(A1985,'Master List'!$A$1:$C$1192,3,FALSE)</f>
        <v>шт</v>
      </c>
      <c r="F1985" s="464">
        <v>7.0</v>
      </c>
      <c r="G1985" s="463">
        <f>VLOOKUP(A1985,'Master List'!$A$4:$F4716,5,FALSE)</f>
        <v>191.88</v>
      </c>
      <c r="H1985" s="206">
        <f t="shared" si="207"/>
        <v>1343.16</v>
      </c>
      <c r="I1985" s="240"/>
    </row>
    <row r="1986" outlineLevel="2">
      <c r="A1986" s="422"/>
      <c r="B1986" s="428"/>
      <c r="C1986" s="502"/>
      <c r="D1986" s="428"/>
      <c r="E1986" s="431"/>
      <c r="F1986" s="432"/>
      <c r="G1986" s="434"/>
      <c r="H1986" s="434"/>
      <c r="I1986" s="240"/>
    </row>
    <row r="1987" outlineLevel="2">
      <c r="A1987" s="422"/>
      <c r="B1987" s="472" t="s">
        <v>1157</v>
      </c>
      <c r="C1987" s="529">
        <v>16.8</v>
      </c>
      <c r="D1987" s="249" t="s">
        <v>1158</v>
      </c>
      <c r="E1987" s="530"/>
      <c r="F1987" s="520"/>
      <c r="G1987" s="521"/>
      <c r="H1987" s="521"/>
      <c r="I1987" s="240"/>
    </row>
    <row r="1988" outlineLevel="2">
      <c r="A1988" s="422"/>
      <c r="B1988" s="428"/>
      <c r="C1988" s="502"/>
      <c r="D1988" s="428"/>
      <c r="E1988" s="431"/>
      <c r="F1988" s="432"/>
      <c r="G1988" s="434"/>
      <c r="H1988" s="434"/>
      <c r="I1988" s="240"/>
    </row>
    <row r="1989" outlineLevel="2">
      <c r="A1989" s="422"/>
      <c r="B1989" s="428"/>
      <c r="C1989" s="513" t="s">
        <v>2735</v>
      </c>
      <c r="D1989" s="315" t="s">
        <v>1159</v>
      </c>
      <c r="E1989" s="444" t="s">
        <v>877</v>
      </c>
      <c r="F1989" s="214">
        <v>54.0</v>
      </c>
      <c r="G1989" s="205"/>
      <c r="H1989" s="206"/>
      <c r="I1989" s="219"/>
    </row>
    <row r="1990" outlineLevel="2">
      <c r="A1990" s="422"/>
      <c r="B1990" s="428"/>
      <c r="C1990" s="513" t="s">
        <v>2736</v>
      </c>
      <c r="D1990" s="315" t="s">
        <v>1160</v>
      </c>
      <c r="E1990" s="444" t="s">
        <v>877</v>
      </c>
      <c r="F1990" s="214">
        <v>22.0</v>
      </c>
      <c r="G1990" s="205"/>
      <c r="H1990" s="206"/>
      <c r="I1990" s="219"/>
    </row>
    <row r="1991" outlineLevel="2">
      <c r="A1991" s="422"/>
      <c r="B1991" s="428"/>
      <c r="C1991" s="513" t="s">
        <v>2737</v>
      </c>
      <c r="D1991" s="315" t="s">
        <v>1161</v>
      </c>
      <c r="E1991" s="444" t="s">
        <v>877</v>
      </c>
      <c r="F1991" s="214">
        <v>72.0</v>
      </c>
      <c r="G1991" s="205"/>
      <c r="H1991" s="206"/>
      <c r="I1991" s="219"/>
    </row>
    <row r="1992" outlineLevel="2">
      <c r="A1992" s="422"/>
      <c r="B1992" s="428"/>
      <c r="C1992" s="513" t="s">
        <v>2738</v>
      </c>
      <c r="D1992" s="315" t="s">
        <v>1162</v>
      </c>
      <c r="E1992" s="444" t="s">
        <v>877</v>
      </c>
      <c r="F1992" s="214">
        <v>56.0</v>
      </c>
      <c r="G1992" s="205"/>
      <c r="H1992" s="206"/>
      <c r="I1992" s="219"/>
    </row>
    <row r="1993" outlineLevel="2">
      <c r="A1993" s="422"/>
      <c r="B1993" s="428"/>
      <c r="C1993" s="513" t="s">
        <v>2739</v>
      </c>
      <c r="D1993" s="315" t="s">
        <v>1163</v>
      </c>
      <c r="E1993" s="444" t="s">
        <v>877</v>
      </c>
      <c r="F1993" s="214">
        <v>10.0</v>
      </c>
      <c r="G1993" s="205"/>
      <c r="H1993" s="206"/>
      <c r="I1993" s="219"/>
    </row>
    <row r="1994" outlineLevel="2">
      <c r="A1994" s="422"/>
      <c r="B1994" s="428"/>
      <c r="C1994" s="513" t="s">
        <v>2740</v>
      </c>
      <c r="D1994" s="315" t="s">
        <v>1164</v>
      </c>
      <c r="E1994" s="444" t="s">
        <v>877</v>
      </c>
      <c r="F1994" s="214">
        <v>8.0</v>
      </c>
      <c r="G1994" s="205"/>
      <c r="H1994" s="206"/>
      <c r="I1994" s="219"/>
    </row>
    <row r="1995" outlineLevel="2">
      <c r="A1995" s="422"/>
      <c r="B1995" s="428"/>
      <c r="C1995" s="513" t="s">
        <v>2741</v>
      </c>
      <c r="D1995" s="315" t="s">
        <v>1165</v>
      </c>
      <c r="E1995" s="444" t="s">
        <v>877</v>
      </c>
      <c r="F1995" s="214">
        <v>34.0</v>
      </c>
      <c r="G1995" s="205"/>
      <c r="H1995" s="206"/>
      <c r="I1995" s="219"/>
    </row>
    <row r="1996" outlineLevel="2">
      <c r="A1996" s="422"/>
      <c r="B1996" s="428"/>
      <c r="C1996" s="514"/>
      <c r="D1996" s="329"/>
      <c r="E1996" s="437"/>
      <c r="F1996" s="170"/>
      <c r="G1996" s="239"/>
      <c r="H1996" s="239"/>
      <c r="I1996" s="240"/>
    </row>
    <row r="1997" outlineLevel="2">
      <c r="A1997" s="422" t="str">
        <f>'Master List'!A730</f>
        <v>W-PLB-0120</v>
      </c>
      <c r="B1997" s="428"/>
      <c r="C1997" s="505"/>
      <c r="D1997" s="462" t="str">
        <f>VLOOKUP(A1997,'Master List'!$A$1:$C$1192,2,FALSE)</f>
        <v>Прокладання мідних труб діаметром до 10мм</v>
      </c>
      <c r="E1997" s="463" t="str">
        <f>VLOOKUP(A1997,'Master List'!$A$1:$C$1192,3,FALSE)</f>
        <v>м</v>
      </c>
      <c r="F1997" s="464">
        <f>F1989+F1990</f>
        <v>76</v>
      </c>
      <c r="G1997" s="463">
        <f>VLOOKUP(A1997,'Master List'!$A$4:$F4728,5,FALSE)</f>
        <v>7.8</v>
      </c>
      <c r="H1997" s="206">
        <f t="shared" ref="H1997:H2016" si="208">G1997*F1997</f>
        <v>592.8</v>
      </c>
      <c r="I1997" s="240"/>
    </row>
    <row r="1998" outlineLevel="2">
      <c r="A1998" s="422" t="str">
        <f>'Master List'!A731</f>
        <v>W-PLB-0121</v>
      </c>
      <c r="B1998" s="428"/>
      <c r="C1998" s="505"/>
      <c r="D1998" s="462" t="str">
        <f>VLOOKUP(A1998,'Master List'!$A$1:$C$1192,2,FALSE)</f>
        <v>Прокладання мідних труб діаметром до 20мм</v>
      </c>
      <c r="E1998" s="463" t="str">
        <f>VLOOKUP(A1998,'Master List'!$A$1:$C$1192,3,FALSE)</f>
        <v>м</v>
      </c>
      <c r="F1998" s="464">
        <f>F1991+F1992+F1993</f>
        <v>138</v>
      </c>
      <c r="G1998" s="463">
        <f>VLOOKUP(A1998,'Master List'!$A$4:$F4729,5,FALSE)</f>
        <v>10.4</v>
      </c>
      <c r="H1998" s="206">
        <f t="shared" si="208"/>
        <v>1435.2</v>
      </c>
      <c r="I1998" s="240"/>
    </row>
    <row r="1999" outlineLevel="2">
      <c r="A1999" s="422" t="str">
        <f>'Master List'!A732</f>
        <v>W-PLB-0122</v>
      </c>
      <c r="B1999" s="428"/>
      <c r="C1999" s="505"/>
      <c r="D1999" s="462" t="str">
        <f>VLOOKUP(A1999,'Master List'!$A$1:$C$1192,2,FALSE)</f>
        <v>Прокладання мідних труб діаметром до 30мм</v>
      </c>
      <c r="E1999" s="463" t="str">
        <f>VLOOKUP(A1999,'Master List'!$A$1:$C$1192,3,FALSE)</f>
        <v>м</v>
      </c>
      <c r="F1999" s="464">
        <f>F1994+F1995</f>
        <v>42</v>
      </c>
      <c r="G1999" s="463">
        <f>VLOOKUP(A1999,'Master List'!$A$4:$F4730,5,FALSE)</f>
        <v>13</v>
      </c>
      <c r="H1999" s="206">
        <f t="shared" si="208"/>
        <v>546</v>
      </c>
      <c r="I1999" s="240"/>
    </row>
    <row r="2000" outlineLevel="2">
      <c r="A2000" s="422" t="str">
        <f>'Master List'!A733</f>
        <v>W-PLB-0123</v>
      </c>
      <c r="B2000" s="428"/>
      <c r="C2000" s="505"/>
      <c r="D2000" s="462" t="str">
        <f>VLOOKUP(A2000,'Master List'!$A$1:$C$1192,2,FALSE)</f>
        <v>Влаштування теплоізоляції для труб діаметром до 10мм</v>
      </c>
      <c r="E2000" s="463" t="str">
        <f>VLOOKUP(A2000,'Master List'!$A$1:$C$1192,3,FALSE)</f>
        <v>м</v>
      </c>
      <c r="F2000" s="464">
        <f t="shared" ref="F2000:F2002" si="209">F1997</f>
        <v>76</v>
      </c>
      <c r="G2000" s="463">
        <f>VLOOKUP(A2000,'Master List'!$A$4:$F4724,5,FALSE)</f>
        <v>1.95</v>
      </c>
      <c r="H2000" s="206">
        <f t="shared" si="208"/>
        <v>148.2</v>
      </c>
      <c r="I2000" s="240"/>
    </row>
    <row r="2001" outlineLevel="2">
      <c r="A2001" s="422" t="str">
        <f>'Master List'!A734</f>
        <v>W-PLB-0124</v>
      </c>
      <c r="B2001" s="428"/>
      <c r="C2001" s="505"/>
      <c r="D2001" s="462" t="str">
        <f>VLOOKUP(A2001,'Master List'!$A$1:$C$1192,2,FALSE)</f>
        <v>Влаштування теплоізоляції для труб діаметром до 20мм</v>
      </c>
      <c r="E2001" s="463" t="str">
        <f>VLOOKUP(A2001,'Master List'!$A$1:$C$1192,3,FALSE)</f>
        <v>м</v>
      </c>
      <c r="F2001" s="464">
        <f t="shared" si="209"/>
        <v>138</v>
      </c>
      <c r="G2001" s="463">
        <f>VLOOKUP(A2001,'Master List'!$A$4:$F4725,5,FALSE)</f>
        <v>2.6</v>
      </c>
      <c r="H2001" s="206">
        <f t="shared" si="208"/>
        <v>358.8</v>
      </c>
      <c r="I2001" s="240"/>
    </row>
    <row r="2002" outlineLevel="2">
      <c r="A2002" s="422" t="str">
        <f>'Master List'!A735</f>
        <v>W-PLB-0125</v>
      </c>
      <c r="B2002" s="428"/>
      <c r="C2002" s="505"/>
      <c r="D2002" s="462" t="str">
        <f>VLOOKUP(A2002,'Master List'!$A$1:$C$1192,2,FALSE)</f>
        <v>Влаштування теплоізоляції для труб діаметром до 30мм</v>
      </c>
      <c r="E2002" s="463" t="str">
        <f>VLOOKUP(A2002,'Master List'!$A$1:$C$1192,3,FALSE)</f>
        <v>м</v>
      </c>
      <c r="F2002" s="464">
        <f t="shared" si="209"/>
        <v>42</v>
      </c>
      <c r="G2002" s="463">
        <f>VLOOKUP(A2002,'Master List'!$A$4:$F4726,5,FALSE)</f>
        <v>3.25</v>
      </c>
      <c r="H2002" s="206">
        <f t="shared" si="208"/>
        <v>136.5</v>
      </c>
      <c r="I2002" s="240"/>
    </row>
    <row r="2003" outlineLevel="2">
      <c r="A2003" s="422" t="str">
        <f>'Master List'!A305</f>
        <v>M-PLB-130</v>
      </c>
      <c r="B2003" s="428"/>
      <c r="C2003" s="505"/>
      <c r="D2003" s="462" t="str">
        <f>VLOOKUP(A2003,'Master List'!$A$1:$C$1192,2,FALSE)</f>
        <v>Труби мідні діаметром 6,4мм</v>
      </c>
      <c r="E2003" s="463" t="str">
        <f>VLOOKUP(A2003,'Master List'!$A$1:$C$1192,3,FALSE)</f>
        <v>м</v>
      </c>
      <c r="F2003" s="464">
        <f t="shared" ref="F2003:F2009" si="210">F1989*1.02</f>
        <v>55.08</v>
      </c>
      <c r="G2003" s="463">
        <f>VLOOKUP(A2003,'Master List'!$A$4:$F4731,5,FALSE)</f>
        <v>5.59</v>
      </c>
      <c r="H2003" s="206">
        <f t="shared" si="208"/>
        <v>307.8972</v>
      </c>
      <c r="I2003" s="240"/>
    </row>
    <row r="2004" outlineLevel="2">
      <c r="A2004" s="422" t="str">
        <f>'Master List'!A306</f>
        <v>M-PLB-131</v>
      </c>
      <c r="B2004" s="428"/>
      <c r="C2004" s="505"/>
      <c r="D2004" s="462" t="str">
        <f>VLOOKUP(A2004,'Master List'!$A$1:$C$1192,2,FALSE)</f>
        <v>Труби мідні діаметром 9,5мм</v>
      </c>
      <c r="E2004" s="463" t="str">
        <f>VLOOKUP(A2004,'Master List'!$A$1:$C$1192,3,FALSE)</f>
        <v>м</v>
      </c>
      <c r="F2004" s="464">
        <f t="shared" si="210"/>
        <v>22.44</v>
      </c>
      <c r="G2004" s="463">
        <f>VLOOKUP(A2004,'Master List'!$A$4:$F4732,5,FALSE)</f>
        <v>6.812</v>
      </c>
      <c r="H2004" s="206">
        <f t="shared" si="208"/>
        <v>152.86128</v>
      </c>
      <c r="I2004" s="240"/>
    </row>
    <row r="2005" outlineLevel="2">
      <c r="A2005" s="422" t="str">
        <f>'Master List'!A307</f>
        <v>M-PLB-132</v>
      </c>
      <c r="B2005" s="428"/>
      <c r="C2005" s="505"/>
      <c r="D2005" s="462" t="str">
        <f>VLOOKUP(A2005,'Master List'!$A$1:$C$1192,2,FALSE)</f>
        <v>Труби мідні діаметром 12,7мм</v>
      </c>
      <c r="E2005" s="463" t="str">
        <f>VLOOKUP(A2005,'Master List'!$A$1:$C$1192,3,FALSE)</f>
        <v>м</v>
      </c>
      <c r="F2005" s="464">
        <f t="shared" si="210"/>
        <v>73.44</v>
      </c>
      <c r="G2005" s="463">
        <f>VLOOKUP(A2005,'Master List'!$A$4:$F4733,5,FALSE)</f>
        <v>11.7</v>
      </c>
      <c r="H2005" s="206">
        <f t="shared" si="208"/>
        <v>859.248</v>
      </c>
      <c r="I2005" s="240"/>
    </row>
    <row r="2006" outlineLevel="2">
      <c r="A2006" s="422" t="str">
        <f>'Master List'!A308</f>
        <v>M-PLB-133</v>
      </c>
      <c r="B2006" s="428"/>
      <c r="C2006" s="505"/>
      <c r="D2006" s="462" t="str">
        <f>VLOOKUP(A2006,'Master List'!$A$1:$C$1192,2,FALSE)</f>
        <v>Труби мідні діаметром 15,9мм</v>
      </c>
      <c r="E2006" s="463" t="str">
        <f>VLOOKUP(A2006,'Master List'!$A$1:$C$1192,3,FALSE)</f>
        <v>м</v>
      </c>
      <c r="F2006" s="464">
        <f t="shared" si="210"/>
        <v>57.12</v>
      </c>
      <c r="G2006" s="463">
        <f>VLOOKUP(A2006,'Master List'!$A$4:$F4734,5,FALSE)</f>
        <v>12.987</v>
      </c>
      <c r="H2006" s="206">
        <f t="shared" si="208"/>
        <v>741.81744</v>
      </c>
      <c r="I2006" s="240"/>
    </row>
    <row r="2007" outlineLevel="2">
      <c r="A2007" s="422" t="str">
        <f>'Master List'!A309</f>
        <v>M-PLB-134</v>
      </c>
      <c r="B2007" s="428"/>
      <c r="C2007" s="505"/>
      <c r="D2007" s="462" t="str">
        <f>VLOOKUP(A2007,'Master List'!$A$1:$C$1192,2,FALSE)</f>
        <v>Труби мідні діаметром 19,1мм</v>
      </c>
      <c r="E2007" s="463" t="str">
        <f>VLOOKUP(A2007,'Master List'!$A$1:$C$1192,3,FALSE)</f>
        <v>м</v>
      </c>
      <c r="F2007" s="464">
        <f t="shared" si="210"/>
        <v>10.2</v>
      </c>
      <c r="G2007" s="463">
        <f>VLOOKUP(A2007,'Master List'!$A$4:$F4735,5,FALSE)</f>
        <v>9.295</v>
      </c>
      <c r="H2007" s="206">
        <f t="shared" si="208"/>
        <v>94.809</v>
      </c>
      <c r="I2007" s="240"/>
    </row>
    <row r="2008" outlineLevel="2">
      <c r="A2008" s="422" t="str">
        <f>'Master List'!A310</f>
        <v>M-PLB-135</v>
      </c>
      <c r="B2008" s="428"/>
      <c r="C2008" s="505"/>
      <c r="D2008" s="462" t="str">
        <f>VLOOKUP(A2008,'Master List'!$A$1:$C$1192,2,FALSE)</f>
        <v>Труби мідні діаметром 22,2мм</v>
      </c>
      <c r="E2008" s="463" t="str">
        <f>VLOOKUP(A2008,'Master List'!$A$1:$C$1192,3,FALSE)</f>
        <v>м</v>
      </c>
      <c r="F2008" s="464">
        <f t="shared" si="210"/>
        <v>8.16</v>
      </c>
      <c r="G2008" s="463">
        <f>VLOOKUP(A2008,'Master List'!$A$4:$F4736,5,FALSE)</f>
        <v>12.844</v>
      </c>
      <c r="H2008" s="206">
        <f t="shared" si="208"/>
        <v>104.80704</v>
      </c>
      <c r="I2008" s="240"/>
    </row>
    <row r="2009" outlineLevel="2">
      <c r="A2009" s="422" t="str">
        <f>'Master List'!A311</f>
        <v>M-PLB-136</v>
      </c>
      <c r="B2009" s="428"/>
      <c r="C2009" s="505"/>
      <c r="D2009" s="462" t="str">
        <f>VLOOKUP(A2009,'Master List'!$A$1:$C$1192,2,FALSE)</f>
        <v>Труби мідні діаметром 28,6мм</v>
      </c>
      <c r="E2009" s="463" t="str">
        <f>VLOOKUP(A2009,'Master List'!$A$1:$C$1192,3,FALSE)</f>
        <v>м</v>
      </c>
      <c r="F2009" s="464">
        <f t="shared" si="210"/>
        <v>34.68</v>
      </c>
      <c r="G2009" s="463">
        <f>VLOOKUP(A2009,'Master List'!$A$4:$F4737,5,FALSE)</f>
        <v>18.187</v>
      </c>
      <c r="H2009" s="206">
        <f t="shared" si="208"/>
        <v>630.72516</v>
      </c>
      <c r="I2009" s="240"/>
    </row>
    <row r="2010" outlineLevel="2">
      <c r="A2010" s="422" t="str">
        <f>'Master List'!A312</f>
        <v>M-PLB-137</v>
      </c>
      <c r="B2010" s="428"/>
      <c r="C2010" s="505"/>
      <c r="D2010" s="462" t="str">
        <f>VLOOKUP(A2010,'Master List'!$A$1:$C$1192,2,FALSE)</f>
        <v>Термоізоляця для труб діаметром 6,4мм</v>
      </c>
      <c r="E2010" s="463" t="str">
        <f>VLOOKUP(A2010,'Master List'!$A$1:$C$1192,3,FALSE)</f>
        <v>м</v>
      </c>
      <c r="F2010" s="464">
        <f t="shared" ref="F2010:F2016" si="211">F1989*1.05</f>
        <v>56.7</v>
      </c>
      <c r="G2010" s="463">
        <f>VLOOKUP(A2010,'Master List'!$A$4:$F4738,5,FALSE)</f>
        <v>3.887</v>
      </c>
      <c r="H2010" s="206">
        <f t="shared" si="208"/>
        <v>220.3929</v>
      </c>
      <c r="I2010" s="240"/>
    </row>
    <row r="2011" outlineLevel="2">
      <c r="A2011" s="422" t="str">
        <f>'Master List'!A313</f>
        <v>M-PLB-138</v>
      </c>
      <c r="B2011" s="428"/>
      <c r="C2011" s="505"/>
      <c r="D2011" s="462" t="str">
        <f>VLOOKUP(A2011,'Master List'!$A$1:$C$1192,2,FALSE)</f>
        <v>Термоізоляця для труб діаметром 9,5мм</v>
      </c>
      <c r="E2011" s="463" t="str">
        <f>VLOOKUP(A2011,'Master List'!$A$1:$C$1192,3,FALSE)</f>
        <v>м</v>
      </c>
      <c r="F2011" s="464">
        <f t="shared" si="211"/>
        <v>23.1</v>
      </c>
      <c r="G2011" s="463">
        <f>VLOOKUP(A2011,'Master List'!$A$4:$F4739,5,FALSE)</f>
        <v>0</v>
      </c>
      <c r="H2011" s="206">
        <f t="shared" si="208"/>
        <v>0</v>
      </c>
      <c r="I2011" s="240"/>
    </row>
    <row r="2012" outlineLevel="2">
      <c r="A2012" s="422" t="str">
        <f>'Master List'!A314</f>
        <v>M-PLB-139</v>
      </c>
      <c r="B2012" s="428"/>
      <c r="C2012" s="505"/>
      <c r="D2012" s="462" t="str">
        <f>VLOOKUP(A2012,'Master List'!$A$1:$C$1192,2,FALSE)</f>
        <v>Термоізоляця для труб діаметром 12,7мм</v>
      </c>
      <c r="E2012" s="463" t="str">
        <f>VLOOKUP(A2012,'Master List'!$A$1:$C$1192,3,FALSE)</f>
        <v>м</v>
      </c>
      <c r="F2012" s="464">
        <f t="shared" si="211"/>
        <v>75.6</v>
      </c>
      <c r="G2012" s="463">
        <f>VLOOKUP(A2012,'Master List'!$A$4:$F4740,5,FALSE)</f>
        <v>1.352</v>
      </c>
      <c r="H2012" s="206">
        <f t="shared" si="208"/>
        <v>102.2112</v>
      </c>
      <c r="I2012" s="240"/>
    </row>
    <row r="2013" outlineLevel="2">
      <c r="A2013" s="422" t="str">
        <f>'Master List'!A315</f>
        <v>M-PLB-140</v>
      </c>
      <c r="B2013" s="428"/>
      <c r="C2013" s="505"/>
      <c r="D2013" s="462" t="str">
        <f>VLOOKUP(A2013,'Master List'!$A$1:$C$1192,2,FALSE)</f>
        <v>Термоізоляця для труб діаметром 15,9мм</v>
      </c>
      <c r="E2013" s="463" t="str">
        <f>VLOOKUP(A2013,'Master List'!$A$1:$C$1192,3,FALSE)</f>
        <v>м</v>
      </c>
      <c r="F2013" s="464">
        <f t="shared" si="211"/>
        <v>58.8</v>
      </c>
      <c r="G2013" s="463">
        <f>VLOOKUP(A2013,'Master List'!$A$4:$F4741,5,FALSE)</f>
        <v>6.422</v>
      </c>
      <c r="H2013" s="206">
        <f t="shared" si="208"/>
        <v>377.6136</v>
      </c>
      <c r="I2013" s="240"/>
    </row>
    <row r="2014" outlineLevel="2">
      <c r="A2014" s="422" t="str">
        <f>'Master List'!A316</f>
        <v>M-PLB-141</v>
      </c>
      <c r="B2014" s="428"/>
      <c r="C2014" s="505"/>
      <c r="D2014" s="462" t="str">
        <f>VLOOKUP(A2014,'Master List'!$A$1:$C$1192,2,FALSE)</f>
        <v>Термоізоляця для труб діаметром 19,1мм</v>
      </c>
      <c r="E2014" s="463" t="str">
        <f>VLOOKUP(A2014,'Master List'!$A$1:$C$1192,3,FALSE)</f>
        <v>м</v>
      </c>
      <c r="F2014" s="464">
        <f t="shared" si="211"/>
        <v>10.5</v>
      </c>
      <c r="G2014" s="463">
        <f>VLOOKUP(A2014,'Master List'!$A$4:$F4742,5,FALSE)</f>
        <v>0</v>
      </c>
      <c r="H2014" s="206">
        <f t="shared" si="208"/>
        <v>0</v>
      </c>
      <c r="I2014" s="240"/>
    </row>
    <row r="2015" outlineLevel="2">
      <c r="A2015" s="422" t="str">
        <f>'Master List'!A317</f>
        <v>M-PLB-142</v>
      </c>
      <c r="B2015" s="428"/>
      <c r="C2015" s="505"/>
      <c r="D2015" s="462" t="str">
        <f>VLOOKUP(A2015,'Master List'!$A$1:$C$1192,2,FALSE)</f>
        <v>Термоізоляця для труб діаметром 22,2мм</v>
      </c>
      <c r="E2015" s="463" t="str">
        <f>VLOOKUP(A2015,'Master List'!$A$1:$C$1192,3,FALSE)</f>
        <v>м</v>
      </c>
      <c r="F2015" s="464">
        <f t="shared" si="211"/>
        <v>8.4</v>
      </c>
      <c r="G2015" s="463">
        <f>VLOOKUP(A2015,'Master List'!$A$4:$F4743,5,FALSE)</f>
        <v>2.158</v>
      </c>
      <c r="H2015" s="206">
        <f t="shared" si="208"/>
        <v>18.1272</v>
      </c>
      <c r="I2015" s="240"/>
    </row>
    <row r="2016" outlineLevel="2">
      <c r="A2016" s="422" t="str">
        <f>'Master List'!A318</f>
        <v>M-PLB-143</v>
      </c>
      <c r="B2016" s="428"/>
      <c r="C2016" s="505"/>
      <c r="D2016" s="462" t="str">
        <f>VLOOKUP(A2016,'Master List'!$A$1:$C$1192,2,FALSE)</f>
        <v>Термоізоляця для труб діаметром 28,6мм</v>
      </c>
      <c r="E2016" s="463" t="str">
        <f>VLOOKUP(A2016,'Master List'!$A$1:$C$1192,3,FALSE)</f>
        <v>м</v>
      </c>
      <c r="F2016" s="464">
        <f t="shared" si="211"/>
        <v>35.7</v>
      </c>
      <c r="G2016" s="463">
        <f>VLOOKUP(A2016,'Master List'!$A$4:$F4744,5,FALSE)</f>
        <v>1.456</v>
      </c>
      <c r="H2016" s="206">
        <f t="shared" si="208"/>
        <v>51.9792</v>
      </c>
      <c r="I2016" s="240"/>
    </row>
    <row r="2017" outlineLevel="2">
      <c r="A2017" s="422"/>
      <c r="B2017" s="428"/>
      <c r="C2017" s="502"/>
      <c r="D2017" s="428"/>
      <c r="E2017" s="431"/>
      <c r="F2017" s="432"/>
      <c r="G2017" s="434"/>
      <c r="H2017" s="434"/>
      <c r="I2017" s="240"/>
    </row>
    <row r="2018" outlineLevel="2">
      <c r="A2018" s="422"/>
      <c r="B2018" s="472">
        <v>6.9</v>
      </c>
      <c r="C2018" s="531" t="s">
        <v>2742</v>
      </c>
      <c r="D2018" s="518" t="s">
        <v>1166</v>
      </c>
      <c r="E2018" s="519"/>
      <c r="F2018" s="520"/>
      <c r="G2018" s="521"/>
      <c r="H2018" s="521"/>
      <c r="I2018" s="240"/>
    </row>
    <row r="2019" outlineLevel="2">
      <c r="A2019" s="422"/>
      <c r="B2019" s="428"/>
      <c r="C2019" s="502"/>
      <c r="D2019" s="428"/>
      <c r="E2019" s="431"/>
      <c r="F2019" s="432"/>
      <c r="G2019" s="434"/>
      <c r="H2019" s="434"/>
      <c r="I2019" s="240"/>
    </row>
    <row r="2020" outlineLevel="2">
      <c r="A2020" s="422"/>
      <c r="B2020" s="428"/>
      <c r="C2020" s="513" t="s">
        <v>2744</v>
      </c>
      <c r="D2020" s="315" t="s">
        <v>1167</v>
      </c>
      <c r="E2020" s="444" t="s">
        <v>877</v>
      </c>
      <c r="F2020" s="214">
        <v>56.0</v>
      </c>
      <c r="G2020" s="205"/>
      <c r="H2020" s="206"/>
      <c r="I2020" s="219"/>
    </row>
    <row r="2021" outlineLevel="2">
      <c r="A2021" s="422"/>
      <c r="B2021" s="428"/>
      <c r="C2021" s="514"/>
      <c r="D2021" s="329"/>
      <c r="E2021" s="437"/>
      <c r="F2021" s="170"/>
      <c r="G2021" s="239"/>
      <c r="H2021" s="239"/>
      <c r="I2021" s="240"/>
    </row>
    <row r="2022" outlineLevel="2">
      <c r="A2022" s="422" t="str">
        <f>'Master List'!A736</f>
        <v>W-PLB-0126</v>
      </c>
      <c r="B2022" s="428"/>
      <c r="C2022" s="505"/>
      <c r="D2022" s="462" t="str">
        <f>VLOOKUP(A2022,'Master List'!$A$1:$C$1192,2,FALSE)</f>
        <v>Прокладання труб ПВХ діаметром 32мм</v>
      </c>
      <c r="E2022" s="463" t="str">
        <f>VLOOKUP(A2022,'Master List'!$A$1:$C$1192,3,FALSE)</f>
        <v>м</v>
      </c>
      <c r="F2022" s="464">
        <v>56.0</v>
      </c>
      <c r="G2022" s="463">
        <f>VLOOKUP(A2022,'Master List'!$A$4:$F4745,5,FALSE)</f>
        <v>7.15</v>
      </c>
      <c r="H2022" s="206">
        <f t="shared" ref="H2022:H2023" si="212">G2022*F2022</f>
        <v>400.4</v>
      </c>
      <c r="I2022" s="240"/>
    </row>
    <row r="2023" outlineLevel="2">
      <c r="A2023" s="422" t="str">
        <f>'Master List'!A319</f>
        <v>M-PLB-144</v>
      </c>
      <c r="B2023" s="428"/>
      <c r="C2023" s="505"/>
      <c r="D2023" s="462" t="str">
        <f>VLOOKUP(A2023,'Master List'!$A$1:$C$1192,2,FALSE)</f>
        <v>Труба ПВХ діаметром 32мм</v>
      </c>
      <c r="E2023" s="463" t="str">
        <f>VLOOKUP(A2023,'Master List'!$A$1:$C$1192,3,FALSE)</f>
        <v>м</v>
      </c>
      <c r="F2023" s="464">
        <f>F2022*1.02</f>
        <v>57.12</v>
      </c>
      <c r="G2023" s="463">
        <f>VLOOKUP(A2023,'Master List'!$A$4:$F4746,5,FALSE)</f>
        <v>3.822</v>
      </c>
      <c r="H2023" s="206">
        <f t="shared" si="212"/>
        <v>218.31264</v>
      </c>
      <c r="I2023" s="240"/>
    </row>
    <row r="2024" outlineLevel="2">
      <c r="A2024" s="422"/>
      <c r="B2024" s="428"/>
      <c r="C2024" s="514"/>
      <c r="D2024" s="329"/>
      <c r="E2024" s="437"/>
      <c r="F2024" s="170"/>
      <c r="G2024" s="239"/>
      <c r="H2024" s="239"/>
      <c r="I2024" s="240"/>
    </row>
    <row r="2025" outlineLevel="2">
      <c r="A2025" s="422"/>
      <c r="B2025" s="428"/>
      <c r="C2025" s="502"/>
      <c r="D2025" s="428"/>
      <c r="E2025" s="431"/>
      <c r="F2025" s="432"/>
      <c r="G2025" s="434"/>
      <c r="H2025" s="434"/>
      <c r="I2025" s="240"/>
    </row>
    <row r="2026" outlineLevel="1">
      <c r="A2026" s="422"/>
      <c r="B2026" s="472"/>
      <c r="C2026" s="502"/>
      <c r="D2026" s="476" t="s">
        <v>5627</v>
      </c>
      <c r="E2026" s="431"/>
      <c r="F2026" s="432"/>
      <c r="G2026" s="436">
        <f>SUM(H2030:H2128)</f>
        <v>51577.43292</v>
      </c>
      <c r="H2026" s="434"/>
      <c r="I2026" s="240"/>
    </row>
    <row r="2027" outlineLevel="2">
      <c r="A2027" s="422"/>
      <c r="B2027" s="472"/>
      <c r="C2027" s="502"/>
      <c r="D2027" s="525"/>
      <c r="E2027" s="431"/>
      <c r="F2027" s="432"/>
      <c r="G2027" s="434"/>
      <c r="H2027" s="434"/>
      <c r="I2027" s="240"/>
    </row>
    <row r="2028" outlineLevel="2">
      <c r="A2028" s="422"/>
      <c r="B2028" s="472">
        <v>6.1</v>
      </c>
      <c r="C2028" s="531" t="s">
        <v>2746</v>
      </c>
      <c r="D2028" s="518" t="s">
        <v>1168</v>
      </c>
      <c r="E2028" s="519"/>
      <c r="F2028" s="520"/>
      <c r="G2028" s="521"/>
      <c r="H2028" s="521"/>
      <c r="I2028" s="219" t="s">
        <v>5628</v>
      </c>
    </row>
    <row r="2029" outlineLevel="2">
      <c r="A2029" s="422"/>
      <c r="B2029" s="428"/>
      <c r="C2029" s="502"/>
      <c r="D2029" s="428"/>
      <c r="E2029" s="431"/>
      <c r="F2029" s="432"/>
      <c r="G2029" s="434"/>
      <c r="H2029" s="434"/>
      <c r="I2029" s="240"/>
    </row>
    <row r="2030" outlineLevel="2">
      <c r="A2030" s="422"/>
      <c r="B2030" s="428"/>
      <c r="C2030" s="513" t="s">
        <v>2749</v>
      </c>
      <c r="D2030" s="315" t="s">
        <v>1169</v>
      </c>
      <c r="E2030" s="444" t="s">
        <v>877</v>
      </c>
      <c r="F2030" s="214">
        <v>28.0</v>
      </c>
      <c r="G2030" s="205"/>
      <c r="H2030" s="206"/>
      <c r="I2030" s="219"/>
    </row>
    <row r="2031" outlineLevel="2">
      <c r="A2031" s="422"/>
      <c r="B2031" s="428"/>
      <c r="C2031" s="513" t="s">
        <v>2750</v>
      </c>
      <c r="D2031" s="315" t="s">
        <v>1170</v>
      </c>
      <c r="E2031" s="444" t="s">
        <v>877</v>
      </c>
      <c r="F2031" s="214">
        <v>52.0</v>
      </c>
      <c r="G2031" s="205"/>
      <c r="H2031" s="206"/>
      <c r="I2031" s="219"/>
    </row>
    <row r="2032" outlineLevel="2">
      <c r="A2032" s="422"/>
      <c r="B2032" s="428"/>
      <c r="C2032" s="513" t="s">
        <v>2751</v>
      </c>
      <c r="D2032" s="315" t="s">
        <v>1167</v>
      </c>
      <c r="E2032" s="444" t="s">
        <v>877</v>
      </c>
      <c r="F2032" s="214">
        <v>76.0</v>
      </c>
      <c r="G2032" s="205"/>
      <c r="H2032" s="206"/>
      <c r="I2032" s="219"/>
    </row>
    <row r="2033" outlineLevel="2">
      <c r="A2033" s="422"/>
      <c r="B2033" s="428"/>
      <c r="C2033" s="513" t="s">
        <v>2752</v>
      </c>
      <c r="D2033" s="315" t="s">
        <v>1171</v>
      </c>
      <c r="E2033" s="444" t="s">
        <v>877</v>
      </c>
      <c r="F2033" s="214">
        <v>20.0</v>
      </c>
      <c r="G2033" s="205"/>
      <c r="H2033" s="206"/>
      <c r="I2033" s="219"/>
    </row>
    <row r="2034" outlineLevel="2">
      <c r="A2034" s="422"/>
      <c r="B2034" s="428"/>
      <c r="C2034" s="514"/>
      <c r="D2034" s="329"/>
      <c r="E2034" s="437"/>
      <c r="F2034" s="170"/>
      <c r="G2034" s="239"/>
      <c r="H2034" s="239"/>
      <c r="I2034" s="240"/>
    </row>
    <row r="2035" outlineLevel="2">
      <c r="A2035" s="422" t="str">
        <f>'Master List'!A693</f>
        <v>W-PLB-040</v>
      </c>
      <c r="B2035" s="428"/>
      <c r="C2035" s="505"/>
      <c r="D2035" s="462" t="str">
        <f>VLOOKUP(A2035,'Master List'!$A$1:$C$1192,2,FALSE)</f>
        <v>Прокладання пластикових труб діаметром до 20мм</v>
      </c>
      <c r="E2035" s="463" t="str">
        <f>VLOOKUP(A2035,'Master List'!$A$1:$C$1192,3,FALSE)</f>
        <v>м</v>
      </c>
      <c r="F2035" s="464">
        <f>F2030</f>
        <v>28</v>
      </c>
      <c r="G2035" s="463">
        <f>VLOOKUP(A2035,'Master List'!$A$4:$F4758,5,FALSE)</f>
        <v>5.85</v>
      </c>
      <c r="H2035" s="206">
        <f t="shared" ref="H2035:H2048" si="213">G2035*F2035</f>
        <v>163.8</v>
      </c>
      <c r="I2035" s="240"/>
    </row>
    <row r="2036" outlineLevel="2">
      <c r="A2036" s="422" t="str">
        <f>'Master List'!A694</f>
        <v>W-PLB-041</v>
      </c>
      <c r="B2036" s="428"/>
      <c r="C2036" s="505"/>
      <c r="D2036" s="462" t="str">
        <f>VLOOKUP(A2036,'Master List'!$A$1:$C$1192,2,FALSE)</f>
        <v>Прокладання пластикових труб діаметром до 32мм</v>
      </c>
      <c r="E2036" s="463" t="str">
        <f>VLOOKUP(A2036,'Master List'!$A$1:$C$1192,3,FALSE)</f>
        <v>м</v>
      </c>
      <c r="F2036" s="464">
        <f>F2031+F2032</f>
        <v>128</v>
      </c>
      <c r="G2036" s="463">
        <f>VLOOKUP(A2036,'Master List'!$A$4:$F4759,5,FALSE)</f>
        <v>7.15</v>
      </c>
      <c r="H2036" s="206">
        <f t="shared" si="213"/>
        <v>915.2</v>
      </c>
      <c r="I2036" s="240"/>
    </row>
    <row r="2037" outlineLevel="2">
      <c r="A2037" s="422" t="str">
        <f>'Master List'!A695</f>
        <v>W-PLB-042</v>
      </c>
      <c r="B2037" s="428"/>
      <c r="C2037" s="505"/>
      <c r="D2037" s="462" t="str">
        <f>VLOOKUP(A2037,'Master List'!$A$1:$C$1192,2,FALSE)</f>
        <v>Прокладання пластикових труб діаметром до 50мм</v>
      </c>
      <c r="E2037" s="463" t="str">
        <f>VLOOKUP(A2037,'Master List'!$A$1:$C$1192,3,FALSE)</f>
        <v>м</v>
      </c>
      <c r="F2037" s="464">
        <f>F2033</f>
        <v>20</v>
      </c>
      <c r="G2037" s="463">
        <f>VLOOKUP(A2037,'Master List'!$A$4:$F4760,5,FALSE)</f>
        <v>9.1</v>
      </c>
      <c r="H2037" s="206">
        <f t="shared" si="213"/>
        <v>182</v>
      </c>
      <c r="I2037" s="240"/>
    </row>
    <row r="2038" outlineLevel="2">
      <c r="A2038" s="422" t="str">
        <f>'Master List'!A734</f>
        <v>W-PLB-0124</v>
      </c>
      <c r="B2038" s="428"/>
      <c r="C2038" s="505"/>
      <c r="D2038" s="462" t="str">
        <f>VLOOKUP(A2038,'Master List'!$A$1:$C$1192,2,FALSE)</f>
        <v>Влаштування теплоізоляції для труб діаметром до 20мм</v>
      </c>
      <c r="E2038" s="463" t="str">
        <f>VLOOKUP(A2038,'Master List'!$A$1:$C$1192,3,FALSE)</f>
        <v>м</v>
      </c>
      <c r="F2038" s="464">
        <f t="shared" ref="F2038:F2039" si="214">F2030</f>
        <v>28</v>
      </c>
      <c r="G2038" s="463">
        <f>VLOOKUP(A2038,'Master List'!$A$4:$F4761,5,FALSE)</f>
        <v>2.6</v>
      </c>
      <c r="H2038" s="206">
        <f t="shared" si="213"/>
        <v>72.8</v>
      </c>
      <c r="I2038" s="240"/>
    </row>
    <row r="2039" outlineLevel="2">
      <c r="A2039" s="422" t="str">
        <f>'Master List'!A735</f>
        <v>W-PLB-0125</v>
      </c>
      <c r="B2039" s="428"/>
      <c r="C2039" s="505"/>
      <c r="D2039" s="462" t="str">
        <f>VLOOKUP(A2039,'Master List'!$A$1:$C$1192,2,FALSE)</f>
        <v>Влаштування теплоізоляції для труб діаметром до 30мм</v>
      </c>
      <c r="E2039" s="463" t="str">
        <f>VLOOKUP(A2039,'Master List'!$A$1:$C$1192,3,FALSE)</f>
        <v>м</v>
      </c>
      <c r="F2039" s="464">
        <f t="shared" si="214"/>
        <v>52</v>
      </c>
      <c r="G2039" s="463">
        <f>VLOOKUP(A2039,'Master List'!$A$4:$F4762,5,FALSE)</f>
        <v>3.25</v>
      </c>
      <c r="H2039" s="206">
        <f t="shared" si="213"/>
        <v>169</v>
      </c>
      <c r="I2039" s="240"/>
    </row>
    <row r="2040" outlineLevel="2">
      <c r="A2040" s="422" t="str">
        <f>'Master List'!A737</f>
        <v>W-PLB-0127</v>
      </c>
      <c r="B2040" s="428"/>
      <c r="C2040" s="505"/>
      <c r="D2040" s="462" t="str">
        <f>VLOOKUP(A2040,'Master List'!$A$1:$C$1192,2,FALSE)</f>
        <v>Влаштування теплоізоляції для труб діаметром до 40мм</v>
      </c>
      <c r="E2040" s="463" t="str">
        <f>VLOOKUP(A2040,'Master List'!$A$1:$C$1192,3,FALSE)</f>
        <v>м</v>
      </c>
      <c r="F2040" s="464">
        <f>F2032+F2033</f>
        <v>96</v>
      </c>
      <c r="G2040" s="463">
        <f>VLOOKUP(A2040,'Master List'!$A$4:$F4763,5,FALSE)</f>
        <v>3.9</v>
      </c>
      <c r="H2040" s="206">
        <f t="shared" si="213"/>
        <v>374.4</v>
      </c>
      <c r="I2040" s="240"/>
    </row>
    <row r="2041" outlineLevel="2">
      <c r="A2041" s="422" t="str">
        <f>'Master List'!A247</f>
        <v>M-PLB-044</v>
      </c>
      <c r="B2041" s="428"/>
      <c r="C2041" s="505"/>
      <c r="D2041" s="462" t="str">
        <f>VLOOKUP(A2041,'Master List'!$A$1:$C$1192,2,FALSE)</f>
        <v>Труба багатошарова Mepla діаметром 20мм</v>
      </c>
      <c r="E2041" s="463" t="str">
        <f>VLOOKUP(A2041,'Master List'!$A$1:$C$1192,3,FALSE)</f>
        <v>м</v>
      </c>
      <c r="F2041" s="464">
        <f t="shared" ref="F2041:F2044" si="215">F2030*1.02</f>
        <v>28.56</v>
      </c>
      <c r="G2041" s="463">
        <f>VLOOKUP(A2041,'Master List'!$A$4:$F4761,5,FALSE)</f>
        <v>5.395</v>
      </c>
      <c r="H2041" s="206">
        <f t="shared" si="213"/>
        <v>154.0812</v>
      </c>
      <c r="I2041" s="240"/>
    </row>
    <row r="2042" outlineLevel="2">
      <c r="A2042" s="422" t="str">
        <f>'Master List'!A248</f>
        <v>M-PLB-045</v>
      </c>
      <c r="B2042" s="428"/>
      <c r="C2042" s="505"/>
      <c r="D2042" s="462" t="str">
        <f>VLOOKUP(A2042,'Master List'!$A$1:$C$1192,2,FALSE)</f>
        <v>Труба багатошарова Mepla діаметром 26мм</v>
      </c>
      <c r="E2042" s="463" t="str">
        <f>VLOOKUP(A2042,'Master List'!$A$1:$C$1192,3,FALSE)</f>
        <v>м</v>
      </c>
      <c r="F2042" s="464">
        <f t="shared" si="215"/>
        <v>53.04</v>
      </c>
      <c r="G2042" s="463">
        <f>VLOOKUP(A2042,'Master List'!$A$4:$F4762,5,FALSE)</f>
        <v>7.722</v>
      </c>
      <c r="H2042" s="206">
        <f t="shared" si="213"/>
        <v>409.57488</v>
      </c>
      <c r="I2042" s="240"/>
    </row>
    <row r="2043" outlineLevel="2">
      <c r="A2043" s="422" t="str">
        <f>'Master List'!A249</f>
        <v>M-PLB-046</v>
      </c>
      <c r="B2043" s="428"/>
      <c r="C2043" s="505"/>
      <c r="D2043" s="462" t="str">
        <f>VLOOKUP(A2043,'Master List'!$A$1:$C$1192,2,FALSE)</f>
        <v>Труба багатошарова Mepla діаметром 32мм</v>
      </c>
      <c r="E2043" s="463" t="str">
        <f>VLOOKUP(A2043,'Master List'!$A$1:$C$1192,3,FALSE)</f>
        <v>м</v>
      </c>
      <c r="F2043" s="464">
        <f t="shared" si="215"/>
        <v>77.52</v>
      </c>
      <c r="G2043" s="463">
        <f>VLOOKUP(A2043,'Master List'!$A$4:$F4763,5,FALSE)</f>
        <v>10.647</v>
      </c>
      <c r="H2043" s="206">
        <f t="shared" si="213"/>
        <v>825.35544</v>
      </c>
      <c r="I2043" s="240"/>
    </row>
    <row r="2044" outlineLevel="2">
      <c r="A2044" s="422" t="str">
        <f>'Master List'!A250</f>
        <v>M-PLB-047</v>
      </c>
      <c r="B2044" s="428"/>
      <c r="C2044" s="505"/>
      <c r="D2044" s="462" t="str">
        <f>VLOOKUP(A2044,'Master List'!$A$1:$C$1192,2,FALSE)</f>
        <v>Труба багатошарова Mepla діаметром 40мм</v>
      </c>
      <c r="E2044" s="463" t="str">
        <f>VLOOKUP(A2044,'Master List'!$A$1:$C$1192,3,FALSE)</f>
        <v>м</v>
      </c>
      <c r="F2044" s="464">
        <f t="shared" si="215"/>
        <v>20.4</v>
      </c>
      <c r="G2044" s="463">
        <f>VLOOKUP(A2044,'Master List'!$A$4:$F4764,5,FALSE)</f>
        <v>19.032</v>
      </c>
      <c r="H2044" s="206">
        <f t="shared" si="213"/>
        <v>388.2528</v>
      </c>
      <c r="I2044" s="240"/>
    </row>
    <row r="2045" outlineLevel="2">
      <c r="A2045" s="422" t="str">
        <f>'Master List'!A320</f>
        <v>M-PLB-145</v>
      </c>
      <c r="B2045" s="428"/>
      <c r="C2045" s="505"/>
      <c r="D2045" s="462" t="str">
        <f>VLOOKUP(A2045,'Master List'!$A$1:$C$1192,2,FALSE)</f>
        <v>Термоізоляця для труб діаметром 20мм</v>
      </c>
      <c r="E2045" s="463" t="str">
        <f>VLOOKUP(A2045,'Master List'!$A$1:$C$1192,3,FALSE)</f>
        <v>м</v>
      </c>
      <c r="F2045" s="464">
        <f t="shared" ref="F2045:F2048" si="216">F2030*1.02</f>
        <v>28.56</v>
      </c>
      <c r="G2045" s="463">
        <f>VLOOKUP(A2045,'Master List'!$A$4:$F4757,5,FALSE)</f>
        <v>2.652</v>
      </c>
      <c r="H2045" s="206">
        <f t="shared" si="213"/>
        <v>75.74112</v>
      </c>
      <c r="I2045" s="240"/>
    </row>
    <row r="2046" outlineLevel="2">
      <c r="A2046" s="422" t="str">
        <f>'Master List'!A321</f>
        <v>M-PLB-146</v>
      </c>
      <c r="B2046" s="428"/>
      <c r="C2046" s="505"/>
      <c r="D2046" s="462" t="str">
        <f>VLOOKUP(A2046,'Master List'!$A$1:$C$1192,2,FALSE)</f>
        <v>Термоізоляця для труб діаметром 26мм</v>
      </c>
      <c r="E2046" s="463" t="str">
        <f>VLOOKUP(A2046,'Master List'!$A$1:$C$1192,3,FALSE)</f>
        <v>м</v>
      </c>
      <c r="F2046" s="464">
        <f t="shared" si="216"/>
        <v>53.04</v>
      </c>
      <c r="G2046" s="463">
        <f>VLOOKUP(A2046,'Master List'!$A$4:$F4758,5,FALSE)</f>
        <v>3.172</v>
      </c>
      <c r="H2046" s="206">
        <f t="shared" si="213"/>
        <v>168.24288</v>
      </c>
      <c r="I2046" s="240"/>
    </row>
    <row r="2047" outlineLevel="2">
      <c r="A2047" s="422" t="str">
        <f>'Master List'!A322</f>
        <v>M-PLB-147</v>
      </c>
      <c r="B2047" s="428"/>
      <c r="C2047" s="505"/>
      <c r="D2047" s="462" t="str">
        <f>VLOOKUP(A2047,'Master List'!$A$1:$C$1192,2,FALSE)</f>
        <v>Термоізоляця для труб діаметром32мм</v>
      </c>
      <c r="E2047" s="463" t="str">
        <f>VLOOKUP(A2047,'Master List'!$A$1:$C$1192,3,FALSE)</f>
        <v>м</v>
      </c>
      <c r="F2047" s="464">
        <f t="shared" si="216"/>
        <v>77.52</v>
      </c>
      <c r="G2047" s="463">
        <f>VLOOKUP(A2047,'Master List'!$A$4:$F4759,5,FALSE)</f>
        <v>0.78</v>
      </c>
      <c r="H2047" s="206">
        <f t="shared" si="213"/>
        <v>60.4656</v>
      </c>
      <c r="I2047" s="240"/>
    </row>
    <row r="2048" outlineLevel="2">
      <c r="A2048" s="422" t="str">
        <f>'Master List'!A260</f>
        <v>M-PLB-057</v>
      </c>
      <c r="B2048" s="428"/>
      <c r="C2048" s="505"/>
      <c r="D2048" s="462" t="str">
        <f>VLOOKUP(A2048,'Master List'!$A$1:$C$1192,2,FALSE)</f>
        <v>Термоізоляція труб діаметром 40мм</v>
      </c>
      <c r="E2048" s="463" t="str">
        <f>VLOOKUP(A2048,'Master List'!$A$1:$C$1192,3,FALSE)</f>
        <v>м</v>
      </c>
      <c r="F2048" s="464">
        <f t="shared" si="216"/>
        <v>20.4</v>
      </c>
      <c r="G2048" s="463">
        <f>VLOOKUP(A2048,'Master List'!$A$4:$F4760,5,FALSE)</f>
        <v>20.54</v>
      </c>
      <c r="H2048" s="206">
        <f t="shared" si="213"/>
        <v>419.016</v>
      </c>
      <c r="I2048" s="240"/>
    </row>
    <row r="2049" outlineLevel="2">
      <c r="A2049" s="422"/>
      <c r="B2049" s="428"/>
      <c r="C2049" s="502"/>
      <c r="D2049" s="428"/>
      <c r="E2049" s="431"/>
      <c r="F2049" s="432"/>
      <c r="G2049" s="434"/>
      <c r="H2049" s="434"/>
      <c r="I2049" s="240"/>
    </row>
    <row r="2050" outlineLevel="2">
      <c r="A2050" s="422"/>
      <c r="B2050" s="472" t="s">
        <v>1172</v>
      </c>
      <c r="C2050" s="517" t="s">
        <v>2753</v>
      </c>
      <c r="D2050" s="518" t="s">
        <v>1173</v>
      </c>
      <c r="E2050" s="519"/>
      <c r="F2050" s="520"/>
      <c r="G2050" s="521"/>
      <c r="H2050" s="521"/>
      <c r="I2050" s="240"/>
    </row>
    <row r="2051" outlineLevel="2">
      <c r="A2051" s="422"/>
      <c r="B2051" s="472"/>
      <c r="C2051" s="522"/>
      <c r="D2051" s="523"/>
      <c r="E2051" s="519"/>
      <c r="F2051" s="520"/>
      <c r="G2051" s="521"/>
      <c r="H2051" s="521"/>
      <c r="I2051" s="240"/>
    </row>
    <row r="2052" outlineLevel="2">
      <c r="A2052" s="422" t="str">
        <f>'Master List'!A742</f>
        <v>W-PLB-0150</v>
      </c>
      <c r="B2052" s="472"/>
      <c r="C2052" s="505"/>
      <c r="D2052" s="462" t="str">
        <f>VLOOKUP(A2052,'Master List'!$A$1:$C$1192,2,FALSE)</f>
        <v>Прокладання труб для теплої підлоги діаметром 17мм</v>
      </c>
      <c r="E2052" s="463" t="str">
        <f>VLOOKUP(A2052,'Master List'!$A$1:$C$1192,3,FALSE)</f>
        <v>м</v>
      </c>
      <c r="F2052" s="464">
        <v>2200.0</v>
      </c>
      <c r="G2052" s="463">
        <f>VLOOKUP(A2052,'Master List'!$A$4:$F4764,5,FALSE)</f>
        <v>3.9</v>
      </c>
      <c r="H2052" s="206">
        <f t="shared" ref="H2052:H2061" si="217">G2052*F2052</f>
        <v>8580</v>
      </c>
      <c r="I2052" s="240"/>
    </row>
    <row r="2053" outlineLevel="2">
      <c r="A2053" s="422" t="str">
        <f>'Master List'!A743</f>
        <v>W-PLB-0151</v>
      </c>
      <c r="B2053" s="472"/>
      <c r="C2053" s="505"/>
      <c r="D2053" s="462" t="str">
        <f>VLOOKUP(A2053,'Master List'!$A$1:$C$1192,2,FALSE)</f>
        <v>Укладання теплоізоляційних плит товщиною 4см</v>
      </c>
      <c r="E2053" s="463" t="str">
        <f>VLOOKUP(A2053,'Master List'!$A$1:$C$1192,3,FALSE)</f>
        <v>м2</v>
      </c>
      <c r="F2053" s="464">
        <v>300.0</v>
      </c>
      <c r="G2053" s="463">
        <f>VLOOKUP(A2053,'Master List'!$A$4:$F4765,5,FALSE)</f>
        <v>13</v>
      </c>
      <c r="H2053" s="206">
        <f t="shared" si="217"/>
        <v>3900</v>
      </c>
      <c r="I2053" s="240"/>
    </row>
    <row r="2054" outlineLevel="2">
      <c r="A2054" s="422" t="str">
        <f>'Master List'!A744</f>
        <v>W-PLB-0152</v>
      </c>
      <c r="B2054" s="472"/>
      <c r="C2054" s="505"/>
      <c r="D2054" s="462" t="str">
        <f>VLOOKUP(A2054,'Master List'!$A$1:$C$1192,2,FALSE)</f>
        <v>Монтаж колекторів для теплої підлоги</v>
      </c>
      <c r="E2054" s="463" t="str">
        <f>VLOOKUP(A2054,'Master List'!$A$1:$C$1192,3,FALSE)</f>
        <v>шт</v>
      </c>
      <c r="F2054" s="464">
        <v>4.0</v>
      </c>
      <c r="G2054" s="463">
        <f>VLOOKUP(A2054,'Master List'!$A$4:$F4766,5,FALSE)</f>
        <v>156</v>
      </c>
      <c r="H2054" s="206">
        <f t="shared" si="217"/>
        <v>624</v>
      </c>
      <c r="I2054" s="240"/>
    </row>
    <row r="2055" outlineLevel="2">
      <c r="A2055" s="422" t="str">
        <f>'Master List'!A745</f>
        <v>W-PLB-0153</v>
      </c>
      <c r="B2055" s="472"/>
      <c r="C2055" s="505"/>
      <c r="D2055" s="462" t="str">
        <f>VLOOKUP(A2055,'Master List'!$A$1:$C$1192,2,FALSE)</f>
        <v>Монтаж коробок для колекторів для теплої підлоги</v>
      </c>
      <c r="E2055" s="463" t="str">
        <f>VLOOKUP(A2055,'Master List'!$A$1:$C$1192,3,FALSE)</f>
        <v>шт</v>
      </c>
      <c r="F2055" s="464">
        <v>4.0</v>
      </c>
      <c r="G2055" s="463">
        <f>VLOOKUP(A2055,'Master List'!$A$4:$F4767,5,FALSE)</f>
        <v>84.5</v>
      </c>
      <c r="H2055" s="206">
        <f t="shared" si="217"/>
        <v>338</v>
      </c>
      <c r="I2055" s="240"/>
    </row>
    <row r="2056" outlineLevel="2">
      <c r="A2056" s="422" t="str">
        <f>'Master List'!A713</f>
        <v>W-PLB-072</v>
      </c>
      <c r="B2056" s="472"/>
      <c r="C2056" s="505"/>
      <c r="D2056" s="462" t="str">
        <f>VLOOKUP(A2056,'Master List'!$A$1:$C$1192,2,FALSE)</f>
        <v>Монтаж запірної арматури</v>
      </c>
      <c r="E2056" s="463" t="str">
        <f>VLOOKUP(A2056,'Master List'!$A$1:$C$1192,3,FALSE)</f>
        <v>шт</v>
      </c>
      <c r="F2056" s="464">
        <v>8.0</v>
      </c>
      <c r="G2056" s="463">
        <f>VLOOKUP(A2056,'Master List'!$A$4:$F4768,5,FALSE)</f>
        <v>39</v>
      </c>
      <c r="H2056" s="206">
        <f t="shared" si="217"/>
        <v>312</v>
      </c>
      <c r="I2056" s="240"/>
    </row>
    <row r="2057" outlineLevel="2">
      <c r="A2057" s="422" t="str">
        <f>'Master List'!A746</f>
        <v>W-PLB-0154</v>
      </c>
      <c r="B2057" s="472"/>
      <c r="C2057" s="505"/>
      <c r="D2057" s="462" t="str">
        <f>VLOOKUP(A2057,'Master List'!$A$1:$C$1192,2,FALSE)</f>
        <v>Монтаж центрального блоку регулювання</v>
      </c>
      <c r="E2057" s="463" t="str">
        <f>VLOOKUP(A2057,'Master List'!$A$1:$C$1192,3,FALSE)</f>
        <v>шт</v>
      </c>
      <c r="F2057" s="464">
        <v>1.0</v>
      </c>
      <c r="G2057" s="463">
        <f>VLOOKUP(A2057,'Master List'!$A$4:$F4769,5,FALSE)</f>
        <v>110.5</v>
      </c>
      <c r="H2057" s="206">
        <f t="shared" si="217"/>
        <v>110.5</v>
      </c>
      <c r="I2057" s="240"/>
    </row>
    <row r="2058" outlineLevel="2">
      <c r="A2058" s="422" t="str">
        <f>'Master List'!A747</f>
        <v>W-PLB-0155</v>
      </c>
      <c r="B2058" s="472"/>
      <c r="C2058" s="505"/>
      <c r="D2058" s="462" t="str">
        <f>VLOOKUP(A2058,'Master List'!$A$1:$C$1192,2,FALSE)</f>
        <v>Монтаж датчику подачі пасивного типу</v>
      </c>
      <c r="E2058" s="463" t="str">
        <f>VLOOKUP(A2058,'Master List'!$A$1:$C$1192,3,FALSE)</f>
        <v>шт</v>
      </c>
      <c r="F2058" s="464">
        <v>1.0</v>
      </c>
      <c r="G2058" s="463">
        <f>VLOOKUP(A2058,'Master List'!$A$4:$F4770,5,FALSE)</f>
        <v>156</v>
      </c>
      <c r="H2058" s="206">
        <f t="shared" si="217"/>
        <v>156</v>
      </c>
      <c r="I2058" s="240"/>
    </row>
    <row r="2059" outlineLevel="2">
      <c r="A2059" s="422" t="str">
        <f>'Master List'!A748</f>
        <v>W-PLB-0156</v>
      </c>
      <c r="B2059" s="472"/>
      <c r="C2059" s="505"/>
      <c r="D2059" s="462" t="str">
        <f>VLOOKUP(A2059,'Master List'!$A$1:$C$1192,2,FALSE)</f>
        <v>Монтаж зовнішнього датчику з сенсором</v>
      </c>
      <c r="E2059" s="463" t="str">
        <f>VLOOKUP(A2059,'Master List'!$A$1:$C$1192,3,FALSE)</f>
        <v>шт</v>
      </c>
      <c r="F2059" s="464">
        <v>1.0</v>
      </c>
      <c r="G2059" s="463">
        <f>VLOOKUP(A2059,'Master List'!$A$4:$F4771,5,FALSE)</f>
        <v>84.5</v>
      </c>
      <c r="H2059" s="206">
        <f t="shared" si="217"/>
        <v>84.5</v>
      </c>
      <c r="I2059" s="240"/>
    </row>
    <row r="2060" outlineLevel="2">
      <c r="A2060" s="422" t="str">
        <f>'Master List'!A749</f>
        <v>W-PLB-0157</v>
      </c>
      <c r="B2060" s="472"/>
      <c r="C2060" s="505"/>
      <c r="D2060" s="462" t="str">
        <f>VLOOKUP(A2060,'Master List'!$A$1:$C$1192,2,FALSE)</f>
        <v>Монтаж електричних головок для колектора</v>
      </c>
      <c r="E2060" s="463" t="str">
        <f>VLOOKUP(A2060,'Master List'!$A$1:$C$1192,3,FALSE)</f>
        <v>шт</v>
      </c>
      <c r="F2060" s="464">
        <v>24.0</v>
      </c>
      <c r="G2060" s="463">
        <f>VLOOKUP(A2060,'Master List'!$A$4:$F4772,5,FALSE)</f>
        <v>28.6</v>
      </c>
      <c r="H2060" s="206">
        <f t="shared" si="217"/>
        <v>686.4</v>
      </c>
      <c r="I2060" s="240"/>
    </row>
    <row r="2061" outlineLevel="2">
      <c r="A2061" s="422" t="str">
        <f>'Master List'!A750</f>
        <v>W-PLB-0158</v>
      </c>
      <c r="B2061" s="472"/>
      <c r="C2061" s="505"/>
      <c r="D2061" s="462" t="str">
        <f>VLOOKUP(A2061,'Master List'!$A$1:$C$1192,2,FALSE)</f>
        <v>Монтаж розподільчої групи з триходовим клапаном</v>
      </c>
      <c r="E2061" s="463" t="str">
        <f>VLOOKUP(A2061,'Master List'!$A$1:$C$1192,3,FALSE)</f>
        <v>шт</v>
      </c>
      <c r="F2061" s="464">
        <v>2.0</v>
      </c>
      <c r="G2061" s="463">
        <f>VLOOKUP(A2061,'Master List'!$A$4:$F4773,5,FALSE)</f>
        <v>123.5</v>
      </c>
      <c r="H2061" s="206">
        <f t="shared" si="217"/>
        <v>247</v>
      </c>
      <c r="I2061" s="240"/>
    </row>
    <row r="2062" outlineLevel="2">
      <c r="A2062" s="422"/>
      <c r="B2062" s="428"/>
      <c r="C2062" s="502"/>
      <c r="D2062" s="428"/>
      <c r="E2062" s="431"/>
      <c r="F2062" s="432"/>
      <c r="G2062" s="434"/>
      <c r="H2062" s="434"/>
      <c r="I2062" s="240"/>
    </row>
    <row r="2063" outlineLevel="2">
      <c r="A2063" s="422" t="str">
        <f>'Master List'!A323</f>
        <v>M-PLB-170</v>
      </c>
      <c r="B2063" s="428"/>
      <c r="C2063" s="513" t="s">
        <v>2755</v>
      </c>
      <c r="D2063" s="462" t="str">
        <f>VLOOKUP(A2063,'Master List'!$A$1:$C$1192,2,FALSE)</f>
        <v>Труба для теплої підлоги Ø 17x2</v>
      </c>
      <c r="E2063" s="444" t="s">
        <v>877</v>
      </c>
      <c r="F2063" s="214">
        <v>2200.0</v>
      </c>
      <c r="G2063" s="463">
        <f>VLOOKUP(A2063,'Master List'!$A$4:$F4775,5,FALSE)</f>
        <v>1.95</v>
      </c>
      <c r="H2063" s="206">
        <f t="shared" ref="H2063:H2078" si="218">G2063*F2063</f>
        <v>4290</v>
      </c>
      <c r="I2063" s="219"/>
    </row>
    <row r="2064" outlineLevel="2">
      <c r="A2064" s="422" t="str">
        <f>'Master List'!A324</f>
        <v>M-PLB-171</v>
      </c>
      <c r="B2064" s="428"/>
      <c r="C2064" s="513" t="s">
        <v>2756</v>
      </c>
      <c r="D2064" s="462" t="str">
        <f>VLOOKUP(A2064,'Master List'!$A$1:$C$1192,2,FALSE)</f>
        <v>Плиты теплого пола толщ. 4см</v>
      </c>
      <c r="E2064" s="444" t="s">
        <v>40</v>
      </c>
      <c r="F2064" s="214">
        <v>300.0</v>
      </c>
      <c r="G2064" s="463">
        <f>VLOOKUP(A2064,'Master List'!$A$4:$F4776,5,FALSE)</f>
        <v>9.087</v>
      </c>
      <c r="H2064" s="206">
        <f t="shared" si="218"/>
        <v>2726.1</v>
      </c>
      <c r="I2064" s="219"/>
    </row>
    <row r="2065" outlineLevel="2">
      <c r="A2065" s="422" t="str">
        <f>'Master List'!A325</f>
        <v>M-PLB-172</v>
      </c>
      <c r="B2065" s="428"/>
      <c r="C2065" s="513" t="s">
        <v>2758</v>
      </c>
      <c r="D2065" s="462" t="str">
        <f>VLOOKUP(A2065,'Master List'!$A$1:$C$1192,2,FALSE)</f>
        <v>Лента для периметральной изоляции</v>
      </c>
      <c r="E2065" s="444" t="s">
        <v>877</v>
      </c>
      <c r="F2065" s="214">
        <v>270.0</v>
      </c>
      <c r="G2065" s="463">
        <f>VLOOKUP(A2065,'Master List'!$A$4:$F4777,5,FALSE)</f>
        <v>1.807</v>
      </c>
      <c r="H2065" s="206">
        <f t="shared" si="218"/>
        <v>487.89</v>
      </c>
      <c r="I2065" s="219"/>
    </row>
    <row r="2066" outlineLevel="2">
      <c r="A2066" s="422" t="str">
        <f>'Master List'!A326</f>
        <v>M-PLB-173</v>
      </c>
      <c r="B2066" s="428"/>
      <c r="C2066" s="513" t="s">
        <v>2760</v>
      </c>
      <c r="D2066" s="462" t="str">
        <f>VLOOKUP(A2066,'Master List'!$A$1:$C$1192,2,FALSE)</f>
        <v>Добавка для бетона (10л)</v>
      </c>
      <c r="E2066" s="444" t="s">
        <v>75</v>
      </c>
      <c r="F2066" s="214">
        <v>3.0</v>
      </c>
      <c r="G2066" s="463">
        <f>VLOOKUP(A2066,'Master List'!$A$4:$F4778,5,FALSE)</f>
        <v>67.6</v>
      </c>
      <c r="H2066" s="206">
        <f t="shared" si="218"/>
        <v>202.8</v>
      </c>
      <c r="I2066" s="219"/>
    </row>
    <row r="2067" outlineLevel="2">
      <c r="A2067" s="422" t="str">
        <f>'Master List'!A327</f>
        <v>M-PLB-174</v>
      </c>
      <c r="B2067" s="428"/>
      <c r="C2067" s="513" t="s">
        <v>2762</v>
      </c>
      <c r="D2067" s="462" t="str">
        <f>VLOOKUP(A2067,'Master List'!$A$1:$C$1192,2,FALSE)</f>
        <v>Клипсы крепления трубы</v>
      </c>
      <c r="E2067" s="444" t="s">
        <v>75</v>
      </c>
      <c r="F2067" s="214">
        <v>300.0</v>
      </c>
      <c r="G2067" s="463">
        <f>VLOOKUP(A2067,'Master List'!$A$4:$F4779,5,FALSE)</f>
        <v>0.234</v>
      </c>
      <c r="H2067" s="206">
        <f t="shared" si="218"/>
        <v>70.2</v>
      </c>
      <c r="I2067" s="219"/>
    </row>
    <row r="2068" outlineLevel="2">
      <c r="A2068" s="422" t="str">
        <f>'Master List'!A328</f>
        <v>M-PLB-175</v>
      </c>
      <c r="B2068" s="428"/>
      <c r="C2068" s="513" t="s">
        <v>2764</v>
      </c>
      <c r="D2068" s="462" t="str">
        <f>VLOOKUP(A2068,'Master List'!$A$1:$C$1192,2,FALSE)</f>
        <v>Антинакипин</v>
      </c>
      <c r="E2068" s="444" t="s">
        <v>1180</v>
      </c>
      <c r="F2068" s="214">
        <v>4.0</v>
      </c>
      <c r="G2068" s="463">
        <f>VLOOKUP(A2068,'Master List'!$A$4:$F4780,5,FALSE)</f>
        <v>70.2</v>
      </c>
      <c r="H2068" s="206">
        <f t="shared" si="218"/>
        <v>280.8</v>
      </c>
      <c r="I2068" s="219"/>
    </row>
    <row r="2069" outlineLevel="2">
      <c r="A2069" s="422" t="str">
        <f>'Master List'!A329</f>
        <v>M-PLB-176</v>
      </c>
      <c r="B2069" s="428"/>
      <c r="C2069" s="513" t="s">
        <v>2766</v>
      </c>
      <c r="D2069" s="462" t="str">
        <f>VLOOKUP(A2069,'Master List'!$A$1:$C$1192,2,FALSE)</f>
        <v>Коллектор 5 выходов предварительно смонтированный с измерением расхода</v>
      </c>
      <c r="E2069" s="444" t="s">
        <v>75</v>
      </c>
      <c r="F2069" s="214">
        <v>1.0</v>
      </c>
      <c r="G2069" s="463">
        <f>VLOOKUP(A2069,'Master List'!$A$4:$F4781,5,FALSE)</f>
        <v>328.094</v>
      </c>
      <c r="H2069" s="206">
        <f t="shared" si="218"/>
        <v>328.094</v>
      </c>
      <c r="I2069" s="219"/>
    </row>
    <row r="2070" outlineLevel="2">
      <c r="A2070" s="422" t="str">
        <f>'Master List'!A330</f>
        <v>M-PLB-177</v>
      </c>
      <c r="B2070" s="428"/>
      <c r="C2070" s="513" t="s">
        <v>2768</v>
      </c>
      <c r="D2070" s="462" t="str">
        <f>VLOOKUP(A2070,'Master List'!$A$1:$C$1192,2,FALSE)</f>
        <v>Коллектор 6 выходов предварительно смонтированный с измерением расхода</v>
      </c>
      <c r="E2070" s="444" t="s">
        <v>75</v>
      </c>
      <c r="F2070" s="214">
        <v>2.0</v>
      </c>
      <c r="G2070" s="463">
        <f>VLOOKUP(A2070,'Master List'!$A$4:$F4782,5,FALSE)</f>
        <v>311.87</v>
      </c>
      <c r="H2070" s="206">
        <f t="shared" si="218"/>
        <v>623.74</v>
      </c>
      <c r="I2070" s="219"/>
    </row>
    <row r="2071" outlineLevel="2">
      <c r="A2071" s="422" t="str">
        <f>'Master List'!A331</f>
        <v>M-PLB-178</v>
      </c>
      <c r="B2071" s="428"/>
      <c r="C2071" s="513" t="s">
        <v>2770</v>
      </c>
      <c r="D2071" s="462" t="str">
        <f>VLOOKUP(A2071,'Master List'!$A$1:$C$1192,2,FALSE)</f>
        <v>Коллектор 7 выходов предварительно смонтированный с измерением расхода</v>
      </c>
      <c r="E2071" s="444" t="s">
        <v>75</v>
      </c>
      <c r="F2071" s="214">
        <v>1.0</v>
      </c>
      <c r="G2071" s="463">
        <f>VLOOKUP(A2071,'Master List'!$A$4:$F4783,5,FALSE)</f>
        <v>770.809</v>
      </c>
      <c r="H2071" s="206">
        <f t="shared" si="218"/>
        <v>770.809</v>
      </c>
      <c r="I2071" s="219"/>
    </row>
    <row r="2072" outlineLevel="2">
      <c r="A2072" s="422" t="str">
        <f>'Master List'!A332</f>
        <v>M-PLB-179</v>
      </c>
      <c r="B2072" s="428"/>
      <c r="C2072" s="513" t="s">
        <v>2772</v>
      </c>
      <c r="D2072" s="462" t="str">
        <f>VLOOKUP(A2072,'Master List'!$A$1:$C$1192,2,FALSE)</f>
        <v>Коробка для коллектора 800x450x110мм</v>
      </c>
      <c r="E2072" s="444" t="s">
        <v>75</v>
      </c>
      <c r="F2072" s="214">
        <v>1.0</v>
      </c>
      <c r="G2072" s="463">
        <f>VLOOKUP(A2072,'Master List'!$A$4:$F4784,5,FALSE)</f>
        <v>230.607</v>
      </c>
      <c r="H2072" s="206">
        <f t="shared" si="218"/>
        <v>230.607</v>
      </c>
      <c r="I2072" s="219"/>
    </row>
    <row r="2073" outlineLevel="2">
      <c r="A2073" s="422" t="str">
        <f>'Master List'!A333</f>
        <v>M-PLB-180</v>
      </c>
      <c r="B2073" s="428"/>
      <c r="C2073" s="513" t="s">
        <v>2774</v>
      </c>
      <c r="D2073" s="462" t="str">
        <f>VLOOKUP(A2073,'Master List'!$A$1:$C$1192,2,FALSE)</f>
        <v>Коробка для коллектора 1000x450x110мм</v>
      </c>
      <c r="E2073" s="444" t="s">
        <v>75</v>
      </c>
      <c r="F2073" s="214">
        <v>3.0</v>
      </c>
      <c r="G2073" s="463">
        <f>VLOOKUP(A2073,'Master List'!$A$4:$F4785,5,FALSE)</f>
        <v>295.1</v>
      </c>
      <c r="H2073" s="206">
        <f t="shared" si="218"/>
        <v>885.3</v>
      </c>
      <c r="I2073" s="219"/>
    </row>
    <row r="2074" outlineLevel="2">
      <c r="A2074" s="422" t="str">
        <f>'Master List'!A334</f>
        <v>M-PLB-181</v>
      </c>
      <c r="B2074" s="428"/>
      <c r="C2074" s="513" t="s">
        <v>2776</v>
      </c>
      <c r="D2074" s="462" t="str">
        <f>VLOOKUP(A2074,'Master List'!$A$1:$C$1192,2,FALSE)</f>
        <v>Шаровой кран НР/ВР 1"x1"</v>
      </c>
      <c r="E2074" s="444" t="s">
        <v>75</v>
      </c>
      <c r="F2074" s="214">
        <v>8.0</v>
      </c>
      <c r="G2074" s="463">
        <f>VLOOKUP(A2074,'Master List'!$A$4:$F4786,5,FALSE)</f>
        <v>13.065</v>
      </c>
      <c r="H2074" s="206">
        <f t="shared" si="218"/>
        <v>104.52</v>
      </c>
      <c r="I2074" s="219"/>
    </row>
    <row r="2075" outlineLevel="2">
      <c r="A2075" s="422" t="str">
        <f>'Master List'!A335</f>
        <v>M-PLB-182</v>
      </c>
      <c r="B2075" s="428"/>
      <c r="C2075" s="513" t="s">
        <v>2778</v>
      </c>
      <c r="D2075" s="462" t="str">
        <f>VLOOKUP(A2075,'Master List'!$A$1:$C$1192,2,FALSE)</f>
        <v>Адаптер для PEX/AL 18x(17x2)</v>
      </c>
      <c r="E2075" s="444" t="s">
        <v>75</v>
      </c>
      <c r="F2075" s="214">
        <v>48.0</v>
      </c>
      <c r="G2075" s="463">
        <f>VLOOKUP(A2075,'Master List'!$A$4:$F4787,5,FALSE)</f>
        <v>5.46</v>
      </c>
      <c r="H2075" s="206">
        <f t="shared" si="218"/>
        <v>262.08</v>
      </c>
      <c r="I2075" s="219"/>
    </row>
    <row r="2076" outlineLevel="2">
      <c r="A2076" s="422" t="str">
        <f>'Master List'!A336</f>
        <v>M-PLB-183</v>
      </c>
      <c r="B2076" s="428"/>
      <c r="C2076" s="513" t="s">
        <v>2780</v>
      </c>
      <c r="D2076" s="462" t="str">
        <f>VLOOKUP(A2076,'Master List'!$A$1:$C$1192,2,FALSE)</f>
        <v>Центральный блок регулирования</v>
      </c>
      <c r="E2076" s="444" t="s">
        <v>75</v>
      </c>
      <c r="F2076" s="214">
        <v>1.0</v>
      </c>
      <c r="G2076" s="463">
        <f>VLOOKUP(A2076,'Master List'!$A$4:$F4788,5,FALSE)</f>
        <v>439.79</v>
      </c>
      <c r="H2076" s="206">
        <f t="shared" si="218"/>
        <v>439.79</v>
      </c>
      <c r="I2076" s="219"/>
    </row>
    <row r="2077" outlineLevel="2">
      <c r="A2077" s="422" t="str">
        <f>'Master List'!A337</f>
        <v>M-PLB-184</v>
      </c>
      <c r="B2077" s="428"/>
      <c r="C2077" s="513" t="s">
        <v>2782</v>
      </c>
      <c r="D2077" s="462" t="str">
        <f>VLOOKUP(A2077,'Master List'!$A$1:$C$1192,2,FALSE)</f>
        <v>Датчик подачи пассивного типа</v>
      </c>
      <c r="E2077" s="444" t="s">
        <v>75</v>
      </c>
      <c r="F2077" s="214">
        <v>1.0</v>
      </c>
      <c r="G2077" s="463">
        <f>VLOOKUP(A2077,'Master List'!$A$4:$F4789,5,FALSE)</f>
        <v>11.427</v>
      </c>
      <c r="H2077" s="206">
        <f t="shared" si="218"/>
        <v>11.427</v>
      </c>
      <c r="I2077" s="219"/>
    </row>
    <row r="2078" outlineLevel="2">
      <c r="A2078" s="422" t="str">
        <f>'Master List'!A338</f>
        <v>M-PLB-185</v>
      </c>
      <c r="B2078" s="428"/>
      <c r="C2078" s="513" t="s">
        <v>2784</v>
      </c>
      <c r="D2078" s="462" t="str">
        <f>VLOOKUP(A2078,'Master List'!$A$1:$C$1192,2,FALSE)</f>
        <v>Наружный датчик с сенсором</v>
      </c>
      <c r="E2078" s="444" t="s">
        <v>75</v>
      </c>
      <c r="F2078" s="214">
        <v>1.0</v>
      </c>
      <c r="G2078" s="463">
        <f>VLOOKUP(A2078,'Master List'!$A$4:$F4790,5,FALSE)</f>
        <v>65</v>
      </c>
      <c r="H2078" s="206">
        <f t="shared" si="218"/>
        <v>65</v>
      </c>
      <c r="I2078" s="219"/>
    </row>
    <row r="2079" outlineLevel="2">
      <c r="A2079" s="422"/>
      <c r="B2079" s="428"/>
      <c r="C2079" s="513" t="s">
        <v>2786</v>
      </c>
      <c r="D2079" s="315" t="s">
        <v>1191</v>
      </c>
      <c r="E2079" s="444" t="s">
        <v>75</v>
      </c>
      <c r="F2079" s="214">
        <v>0.0</v>
      </c>
      <c r="G2079" s="463"/>
      <c r="H2079" s="206" t="s">
        <v>619</v>
      </c>
      <c r="I2079" s="219"/>
    </row>
    <row r="2080" outlineLevel="2">
      <c r="A2080" s="422" t="str">
        <f>'Master List'!A339</f>
        <v>M-PLB-186</v>
      </c>
      <c r="B2080" s="428"/>
      <c r="C2080" s="513" t="s">
        <v>2788</v>
      </c>
      <c r="D2080" s="462" t="str">
        <f>VLOOKUP(A2080,'Master List'!$A$1:$C$1192,2,FALSE)</f>
        <v>Электрическая головка для коллектора кабель 1м 230В</v>
      </c>
      <c r="E2080" s="444" t="s">
        <v>75</v>
      </c>
      <c r="F2080" s="214">
        <v>24.0</v>
      </c>
      <c r="G2080" s="463">
        <f>VLOOKUP(A2080,'Master List'!$A$4:$F4792,5,FALSE)</f>
        <v>26</v>
      </c>
      <c r="H2080" s="206">
        <f t="shared" ref="H2080:H2081" si="219">G2080*F2080</f>
        <v>624</v>
      </c>
      <c r="I2080" s="219"/>
    </row>
    <row r="2081" outlineLevel="2">
      <c r="A2081" s="422" t="str">
        <f>'Master List'!A340</f>
        <v>M-PLB-187</v>
      </c>
      <c r="B2081" s="428"/>
      <c r="C2081" s="513" t="s">
        <v>2790</v>
      </c>
      <c r="D2081" s="462" t="str">
        <f>VLOOKUP(A2081,'Master List'!$A$1:$C$1192,2,FALSE)</f>
        <v>Распределительная группа с 3-ходовым клапаном</v>
      </c>
      <c r="E2081" s="444" t="s">
        <v>75</v>
      </c>
      <c r="F2081" s="214">
        <v>2.0</v>
      </c>
      <c r="G2081" s="463">
        <f>VLOOKUP(A2081,'Master List'!$A$4:$F4793,5,FALSE)</f>
        <v>690.3</v>
      </c>
      <c r="H2081" s="206">
        <f t="shared" si="219"/>
        <v>1380.6</v>
      </c>
      <c r="I2081" s="219"/>
    </row>
    <row r="2082" outlineLevel="2">
      <c r="A2082" s="422"/>
      <c r="B2082" s="428"/>
      <c r="C2082" s="513" t="s">
        <v>2792</v>
      </c>
      <c r="D2082" s="315" t="s">
        <v>1194</v>
      </c>
      <c r="E2082" s="444" t="s">
        <v>75</v>
      </c>
      <c r="F2082" s="214">
        <v>2.0</v>
      </c>
      <c r="G2082" s="463"/>
      <c r="H2082" s="206" t="s">
        <v>619</v>
      </c>
      <c r="I2082" s="219"/>
    </row>
    <row r="2083" outlineLevel="2">
      <c r="A2083" s="422" t="str">
        <f>'Master List'!A341</f>
        <v>M-PLB-188</v>
      </c>
      <c r="B2083" s="428"/>
      <c r="C2083" s="513" t="s">
        <v>2794</v>
      </c>
      <c r="D2083" s="462" t="str">
        <f>VLOOKUP(A2083,'Master List'!$A$1:$C$1192,2,FALSE)</f>
        <v>Мотор для 3-ходового клапана (24В)</v>
      </c>
      <c r="E2083" s="444" t="s">
        <v>75</v>
      </c>
      <c r="F2083" s="214">
        <v>2.0</v>
      </c>
      <c r="G2083" s="463">
        <f>VLOOKUP(A2083,'Master List'!$A$4:$F4795,5,FALSE)</f>
        <v>107.952</v>
      </c>
      <c r="H2083" s="206">
        <f>G2083*F2083</f>
        <v>215.904</v>
      </c>
      <c r="I2083" s="219"/>
    </row>
    <row r="2084" outlineLevel="2">
      <c r="A2084" s="422"/>
      <c r="B2084" s="428"/>
      <c r="C2084" s="513" t="s">
        <v>2796</v>
      </c>
      <c r="D2084" s="315" t="s">
        <v>1196</v>
      </c>
      <c r="E2084" s="444" t="s">
        <v>75</v>
      </c>
      <c r="F2084" s="214">
        <v>4.0</v>
      </c>
      <c r="G2084" s="463"/>
      <c r="H2084" s="206" t="s">
        <v>619</v>
      </c>
      <c r="I2084" s="219"/>
    </row>
    <row r="2085" outlineLevel="2">
      <c r="A2085" s="422"/>
      <c r="B2085" s="428"/>
      <c r="C2085" s="513" t="s">
        <v>2798</v>
      </c>
      <c r="D2085" s="315" t="s">
        <v>1197</v>
      </c>
      <c r="E2085" s="444" t="s">
        <v>75</v>
      </c>
      <c r="F2085" s="214">
        <v>4.0</v>
      </c>
      <c r="G2085" s="463"/>
      <c r="H2085" s="206" t="s">
        <v>619</v>
      </c>
      <c r="I2085" s="219"/>
    </row>
    <row r="2086" outlineLevel="2">
      <c r="A2086" s="422" t="str">
        <f>'Master List'!A342</f>
        <v>M-PLB-189</v>
      </c>
      <c r="B2086" s="428"/>
      <c r="C2086" s="513" t="s">
        <v>2800</v>
      </c>
      <c r="D2086" s="462" t="str">
        <f>VLOOKUP(A2086,'Master List'!$A$1:$C$1192,2,FALSE)</f>
        <v>Различные гидравлические аксессуары</v>
      </c>
      <c r="E2086" s="444" t="s">
        <v>33</v>
      </c>
      <c r="F2086" s="214">
        <v>1.0</v>
      </c>
      <c r="G2086" s="463">
        <f>VLOOKUP(A2086,'Master List'!$A$4:$F4798,5,FALSE)</f>
        <v>195</v>
      </c>
      <c r="H2086" s="206">
        <f>G2086*F2086</f>
        <v>195</v>
      </c>
      <c r="I2086" s="219"/>
    </row>
    <row r="2087" outlineLevel="2">
      <c r="A2087" s="422"/>
      <c r="B2087" s="428"/>
      <c r="C2087" s="502"/>
      <c r="D2087" s="428"/>
      <c r="E2087" s="431"/>
      <c r="F2087" s="432"/>
      <c r="G2087" s="434"/>
      <c r="H2087" s="434"/>
      <c r="I2087" s="240"/>
    </row>
    <row r="2088" outlineLevel="2">
      <c r="A2088" s="422"/>
      <c r="B2088" s="472" t="s">
        <v>1199</v>
      </c>
      <c r="C2088" s="513" t="s">
        <v>2802</v>
      </c>
      <c r="D2088" s="315" t="s">
        <v>1200</v>
      </c>
      <c r="E2088" s="456"/>
      <c r="F2088" s="170"/>
      <c r="G2088" s="239"/>
      <c r="H2088" s="239"/>
      <c r="I2088" s="240"/>
    </row>
    <row r="2089" outlineLevel="2">
      <c r="A2089" s="422"/>
      <c r="B2089" s="472"/>
      <c r="C2089" s="514"/>
      <c r="D2089" s="329"/>
      <c r="E2089" s="437"/>
      <c r="F2089" s="170"/>
      <c r="G2089" s="239"/>
      <c r="H2089" s="239"/>
      <c r="I2089" s="240"/>
    </row>
    <row r="2090" outlineLevel="2">
      <c r="A2090" s="422" t="str">
        <f>'Master List'!A751</f>
        <v>W-PLB-0159</v>
      </c>
      <c r="B2090" s="472"/>
      <c r="C2090" s="505"/>
      <c r="D2090" s="462" t="str">
        <f>VLOOKUP(A2090,'Master List'!$A$1:$C$1192,2,FALSE)</f>
        <v>Монтаж сонячних теплових колекторів</v>
      </c>
      <c r="E2090" s="463" t="str">
        <f>VLOOKUP(A2090,'Master List'!$A$1:$C$1192,3,FALSE)</f>
        <v>шт</v>
      </c>
      <c r="F2090" s="464">
        <v>3.0</v>
      </c>
      <c r="G2090" s="463">
        <f>VLOOKUP(A2090,'Master List'!$A$4:$F4802,5,FALSE)</f>
        <v>312</v>
      </c>
      <c r="H2090" s="206">
        <f t="shared" ref="H2090:H2100" si="220">G2090*F2090</f>
        <v>936</v>
      </c>
      <c r="I2090" s="240"/>
    </row>
    <row r="2091" outlineLevel="2">
      <c r="A2091" s="422" t="str">
        <f>'Master List'!A752</f>
        <v>W-PLB-0160</v>
      </c>
      <c r="B2091" s="472"/>
      <c r="C2091" s="505"/>
      <c r="D2091" s="462" t="str">
        <f>VLOOKUP(A2091,'Master List'!$A$1:$C$1192,2,FALSE)</f>
        <v>Монтаж алюмінієвих конструкцій</v>
      </c>
      <c r="E2091" s="463" t="str">
        <f>VLOOKUP(A2091,'Master List'!$A$1:$C$1192,3,FALSE)</f>
        <v>шт</v>
      </c>
      <c r="F2091" s="464">
        <v>3.0</v>
      </c>
      <c r="G2091" s="463">
        <f>VLOOKUP(A2091,'Master List'!$A$4:$F4803,5,FALSE)</f>
        <v>117</v>
      </c>
      <c r="H2091" s="206">
        <f t="shared" si="220"/>
        <v>351</v>
      </c>
      <c r="I2091" s="240"/>
    </row>
    <row r="2092" outlineLevel="2">
      <c r="A2092" s="422" t="str">
        <f>'Master List'!A753</f>
        <v>W-PLB-0161</v>
      </c>
      <c r="B2092" s="472"/>
      <c r="C2092" s="505"/>
      <c r="D2092" s="462" t="str">
        <f>VLOOKUP(A2092,'Master List'!$A$1:$C$1192,2,FALSE)</f>
        <v>Монтаж накопичувального баку на 800л</v>
      </c>
      <c r="E2092" s="463" t="str">
        <f>VLOOKUP(A2092,'Master List'!$A$1:$C$1192,3,FALSE)</f>
        <v>шт</v>
      </c>
      <c r="F2092" s="464">
        <v>1.0</v>
      </c>
      <c r="G2092" s="463">
        <f>VLOOKUP(A2092,'Master List'!$A$4:$F4804,5,FALSE)</f>
        <v>403</v>
      </c>
      <c r="H2092" s="206">
        <f t="shared" si="220"/>
        <v>403</v>
      </c>
      <c r="I2092" s="240"/>
    </row>
    <row r="2093" outlineLevel="2">
      <c r="A2093" s="422" t="str">
        <f>'Master List'!A754</f>
        <v>W-PLB-0162</v>
      </c>
      <c r="B2093" s="472"/>
      <c r="C2093" s="505"/>
      <c r="D2093" s="462" t="str">
        <f>VLOOKUP(A2093,'Master List'!$A$1:$C$1192,2,FALSE)</f>
        <v>Монтаж інерційного баку на 200л</v>
      </c>
      <c r="E2093" s="463" t="str">
        <f>VLOOKUP(A2093,'Master List'!$A$1:$C$1192,3,FALSE)</f>
        <v>шт</v>
      </c>
      <c r="F2093" s="464">
        <v>1.0</v>
      </c>
      <c r="G2093" s="463">
        <f>VLOOKUP(A2093,'Master List'!$A$4:$F4805,5,FALSE)</f>
        <v>175.5</v>
      </c>
      <c r="H2093" s="206">
        <f t="shared" si="220"/>
        <v>175.5</v>
      </c>
      <c r="I2093" s="240"/>
    </row>
    <row r="2094" outlineLevel="2">
      <c r="A2094" s="422" t="str">
        <f>'Master List'!A755</f>
        <v>W-PLB-0163</v>
      </c>
      <c r="B2094" s="472"/>
      <c r="C2094" s="505"/>
      <c r="D2094" s="462" t="str">
        <f>VLOOKUP(A2094,'Master List'!$A$1:$C$1192,2,FALSE)</f>
        <v>Монтаж центрального блоку регулювання</v>
      </c>
      <c r="E2094" s="463" t="str">
        <f>VLOOKUP(A2094,'Master List'!$A$1:$C$1192,3,FALSE)</f>
        <v>шт</v>
      </c>
      <c r="F2094" s="464">
        <v>1.0</v>
      </c>
      <c r="G2094" s="463">
        <f>VLOOKUP(A2094,'Master List'!$A$4:$F4806,5,FALSE)</f>
        <v>110.5</v>
      </c>
      <c r="H2094" s="206">
        <f t="shared" si="220"/>
        <v>110.5</v>
      </c>
      <c r="I2094" s="240"/>
    </row>
    <row r="2095" outlineLevel="2">
      <c r="A2095" s="422" t="str">
        <f>'Master List'!A756</f>
        <v>W-PLB-0164</v>
      </c>
      <c r="B2095" s="472"/>
      <c r="C2095" s="505"/>
      <c r="D2095" s="462" t="str">
        <f>VLOOKUP(A2095,'Master List'!$A$1:$C$1192,2,FALSE)</f>
        <v>Монтаж розширювальних  баків об'ємом до 50л</v>
      </c>
      <c r="E2095" s="463" t="str">
        <f>VLOOKUP(A2095,'Master List'!$A$1:$C$1192,3,FALSE)</f>
        <v>шт</v>
      </c>
      <c r="F2095" s="464">
        <v>3.0</v>
      </c>
      <c r="G2095" s="463">
        <f>VLOOKUP(A2095,'Master List'!$A$4:$F4807,5,FALSE)</f>
        <v>84.5</v>
      </c>
      <c r="H2095" s="206">
        <f t="shared" si="220"/>
        <v>253.5</v>
      </c>
      <c r="I2095" s="240"/>
    </row>
    <row r="2096" outlineLevel="2">
      <c r="A2096" s="422" t="str">
        <f>'Master List'!A731</f>
        <v>W-PLB-0121</v>
      </c>
      <c r="B2096" s="472"/>
      <c r="C2096" s="505"/>
      <c r="D2096" s="462" t="str">
        <f>VLOOKUP(A2096,'Master List'!$A$1:$C$1192,2,FALSE)</f>
        <v>Прокладання мідних труб діаметром до 20мм</v>
      </c>
      <c r="E2096" s="463" t="str">
        <f>VLOOKUP(A2096,'Master List'!$A$1:$C$1192,3,FALSE)</f>
        <v>м</v>
      </c>
      <c r="F2096" s="464">
        <v>40.0</v>
      </c>
      <c r="G2096" s="463">
        <f>VLOOKUP(A2096,'Master List'!$A$4:$F4808,5,FALSE)</f>
        <v>10.4</v>
      </c>
      <c r="H2096" s="206">
        <f t="shared" si="220"/>
        <v>416</v>
      </c>
      <c r="I2096" s="240"/>
    </row>
    <row r="2097" outlineLevel="2">
      <c r="A2097" s="422" t="str">
        <f>'Master List'!A757</f>
        <v>W-PLB-0165</v>
      </c>
      <c r="B2097" s="472"/>
      <c r="C2097" s="505"/>
      <c r="D2097" s="462" t="str">
        <f>VLOOKUP(A2097,'Master List'!$A$1:$C$1192,2,FALSE)</f>
        <v>Монтаж групи заповнення</v>
      </c>
      <c r="E2097" s="463" t="str">
        <f>VLOOKUP(A2097,'Master List'!$A$1:$C$1192,3,FALSE)</f>
        <v>шт</v>
      </c>
      <c r="F2097" s="464">
        <v>1.0</v>
      </c>
      <c r="G2097" s="463">
        <f>VLOOKUP(A2097,'Master List'!$A$4:$F4809,5,FALSE)</f>
        <v>52</v>
      </c>
      <c r="H2097" s="206">
        <f t="shared" si="220"/>
        <v>52</v>
      </c>
      <c r="I2097" s="240"/>
    </row>
    <row r="2098" outlineLevel="2">
      <c r="A2098" s="422" t="str">
        <f>'Master List'!A758</f>
        <v>W-PLB-0166</v>
      </c>
      <c r="B2098" s="472"/>
      <c r="C2098" s="505"/>
      <c r="D2098" s="462" t="str">
        <f>VLOOKUP(A2098,'Master List'!$A$1:$C$1192,2,FALSE)</f>
        <v>Монтаж циркуляційних насосів</v>
      </c>
      <c r="E2098" s="463" t="str">
        <f>VLOOKUP(A2098,'Master List'!$A$1:$C$1192,3,FALSE)</f>
        <v>шт</v>
      </c>
      <c r="F2098" s="464">
        <v>4.0</v>
      </c>
      <c r="G2098" s="463">
        <f>VLOOKUP(A2098,'Master List'!$A$4:$F4810,5,FALSE)</f>
        <v>65</v>
      </c>
      <c r="H2098" s="206">
        <f t="shared" si="220"/>
        <v>260</v>
      </c>
      <c r="I2098" s="240"/>
    </row>
    <row r="2099" outlineLevel="2">
      <c r="A2099" s="422" t="str">
        <f>'Master List'!A759</f>
        <v>W-PLB-0167</v>
      </c>
      <c r="B2099" s="472"/>
      <c r="C2099" s="505"/>
      <c r="D2099" s="462" t="str">
        <f>VLOOKUP(A2099,'Master List'!$A$1:$C$1192,2,FALSE)</f>
        <v>Монтаж пластинчатого теплообмінника на 40кВт</v>
      </c>
      <c r="E2099" s="463" t="str">
        <f>VLOOKUP(A2099,'Master List'!$A$1:$C$1192,3,FALSE)</f>
        <v>шт</v>
      </c>
      <c r="F2099" s="464">
        <v>1.0</v>
      </c>
      <c r="G2099" s="463">
        <f>VLOOKUP(A2099,'Master List'!$A$4:$F4811,5,FALSE)</f>
        <v>117</v>
      </c>
      <c r="H2099" s="206">
        <f t="shared" si="220"/>
        <v>117</v>
      </c>
      <c r="I2099" s="240"/>
    </row>
    <row r="2100" outlineLevel="2">
      <c r="A2100" s="422" t="str">
        <f>'Master List'!A760</f>
        <v>W-PLB-0168</v>
      </c>
      <c r="B2100" s="472"/>
      <c r="C2100" s="505"/>
      <c r="D2100" s="462" t="str">
        <f>VLOOKUP(A2100,'Master List'!$A$1:$C$1192,2,FALSE)</f>
        <v>Монтаж клапанів</v>
      </c>
      <c r="E2100" s="463" t="str">
        <f>VLOOKUP(A2100,'Master List'!$A$1:$C$1192,3,FALSE)</f>
        <v>шт</v>
      </c>
      <c r="F2100" s="464">
        <v>2.0</v>
      </c>
      <c r="G2100" s="463">
        <f>VLOOKUP(A2100,'Master List'!$A$4:$F4812,5,FALSE)</f>
        <v>39</v>
      </c>
      <c r="H2100" s="206">
        <f t="shared" si="220"/>
        <v>78</v>
      </c>
      <c r="I2100" s="240"/>
    </row>
    <row r="2101" outlineLevel="2">
      <c r="A2101" s="422"/>
      <c r="B2101" s="428"/>
      <c r="C2101" s="502"/>
      <c r="D2101" s="428"/>
      <c r="E2101" s="431"/>
      <c r="F2101" s="432"/>
      <c r="G2101" s="434"/>
      <c r="H2101" s="434"/>
      <c r="I2101" s="240"/>
    </row>
    <row r="2102" outlineLevel="2">
      <c r="A2102" s="422" t="str">
        <f>'Master List'!A343</f>
        <v>M-PLB-191</v>
      </c>
      <c r="B2102" s="428"/>
      <c r="C2102" s="513" t="s">
        <v>2804</v>
      </c>
      <c r="D2102" s="462" t="str">
        <f>VLOOKUP(A2102,'Master List'!$A$1:$C$1192,2,FALSE)</f>
        <v>Солнечные тепловые коллекторы</v>
      </c>
      <c r="E2102" s="444" t="s">
        <v>1202</v>
      </c>
      <c r="F2102" s="214">
        <v>3.0</v>
      </c>
      <c r="G2102" s="463">
        <f>VLOOKUP(A2102,'Master List'!$A$4:$F4814,5,FALSE)</f>
        <v>731.64</v>
      </c>
      <c r="H2102" s="206">
        <f t="shared" ref="H2102:H2112" si="221">G2102*F2102</f>
        <v>2194.92</v>
      </c>
      <c r="I2102" s="219"/>
    </row>
    <row r="2103" outlineLevel="2">
      <c r="A2103" s="422" t="str">
        <f>'Master List'!A344</f>
        <v>M-PLB-192</v>
      </c>
      <c r="B2103" s="428"/>
      <c r="C2103" s="513" t="s">
        <v>2806</v>
      </c>
      <c r="D2103" s="462" t="str">
        <f>VLOOKUP(A2103,'Master List'!$A$1:$C$1192,2,FALSE)</f>
        <v>Алюминиевая конструкция</v>
      </c>
      <c r="E2103" s="444" t="s">
        <v>1202</v>
      </c>
      <c r="F2103" s="214">
        <v>3.0</v>
      </c>
      <c r="G2103" s="463">
        <f>VLOOKUP(A2103,'Master List'!$A$4:$F4815,5,FALSE)</f>
        <v>374.53</v>
      </c>
      <c r="H2103" s="206">
        <f t="shared" si="221"/>
        <v>1123.59</v>
      </c>
      <c r="I2103" s="219"/>
    </row>
    <row r="2104" outlineLevel="2">
      <c r="A2104" s="422" t="str">
        <f>'Master List'!A345</f>
        <v>M-PLB-193</v>
      </c>
      <c r="B2104" s="428"/>
      <c r="C2104" s="513" t="s">
        <v>2808</v>
      </c>
      <c r="D2104" s="462" t="str">
        <f>VLOOKUP(A2104,'Master List'!$A$1:$C$1192,2,FALSE)</f>
        <v>Накопительный бак 800 литров со стратификатором, включая изоляцию, дифференциальное управление и солнечную станцию, соединительные модули, сферический теплообменник, манометры, термометры и все необходимые аксессуары</v>
      </c>
      <c r="E2104" s="444" t="s">
        <v>75</v>
      </c>
      <c r="F2104" s="214">
        <v>1.0</v>
      </c>
      <c r="G2104" s="463">
        <f>VLOOKUP(A2104,'Master List'!$A$4:$F4816,5,FALSE)</f>
        <v>3133</v>
      </c>
      <c r="H2104" s="206">
        <f t="shared" si="221"/>
        <v>3133</v>
      </c>
      <c r="I2104" s="219"/>
    </row>
    <row r="2105" outlineLevel="2">
      <c r="A2105" s="422" t="str">
        <f>'Master List'!A346</f>
        <v>M-PLB-194</v>
      </c>
      <c r="B2105" s="428"/>
      <c r="C2105" s="513" t="s">
        <v>2810</v>
      </c>
      <c r="D2105" s="462" t="str">
        <f>VLOOKUP(A2105,'Master List'!$A$1:$C$1192,2,FALSE)</f>
        <v>Инерционный бак 200 литров, включая изоляцию, манометры, термометры и все необходимые аксессуары</v>
      </c>
      <c r="E2105" s="444" t="s">
        <v>75</v>
      </c>
      <c r="F2105" s="214">
        <v>1.0</v>
      </c>
      <c r="G2105" s="463">
        <f>VLOOKUP(A2105,'Master List'!$A$4:$F4817,5,FALSE)</f>
        <v>978.224</v>
      </c>
      <c r="H2105" s="206">
        <f t="shared" si="221"/>
        <v>978.224</v>
      </c>
      <c r="I2105" s="219"/>
    </row>
    <row r="2106" outlineLevel="2">
      <c r="A2106" s="422" t="str">
        <f>'Master List'!A347</f>
        <v>M-PLB-195</v>
      </c>
      <c r="B2106" s="428"/>
      <c r="C2106" s="513" t="s">
        <v>2812</v>
      </c>
      <c r="D2106" s="462" t="str">
        <f>VLOOKUP(A2106,'Master List'!$A$1:$C$1192,2,FALSE)</f>
        <v>Центральный блок регулирования, включая модуль управления и все необходимые аксессуары</v>
      </c>
      <c r="E2106" s="444" t="s">
        <v>75</v>
      </c>
      <c r="F2106" s="214">
        <v>1.0</v>
      </c>
      <c r="G2106" s="463">
        <f>VLOOKUP(A2106,'Master List'!$A$4:$F4818,5,FALSE)</f>
        <v>169</v>
      </c>
      <c r="H2106" s="206">
        <f t="shared" si="221"/>
        <v>169</v>
      </c>
      <c r="I2106" s="219"/>
    </row>
    <row r="2107" outlineLevel="2">
      <c r="A2107" s="422" t="str">
        <f>'Master List'!A348</f>
        <v>M-PLB-196</v>
      </c>
      <c r="B2107" s="428"/>
      <c r="C2107" s="513" t="s">
        <v>2814</v>
      </c>
      <c r="D2107" s="462" t="str">
        <f>VLOOKUP(A2107,'Master List'!$A$1:$C$1192,2,FALSE)</f>
        <v>Солнечная жидкость (литр) смесь 20% до -8°</v>
      </c>
      <c r="E2107" s="444" t="s">
        <v>1180</v>
      </c>
      <c r="F2107" s="214">
        <v>3.0</v>
      </c>
      <c r="G2107" s="463">
        <f>VLOOKUP(A2107,'Master List'!$A$4:$F4819,5,FALSE)</f>
        <v>5.993</v>
      </c>
      <c r="H2107" s="206">
        <f t="shared" si="221"/>
        <v>17.979</v>
      </c>
      <c r="I2107" s="219"/>
    </row>
    <row r="2108" outlineLevel="2">
      <c r="A2108" s="422" t="str">
        <f>'Master List'!A349</f>
        <v>M-PLB-197</v>
      </c>
      <c r="B2108" s="428"/>
      <c r="C2108" s="513" t="s">
        <v>2816</v>
      </c>
      <c r="D2108" s="462" t="str">
        <f>VLOOKUP(A2108,'Master List'!$A$1:$C$1192,2,FALSE)</f>
        <v>Расширительный бак (солнечный) - VE1-50л</v>
      </c>
      <c r="E2108" s="444" t="s">
        <v>75</v>
      </c>
      <c r="F2108" s="214">
        <v>1.0</v>
      </c>
      <c r="G2108" s="463">
        <f>VLOOKUP(A2108,'Master List'!$A$4:$F4820,5,FALSE)</f>
        <v>220.545</v>
      </c>
      <c r="H2108" s="206">
        <f t="shared" si="221"/>
        <v>220.545</v>
      </c>
      <c r="I2108" s="219"/>
    </row>
    <row r="2109" outlineLevel="2">
      <c r="A2109" s="422" t="str">
        <f>'Master List'!A350</f>
        <v>M-PLB-198</v>
      </c>
      <c r="B2109" s="428"/>
      <c r="C2109" s="513" t="s">
        <v>2818</v>
      </c>
      <c r="D2109" s="462" t="str">
        <f>VLOOKUP(A2109,'Master List'!$A$1:$C$1192,2,FALSE)</f>
        <v>Расширительный бак (поддержка) - VE2-25л</v>
      </c>
      <c r="E2109" s="444" t="s">
        <v>75</v>
      </c>
      <c r="F2109" s="214">
        <v>1.0</v>
      </c>
      <c r="G2109" s="463">
        <f>VLOOKUP(A2109,'Master List'!$A$4:$F4821,5,FALSE)</f>
        <v>91.299</v>
      </c>
      <c r="H2109" s="206">
        <f t="shared" si="221"/>
        <v>91.299</v>
      </c>
      <c r="I2109" s="219"/>
    </row>
    <row r="2110" outlineLevel="2">
      <c r="A2110" s="422" t="str">
        <f>'Master List'!A351</f>
        <v>M-PLB-199</v>
      </c>
      <c r="B2110" s="428"/>
      <c r="C2110" s="513" t="s">
        <v>2820</v>
      </c>
      <c r="D2110" s="462" t="str">
        <f>VLOOKUP(A2110,'Master List'!$A$1:$C$1192,2,FALSE)</f>
        <v>Расширительный бак (вода бассейна) - VE3-25л </v>
      </c>
      <c r="E2110" s="444" t="s">
        <v>75</v>
      </c>
      <c r="F2110" s="214">
        <v>1.0</v>
      </c>
      <c r="G2110" s="463">
        <f>VLOOKUP(A2110,'Master List'!$A$4:$F4822,5,FALSE)</f>
        <v>87.087</v>
      </c>
      <c r="H2110" s="206">
        <f t="shared" si="221"/>
        <v>87.087</v>
      </c>
      <c r="I2110" s="219"/>
    </row>
    <row r="2111" outlineLevel="2">
      <c r="A2111" s="422" t="str">
        <f>'Master List'!A352</f>
        <v>M-PLB-200</v>
      </c>
      <c r="B2111" s="428"/>
      <c r="C2111" s="513" t="s">
        <v>2822</v>
      </c>
      <c r="D2111" s="462" t="str">
        <f>VLOOKUP(A2111,'Master List'!$A$1:$C$1192,2,FALSE)</f>
        <v>Труба мідна CU Ø 18</v>
      </c>
      <c r="E2111" s="444" t="s">
        <v>877</v>
      </c>
      <c r="F2111" s="214">
        <v>40.0</v>
      </c>
      <c r="G2111" s="463">
        <f>VLOOKUP(A2111,'Master List'!$A$4:$F4823,5,FALSE)</f>
        <v>13.091</v>
      </c>
      <c r="H2111" s="206">
        <f t="shared" si="221"/>
        <v>523.64</v>
      </c>
      <c r="I2111" s="219"/>
    </row>
    <row r="2112" outlineLevel="2">
      <c r="A2112" s="422" t="str">
        <f>'Master List'!A353</f>
        <v>M-PLB-201</v>
      </c>
      <c r="B2112" s="428"/>
      <c r="C2112" s="513" t="s">
        <v>2823</v>
      </c>
      <c r="D2112" s="462" t="str">
        <f>VLOOKUP(A2112,'Master List'!$A$1:$C$1192,2,FALSE)</f>
        <v>Группа заполнения</v>
      </c>
      <c r="E2112" s="444" t="s">
        <v>75</v>
      </c>
      <c r="F2112" s="214">
        <v>1.0</v>
      </c>
      <c r="G2112" s="463">
        <f>VLOOKUP(A2112,'Master List'!$A$4:$F4824,5,FALSE)</f>
        <v>62.686</v>
      </c>
      <c r="H2112" s="206">
        <f t="shared" si="221"/>
        <v>62.686</v>
      </c>
      <c r="I2112" s="219"/>
    </row>
    <row r="2113" outlineLevel="2">
      <c r="A2113" s="422"/>
      <c r="B2113" s="428"/>
      <c r="C2113" s="513" t="s">
        <v>2825</v>
      </c>
      <c r="D2113" s="315" t="s">
        <v>1213</v>
      </c>
      <c r="E2113" s="444" t="s">
        <v>75</v>
      </c>
      <c r="F2113" s="214">
        <v>1.0</v>
      </c>
      <c r="G2113" s="463"/>
      <c r="H2113" s="206" t="s">
        <v>619</v>
      </c>
      <c r="I2113" s="219"/>
    </row>
    <row r="2114" outlineLevel="2">
      <c r="A2114" s="422" t="str">
        <f>'Master List'!A354</f>
        <v>M-PLB-202</v>
      </c>
      <c r="B2114" s="428"/>
      <c r="C2114" s="513" t="s">
        <v>2827</v>
      </c>
      <c r="D2114" s="462" t="str">
        <f>VLOOKUP(A2114,'Master List'!$A$1:$C$1192,2,FALSE)</f>
        <v>Насос циркуляции ГВС для возврата - BCR</v>
      </c>
      <c r="E2114" s="444" t="s">
        <v>75</v>
      </c>
      <c r="F2114" s="214">
        <v>1.0</v>
      </c>
      <c r="G2114" s="463">
        <f>VLOOKUP(A2114,'Master List'!$A$4:$F4826,5,FALSE)</f>
        <v>236.288</v>
      </c>
      <c r="H2114" s="206">
        <f t="shared" ref="H2114:H2121" si="222">G2114*F2114</f>
        <v>236.288</v>
      </c>
      <c r="I2114" s="219"/>
    </row>
    <row r="2115" outlineLevel="2">
      <c r="A2115" s="422" t="str">
        <f>'Master List'!A355</f>
        <v>M-PLB-203</v>
      </c>
      <c r="B2115" s="428"/>
      <c r="C2115" s="513" t="s">
        <v>2829</v>
      </c>
      <c r="D2115" s="462" t="str">
        <f>VLOOKUP(A2115,'Master List'!$A$1:$C$1192,2,FALSE)</f>
        <v>Насос циркуляции теплого пола -BCP 1</v>
      </c>
      <c r="E2115" s="444" t="s">
        <v>75</v>
      </c>
      <c r="F2115" s="214">
        <v>1.0</v>
      </c>
      <c r="G2115" s="463">
        <f>VLOOKUP(A2115,'Master List'!$A$4:$F4827,5,FALSE)</f>
        <v>447.33</v>
      </c>
      <c r="H2115" s="206">
        <f t="shared" si="222"/>
        <v>447.33</v>
      </c>
      <c r="I2115" s="219"/>
    </row>
    <row r="2116" outlineLevel="2">
      <c r="A2116" s="422" t="str">
        <f>'Master List'!A356</f>
        <v>M-PLB-204</v>
      </c>
      <c r="B2116" s="428"/>
      <c r="C2116" s="513" t="s">
        <v>2831</v>
      </c>
      <c r="D2116" s="462" t="str">
        <f>VLOOKUP(A2116,'Master List'!$A$1:$C$1192,2,FALSE)</f>
        <v>Насос циркуляции теплого пола -BCP 2</v>
      </c>
      <c r="E2116" s="444" t="s">
        <v>75</v>
      </c>
      <c r="F2116" s="214">
        <v>1.0</v>
      </c>
      <c r="G2116" s="463">
        <f>VLOOKUP(A2116,'Master List'!$A$4:$F4828,5,FALSE)</f>
        <v>934.7</v>
      </c>
      <c r="H2116" s="206">
        <f t="shared" si="222"/>
        <v>934.7</v>
      </c>
      <c r="I2116" s="219"/>
    </row>
    <row r="2117" outlineLevel="2">
      <c r="A2117" s="422" t="str">
        <f>'Master List'!A357</f>
        <v>M-PLB-205</v>
      </c>
      <c r="B2117" s="428"/>
      <c r="C2117" s="513" t="s">
        <v>2833</v>
      </c>
      <c r="D2117" s="462" t="str">
        <f>VLOOKUP(A2117,'Master List'!$A$1:$C$1192,2,FALSE)</f>
        <v>Насос циркуляции бассейна -BCPisc</v>
      </c>
      <c r="E2117" s="444" t="s">
        <v>75</v>
      </c>
      <c r="F2117" s="214">
        <v>1.0</v>
      </c>
      <c r="G2117" s="463">
        <f>VLOOKUP(A2117,'Master List'!$A$4:$F4829,5,FALSE)</f>
        <v>494</v>
      </c>
      <c r="H2117" s="206">
        <f t="shared" si="222"/>
        <v>494</v>
      </c>
      <c r="I2117" s="219"/>
    </row>
    <row r="2118" outlineLevel="2">
      <c r="A2118" s="422" t="str">
        <f>'Master List'!A358</f>
        <v>M-PLB-206</v>
      </c>
      <c r="B2118" s="428"/>
      <c r="C2118" s="513" t="s">
        <v>2835</v>
      </c>
      <c r="D2118" s="462" t="str">
        <f>VLOOKUP(A2118,'Master List'!$A$1:$C$1192,2,FALSE)</f>
        <v>Пластинчатый теплообменник титан 40кВт</v>
      </c>
      <c r="E2118" s="444" t="s">
        <v>75</v>
      </c>
      <c r="F2118" s="214">
        <v>1.0</v>
      </c>
      <c r="G2118" s="463">
        <f>VLOOKUP(A2118,'Master List'!$A$4:$F4830,5,FALSE)</f>
        <v>1467.7</v>
      </c>
      <c r="H2118" s="206">
        <f t="shared" si="222"/>
        <v>1467.7</v>
      </c>
      <c r="I2118" s="219"/>
    </row>
    <row r="2119" outlineLevel="2">
      <c r="A2119" s="422" t="str">
        <f>'Master List'!A359</f>
        <v>M-PLB-207</v>
      </c>
      <c r="B2119" s="428"/>
      <c r="C2119" s="513" t="s">
        <v>2837</v>
      </c>
      <c r="D2119" s="462" t="str">
        <f>VLOOKUP(A2119,'Master List'!$A$1:$C$1192,2,FALSE)</f>
        <v>Термостатический смесительный клапан</v>
      </c>
      <c r="E2119" s="444" t="s">
        <v>75</v>
      </c>
      <c r="F2119" s="214">
        <v>1.0</v>
      </c>
      <c r="G2119" s="463">
        <f>VLOOKUP(A2119,'Master List'!$A$4:$F4831,5,FALSE)</f>
        <v>109.694</v>
      </c>
      <c r="H2119" s="206">
        <f t="shared" si="222"/>
        <v>109.694</v>
      </c>
      <c r="I2119" s="219"/>
    </row>
    <row r="2120" outlineLevel="2">
      <c r="A2120" s="422" t="str">
        <f>'Master List'!A360</f>
        <v>M-PLB-208</v>
      </c>
      <c r="B2120" s="428"/>
      <c r="C2120" s="513" t="s">
        <v>2839</v>
      </c>
      <c r="D2120" s="462" t="str">
        <f>VLOOKUP(A2120,'Master List'!$A$1:$C$1192,2,FALSE)</f>
        <v>3-ходовой клапан</v>
      </c>
      <c r="E2120" s="444" t="s">
        <v>75</v>
      </c>
      <c r="F2120" s="214">
        <v>1.0</v>
      </c>
      <c r="G2120" s="463">
        <f>VLOOKUP(A2120,'Master List'!$A$4:$F4832,5,FALSE)</f>
        <v>201.76</v>
      </c>
      <c r="H2120" s="206">
        <f t="shared" si="222"/>
        <v>201.76</v>
      </c>
      <c r="I2120" s="219"/>
    </row>
    <row r="2121" outlineLevel="2">
      <c r="A2121" s="422" t="str">
        <f>'Master List'!A361</f>
        <v>M-PLB-209</v>
      </c>
      <c r="B2121" s="428"/>
      <c r="C2121" s="513" t="s">
        <v>2841</v>
      </c>
      <c r="D2121" s="462" t="str">
        <f>VLOOKUP(A2121,'Master List'!$A$1:$C$1192,2,FALSE)</f>
        <v>Различные гидравлические аксессуары</v>
      </c>
      <c r="E2121" s="444" t="s">
        <v>33</v>
      </c>
      <c r="F2121" s="214">
        <v>1.0</v>
      </c>
      <c r="G2121" s="463">
        <f>VLOOKUP(A2121,'Master List'!$A$4:$F4833,5,FALSE)</f>
        <v>110.5</v>
      </c>
      <c r="H2121" s="206">
        <f t="shared" si="222"/>
        <v>110.5</v>
      </c>
      <c r="I2121" s="219"/>
    </row>
    <row r="2122" outlineLevel="2">
      <c r="A2122" s="422"/>
      <c r="B2122" s="428"/>
      <c r="C2122" s="502"/>
      <c r="D2122" s="428"/>
      <c r="E2122" s="431"/>
      <c r="F2122" s="432"/>
      <c r="G2122" s="434"/>
      <c r="H2122" s="434"/>
      <c r="I2122" s="240"/>
    </row>
    <row r="2123" outlineLevel="2">
      <c r="A2123" s="422"/>
      <c r="B2123" s="472">
        <v>6.13</v>
      </c>
      <c r="C2123" s="517" t="s">
        <v>2842</v>
      </c>
      <c r="D2123" s="518" t="s">
        <v>1221</v>
      </c>
      <c r="E2123" s="519"/>
      <c r="F2123" s="520"/>
      <c r="G2123" s="521"/>
      <c r="H2123" s="521"/>
      <c r="I2123" s="240"/>
    </row>
    <row r="2124" outlineLevel="2">
      <c r="A2124" s="422"/>
      <c r="B2124" s="428"/>
      <c r="C2124" s="502"/>
      <c r="D2124" s="428"/>
      <c r="E2124" s="431"/>
      <c r="F2124" s="432"/>
      <c r="G2124" s="434"/>
      <c r="H2124" s="434"/>
      <c r="I2124" s="240"/>
    </row>
    <row r="2125" outlineLevel="2">
      <c r="A2125" s="422"/>
      <c r="B2125" s="428"/>
      <c r="C2125" s="513" t="s">
        <v>2844</v>
      </c>
      <c r="D2125" s="315" t="s">
        <v>1222</v>
      </c>
      <c r="E2125" s="444" t="s">
        <v>75</v>
      </c>
      <c r="F2125" s="214">
        <v>1.0</v>
      </c>
      <c r="G2125" s="205"/>
      <c r="H2125" s="206"/>
      <c r="I2125" s="219"/>
    </row>
    <row r="2126" outlineLevel="2">
      <c r="A2126" s="422"/>
      <c r="B2126" s="428"/>
      <c r="C2126" s="514"/>
      <c r="D2126" s="329"/>
      <c r="E2126" s="437"/>
      <c r="F2126" s="170"/>
      <c r="G2126" s="239"/>
      <c r="H2126" s="239"/>
      <c r="I2126" s="240"/>
    </row>
    <row r="2127" outlineLevel="2">
      <c r="A2127" s="422" t="str">
        <f>'Master List'!A761</f>
        <v>W-PLB-0169</v>
      </c>
      <c r="B2127" s="428"/>
      <c r="C2127" s="513" t="s">
        <v>2841</v>
      </c>
      <c r="D2127" s="462" t="str">
        <f>VLOOKUP(A2127,'Master List'!$A$1:$C$1192,2,FALSE)</f>
        <v>Монтаж теплового насосу для підігріву зовнішнього басейну</v>
      </c>
      <c r="E2127" s="444" t="s">
        <v>33</v>
      </c>
      <c r="F2127" s="214">
        <v>1.0</v>
      </c>
      <c r="G2127" s="463">
        <f>VLOOKUP(A2127,'Master List'!$A$4:$F4839,5,FALSE)</f>
        <v>585</v>
      </c>
      <c r="H2127" s="206">
        <f t="shared" ref="H2127:H2128" si="223">G2127*F2127</f>
        <v>585</v>
      </c>
      <c r="I2127" s="240"/>
    </row>
    <row r="2128" outlineLevel="2">
      <c r="A2128" s="422" t="str">
        <f>'Master List'!A362</f>
        <v>M-PLB-210</v>
      </c>
      <c r="B2128" s="428"/>
      <c r="C2128" s="513" t="s">
        <v>5629</v>
      </c>
      <c r="D2128" s="462" t="str">
        <f>VLOOKUP(A2128,'Master List'!$A$1:$C$1192,2,FALSE)</f>
        <v>Тепловий насос для нагріву зовнішнього басейну</v>
      </c>
      <c r="E2128" s="444" t="s">
        <v>33</v>
      </c>
      <c r="F2128" s="214">
        <v>1.0</v>
      </c>
      <c r="G2128" s="463">
        <f>VLOOKUP(A2128,'Master List'!$A$4:$F4840,5,FALSE)</f>
        <v>1625</v>
      </c>
      <c r="H2128" s="206">
        <f t="shared" si="223"/>
        <v>1625</v>
      </c>
      <c r="I2128" s="240"/>
    </row>
    <row r="2129" outlineLevel="2">
      <c r="A2129" s="422"/>
      <c r="B2129" s="428"/>
      <c r="C2129" s="514"/>
      <c r="D2129" s="329"/>
      <c r="E2129" s="437"/>
      <c r="F2129" s="170"/>
      <c r="G2129" s="239"/>
      <c r="H2129" s="239"/>
      <c r="I2129" s="240"/>
    </row>
    <row r="2130" outlineLevel="2">
      <c r="A2130" s="422"/>
      <c r="B2130" s="428"/>
      <c r="C2130" s="514"/>
      <c r="D2130" s="329"/>
      <c r="E2130" s="437"/>
      <c r="F2130" s="170"/>
      <c r="G2130" s="239"/>
      <c r="H2130" s="239"/>
      <c r="I2130" s="240"/>
    </row>
    <row r="2131" outlineLevel="2">
      <c r="A2131" s="422"/>
      <c r="B2131" s="428"/>
      <c r="C2131" s="502"/>
      <c r="D2131" s="428"/>
      <c r="E2131" s="431"/>
      <c r="F2131" s="432"/>
      <c r="G2131" s="434"/>
      <c r="H2131" s="434"/>
      <c r="I2131" s="240"/>
    </row>
    <row r="2132" outlineLevel="1">
      <c r="A2132" s="422"/>
      <c r="B2132" s="472"/>
      <c r="C2132" s="502"/>
      <c r="D2132" s="476" t="s">
        <v>5630</v>
      </c>
      <c r="E2132" s="431"/>
      <c r="F2132" s="432"/>
      <c r="G2132" s="436">
        <f>SUM(H2136:H2206)</f>
        <v>23613.8435</v>
      </c>
      <c r="H2132" s="434"/>
      <c r="I2132" s="240"/>
    </row>
    <row r="2133" outlineLevel="2">
      <c r="A2133" s="422"/>
      <c r="B2133" s="472"/>
      <c r="C2133" s="502"/>
      <c r="D2133" s="525"/>
      <c r="E2133" s="431"/>
      <c r="F2133" s="432"/>
      <c r="G2133" s="434"/>
      <c r="H2133" s="434"/>
      <c r="I2133" s="240"/>
    </row>
    <row r="2134" outlineLevel="2">
      <c r="A2134" s="422"/>
      <c r="B2134" s="472" t="s">
        <v>1223</v>
      </c>
      <c r="C2134" s="517" t="s">
        <v>2846</v>
      </c>
      <c r="D2134" s="518" t="s">
        <v>1224</v>
      </c>
      <c r="E2134" s="519"/>
      <c r="F2134" s="520"/>
      <c r="G2134" s="521"/>
      <c r="H2134" s="521"/>
      <c r="I2134" s="240"/>
    </row>
    <row r="2135" outlineLevel="2">
      <c r="A2135" s="422"/>
      <c r="B2135" s="472"/>
      <c r="C2135" s="522"/>
      <c r="D2135" s="523"/>
      <c r="E2135" s="519"/>
      <c r="F2135" s="520"/>
      <c r="G2135" s="521"/>
      <c r="H2135" s="521"/>
      <c r="I2135" s="240"/>
    </row>
    <row r="2136" outlineLevel="2">
      <c r="A2136" s="422"/>
      <c r="B2136" s="428"/>
      <c r="C2136" s="513" t="s">
        <v>2848</v>
      </c>
      <c r="D2136" s="315" t="s">
        <v>1225</v>
      </c>
      <c r="E2136" s="444" t="s">
        <v>877</v>
      </c>
      <c r="F2136" s="214">
        <v>20.0</v>
      </c>
      <c r="G2136" s="205"/>
      <c r="H2136" s="206"/>
      <c r="I2136" s="219"/>
    </row>
    <row r="2137" outlineLevel="2">
      <c r="A2137" s="422"/>
      <c r="B2137" s="428"/>
      <c r="C2137" s="513" t="s">
        <v>2849</v>
      </c>
      <c r="D2137" s="315" t="s">
        <v>1226</v>
      </c>
      <c r="E2137" s="444" t="s">
        <v>877</v>
      </c>
      <c r="F2137" s="214">
        <v>22.0</v>
      </c>
      <c r="G2137" s="205"/>
      <c r="H2137" s="206"/>
      <c r="I2137" s="219"/>
    </row>
    <row r="2138" outlineLevel="2">
      <c r="A2138" s="422"/>
      <c r="B2138" s="428"/>
      <c r="C2138" s="514"/>
      <c r="D2138" s="329"/>
      <c r="E2138" s="437"/>
      <c r="F2138" s="170"/>
      <c r="G2138" s="239"/>
      <c r="H2138" s="239"/>
      <c r="I2138" s="240"/>
    </row>
    <row r="2139" outlineLevel="2">
      <c r="A2139" s="422" t="str">
        <f>'Master List'!A763</f>
        <v>W-PLB-0171</v>
      </c>
      <c r="B2139" s="428"/>
      <c r="C2139" s="513" t="s">
        <v>5629</v>
      </c>
      <c r="D2139" s="462" t="str">
        <f>VLOOKUP(A2139,'Master List'!$A$1:$C$1192,2,FALSE)</f>
        <v>Прокладання повітропроводів діаметром до 200мм</v>
      </c>
      <c r="E2139" s="444" t="s">
        <v>5631</v>
      </c>
      <c r="F2139" s="214">
        <f>F2136+F2137</f>
        <v>42</v>
      </c>
      <c r="G2139" s="463">
        <f>VLOOKUP(A2139,'Master List'!$A$4:$F4857,5,FALSE)</f>
        <v>11.7</v>
      </c>
      <c r="H2139" s="206">
        <f t="shared" ref="H2139:H2141" si="224">G2139*F2139</f>
        <v>491.4</v>
      </c>
      <c r="I2139" s="240"/>
    </row>
    <row r="2140" outlineLevel="2">
      <c r="A2140" s="422" t="str">
        <f>'Master List'!A363</f>
        <v>M-PLB-211</v>
      </c>
      <c r="B2140" s="428"/>
      <c r="C2140" s="513" t="s">
        <v>5632</v>
      </c>
      <c r="D2140" s="462" t="str">
        <f>VLOOKUP(A2140,'Master List'!$A$1:$C$1192,2,FALSE)</f>
        <v>Повітропровід діаметром 125мм</v>
      </c>
      <c r="E2140" s="444" t="s">
        <v>5631</v>
      </c>
      <c r="F2140" s="214">
        <f t="shared" ref="F2140:F2141" si="225">F2136*1.05</f>
        <v>21</v>
      </c>
      <c r="G2140" s="463">
        <f>VLOOKUP(A2140,'Master List'!$A$4:$F4858,5,FALSE)</f>
        <v>66.95</v>
      </c>
      <c r="H2140" s="206">
        <f t="shared" si="224"/>
        <v>1405.95</v>
      </c>
      <c r="I2140" s="240"/>
    </row>
    <row r="2141" outlineLevel="2">
      <c r="A2141" s="422" t="str">
        <f>'Master List'!A364</f>
        <v>M-PLB-212</v>
      </c>
      <c r="B2141" s="428"/>
      <c r="C2141" s="513" t="s">
        <v>5633</v>
      </c>
      <c r="D2141" s="462" t="str">
        <f>VLOOKUP(A2141,'Master List'!$A$1:$C$1192,2,FALSE)</f>
        <v>Повітропровід з листового металу діаметром 200мм</v>
      </c>
      <c r="E2141" s="444" t="s">
        <v>5631</v>
      </c>
      <c r="F2141" s="214">
        <f t="shared" si="225"/>
        <v>23.1</v>
      </c>
      <c r="G2141" s="463">
        <f>VLOOKUP(A2141,'Master List'!$A$4:$F4859,5,FALSE)</f>
        <v>39</v>
      </c>
      <c r="H2141" s="206">
        <f t="shared" si="224"/>
        <v>900.9</v>
      </c>
      <c r="I2141" s="240"/>
    </row>
    <row r="2142" outlineLevel="2">
      <c r="A2142" s="422"/>
      <c r="B2142" s="428"/>
      <c r="C2142" s="502"/>
      <c r="D2142" s="428"/>
      <c r="E2142" s="431"/>
      <c r="F2142" s="432"/>
      <c r="G2142" s="434"/>
      <c r="H2142" s="434"/>
      <c r="I2142" s="240"/>
    </row>
    <row r="2143" outlineLevel="2">
      <c r="A2143" s="422"/>
      <c r="B2143" s="472" t="s">
        <v>1227</v>
      </c>
      <c r="C2143" s="517" t="s">
        <v>2850</v>
      </c>
      <c r="D2143" s="518" t="s">
        <v>1228</v>
      </c>
      <c r="E2143" s="519"/>
      <c r="F2143" s="520"/>
      <c r="G2143" s="521"/>
      <c r="H2143" s="521"/>
      <c r="I2143" s="240"/>
    </row>
    <row r="2144" outlineLevel="2">
      <c r="A2144" s="422"/>
      <c r="B2144" s="428"/>
      <c r="C2144" s="502"/>
      <c r="D2144" s="428"/>
      <c r="E2144" s="431"/>
      <c r="F2144" s="432"/>
      <c r="G2144" s="434"/>
      <c r="H2144" s="434"/>
      <c r="I2144" s="240"/>
    </row>
    <row r="2145" outlineLevel="2">
      <c r="A2145" s="422"/>
      <c r="B2145" s="428"/>
      <c r="C2145" s="513" t="s">
        <v>2852</v>
      </c>
      <c r="D2145" s="315" t="s">
        <v>1229</v>
      </c>
      <c r="E2145" s="444" t="s">
        <v>877</v>
      </c>
      <c r="F2145" s="214">
        <v>236.0</v>
      </c>
      <c r="G2145" s="205"/>
      <c r="H2145" s="206"/>
      <c r="I2145" s="219"/>
    </row>
    <row r="2146" outlineLevel="2">
      <c r="A2146" s="422"/>
      <c r="B2146" s="428"/>
      <c r="C2146" s="514"/>
      <c r="D2146" s="329"/>
      <c r="E2146" s="437"/>
      <c r="F2146" s="170"/>
      <c r="G2146" s="239"/>
      <c r="H2146" s="239"/>
      <c r="I2146" s="240"/>
    </row>
    <row r="2147" outlineLevel="2">
      <c r="A2147" s="422" t="str">
        <f>'Master List'!A762</f>
        <v>W-PLB-0170</v>
      </c>
      <c r="B2147" s="428"/>
      <c r="C2147" s="513" t="s">
        <v>5629</v>
      </c>
      <c r="D2147" s="462" t="str">
        <f>VLOOKUP(A2147,'Master List'!$A$1:$C$1192,2,FALSE)</f>
        <v>Прокладання повітропроводів діаметром до 100мм</v>
      </c>
      <c r="E2147" s="444" t="s">
        <v>5631</v>
      </c>
      <c r="F2147" s="214">
        <f>F2145</f>
        <v>236</v>
      </c>
      <c r="G2147" s="463">
        <f>VLOOKUP(A2147,'Master List'!$A$4:$F4865,5,FALSE)</f>
        <v>7.8</v>
      </c>
      <c r="H2147" s="206">
        <f t="shared" ref="H2147:H2148" si="226">G2147*F2147</f>
        <v>1840.8</v>
      </c>
      <c r="I2147" s="240"/>
    </row>
    <row r="2148" outlineLevel="2">
      <c r="A2148" s="422" t="str">
        <f>'Master List'!A365</f>
        <v>M-PLB-213</v>
      </c>
      <c r="B2148" s="428"/>
      <c r="C2148" s="513" t="s">
        <v>5632</v>
      </c>
      <c r="D2148" s="462" t="str">
        <f>VLOOKUP(A2148,'Master List'!$A$1:$C$1192,2,FALSE)</f>
        <v>Повітропровід з ПВХ діаметром 80мм</v>
      </c>
      <c r="E2148" s="444" t="s">
        <v>5631</v>
      </c>
      <c r="F2148" s="214">
        <f>F2145*1.05</f>
        <v>247.8</v>
      </c>
      <c r="G2148" s="463">
        <f>VLOOKUP(A2148,'Master List'!$A$4:$F4866,5,FALSE)</f>
        <v>24.687</v>
      </c>
      <c r="H2148" s="206">
        <f t="shared" si="226"/>
        <v>6117.4386</v>
      </c>
      <c r="I2148" s="240"/>
    </row>
    <row r="2149" outlineLevel="2">
      <c r="A2149" s="422"/>
      <c r="B2149" s="428"/>
      <c r="C2149" s="502"/>
      <c r="D2149" s="428"/>
      <c r="E2149" s="431"/>
      <c r="F2149" s="432"/>
      <c r="G2149" s="434"/>
      <c r="H2149" s="434"/>
      <c r="I2149" s="240"/>
    </row>
    <row r="2150" outlineLevel="2">
      <c r="A2150" s="422"/>
      <c r="B2150" s="472" t="s">
        <v>1230</v>
      </c>
      <c r="C2150" s="517" t="s">
        <v>2853</v>
      </c>
      <c r="D2150" s="518" t="s">
        <v>1231</v>
      </c>
      <c r="E2150" s="519"/>
      <c r="F2150" s="520"/>
      <c r="G2150" s="521"/>
      <c r="H2150" s="521"/>
      <c r="I2150" s="240"/>
    </row>
    <row r="2151" outlineLevel="2">
      <c r="A2151" s="422"/>
      <c r="B2151" s="428"/>
      <c r="C2151" s="502"/>
      <c r="D2151" s="428"/>
      <c r="E2151" s="431"/>
      <c r="F2151" s="432"/>
      <c r="G2151" s="434"/>
      <c r="H2151" s="434"/>
      <c r="I2151" s="240"/>
    </row>
    <row r="2152" outlineLevel="2">
      <c r="A2152" s="422"/>
      <c r="B2152" s="428"/>
      <c r="C2152" s="513" t="s">
        <v>2855</v>
      </c>
      <c r="D2152" s="315" t="s">
        <v>1232</v>
      </c>
      <c r="E2152" s="444" t="s">
        <v>877</v>
      </c>
      <c r="F2152" s="214">
        <v>8.0</v>
      </c>
      <c r="G2152" s="205"/>
      <c r="H2152" s="206"/>
      <c r="I2152" s="219"/>
    </row>
    <row r="2153" outlineLevel="2">
      <c r="A2153" s="422"/>
      <c r="B2153" s="428"/>
      <c r="C2153" s="513" t="s">
        <v>2856</v>
      </c>
      <c r="D2153" s="315" t="s">
        <v>1233</v>
      </c>
      <c r="E2153" s="444" t="s">
        <v>877</v>
      </c>
      <c r="F2153" s="214">
        <v>4.0</v>
      </c>
      <c r="G2153" s="205"/>
      <c r="H2153" s="206"/>
      <c r="I2153" s="219"/>
    </row>
    <row r="2154" outlineLevel="2">
      <c r="A2154" s="422"/>
      <c r="B2154" s="428"/>
      <c r="C2154" s="514"/>
      <c r="D2154" s="329"/>
      <c r="E2154" s="437"/>
      <c r="F2154" s="170"/>
      <c r="G2154" s="239"/>
      <c r="H2154" s="239"/>
      <c r="I2154" s="240"/>
    </row>
    <row r="2155" outlineLevel="2">
      <c r="A2155" s="422" t="str">
        <f>'Master List'!A762</f>
        <v>W-PLB-0170</v>
      </c>
      <c r="B2155" s="428"/>
      <c r="C2155" s="513" t="s">
        <v>5629</v>
      </c>
      <c r="D2155" s="462" t="str">
        <f>VLOOKUP(A2155,'Master List'!$A$1:$C$1192,2,FALSE)</f>
        <v>Прокладання повітропроводів діаметром до 100мм</v>
      </c>
      <c r="E2155" s="444" t="s">
        <v>5631</v>
      </c>
      <c r="F2155" s="214">
        <f t="shared" ref="F2155:F2156" si="227">F2152</f>
        <v>8</v>
      </c>
      <c r="G2155" s="463">
        <f>VLOOKUP(A2155,'Master List'!$A$4:$F4874,5,FALSE)</f>
        <v>7.8</v>
      </c>
      <c r="H2155" s="206">
        <f t="shared" ref="H2155:H2158" si="228">G2155*F2155</f>
        <v>62.4</v>
      </c>
      <c r="I2155" s="240"/>
    </row>
    <row r="2156" outlineLevel="2">
      <c r="A2156" s="422" t="str">
        <f>'Master List'!A763</f>
        <v>W-PLB-0171</v>
      </c>
      <c r="B2156" s="428"/>
      <c r="C2156" s="513" t="s">
        <v>5632</v>
      </c>
      <c r="D2156" s="462" t="str">
        <f>VLOOKUP(A2156,'Master List'!$A$1:$C$1192,2,FALSE)</f>
        <v>Прокладання повітропроводів діаметром до 200мм</v>
      </c>
      <c r="E2156" s="444" t="s">
        <v>5631</v>
      </c>
      <c r="F2156" s="214">
        <f t="shared" si="227"/>
        <v>4</v>
      </c>
      <c r="G2156" s="463">
        <f>VLOOKUP(A2156,'Master List'!$A$4:$F4875,5,FALSE)</f>
        <v>11.7</v>
      </c>
      <c r="H2156" s="206">
        <f t="shared" si="228"/>
        <v>46.8</v>
      </c>
      <c r="I2156" s="240"/>
    </row>
    <row r="2157" outlineLevel="2">
      <c r="A2157" s="422" t="str">
        <f>'Master List'!A366</f>
        <v>M-PLB-214</v>
      </c>
      <c r="B2157" s="428"/>
      <c r="C2157" s="513" t="s">
        <v>5633</v>
      </c>
      <c r="D2157" s="462" t="str">
        <f>VLOOKUP(A2157,'Master List'!$A$1:$C$1192,2,FALSE)</f>
        <v>Повітропровід з листового металу діаметром 100мм</v>
      </c>
      <c r="E2157" s="444" t="s">
        <v>5631</v>
      </c>
      <c r="F2157" s="214">
        <f t="shared" ref="F2157:F2158" si="229">F2152*1.05</f>
        <v>8.4</v>
      </c>
      <c r="G2157" s="463">
        <f>VLOOKUP(A2157,'Master List'!$A$4:$F4876,5,FALSE)</f>
        <v>18.369</v>
      </c>
      <c r="H2157" s="206">
        <f t="shared" si="228"/>
        <v>154.2996</v>
      </c>
      <c r="I2157" s="240"/>
    </row>
    <row r="2158" outlineLevel="2">
      <c r="A2158" s="422" t="str">
        <f>'Master List'!A367</f>
        <v>M-PLB-215</v>
      </c>
      <c r="B2158" s="428"/>
      <c r="C2158" s="513" t="s">
        <v>5634</v>
      </c>
      <c r="D2158" s="462" t="str">
        <f>VLOOKUP(A2158,'Master List'!$A$1:$C$1192,2,FALSE)</f>
        <v>Повітропровід з листового металу діаметром 150мм</v>
      </c>
      <c r="E2158" s="444" t="s">
        <v>5631</v>
      </c>
      <c r="F2158" s="214">
        <f t="shared" si="229"/>
        <v>4.2</v>
      </c>
      <c r="G2158" s="463">
        <f>VLOOKUP(A2158,'Master List'!$A$4:$F4877,5,FALSE)</f>
        <v>31.564</v>
      </c>
      <c r="H2158" s="206">
        <f t="shared" si="228"/>
        <v>132.5688</v>
      </c>
      <c r="I2158" s="240"/>
    </row>
    <row r="2159" outlineLevel="2">
      <c r="A2159" s="422"/>
      <c r="B2159" s="428"/>
      <c r="C2159" s="502"/>
      <c r="D2159" s="428"/>
      <c r="E2159" s="431"/>
      <c r="F2159" s="432"/>
      <c r="G2159" s="434"/>
      <c r="H2159" s="434"/>
      <c r="I2159" s="240"/>
    </row>
    <row r="2160" outlineLevel="2">
      <c r="A2160" s="422"/>
      <c r="B2160" s="472" t="s">
        <v>1234</v>
      </c>
      <c r="C2160" s="513" t="s">
        <v>2857</v>
      </c>
      <c r="D2160" s="315" t="s">
        <v>1235</v>
      </c>
      <c r="E2160" s="444" t="s">
        <v>1236</v>
      </c>
      <c r="F2160" s="214">
        <v>110.0</v>
      </c>
      <c r="G2160" s="205"/>
      <c r="H2160" s="206"/>
      <c r="I2160" s="219"/>
    </row>
    <row r="2161" outlineLevel="2">
      <c r="A2161" s="422"/>
      <c r="B2161" s="472"/>
      <c r="C2161" s="514"/>
      <c r="D2161" s="329"/>
      <c r="E2161" s="437"/>
      <c r="F2161" s="170"/>
      <c r="G2161" s="239"/>
      <c r="H2161" s="239"/>
      <c r="I2161" s="240"/>
    </row>
    <row r="2162" outlineLevel="2">
      <c r="A2162" s="422" t="str">
        <f>'Master List'!A764</f>
        <v>W-PLB-0172</v>
      </c>
      <c r="B2162" s="472"/>
      <c r="C2162" s="513" t="s">
        <v>5629</v>
      </c>
      <c r="D2162" s="462" t="str">
        <f>VLOOKUP(A2162,'Master List'!$A$1:$C$1192,2,FALSE)</f>
        <v>Прокладання прямокутних повітропроводів з ізольованого алюмінію</v>
      </c>
      <c r="E2162" s="444" t="s">
        <v>5635</v>
      </c>
      <c r="F2162" s="214">
        <f>F2160</f>
        <v>110</v>
      </c>
      <c r="G2162" s="463">
        <f>VLOOKUP(A2162,'Master List'!$A$4:$F4881,5,FALSE)</f>
        <v>20.8</v>
      </c>
      <c r="H2162" s="206">
        <f t="shared" ref="H2162:H2163" si="230">G2162*F2162</f>
        <v>2288</v>
      </c>
      <c r="I2162" s="240"/>
    </row>
    <row r="2163" outlineLevel="2">
      <c r="A2163" s="422" t="str">
        <f>'Master List'!A368</f>
        <v>M-PLB-216</v>
      </c>
      <c r="B2163" s="472"/>
      <c r="C2163" s="513" t="s">
        <v>5632</v>
      </c>
      <c r="D2163" s="462" t="str">
        <f>VLOOKUP(A2163,'Master List'!$A$1:$C$1192,2,FALSE)</f>
        <v>Прямокутні повітропроводи з ізольованого алюмінію</v>
      </c>
      <c r="E2163" s="444" t="s">
        <v>5635</v>
      </c>
      <c r="F2163" s="214">
        <f>F2160*1.05</f>
        <v>115.5</v>
      </c>
      <c r="G2163" s="463">
        <f>VLOOKUP(A2163,'Master List'!$A$4:$F4882,5,FALSE)</f>
        <v>34.749</v>
      </c>
      <c r="H2163" s="206">
        <f t="shared" si="230"/>
        <v>4013.5095</v>
      </c>
      <c r="I2163" s="240"/>
    </row>
    <row r="2164" outlineLevel="2">
      <c r="A2164" s="422"/>
      <c r="B2164" s="428"/>
      <c r="C2164" s="502"/>
      <c r="D2164" s="428"/>
      <c r="E2164" s="431"/>
      <c r="F2164" s="432"/>
      <c r="G2164" s="434"/>
      <c r="H2164" s="434"/>
      <c r="I2164" s="240"/>
    </row>
    <row r="2165" outlineLevel="2">
      <c r="A2165" s="422"/>
      <c r="B2165" s="472" t="s">
        <v>1237</v>
      </c>
      <c r="C2165" s="517" t="s">
        <v>2859</v>
      </c>
      <c r="D2165" s="316" t="s">
        <v>1238</v>
      </c>
      <c r="E2165" s="437"/>
      <c r="F2165" s="170"/>
      <c r="G2165" s="239"/>
      <c r="H2165" s="239"/>
      <c r="I2165" s="240"/>
    </row>
    <row r="2166" outlineLevel="2">
      <c r="A2166" s="422"/>
      <c r="B2166" s="428"/>
      <c r="C2166" s="502"/>
      <c r="D2166" s="428"/>
      <c r="E2166" s="431"/>
      <c r="F2166" s="432"/>
      <c r="G2166" s="434"/>
      <c r="H2166" s="434"/>
      <c r="I2166" s="240"/>
    </row>
    <row r="2167" outlineLevel="2">
      <c r="A2167" s="422"/>
      <c r="B2167" s="428"/>
      <c r="C2167" s="513" t="s">
        <v>2861</v>
      </c>
      <c r="D2167" s="315" t="s">
        <v>1239</v>
      </c>
      <c r="E2167" s="444" t="s">
        <v>75</v>
      </c>
      <c r="F2167" s="214">
        <v>1.0</v>
      </c>
      <c r="G2167" s="205"/>
      <c r="H2167" s="206"/>
      <c r="I2167" s="219"/>
    </row>
    <row r="2168" outlineLevel="2">
      <c r="A2168" s="422"/>
      <c r="B2168" s="428"/>
      <c r="C2168" s="514"/>
      <c r="D2168" s="329"/>
      <c r="E2168" s="437"/>
      <c r="F2168" s="170"/>
      <c r="G2168" s="239"/>
      <c r="H2168" s="239"/>
      <c r="I2168" s="240"/>
    </row>
    <row r="2169" outlineLevel="2">
      <c r="A2169" s="422" t="str">
        <f>'Master List'!A765</f>
        <v>W-PLB-0173</v>
      </c>
      <c r="B2169" s="450"/>
      <c r="C2169" s="513" t="s">
        <v>5629</v>
      </c>
      <c r="D2169" s="462" t="str">
        <f>VLOOKUP(A2169,'Master List'!$A$1:$C$1192,2,FALSE)</f>
        <v>Монтаж вентиляційної установки з рекуперацією тепла</v>
      </c>
      <c r="E2169" s="444" t="s">
        <v>5636</v>
      </c>
      <c r="F2169" s="214">
        <v>1.0</v>
      </c>
      <c r="G2169" s="463">
        <f>VLOOKUP(A2169,'Master List'!$A$4:$F4890,5,FALSE)</f>
        <v>715</v>
      </c>
      <c r="H2169" s="206">
        <f t="shared" ref="H2169:H2170" si="231">G2169*F2169</f>
        <v>715</v>
      </c>
      <c r="I2169" s="240"/>
      <c r="J2169" s="102"/>
      <c r="K2169" s="102"/>
      <c r="L2169" s="102"/>
      <c r="M2169" s="102"/>
      <c r="N2169" s="102"/>
    </row>
    <row r="2170" outlineLevel="2">
      <c r="A2170" s="422" t="str">
        <f>'Master List'!A369</f>
        <v>M-PLB-217</v>
      </c>
      <c r="B2170" s="428"/>
      <c r="C2170" s="513" t="s">
        <v>5632</v>
      </c>
      <c r="D2170" s="462" t="str">
        <f>VLOOKUP(A2170,'Master List'!$A$1:$C$1192,2,FALSE)</f>
        <v>Вентиляційна установка з рекуперацією тепла</v>
      </c>
      <c r="E2170" s="444" t="s">
        <v>5636</v>
      </c>
      <c r="F2170" s="214">
        <v>1.0</v>
      </c>
      <c r="G2170" s="463">
        <f>VLOOKUP(A2170,'Master List'!$A$4:$F4891,5,FALSE)</f>
        <v>1978.6</v>
      </c>
      <c r="H2170" s="206">
        <f t="shared" si="231"/>
        <v>1978.6</v>
      </c>
      <c r="I2170" s="240"/>
    </row>
    <row r="2171" outlineLevel="2">
      <c r="A2171" s="422"/>
      <c r="B2171" s="428"/>
      <c r="C2171" s="502"/>
      <c r="D2171" s="428"/>
      <c r="E2171" s="431"/>
      <c r="F2171" s="432"/>
      <c r="G2171" s="434"/>
      <c r="H2171" s="434"/>
      <c r="I2171" s="240"/>
    </row>
    <row r="2172" outlineLevel="2">
      <c r="A2172" s="422"/>
      <c r="B2172" s="472" t="s">
        <v>1240</v>
      </c>
      <c r="C2172" s="517" t="s">
        <v>2862</v>
      </c>
      <c r="D2172" s="518" t="s">
        <v>1241</v>
      </c>
      <c r="E2172" s="519"/>
      <c r="F2172" s="520"/>
      <c r="G2172" s="521"/>
      <c r="H2172" s="521"/>
      <c r="I2172" s="240"/>
    </row>
    <row r="2173" outlineLevel="2">
      <c r="A2173" s="422"/>
      <c r="B2173" s="428"/>
      <c r="C2173" s="502"/>
      <c r="D2173" s="428"/>
      <c r="E2173" s="431"/>
      <c r="F2173" s="432"/>
      <c r="G2173" s="434"/>
      <c r="H2173" s="434"/>
      <c r="I2173" s="240"/>
    </row>
    <row r="2174" outlineLevel="2">
      <c r="A2174" s="422"/>
      <c r="B2174" s="428"/>
      <c r="C2174" s="513" t="s">
        <v>2864</v>
      </c>
      <c r="D2174" s="315" t="s">
        <v>1242</v>
      </c>
      <c r="E2174" s="444" t="s">
        <v>75</v>
      </c>
      <c r="F2174" s="214">
        <v>1.0</v>
      </c>
      <c r="G2174" s="205"/>
      <c r="H2174" s="206"/>
      <c r="I2174" s="219"/>
    </row>
    <row r="2175" outlineLevel="2">
      <c r="A2175" s="422"/>
      <c r="B2175" s="428"/>
      <c r="C2175" s="514"/>
      <c r="D2175" s="329"/>
      <c r="E2175" s="437"/>
      <c r="F2175" s="170"/>
      <c r="G2175" s="239"/>
      <c r="H2175" s="239"/>
      <c r="I2175" s="240"/>
    </row>
    <row r="2176" outlineLevel="2">
      <c r="A2176" s="422" t="str">
        <f>'Master List'!A766</f>
        <v>W-PLB-0174</v>
      </c>
      <c r="B2176" s="428"/>
      <c r="C2176" s="513" t="s">
        <v>5629</v>
      </c>
      <c r="D2176" s="462" t="str">
        <f>VLOOKUP(A2176,'Master List'!$A$1:$C$1192,2,FALSE)</f>
        <v>Монтаж вентиляторів канальних</v>
      </c>
      <c r="E2176" s="444" t="s">
        <v>5636</v>
      </c>
      <c r="F2176" s="214">
        <v>1.0</v>
      </c>
      <c r="G2176" s="463">
        <f>VLOOKUP(A2176,'Master List'!$A$4:$F4899,5,FALSE)</f>
        <v>104</v>
      </c>
      <c r="H2176" s="206">
        <f t="shared" ref="H2176:H2177" si="232">G2176*F2176</f>
        <v>104</v>
      </c>
      <c r="I2176" s="240"/>
    </row>
    <row r="2177" outlineLevel="2">
      <c r="A2177" s="422" t="str">
        <f>'Master List'!A370</f>
        <v>M-PLB-218</v>
      </c>
      <c r="B2177" s="428"/>
      <c r="C2177" s="513" t="s">
        <v>5632</v>
      </c>
      <c r="D2177" s="462" t="str">
        <f>VLOOKUP(A2177,'Master List'!$A$1:$C$1192,2,FALSE)</f>
        <v>Вентилятори канальні</v>
      </c>
      <c r="E2177" s="444" t="s">
        <v>5636</v>
      </c>
      <c r="F2177" s="214">
        <v>1.0</v>
      </c>
      <c r="G2177" s="463">
        <f>VLOOKUP(A2177,'Master List'!$A$4:$F4900,5,FALSE)</f>
        <v>106.34</v>
      </c>
      <c r="H2177" s="206">
        <f t="shared" si="232"/>
        <v>106.34</v>
      </c>
      <c r="I2177" s="240"/>
    </row>
    <row r="2178" outlineLevel="2">
      <c r="A2178" s="422"/>
      <c r="B2178" s="428"/>
      <c r="C2178" s="502"/>
      <c r="D2178" s="428"/>
      <c r="E2178" s="431"/>
      <c r="F2178" s="432"/>
      <c r="G2178" s="434"/>
      <c r="H2178" s="434"/>
      <c r="I2178" s="240"/>
    </row>
    <row r="2179" outlineLevel="2">
      <c r="A2179" s="422"/>
      <c r="B2179" s="472">
        <v>6.2</v>
      </c>
      <c r="C2179" s="513" t="s">
        <v>2865</v>
      </c>
      <c r="D2179" s="315" t="s">
        <v>1243</v>
      </c>
      <c r="E2179" s="444" t="s">
        <v>227</v>
      </c>
      <c r="F2179" s="214">
        <v>1.0</v>
      </c>
      <c r="G2179" s="205"/>
      <c r="H2179" s="206"/>
      <c r="I2179" s="219"/>
    </row>
    <row r="2180" outlineLevel="2">
      <c r="A2180" s="422"/>
      <c r="B2180" s="472"/>
      <c r="C2180" s="514"/>
      <c r="D2180" s="329"/>
      <c r="E2180" s="437"/>
      <c r="F2180" s="170"/>
      <c r="G2180" s="239"/>
      <c r="H2180" s="239"/>
      <c r="I2180" s="240"/>
    </row>
    <row r="2181" outlineLevel="2">
      <c r="A2181" s="422" t="str">
        <f>'Master List'!A767</f>
        <v>W-PLB-0175</v>
      </c>
      <c r="B2181" s="472"/>
      <c r="C2181" s="513" t="s">
        <v>5629</v>
      </c>
      <c r="D2181" s="462" t="str">
        <f>VLOOKUP(A2181,'Master List'!$A$1:$C$1192,2,FALSE)</f>
        <v>Монтаж заслінки вентиляційної</v>
      </c>
      <c r="E2181" s="444" t="s">
        <v>5636</v>
      </c>
      <c r="F2181" s="214">
        <v>1.0</v>
      </c>
      <c r="G2181" s="463">
        <f>VLOOKUP(A2181,'Master List'!$A$4:$F4903,5,FALSE)</f>
        <v>52</v>
      </c>
      <c r="H2181" s="206">
        <f t="shared" ref="H2181:H2182" si="233">G2181*F2181</f>
        <v>52</v>
      </c>
      <c r="I2181" s="240"/>
      <c r="J2181" s="102"/>
      <c r="K2181" s="102"/>
      <c r="L2181" s="102"/>
      <c r="M2181" s="102"/>
      <c r="N2181" s="102"/>
    </row>
    <row r="2182" outlineLevel="2">
      <c r="A2182" s="422" t="str">
        <f>'Master List'!A371</f>
        <v>M-PLB-219</v>
      </c>
      <c r="B2182" s="472"/>
      <c r="C2182" s="513" t="s">
        <v>5632</v>
      </c>
      <c r="D2182" s="462" t="str">
        <f>VLOOKUP(A2182,'Master List'!$A$1:$C$1192,2,FALSE)</f>
        <v>Заслінка вентиляційна</v>
      </c>
      <c r="E2182" s="444" t="s">
        <v>5636</v>
      </c>
      <c r="F2182" s="214">
        <v>1.0</v>
      </c>
      <c r="G2182" s="463">
        <f>VLOOKUP(A2182,'Master List'!$A$4:$F4904,5,FALSE)</f>
        <v>10.556</v>
      </c>
      <c r="H2182" s="206">
        <f t="shared" si="233"/>
        <v>10.556</v>
      </c>
      <c r="I2182" s="240"/>
    </row>
    <row r="2183" outlineLevel="2">
      <c r="A2183" s="422"/>
      <c r="B2183" s="428"/>
      <c r="C2183" s="502"/>
      <c r="D2183" s="428"/>
      <c r="E2183" s="431"/>
      <c r="F2183" s="432"/>
      <c r="G2183" s="434"/>
      <c r="H2183" s="434"/>
      <c r="I2183" s="240"/>
    </row>
    <row r="2184" outlineLevel="2">
      <c r="A2184" s="422"/>
      <c r="B2184" s="472" t="s">
        <v>1244</v>
      </c>
      <c r="C2184" s="517" t="s">
        <v>2867</v>
      </c>
      <c r="D2184" s="316" t="s">
        <v>1245</v>
      </c>
      <c r="E2184" s="437"/>
      <c r="F2184" s="170"/>
      <c r="G2184" s="239"/>
      <c r="H2184" s="239"/>
      <c r="I2184" s="240"/>
    </row>
    <row r="2185" outlineLevel="2">
      <c r="A2185" s="422"/>
      <c r="B2185" s="428"/>
      <c r="C2185" s="502"/>
      <c r="D2185" s="428"/>
      <c r="E2185" s="431"/>
      <c r="F2185" s="432"/>
      <c r="G2185" s="434"/>
      <c r="H2185" s="434"/>
      <c r="I2185" s="240"/>
    </row>
    <row r="2186" outlineLevel="2">
      <c r="A2186" s="422"/>
      <c r="B2186" s="428"/>
      <c r="C2186" s="513" t="s">
        <v>2869</v>
      </c>
      <c r="D2186" s="315" t="s">
        <v>1246</v>
      </c>
      <c r="E2186" s="444" t="s">
        <v>75</v>
      </c>
      <c r="F2186" s="214">
        <v>10.0</v>
      </c>
      <c r="G2186" s="205"/>
      <c r="H2186" s="206"/>
      <c r="I2186" s="219"/>
    </row>
    <row r="2187" outlineLevel="2">
      <c r="A2187" s="422"/>
      <c r="B2187" s="428"/>
      <c r="C2187" s="514"/>
      <c r="D2187" s="329"/>
      <c r="E2187" s="437"/>
      <c r="F2187" s="170"/>
      <c r="G2187" s="239"/>
      <c r="H2187" s="239"/>
      <c r="I2187" s="240"/>
    </row>
    <row r="2188" outlineLevel="2">
      <c r="A2188" s="422" t="str">
        <f>'Master List'!A768</f>
        <v>W-PLB-0176</v>
      </c>
      <c r="B2188" s="428"/>
      <c r="C2188" s="513" t="s">
        <v>5629</v>
      </c>
      <c r="D2188" s="462" t="str">
        <f>VLOOKUP(A2188,'Master List'!$A$1:$C$1192,2,FALSE)</f>
        <v>Монтаж клапану витяжного</v>
      </c>
      <c r="E2188" s="444" t="s">
        <v>5636</v>
      </c>
      <c r="F2188" s="214">
        <v>10.0</v>
      </c>
      <c r="G2188" s="463">
        <f>VLOOKUP(A2188,'Master List'!$A$4:$F4914,5,FALSE)</f>
        <v>32.5</v>
      </c>
      <c r="H2188" s="206">
        <f t="shared" ref="H2188:H2189" si="234">G2188*F2188</f>
        <v>325</v>
      </c>
      <c r="I2188" s="240"/>
    </row>
    <row r="2189" outlineLevel="2">
      <c r="A2189" s="422" t="str">
        <f>'Master List'!A372</f>
        <v>M-PLB-220</v>
      </c>
      <c r="B2189" s="428"/>
      <c r="C2189" s="513" t="s">
        <v>5632</v>
      </c>
      <c r="D2189" s="462" t="str">
        <f>VLOOKUP(A2189,'Master List'!$A$1:$C$1192,2,FALSE)</f>
        <v>Клапан витяжний</v>
      </c>
      <c r="E2189" s="444" t="s">
        <v>5636</v>
      </c>
      <c r="F2189" s="214">
        <v>10.0</v>
      </c>
      <c r="G2189" s="463">
        <f>VLOOKUP(A2189,'Master List'!$A$4:$F4915,5,FALSE)</f>
        <v>12.987</v>
      </c>
      <c r="H2189" s="206">
        <f t="shared" si="234"/>
        <v>129.87</v>
      </c>
      <c r="I2189" s="240"/>
    </row>
    <row r="2190" outlineLevel="2">
      <c r="A2190" s="422"/>
      <c r="B2190" s="428"/>
      <c r="C2190" s="502"/>
      <c r="D2190" s="428"/>
      <c r="E2190" s="431"/>
      <c r="F2190" s="432"/>
      <c r="G2190" s="434"/>
      <c r="H2190" s="434"/>
      <c r="I2190" s="240"/>
    </row>
    <row r="2191" outlineLevel="2">
      <c r="A2191" s="422"/>
      <c r="B2191" s="472" t="s">
        <v>1247</v>
      </c>
      <c r="C2191" s="517" t="s">
        <v>2870</v>
      </c>
      <c r="D2191" s="518" t="s">
        <v>1248</v>
      </c>
      <c r="E2191" s="519"/>
      <c r="F2191" s="520"/>
      <c r="G2191" s="521"/>
      <c r="H2191" s="521"/>
      <c r="I2191" s="240"/>
    </row>
    <row r="2192" outlineLevel="2">
      <c r="A2192" s="422"/>
      <c r="B2192" s="472"/>
      <c r="C2192" s="522"/>
      <c r="D2192" s="523"/>
      <c r="E2192" s="519"/>
      <c r="F2192" s="520"/>
      <c r="G2192" s="521"/>
      <c r="H2192" s="521"/>
      <c r="I2192" s="240"/>
    </row>
    <row r="2193" outlineLevel="2">
      <c r="A2193" s="422" t="str">
        <f>'Master List'!A769</f>
        <v>W-PLB-0177</v>
      </c>
      <c r="B2193" s="472"/>
      <c r="C2193" s="513" t="s">
        <v>5629</v>
      </c>
      <c r="D2193" s="462" t="str">
        <f>VLOOKUP(A2193,'Master List'!$A$1:$C$1192,2,FALSE)</f>
        <v>Монтаж лінійних дифузорів великого розміру</v>
      </c>
      <c r="E2193" s="444" t="s">
        <v>5636</v>
      </c>
      <c r="F2193" s="214">
        <v>12.0</v>
      </c>
      <c r="G2193" s="463">
        <f>VLOOKUP(A2193,'Master List'!$A$4:$F4920,5,FALSE)</f>
        <v>36.4</v>
      </c>
      <c r="H2193" s="206">
        <f t="shared" ref="H2193:H2194" si="235">G2193*F2193</f>
        <v>436.8</v>
      </c>
      <c r="I2193" s="240"/>
    </row>
    <row r="2194" outlineLevel="2">
      <c r="A2194" s="422" t="str">
        <f>'Master List'!A770</f>
        <v>W-PLB-0178</v>
      </c>
      <c r="B2194" s="472"/>
      <c r="C2194" s="513" t="s">
        <v>5632</v>
      </c>
      <c r="D2194" s="462" t="str">
        <f>VLOOKUP(A2194,'Master List'!$A$1:$C$1192,2,FALSE)</f>
        <v>Монтаж лінійних дифузорів малого розміру</v>
      </c>
      <c r="E2194" s="444" t="s">
        <v>5636</v>
      </c>
      <c r="F2194" s="214">
        <v>10.0</v>
      </c>
      <c r="G2194" s="463">
        <f>VLOOKUP(A2194,'Master List'!$A$4:$F4921,5,FALSE)</f>
        <v>23.4</v>
      </c>
      <c r="H2194" s="206">
        <f t="shared" si="235"/>
        <v>234</v>
      </c>
      <c r="I2194" s="240"/>
    </row>
    <row r="2195" outlineLevel="2">
      <c r="A2195" s="422"/>
      <c r="B2195" s="428"/>
      <c r="C2195" s="502"/>
      <c r="D2195" s="428"/>
      <c r="E2195" s="431"/>
      <c r="F2195" s="432"/>
      <c r="G2195" s="434"/>
      <c r="H2195" s="434"/>
      <c r="I2195" s="240"/>
    </row>
    <row r="2196" outlineLevel="2">
      <c r="A2196" s="422" t="str">
        <f>'Master List'!A373</f>
        <v>M-PLB-222</v>
      </c>
      <c r="B2196" s="428"/>
      <c r="C2196" s="513" t="s">
        <v>2872</v>
      </c>
      <c r="D2196" s="315" t="s">
        <v>1249</v>
      </c>
      <c r="E2196" s="444" t="s">
        <v>75</v>
      </c>
      <c r="F2196" s="214">
        <v>1.0</v>
      </c>
      <c r="G2196" s="463">
        <f>VLOOKUP(A2196,'Master List'!$A$4:$F4923,5,FALSE)</f>
        <v>56.901</v>
      </c>
      <c r="H2196" s="206">
        <f t="shared" ref="H2196:H2206" si="236">G2196*F2196</f>
        <v>56.901</v>
      </c>
      <c r="I2196" s="219"/>
    </row>
    <row r="2197" outlineLevel="2">
      <c r="A2197" s="422" t="str">
        <f>'Master List'!A374</f>
        <v>M-PLB-223</v>
      </c>
      <c r="B2197" s="428"/>
      <c r="C2197" s="513" t="s">
        <v>2873</v>
      </c>
      <c r="D2197" s="315" t="s">
        <v>1250</v>
      </c>
      <c r="E2197" s="444" t="s">
        <v>75</v>
      </c>
      <c r="F2197" s="214">
        <v>1.0</v>
      </c>
      <c r="G2197" s="463">
        <f>VLOOKUP(A2197,'Master List'!$A$4:$F4924,5,FALSE)</f>
        <v>113.802</v>
      </c>
      <c r="H2197" s="206">
        <f t="shared" si="236"/>
        <v>113.802</v>
      </c>
      <c r="I2197" s="219"/>
    </row>
    <row r="2198" outlineLevel="2">
      <c r="A2198" s="422" t="str">
        <f>'Master List'!A375</f>
        <v>M-PLB-224</v>
      </c>
      <c r="B2198" s="428"/>
      <c r="C2198" s="513" t="s">
        <v>2874</v>
      </c>
      <c r="D2198" s="315" t="s">
        <v>1251</v>
      </c>
      <c r="E2198" s="444" t="s">
        <v>75</v>
      </c>
      <c r="F2198" s="214">
        <v>1.0</v>
      </c>
      <c r="G2198" s="463">
        <f>VLOOKUP(A2198,'Master List'!$A$4:$F4925,5,FALSE)</f>
        <v>58.5</v>
      </c>
      <c r="H2198" s="206">
        <f t="shared" si="236"/>
        <v>58.5</v>
      </c>
      <c r="I2198" s="219"/>
    </row>
    <row r="2199" outlineLevel="2">
      <c r="A2199" s="422" t="str">
        <f>'Master List'!A376</f>
        <v>M-PLB-225</v>
      </c>
      <c r="B2199" s="428"/>
      <c r="C2199" s="513" t="s">
        <v>2875</v>
      </c>
      <c r="D2199" s="315" t="s">
        <v>1252</v>
      </c>
      <c r="E2199" s="444" t="s">
        <v>75</v>
      </c>
      <c r="F2199" s="214">
        <v>3.0</v>
      </c>
      <c r="G2199" s="463">
        <f>VLOOKUP(A2199,'Master List'!$A$4:$F4926,5,FALSE)</f>
        <v>143</v>
      </c>
      <c r="H2199" s="206">
        <f t="shared" si="236"/>
        <v>429</v>
      </c>
      <c r="I2199" s="219"/>
    </row>
    <row r="2200" outlineLevel="2">
      <c r="A2200" s="422" t="str">
        <f>'Master List'!A377</f>
        <v>M-PLB-226</v>
      </c>
      <c r="B2200" s="428"/>
      <c r="C2200" s="513" t="s">
        <v>2876</v>
      </c>
      <c r="D2200" s="315" t="s">
        <v>1253</v>
      </c>
      <c r="E2200" s="444" t="s">
        <v>75</v>
      </c>
      <c r="F2200" s="214">
        <v>6.0</v>
      </c>
      <c r="G2200" s="463">
        <f>VLOOKUP(A2200,'Master List'!$A$4:$F4927,5,FALSE)</f>
        <v>162.5</v>
      </c>
      <c r="H2200" s="206">
        <f t="shared" si="236"/>
        <v>975</v>
      </c>
      <c r="I2200" s="219"/>
    </row>
    <row r="2201" outlineLevel="2">
      <c r="A2201" s="422" t="str">
        <f>'Master List'!A378</f>
        <v>M-PLB-227</v>
      </c>
      <c r="B2201" s="428"/>
      <c r="C2201" s="513" t="s">
        <v>2877</v>
      </c>
      <c r="D2201" s="315" t="s">
        <v>1254</v>
      </c>
      <c r="E2201" s="444" t="s">
        <v>75</v>
      </c>
      <c r="F2201" s="214">
        <v>2.0</v>
      </c>
      <c r="G2201" s="463">
        <f>VLOOKUP(A2201,'Master List'!$A$4:$F4928,5,FALSE)</f>
        <v>33.904</v>
      </c>
      <c r="H2201" s="206">
        <f t="shared" si="236"/>
        <v>67.808</v>
      </c>
      <c r="I2201" s="219"/>
    </row>
    <row r="2202" outlineLevel="2">
      <c r="A2202" s="422" t="str">
        <f>'Master List'!A379</f>
        <v>M-PLB-228</v>
      </c>
      <c r="B2202" s="428"/>
      <c r="C2202" s="513" t="s">
        <v>2878</v>
      </c>
      <c r="D2202" s="315" t="s">
        <v>1255</v>
      </c>
      <c r="E2202" s="444" t="s">
        <v>75</v>
      </c>
      <c r="F2202" s="214">
        <v>2.0</v>
      </c>
      <c r="G2202" s="463">
        <f>VLOOKUP(A2202,'Master List'!$A$4:$F4929,5,FALSE)</f>
        <v>48.1</v>
      </c>
      <c r="H2202" s="206">
        <f t="shared" si="236"/>
        <v>96.2</v>
      </c>
      <c r="I2202" s="219"/>
    </row>
    <row r="2203" outlineLevel="2">
      <c r="A2203" s="422" t="str">
        <f>'Master List'!A380</f>
        <v>M-PLB-229</v>
      </c>
      <c r="B2203" s="428"/>
      <c r="C2203" s="513" t="s">
        <v>2879</v>
      </c>
      <c r="D2203" s="315" t="s">
        <v>1256</v>
      </c>
      <c r="E2203" s="444" t="s">
        <v>75</v>
      </c>
      <c r="F2203" s="214">
        <v>1.0</v>
      </c>
      <c r="G2203" s="463">
        <f>VLOOKUP(A2203,'Master List'!$A$4:$F4930,5,FALSE)</f>
        <v>103.194</v>
      </c>
      <c r="H2203" s="206">
        <f t="shared" si="236"/>
        <v>103.194</v>
      </c>
      <c r="I2203" s="219"/>
    </row>
    <row r="2204" outlineLevel="2">
      <c r="A2204" s="422" t="str">
        <f>'Master List'!A381</f>
        <v>M-PLB-230</v>
      </c>
      <c r="B2204" s="428"/>
      <c r="C2204" s="513" t="s">
        <v>2880</v>
      </c>
      <c r="D2204" s="315" t="s">
        <v>1257</v>
      </c>
      <c r="E2204" s="444" t="s">
        <v>75</v>
      </c>
      <c r="F2204" s="214">
        <v>1.0</v>
      </c>
      <c r="G2204" s="463">
        <f>VLOOKUP(A2204,'Master List'!$A$4:$F4931,5,FALSE)</f>
        <v>10.595</v>
      </c>
      <c r="H2204" s="206">
        <f t="shared" si="236"/>
        <v>10.595</v>
      </c>
      <c r="I2204" s="219"/>
    </row>
    <row r="2205" outlineLevel="2">
      <c r="A2205" s="422" t="str">
        <f>'Master List'!A382</f>
        <v>M-PLB-231</v>
      </c>
      <c r="B2205" s="428"/>
      <c r="C2205" s="513" t="s">
        <v>2881</v>
      </c>
      <c r="D2205" s="315" t="s">
        <v>1258</v>
      </c>
      <c r="E2205" s="444" t="s">
        <v>75</v>
      </c>
      <c r="F2205" s="214">
        <v>3.0</v>
      </c>
      <c r="G2205" s="463">
        <f>VLOOKUP(A2205,'Master List'!$A$4:$F4932,5,FALSE)</f>
        <v>45.708</v>
      </c>
      <c r="H2205" s="206">
        <f t="shared" si="236"/>
        <v>137.124</v>
      </c>
      <c r="I2205" s="219"/>
    </row>
    <row r="2206" outlineLevel="2">
      <c r="A2206" s="422" t="str">
        <f>'Master List'!A383</f>
        <v>M-PLB-232</v>
      </c>
      <c r="B2206" s="428"/>
      <c r="C2206" s="513" t="s">
        <v>2882</v>
      </c>
      <c r="D2206" s="315" t="s">
        <v>1259</v>
      </c>
      <c r="E2206" s="444" t="s">
        <v>75</v>
      </c>
      <c r="F2206" s="214">
        <v>1.0</v>
      </c>
      <c r="G2206" s="463">
        <f>VLOOKUP(A2206,'Master List'!$A$4:$F4933,5,FALSE)</f>
        <v>19.487</v>
      </c>
      <c r="H2206" s="206">
        <f t="shared" si="236"/>
        <v>19.487</v>
      </c>
      <c r="I2206" s="219"/>
    </row>
    <row r="2207" outlineLevel="2">
      <c r="A2207" s="422"/>
      <c r="B2207" s="428"/>
      <c r="C2207" s="502"/>
      <c r="D2207" s="428"/>
      <c r="E2207" s="431"/>
      <c r="F2207" s="432"/>
      <c r="G2207" s="434"/>
      <c r="H2207" s="434"/>
      <c r="I2207" s="240"/>
    </row>
    <row r="2208" outlineLevel="1">
      <c r="A2208" s="422"/>
      <c r="B2208" s="472"/>
      <c r="C2208" s="502"/>
      <c r="D2208" s="476" t="s">
        <v>665</v>
      </c>
      <c r="E2208" s="526"/>
      <c r="F2208" s="527"/>
      <c r="G2208" s="436">
        <f>SUM(H2210:H2218)</f>
        <v>0</v>
      </c>
      <c r="H2208" s="439"/>
      <c r="I2208" s="240"/>
    </row>
    <row r="2209" outlineLevel="2">
      <c r="A2209" s="422"/>
      <c r="B2209" s="472"/>
      <c r="C2209" s="502"/>
      <c r="D2209" s="525"/>
      <c r="E2209" s="526"/>
      <c r="F2209" s="527"/>
      <c r="G2209" s="439"/>
      <c r="H2209" s="439"/>
      <c r="I2209" s="240"/>
    </row>
    <row r="2210" outlineLevel="2">
      <c r="A2210" s="422"/>
      <c r="B2210" s="472" t="s">
        <v>1260</v>
      </c>
      <c r="C2210" s="513" t="s">
        <v>2885</v>
      </c>
      <c r="D2210" s="315" t="s">
        <v>1261</v>
      </c>
      <c r="E2210" s="444" t="s">
        <v>33</v>
      </c>
      <c r="F2210" s="214">
        <v>1.0</v>
      </c>
      <c r="G2210" s="205">
        <v>0.0</v>
      </c>
      <c r="H2210" s="206">
        <f>G2210*F2210</f>
        <v>0</v>
      </c>
      <c r="I2210" s="219" t="s">
        <v>5637</v>
      </c>
    </row>
    <row r="2211" outlineLevel="2">
      <c r="A2211" s="422"/>
      <c r="B2211" s="428"/>
      <c r="C2211" s="502"/>
      <c r="D2211" s="428"/>
      <c r="E2211" s="431"/>
      <c r="F2211" s="432"/>
      <c r="G2211" s="434"/>
      <c r="H2211" s="434"/>
      <c r="I2211" s="240"/>
    </row>
    <row r="2212" outlineLevel="2">
      <c r="A2212" s="422"/>
      <c r="B2212" s="472" t="s">
        <v>1262</v>
      </c>
      <c r="C2212" s="513" t="s">
        <v>2888</v>
      </c>
      <c r="D2212" s="315" t="s">
        <v>1263</v>
      </c>
      <c r="E2212" s="444" t="s">
        <v>227</v>
      </c>
      <c r="F2212" s="214">
        <v>1.0</v>
      </c>
      <c r="G2212" s="205">
        <v>0.0</v>
      </c>
      <c r="H2212" s="206">
        <f>G2212*F2212</f>
        <v>0</v>
      </c>
      <c r="I2212" s="219" t="s">
        <v>5637</v>
      </c>
    </row>
    <row r="2213" outlineLevel="2">
      <c r="A2213" s="422"/>
      <c r="B2213" s="428"/>
      <c r="C2213" s="502"/>
      <c r="D2213" s="428"/>
      <c r="E2213" s="431"/>
      <c r="F2213" s="432"/>
      <c r="G2213" s="434"/>
      <c r="H2213" s="434"/>
      <c r="I2213" s="240"/>
    </row>
    <row r="2214" outlineLevel="2">
      <c r="A2214" s="422"/>
      <c r="B2214" s="428"/>
      <c r="C2214" s="513" t="s">
        <v>2890</v>
      </c>
      <c r="D2214" s="315" t="s">
        <v>1264</v>
      </c>
      <c r="E2214" s="444" t="s">
        <v>227</v>
      </c>
      <c r="F2214" s="214">
        <v>1.0</v>
      </c>
      <c r="G2214" s="205">
        <v>0.0</v>
      </c>
      <c r="H2214" s="206">
        <f>G2214*F2214</f>
        <v>0</v>
      </c>
      <c r="I2214" s="219" t="s">
        <v>5637</v>
      </c>
    </row>
    <row r="2215" outlineLevel="2">
      <c r="A2215" s="422"/>
      <c r="B2215" s="428"/>
      <c r="C2215" s="502"/>
      <c r="D2215" s="428"/>
      <c r="E2215" s="431"/>
      <c r="F2215" s="432"/>
      <c r="G2215" s="434"/>
      <c r="H2215" s="434"/>
      <c r="I2215" s="240"/>
    </row>
    <row r="2216" outlineLevel="2">
      <c r="A2216" s="422"/>
      <c r="B2216" s="428"/>
      <c r="C2216" s="513" t="s">
        <v>2892</v>
      </c>
      <c r="D2216" s="315" t="s">
        <v>1265</v>
      </c>
      <c r="E2216" s="444" t="s">
        <v>227</v>
      </c>
      <c r="F2216" s="214">
        <v>1.0</v>
      </c>
      <c r="G2216" s="205">
        <v>0.0</v>
      </c>
      <c r="H2216" s="206">
        <f>G2216*F2216</f>
        <v>0</v>
      </c>
      <c r="I2216" s="219" t="s">
        <v>5637</v>
      </c>
    </row>
    <row r="2217" outlineLevel="2">
      <c r="A2217" s="422"/>
      <c r="B2217" s="428"/>
      <c r="C2217" s="502"/>
      <c r="D2217" s="428"/>
      <c r="E2217" s="431"/>
      <c r="F2217" s="432"/>
      <c r="G2217" s="434"/>
      <c r="H2217" s="434"/>
      <c r="I2217" s="240"/>
    </row>
    <row r="2218" outlineLevel="2">
      <c r="A2218" s="422"/>
      <c r="B2218" s="428"/>
      <c r="C2218" s="513" t="s">
        <v>2894</v>
      </c>
      <c r="D2218" s="315" t="s">
        <v>1266</v>
      </c>
      <c r="E2218" s="444" t="s">
        <v>227</v>
      </c>
      <c r="F2218" s="214">
        <v>1.0</v>
      </c>
      <c r="G2218" s="205">
        <v>0.0</v>
      </c>
      <c r="H2218" s="206">
        <f>G2218*F2218</f>
        <v>0</v>
      </c>
      <c r="I2218" s="219" t="s">
        <v>5637</v>
      </c>
    </row>
    <row r="2219" outlineLevel="2">
      <c r="A2219" s="422"/>
      <c r="B2219" s="472"/>
      <c r="C2219" s="502"/>
      <c r="D2219" s="428"/>
      <c r="E2219" s="431"/>
      <c r="F2219" s="432"/>
      <c r="G2219" s="434"/>
      <c r="H2219" s="434"/>
      <c r="I2219" s="240"/>
    </row>
    <row r="2220" outlineLevel="1">
      <c r="A2220" s="422"/>
      <c r="B2220" s="472"/>
      <c r="C2220" s="502"/>
      <c r="D2220" s="428"/>
      <c r="E2220" s="431"/>
      <c r="F2220" s="432"/>
      <c r="G2220" s="434"/>
      <c r="H2220" s="434"/>
      <c r="I2220" s="240"/>
    </row>
    <row r="2221">
      <c r="A2221" s="422"/>
      <c r="B2221" s="471"/>
      <c r="C2221" s="500">
        <v>17.0</v>
      </c>
      <c r="D2221" s="532" t="s">
        <v>1267</v>
      </c>
      <c r="E2221" s="493"/>
      <c r="F2221" s="214"/>
      <c r="G2221" s="205"/>
      <c r="H2221" s="426">
        <f>SUM(H2227:H2679)</f>
        <v>121063.371</v>
      </c>
      <c r="I2221" s="427">
        <f>H2221-Resumo!J45</f>
        <v>-92604.269</v>
      </c>
    </row>
    <row r="2222" outlineLevel="1">
      <c r="A2222" s="422"/>
      <c r="B2222" s="472"/>
      <c r="C2222" s="502"/>
      <c r="D2222" s="525"/>
      <c r="E2222" s="526"/>
      <c r="F2222" s="527"/>
      <c r="G2222" s="439"/>
      <c r="H2222" s="239"/>
      <c r="I2222" s="240"/>
    </row>
    <row r="2223" outlineLevel="1">
      <c r="A2223" s="422"/>
      <c r="B2223" s="472"/>
      <c r="C2223" s="528"/>
      <c r="D2223" s="533" t="s">
        <v>5638</v>
      </c>
      <c r="E2223" s="431"/>
      <c r="F2223" s="432"/>
      <c r="G2223" s="436">
        <f>SUM(H2227:H2336)</f>
        <v>19050.304</v>
      </c>
      <c r="H2223" s="434"/>
      <c r="I2223" s="240"/>
    </row>
    <row r="2224" outlineLevel="2">
      <c r="A2224" s="422"/>
      <c r="B2224" s="472"/>
      <c r="C2224" s="528"/>
      <c r="D2224" s="320"/>
      <c r="E2224" s="431"/>
      <c r="F2224" s="432"/>
      <c r="G2224" s="434"/>
      <c r="H2224" s="434"/>
      <c r="I2224" s="240"/>
    </row>
    <row r="2225" outlineLevel="2">
      <c r="A2225" s="422"/>
      <c r="B2225" s="472" t="s">
        <v>1268</v>
      </c>
      <c r="C2225" s="517" t="s">
        <v>2898</v>
      </c>
      <c r="D2225" s="534" t="s">
        <v>1269</v>
      </c>
      <c r="E2225" s="519"/>
      <c r="F2225" s="520"/>
      <c r="G2225" s="521"/>
      <c r="H2225" s="521"/>
      <c r="I2225" s="240"/>
    </row>
    <row r="2226" outlineLevel="2">
      <c r="A2226" s="422"/>
      <c r="B2226" s="428"/>
      <c r="C2226" s="502"/>
      <c r="D2226" s="208"/>
      <c r="E2226" s="431"/>
      <c r="F2226" s="432"/>
      <c r="G2226" s="434"/>
      <c r="H2226" s="434"/>
      <c r="I2226" s="240"/>
    </row>
    <row r="2227" outlineLevel="2">
      <c r="A2227" s="422"/>
      <c r="B2227" s="428"/>
      <c r="C2227" s="513" t="s">
        <v>2900</v>
      </c>
      <c r="D2227" s="315" t="s">
        <v>1270</v>
      </c>
      <c r="E2227" s="444" t="s">
        <v>33</v>
      </c>
      <c r="F2227" s="214">
        <v>1.0</v>
      </c>
      <c r="G2227" s="205"/>
      <c r="H2227" s="206"/>
      <c r="I2227" s="219"/>
    </row>
    <row r="2228" outlineLevel="2">
      <c r="A2228" s="422"/>
      <c r="B2228" s="428"/>
      <c r="C2228" s="514"/>
      <c r="D2228" s="329"/>
      <c r="E2228" s="437"/>
      <c r="F2228" s="170"/>
      <c r="G2228" s="239"/>
      <c r="H2228" s="239"/>
      <c r="I2228" s="240"/>
    </row>
    <row r="2229" outlineLevel="2">
      <c r="A2229" s="422" t="str">
        <f>'Master List'!A807</f>
        <v>W-PRT-001</v>
      </c>
      <c r="B2229" s="428"/>
      <c r="C2229" s="505"/>
      <c r="D2229" s="462" t="str">
        <f>VLOOKUP(A2229,'Master List'!$A$1:$C$1192,2,FALSE)</f>
        <v>Монтаж ввідного щита</v>
      </c>
      <c r="E2229" s="463" t="str">
        <f>VLOOKUP(A2229,'Master List'!$A$1:$C$1192,3,FALSE)</f>
        <v>шт</v>
      </c>
      <c r="F2229" s="464">
        <v>1.0</v>
      </c>
      <c r="G2229" s="463">
        <f>VLOOKUP(A2229,'Master List'!$A$4:$F4960,5,FALSE)</f>
        <v>311.831</v>
      </c>
      <c r="H2229" s="206">
        <f t="shared" ref="H2229:H2230" si="237">G2229*F2229</f>
        <v>311.831</v>
      </c>
      <c r="I2229" s="240"/>
    </row>
    <row r="2230" outlineLevel="2">
      <c r="A2230" s="422" t="str">
        <f>'Master List'!A385</f>
        <v>M-PRT-001</v>
      </c>
      <c r="B2230" s="428"/>
      <c r="C2230" s="505"/>
      <c r="D2230" s="462" t="str">
        <f>VLOOKUP(A2230,'Master List'!$A$1:$C$1192,2,FALSE)</f>
        <v>Щит ввідний</v>
      </c>
      <c r="E2230" s="463" t="str">
        <f>VLOOKUP(A2230,'Master List'!$A$1:$C$1192,3,FALSE)</f>
        <v>шт</v>
      </c>
      <c r="F2230" s="464">
        <v>1.0</v>
      </c>
      <c r="G2230" s="463">
        <f>VLOOKUP(A2230,'Master List'!$A$4:$F4961,5,FALSE)</f>
        <v>15.509</v>
      </c>
      <c r="H2230" s="206">
        <f t="shared" si="237"/>
        <v>15.509</v>
      </c>
      <c r="I2230" s="240"/>
    </row>
    <row r="2231" outlineLevel="2">
      <c r="A2231" s="422"/>
      <c r="B2231" s="428"/>
      <c r="C2231" s="502"/>
      <c r="D2231" s="208"/>
      <c r="E2231" s="431"/>
      <c r="F2231" s="432"/>
      <c r="G2231" s="434"/>
      <c r="H2231" s="434"/>
      <c r="I2231" s="240"/>
    </row>
    <row r="2232" outlineLevel="2">
      <c r="A2232" s="422"/>
      <c r="B2232" s="428"/>
      <c r="C2232" s="513" t="s">
        <v>2902</v>
      </c>
      <c r="D2232" s="315" t="s">
        <v>1271</v>
      </c>
      <c r="E2232" s="444" t="s">
        <v>75</v>
      </c>
      <c r="F2232" s="214">
        <v>1.0</v>
      </c>
      <c r="G2232" s="205"/>
      <c r="H2232" s="206"/>
      <c r="I2232" s="219"/>
    </row>
    <row r="2233" outlineLevel="2">
      <c r="A2233" s="422"/>
      <c r="B2233" s="428"/>
      <c r="C2233" s="514"/>
      <c r="D2233" s="329"/>
      <c r="E2233" s="437"/>
      <c r="F2233" s="170"/>
      <c r="G2233" s="239"/>
      <c r="H2233" s="239"/>
      <c r="I2233" s="240"/>
    </row>
    <row r="2234" outlineLevel="2">
      <c r="A2234" s="422" t="str">
        <f>'Master List'!A808</f>
        <v>W-PRT-002</v>
      </c>
      <c r="B2234" s="428"/>
      <c r="C2234" s="505"/>
      <c r="D2234" s="462" t="str">
        <f>VLOOKUP(A2234,'Master List'!$A$1:$C$1192,2,FALSE)</f>
        <v>Монтаж коробки прямого телеобліку</v>
      </c>
      <c r="E2234" s="463" t="str">
        <f>VLOOKUP(A2234,'Master List'!$A$1:$C$1192,3,FALSE)</f>
        <v>шт</v>
      </c>
      <c r="F2234" s="464">
        <v>1.0</v>
      </c>
      <c r="G2234" s="463">
        <f>VLOOKUP(A2234,'Master List'!$A$4:$F4966,5,FALSE)</f>
        <v>123.5</v>
      </c>
      <c r="H2234" s="206">
        <f t="shared" ref="H2234:H2235" si="238">G2234*F2234</f>
        <v>123.5</v>
      </c>
      <c r="I2234" s="240"/>
    </row>
    <row r="2235" outlineLevel="2">
      <c r="A2235" s="422" t="str">
        <f>'Master List'!A386</f>
        <v>M-PRT-002</v>
      </c>
      <c r="B2235" s="428"/>
      <c r="C2235" s="505"/>
      <c r="D2235" s="462" t="str">
        <f>VLOOKUP(A2235,'Master List'!$A$1:$C$1192,2,FALSE)</f>
        <v>Коробка прямого телеобліку</v>
      </c>
      <c r="E2235" s="463" t="str">
        <f>VLOOKUP(A2235,'Master List'!$A$1:$C$1192,3,FALSE)</f>
        <v>шт</v>
      </c>
      <c r="F2235" s="464">
        <v>1.0</v>
      </c>
      <c r="G2235" s="463">
        <f>VLOOKUP(A2235,'Master List'!$A$4:$F4967,5,FALSE)</f>
        <v>80.002</v>
      </c>
      <c r="H2235" s="206">
        <f t="shared" si="238"/>
        <v>80.002</v>
      </c>
      <c r="I2235" s="240"/>
    </row>
    <row r="2236" outlineLevel="2">
      <c r="A2236" s="422"/>
      <c r="B2236" s="428"/>
      <c r="C2236" s="502"/>
      <c r="D2236" s="208"/>
      <c r="E2236" s="431"/>
      <c r="F2236" s="432"/>
      <c r="G2236" s="434"/>
      <c r="H2236" s="434"/>
      <c r="I2236" s="240"/>
    </row>
    <row r="2237" outlineLevel="2">
      <c r="A2237" s="422"/>
      <c r="B2237" s="472" t="s">
        <v>1272</v>
      </c>
      <c r="C2237" s="517">
        <v>17.4</v>
      </c>
      <c r="D2237" s="316" t="s">
        <v>1273</v>
      </c>
      <c r="E2237" s="437"/>
      <c r="F2237" s="170"/>
      <c r="G2237" s="239"/>
      <c r="H2237" s="239"/>
      <c r="I2237" s="240"/>
    </row>
    <row r="2238" outlineLevel="2">
      <c r="A2238" s="422"/>
      <c r="B2238" s="472"/>
      <c r="C2238" s="514"/>
      <c r="D2238" s="329"/>
      <c r="E2238" s="437"/>
      <c r="F2238" s="170"/>
      <c r="G2238" s="239"/>
      <c r="H2238" s="239"/>
      <c r="I2238" s="240"/>
    </row>
    <row r="2239" outlineLevel="2">
      <c r="A2239" s="422" t="str">
        <f>'Master List'!A809</f>
        <v>W-PRT-003</v>
      </c>
      <c r="B2239" s="472"/>
      <c r="C2239" s="505"/>
      <c r="D2239" s="462" t="str">
        <f>VLOOKUP(A2239,'Master List'!$A$1:$C$1192,2,FALSE)</f>
        <v>Монтаж головного ввідного щита</v>
      </c>
      <c r="E2239" s="463" t="str">
        <f>VLOOKUP(A2239,'Master List'!$A$1:$C$1192,3,FALSE)</f>
        <v>шт</v>
      </c>
      <c r="F2239" s="464">
        <v>1.0</v>
      </c>
      <c r="G2239" s="463">
        <f>VLOOKUP(A2239,'Master List'!$A$4:$F4974,5,FALSE)</f>
        <v>468</v>
      </c>
      <c r="H2239" s="206">
        <f t="shared" ref="H2239:H2241" si="239">G2239*F2239</f>
        <v>468</v>
      </c>
      <c r="I2239" s="240"/>
    </row>
    <row r="2240" outlineLevel="2">
      <c r="A2240" s="422" t="str">
        <f>'Master List'!A810</f>
        <v>W-PRT-004</v>
      </c>
      <c r="B2240" s="472"/>
      <c r="C2240" s="505"/>
      <c r="D2240" s="462" t="str">
        <f>VLOOKUP(A2240,'Master List'!$A$1:$C$1192,2,FALSE)</f>
        <v>Монтаж поверхових щитів</v>
      </c>
      <c r="E2240" s="463" t="str">
        <f>VLOOKUP(A2240,'Master List'!$A$1:$C$1192,3,FALSE)</f>
        <v>шт</v>
      </c>
      <c r="F2240" s="464">
        <v>2.0</v>
      </c>
      <c r="G2240" s="463">
        <f>VLOOKUP(A2240,'Master List'!$A$4:$F4975,5,FALSE)</f>
        <v>234</v>
      </c>
      <c r="H2240" s="206">
        <f t="shared" si="239"/>
        <v>468</v>
      </c>
      <c r="I2240" s="240"/>
    </row>
    <row r="2241" outlineLevel="2">
      <c r="A2241" s="422" t="str">
        <f>'Master List'!A811</f>
        <v>W-PRT-005</v>
      </c>
      <c r="B2241" s="472"/>
      <c r="C2241" s="505"/>
      <c r="D2241" s="462" t="str">
        <f>VLOOKUP(A2241,'Master List'!$A$1:$C$1192,2,FALSE)</f>
        <v>Монтаж щитів технічних зон</v>
      </c>
      <c r="E2241" s="463" t="str">
        <f>VLOOKUP(A2241,'Master List'!$A$1:$C$1192,3,FALSE)</f>
        <v>шт</v>
      </c>
      <c r="F2241" s="464">
        <v>3.0</v>
      </c>
      <c r="G2241" s="463">
        <f>VLOOKUP(A2241,'Master List'!$A$4:$F4976,5,FALSE)</f>
        <v>169</v>
      </c>
      <c r="H2241" s="206">
        <f t="shared" si="239"/>
        <v>507</v>
      </c>
      <c r="I2241" s="240"/>
    </row>
    <row r="2242" outlineLevel="2">
      <c r="A2242" s="422"/>
      <c r="B2242" s="428"/>
      <c r="C2242" s="502"/>
      <c r="D2242" s="208"/>
      <c r="E2242" s="431"/>
      <c r="F2242" s="432"/>
      <c r="G2242" s="434"/>
      <c r="H2242" s="434"/>
      <c r="I2242" s="240"/>
    </row>
    <row r="2243" outlineLevel="2">
      <c r="A2243" s="422" t="str">
        <f>'Master List'!A387</f>
        <v>M-PRT-003</v>
      </c>
      <c r="B2243" s="428"/>
      <c r="C2243" s="513" t="s">
        <v>2905</v>
      </c>
      <c r="D2243" s="315" t="s">
        <v>1274</v>
      </c>
      <c r="E2243" s="444" t="s">
        <v>33</v>
      </c>
      <c r="F2243" s="214">
        <v>1.0</v>
      </c>
      <c r="G2243" s="463">
        <f>VLOOKUP(A2243,'Master List'!$A$4:$F4978,5,FALSE)</f>
        <v>193.7</v>
      </c>
      <c r="H2243" s="206">
        <f t="shared" ref="H2243:H2252" si="240">G2243*F2243</f>
        <v>193.7</v>
      </c>
      <c r="I2243" s="219"/>
    </row>
    <row r="2244" outlineLevel="2">
      <c r="A2244" s="422" t="str">
        <f>'Master List'!A388</f>
        <v>M-PRT-004</v>
      </c>
      <c r="B2244" s="428"/>
      <c r="C2244" s="513" t="s">
        <v>2907</v>
      </c>
      <c r="D2244" s="315" t="s">
        <v>1275</v>
      </c>
      <c r="E2244" s="444" t="s">
        <v>33</v>
      </c>
      <c r="F2244" s="214">
        <v>1.0</v>
      </c>
      <c r="G2244" s="463">
        <f>VLOOKUP(A2244,'Master List'!$A$4:$F4979,5,FALSE)</f>
        <v>94.9</v>
      </c>
      <c r="H2244" s="206">
        <f t="shared" si="240"/>
        <v>94.9</v>
      </c>
      <c r="I2244" s="219"/>
    </row>
    <row r="2245" outlineLevel="2">
      <c r="A2245" s="422" t="str">
        <f>'Master List'!A389</f>
        <v>M-PRT-005</v>
      </c>
      <c r="B2245" s="428"/>
      <c r="C2245" s="513" t="s">
        <v>2909</v>
      </c>
      <c r="D2245" s="315" t="s">
        <v>1276</v>
      </c>
      <c r="E2245" s="444" t="s">
        <v>33</v>
      </c>
      <c r="F2245" s="214">
        <v>1.0</v>
      </c>
      <c r="G2245" s="463">
        <f>VLOOKUP(A2245,'Master List'!$A$4:$F4980,5,FALSE)</f>
        <v>39.741</v>
      </c>
      <c r="H2245" s="206">
        <f t="shared" si="240"/>
        <v>39.741</v>
      </c>
      <c r="I2245" s="219"/>
    </row>
    <row r="2246" outlineLevel="2">
      <c r="A2246" s="422" t="str">
        <f>'Master List'!A390</f>
        <v>M-PRT-006</v>
      </c>
      <c r="B2246" s="428"/>
      <c r="C2246" s="513" t="s">
        <v>2911</v>
      </c>
      <c r="D2246" s="315" t="s">
        <v>1277</v>
      </c>
      <c r="E2246" s="444" t="s">
        <v>33</v>
      </c>
      <c r="F2246" s="214">
        <v>1.0</v>
      </c>
      <c r="G2246" s="463">
        <f>VLOOKUP(A2246,'Master List'!$A$4:$F4981,5,FALSE)</f>
        <v>85.8</v>
      </c>
      <c r="H2246" s="206">
        <f t="shared" si="240"/>
        <v>85.8</v>
      </c>
      <c r="I2246" s="219"/>
    </row>
    <row r="2247" outlineLevel="2">
      <c r="A2247" s="422" t="str">
        <f>'Master List'!A391</f>
        <v>M-PRT-007</v>
      </c>
      <c r="B2247" s="428"/>
      <c r="C2247" s="513" t="s">
        <v>2913</v>
      </c>
      <c r="D2247" s="315" t="s">
        <v>1278</v>
      </c>
      <c r="E2247" s="444" t="s">
        <v>33</v>
      </c>
      <c r="F2247" s="214">
        <v>1.0</v>
      </c>
      <c r="G2247" s="463">
        <f>VLOOKUP(A2247,'Master List'!$A$4:$F4982,5,FALSE)</f>
        <v>48.633</v>
      </c>
      <c r="H2247" s="206">
        <f t="shared" si="240"/>
        <v>48.633</v>
      </c>
      <c r="I2247" s="219"/>
    </row>
    <row r="2248" outlineLevel="2">
      <c r="A2248" s="422" t="str">
        <f>'Master List'!A392</f>
        <v>M-PRT-008</v>
      </c>
      <c r="B2248" s="428"/>
      <c r="C2248" s="513" t="s">
        <v>2915</v>
      </c>
      <c r="D2248" s="315" t="s">
        <v>1279</v>
      </c>
      <c r="E2248" s="444" t="s">
        <v>33</v>
      </c>
      <c r="F2248" s="214">
        <v>1.0</v>
      </c>
      <c r="G2248" s="463">
        <f>VLOOKUP(A2248,'Master List'!$A$4:$F4983,5,FALSE)</f>
        <v>48.633</v>
      </c>
      <c r="H2248" s="206">
        <f t="shared" si="240"/>
        <v>48.633</v>
      </c>
      <c r="I2248" s="219"/>
    </row>
    <row r="2249" outlineLevel="2">
      <c r="A2249" s="422"/>
      <c r="B2249" s="428"/>
      <c r="C2249" s="513" t="s">
        <v>2917</v>
      </c>
      <c r="D2249" s="315" t="s">
        <v>1280</v>
      </c>
      <c r="E2249" s="444" t="s">
        <v>33</v>
      </c>
      <c r="F2249" s="214">
        <v>1.0</v>
      </c>
      <c r="G2249" s="205"/>
      <c r="H2249" s="206">
        <f t="shared" si="240"/>
        <v>0</v>
      </c>
      <c r="I2249" s="219"/>
    </row>
    <row r="2250" outlineLevel="2">
      <c r="A2250" s="422"/>
      <c r="B2250" s="428"/>
      <c r="C2250" s="513" t="s">
        <v>2919</v>
      </c>
      <c r="D2250" s="315" t="s">
        <v>1281</v>
      </c>
      <c r="E2250" s="444" t="s">
        <v>33</v>
      </c>
      <c r="F2250" s="214">
        <v>1.0</v>
      </c>
      <c r="G2250" s="205"/>
      <c r="H2250" s="206">
        <f t="shared" si="240"/>
        <v>0</v>
      </c>
      <c r="I2250" s="219"/>
    </row>
    <row r="2251" outlineLevel="2">
      <c r="A2251" s="422"/>
      <c r="B2251" s="428"/>
      <c r="C2251" s="513" t="s">
        <v>2921</v>
      </c>
      <c r="D2251" s="315" t="s">
        <v>1282</v>
      </c>
      <c r="E2251" s="444" t="s">
        <v>33</v>
      </c>
      <c r="F2251" s="214">
        <v>1.0</v>
      </c>
      <c r="G2251" s="205"/>
      <c r="H2251" s="206">
        <f t="shared" si="240"/>
        <v>0</v>
      </c>
      <c r="I2251" s="219"/>
    </row>
    <row r="2252" outlineLevel="2">
      <c r="A2252" s="422"/>
      <c r="B2252" s="428"/>
      <c r="C2252" s="513" t="s">
        <v>2923</v>
      </c>
      <c r="D2252" s="315" t="s">
        <v>1283</v>
      </c>
      <c r="E2252" s="444" t="s">
        <v>33</v>
      </c>
      <c r="F2252" s="214">
        <v>1.0</v>
      </c>
      <c r="G2252" s="205"/>
      <c r="H2252" s="206">
        <f t="shared" si="240"/>
        <v>0</v>
      </c>
      <c r="I2252" s="219"/>
    </row>
    <row r="2253" outlineLevel="2">
      <c r="A2253" s="422"/>
      <c r="B2253" s="428"/>
      <c r="C2253" s="502"/>
      <c r="D2253" s="208"/>
      <c r="E2253" s="431"/>
      <c r="F2253" s="432"/>
      <c r="G2253" s="434"/>
      <c r="H2253" s="434"/>
      <c r="I2253" s="240"/>
    </row>
    <row r="2254" outlineLevel="2">
      <c r="A2254" s="422"/>
      <c r="B2254" s="472" t="s">
        <v>1284</v>
      </c>
      <c r="C2254" s="502"/>
      <c r="D2254" s="533" t="s">
        <v>1285</v>
      </c>
      <c r="E2254" s="431"/>
      <c r="F2254" s="432"/>
      <c r="G2254" s="434"/>
      <c r="H2254" s="434"/>
      <c r="I2254" s="240"/>
    </row>
    <row r="2255" outlineLevel="2">
      <c r="A2255" s="422"/>
      <c r="B2255" s="428"/>
      <c r="C2255" s="502"/>
      <c r="D2255" s="208"/>
      <c r="E2255" s="431"/>
      <c r="F2255" s="432"/>
      <c r="G2255" s="434"/>
      <c r="H2255" s="434"/>
      <c r="I2255" s="240"/>
    </row>
    <row r="2256" outlineLevel="2">
      <c r="A2256" s="422"/>
      <c r="B2256" s="428"/>
      <c r="C2256" s="535">
        <v>17.5</v>
      </c>
      <c r="D2256" s="323" t="s">
        <v>5639</v>
      </c>
      <c r="E2256" s="431"/>
      <c r="F2256" s="432"/>
      <c r="G2256" s="434"/>
      <c r="H2256" s="434"/>
      <c r="I2256" s="240"/>
    </row>
    <row r="2257" outlineLevel="2">
      <c r="A2257" s="422"/>
      <c r="B2257" s="428"/>
      <c r="C2257" s="502"/>
      <c r="D2257" s="536"/>
      <c r="E2257" s="431"/>
      <c r="F2257" s="432"/>
      <c r="G2257" s="434"/>
      <c r="H2257" s="434"/>
      <c r="I2257" s="240"/>
    </row>
    <row r="2258" outlineLevel="2">
      <c r="A2258" s="422" t="str">
        <f>'Master List'!A812</f>
        <v>W-PRT-006</v>
      </c>
      <c r="B2258" s="428"/>
      <c r="C2258" s="505"/>
      <c r="D2258" s="462" t="str">
        <f>VLOOKUP(A2258,'Master List'!$A$1:$C$1192,2,FALSE)</f>
        <v>Прокладання кабелів</v>
      </c>
      <c r="E2258" s="463" t="str">
        <f>VLOOKUP(A2258,'Master List'!$A$1:$C$1192,3,FALSE)</f>
        <v>м</v>
      </c>
      <c r="F2258" s="464">
        <f>SUM(F2260:F2279)</f>
        <v>403</v>
      </c>
      <c r="G2258" s="463">
        <f>VLOOKUP(A2258,'Master List'!$A$4:$F4993,5,FALSE)</f>
        <v>9.1</v>
      </c>
      <c r="H2258" s="206">
        <f>G2258*F2258</f>
        <v>3667.3</v>
      </c>
      <c r="I2258" s="240"/>
    </row>
    <row r="2259" outlineLevel="2">
      <c r="A2259" s="422"/>
      <c r="B2259" s="428"/>
      <c r="C2259" s="502"/>
      <c r="D2259" s="208"/>
      <c r="E2259" s="431"/>
      <c r="F2259" s="432"/>
      <c r="G2259" s="434"/>
      <c r="H2259" s="434"/>
      <c r="I2259" s="240"/>
    </row>
    <row r="2260" outlineLevel="2">
      <c r="A2260" s="422" t="str">
        <f>'Master List'!A393</f>
        <v>M-PRT-009</v>
      </c>
      <c r="B2260" s="428"/>
      <c r="C2260" s="513" t="s">
        <v>2927</v>
      </c>
      <c r="D2260" s="315" t="s">
        <v>5640</v>
      </c>
      <c r="E2260" s="444" t="s">
        <v>161</v>
      </c>
      <c r="F2260" s="214">
        <v>34.0</v>
      </c>
      <c r="G2260" s="463">
        <f>VLOOKUP(A2260,'Master List'!$A$4:$F4995,5,FALSE)</f>
        <v>0.897</v>
      </c>
      <c r="H2260" s="206">
        <f t="shared" ref="H2260:H2279" si="241">G2260*F2260</f>
        <v>30.498</v>
      </c>
      <c r="I2260" s="219"/>
    </row>
    <row r="2261" outlineLevel="2">
      <c r="A2261" s="422" t="str">
        <f>'Master List'!A394</f>
        <v>M-PRT-010</v>
      </c>
      <c r="B2261" s="428"/>
      <c r="C2261" s="513" t="s">
        <v>2929</v>
      </c>
      <c r="D2261" s="315" t="s">
        <v>1288</v>
      </c>
      <c r="E2261" s="444" t="s">
        <v>161</v>
      </c>
      <c r="F2261" s="214">
        <v>12.0</v>
      </c>
      <c r="G2261" s="463">
        <f>VLOOKUP(A2261,'Master List'!$A$4:$F4996,5,FALSE)</f>
        <v>1.261</v>
      </c>
      <c r="H2261" s="206">
        <f t="shared" si="241"/>
        <v>15.132</v>
      </c>
      <c r="I2261" s="219"/>
    </row>
    <row r="2262" outlineLevel="2">
      <c r="A2262" s="422" t="str">
        <f>'Master List'!A395</f>
        <v>M-PRT-011</v>
      </c>
      <c r="B2262" s="428"/>
      <c r="C2262" s="513" t="s">
        <v>2930</v>
      </c>
      <c r="D2262" s="315" t="s">
        <v>1289</v>
      </c>
      <c r="E2262" s="444" t="s">
        <v>161</v>
      </c>
      <c r="F2262" s="214">
        <v>33.0</v>
      </c>
      <c r="G2262" s="463">
        <f>VLOOKUP(A2262,'Master List'!$A$4:$F4997,5,FALSE)</f>
        <v>0.975</v>
      </c>
      <c r="H2262" s="206">
        <f t="shared" si="241"/>
        <v>32.175</v>
      </c>
      <c r="I2262" s="219"/>
    </row>
    <row r="2263" outlineLevel="2">
      <c r="A2263" s="422" t="str">
        <f>'Master List'!A396</f>
        <v>M-PRT-012</v>
      </c>
      <c r="B2263" s="428"/>
      <c r="C2263" s="513" t="s">
        <v>2932</v>
      </c>
      <c r="D2263" s="315" t="s">
        <v>1290</v>
      </c>
      <c r="E2263" s="444" t="s">
        <v>161</v>
      </c>
      <c r="F2263" s="214">
        <v>9.0</v>
      </c>
      <c r="G2263" s="463">
        <f>VLOOKUP(A2263,'Master List'!$A$4:$F4998,5,FALSE)</f>
        <v>0.975</v>
      </c>
      <c r="H2263" s="206">
        <f t="shared" si="241"/>
        <v>8.775</v>
      </c>
      <c r="I2263" s="219"/>
    </row>
    <row r="2264" outlineLevel="2">
      <c r="A2264" s="422" t="str">
        <f>'Master List'!A397</f>
        <v>M-PRT-013</v>
      </c>
      <c r="B2264" s="428"/>
      <c r="C2264" s="513" t="s">
        <v>2933</v>
      </c>
      <c r="D2264" s="315" t="s">
        <v>1291</v>
      </c>
      <c r="E2264" s="444" t="s">
        <v>161</v>
      </c>
      <c r="F2264" s="214">
        <v>59.0</v>
      </c>
      <c r="G2264" s="463">
        <f>VLOOKUP(A2264,'Master List'!$A$4:$F4999,5,FALSE)</f>
        <v>0.351</v>
      </c>
      <c r="H2264" s="206">
        <f t="shared" si="241"/>
        <v>20.709</v>
      </c>
      <c r="I2264" s="219"/>
    </row>
    <row r="2265" outlineLevel="2">
      <c r="A2265" s="422" t="str">
        <f>'Master List'!A398</f>
        <v>M-PRT-014</v>
      </c>
      <c r="B2265" s="428"/>
      <c r="C2265" s="513" t="s">
        <v>2934</v>
      </c>
      <c r="D2265" s="315" t="s">
        <v>1292</v>
      </c>
      <c r="E2265" s="444" t="s">
        <v>161</v>
      </c>
      <c r="F2265" s="214">
        <v>33.0</v>
      </c>
      <c r="G2265" s="463">
        <f>VLOOKUP(A2265,'Master List'!$A$4:$F5000,5,FALSE)</f>
        <v>0.312</v>
      </c>
      <c r="H2265" s="206">
        <f t="shared" si="241"/>
        <v>10.296</v>
      </c>
      <c r="I2265" s="219"/>
    </row>
    <row r="2266" outlineLevel="2">
      <c r="A2266" s="422" t="str">
        <f>'Master List'!A399</f>
        <v>M-PRT-015</v>
      </c>
      <c r="B2266" s="428"/>
      <c r="C2266" s="513" t="s">
        <v>2935</v>
      </c>
      <c r="D2266" s="315" t="s">
        <v>1293</v>
      </c>
      <c r="E2266" s="444" t="s">
        <v>161</v>
      </c>
      <c r="F2266" s="214">
        <v>30.0</v>
      </c>
      <c r="G2266" s="463">
        <f>VLOOKUP(A2266,'Master List'!$A$4:$F5001,5,FALSE)</f>
        <v>0.312</v>
      </c>
      <c r="H2266" s="206">
        <f t="shared" si="241"/>
        <v>9.36</v>
      </c>
      <c r="I2266" s="219"/>
    </row>
    <row r="2267" outlineLevel="2">
      <c r="A2267" s="422" t="str">
        <f>'Master List'!A400</f>
        <v>M-PRT-016</v>
      </c>
      <c r="B2267" s="428"/>
      <c r="C2267" s="513" t="s">
        <v>2936</v>
      </c>
      <c r="D2267" s="315" t="s">
        <v>1294</v>
      </c>
      <c r="E2267" s="444" t="s">
        <v>161</v>
      </c>
      <c r="F2267" s="214">
        <v>13.0</v>
      </c>
      <c r="G2267" s="463">
        <f>VLOOKUP(A2267,'Master List'!$A$4:$F5002,5,FALSE)</f>
        <v>2.067</v>
      </c>
      <c r="H2267" s="206">
        <f t="shared" si="241"/>
        <v>26.871</v>
      </c>
      <c r="I2267" s="219"/>
    </row>
    <row r="2268" outlineLevel="2">
      <c r="A2268" s="422" t="str">
        <f>'Master List'!A401</f>
        <v>M-PRT-017</v>
      </c>
      <c r="B2268" s="428"/>
      <c r="C2268" s="513" t="s">
        <v>2938</v>
      </c>
      <c r="D2268" s="315" t="s">
        <v>1295</v>
      </c>
      <c r="E2268" s="444" t="s">
        <v>161</v>
      </c>
      <c r="F2268" s="214">
        <v>35.0</v>
      </c>
      <c r="G2268" s="463">
        <f>VLOOKUP(A2268,'Master List'!$A$4:$F5003,5,FALSE)</f>
        <v>4.03</v>
      </c>
      <c r="H2268" s="206">
        <f t="shared" si="241"/>
        <v>141.05</v>
      </c>
      <c r="I2268" s="219"/>
    </row>
    <row r="2269" outlineLevel="2">
      <c r="A2269" s="422" t="str">
        <f>'Master List'!A402</f>
        <v>M-PRT-018</v>
      </c>
      <c r="B2269" s="428"/>
      <c r="C2269" s="513" t="s">
        <v>2940</v>
      </c>
      <c r="D2269" s="315" t="s">
        <v>1296</v>
      </c>
      <c r="E2269" s="444" t="s">
        <v>161</v>
      </c>
      <c r="F2269" s="214">
        <v>30.0</v>
      </c>
      <c r="G2269" s="463">
        <f>VLOOKUP(A2269,'Master List'!$A$4:$F5004,5,FALSE)</f>
        <v>4.03</v>
      </c>
      <c r="H2269" s="206">
        <f t="shared" si="241"/>
        <v>120.9</v>
      </c>
      <c r="I2269" s="219"/>
    </row>
    <row r="2270" outlineLevel="2">
      <c r="A2270" s="422"/>
      <c r="B2270" s="428"/>
      <c r="C2270" s="513" t="s">
        <v>2942</v>
      </c>
      <c r="D2270" s="315" t="s">
        <v>1297</v>
      </c>
      <c r="E2270" s="444" t="s">
        <v>161</v>
      </c>
      <c r="F2270" s="214">
        <v>10.0</v>
      </c>
      <c r="G2270" s="205">
        <v>0.0</v>
      </c>
      <c r="H2270" s="206">
        <f t="shared" si="241"/>
        <v>0</v>
      </c>
      <c r="I2270" s="206" t="s">
        <v>619</v>
      </c>
    </row>
    <row r="2271" outlineLevel="2">
      <c r="A2271" s="422"/>
      <c r="B2271" s="428"/>
      <c r="C2271" s="513" t="s">
        <v>2944</v>
      </c>
      <c r="D2271" s="315" t="s">
        <v>1298</v>
      </c>
      <c r="E2271" s="444" t="s">
        <v>161</v>
      </c>
      <c r="F2271" s="214">
        <v>10.0</v>
      </c>
      <c r="G2271" s="205">
        <v>0.0</v>
      </c>
      <c r="H2271" s="206">
        <f t="shared" si="241"/>
        <v>0</v>
      </c>
      <c r="I2271" s="206" t="s">
        <v>619</v>
      </c>
    </row>
    <row r="2272" outlineLevel="2">
      <c r="A2272" s="422"/>
      <c r="B2272" s="428"/>
      <c r="C2272" s="513" t="s">
        <v>2946</v>
      </c>
      <c r="D2272" s="315" t="s">
        <v>1299</v>
      </c>
      <c r="E2272" s="444" t="s">
        <v>161</v>
      </c>
      <c r="F2272" s="214">
        <v>10.0</v>
      </c>
      <c r="G2272" s="205">
        <v>0.0</v>
      </c>
      <c r="H2272" s="206">
        <f t="shared" si="241"/>
        <v>0</v>
      </c>
      <c r="I2272" s="206" t="s">
        <v>619</v>
      </c>
    </row>
    <row r="2273" outlineLevel="2">
      <c r="A2273" s="422"/>
      <c r="B2273" s="428"/>
      <c r="C2273" s="513" t="s">
        <v>2948</v>
      </c>
      <c r="D2273" s="315" t="s">
        <v>1300</v>
      </c>
      <c r="E2273" s="444" t="s">
        <v>161</v>
      </c>
      <c r="F2273" s="214">
        <v>10.0</v>
      </c>
      <c r="G2273" s="205">
        <v>0.0</v>
      </c>
      <c r="H2273" s="206">
        <f t="shared" si="241"/>
        <v>0</v>
      </c>
      <c r="I2273" s="206" t="s">
        <v>619</v>
      </c>
    </row>
    <row r="2274" outlineLevel="2">
      <c r="A2274" s="422" t="str">
        <f>'Master List'!A403</f>
        <v>M-PRT-019</v>
      </c>
      <c r="B2274" s="428"/>
      <c r="C2274" s="513" t="s">
        <v>2950</v>
      </c>
      <c r="D2274" s="315" t="s">
        <v>1301</v>
      </c>
      <c r="E2274" s="444" t="s">
        <v>161</v>
      </c>
      <c r="F2274" s="214">
        <v>13.0</v>
      </c>
      <c r="G2274" s="463">
        <f>VLOOKUP(A2274,'Master List'!$A$4:$F5009,5,FALSE)</f>
        <v>2.873</v>
      </c>
      <c r="H2274" s="206">
        <f t="shared" si="241"/>
        <v>37.349</v>
      </c>
      <c r="I2274" s="219"/>
    </row>
    <row r="2275" outlineLevel="2">
      <c r="A2275" s="422"/>
      <c r="B2275" s="428"/>
      <c r="C2275" s="513" t="s">
        <v>2952</v>
      </c>
      <c r="D2275" s="315" t="s">
        <v>1302</v>
      </c>
      <c r="E2275" s="444" t="s">
        <v>161</v>
      </c>
      <c r="F2275" s="214">
        <v>10.0</v>
      </c>
      <c r="G2275" s="205">
        <v>0.0</v>
      </c>
      <c r="H2275" s="206">
        <f t="shared" si="241"/>
        <v>0</v>
      </c>
      <c r="I2275" s="206" t="s">
        <v>619</v>
      </c>
    </row>
    <row r="2276" outlineLevel="2">
      <c r="A2276" s="422"/>
      <c r="B2276" s="428"/>
      <c r="C2276" s="513" t="s">
        <v>2954</v>
      </c>
      <c r="D2276" s="315" t="s">
        <v>1303</v>
      </c>
      <c r="E2276" s="444" t="s">
        <v>161</v>
      </c>
      <c r="F2276" s="214">
        <v>13.0</v>
      </c>
      <c r="G2276" s="205">
        <v>0.0</v>
      </c>
      <c r="H2276" s="206">
        <f t="shared" si="241"/>
        <v>0</v>
      </c>
      <c r="I2276" s="206" t="s">
        <v>619</v>
      </c>
    </row>
    <row r="2277" outlineLevel="2">
      <c r="A2277" s="422"/>
      <c r="B2277" s="428"/>
      <c r="C2277" s="513" t="s">
        <v>2956</v>
      </c>
      <c r="D2277" s="315" t="s">
        <v>1304</v>
      </c>
      <c r="E2277" s="444" t="s">
        <v>161</v>
      </c>
      <c r="F2277" s="214">
        <v>13.0</v>
      </c>
      <c r="G2277" s="205">
        <v>0.0</v>
      </c>
      <c r="H2277" s="206">
        <f t="shared" si="241"/>
        <v>0</v>
      </c>
      <c r="I2277" s="206" t="s">
        <v>619</v>
      </c>
    </row>
    <row r="2278" outlineLevel="2">
      <c r="A2278" s="422"/>
      <c r="B2278" s="428"/>
      <c r="C2278" s="513" t="s">
        <v>2958</v>
      </c>
      <c r="D2278" s="315" t="s">
        <v>1305</v>
      </c>
      <c r="E2278" s="444" t="s">
        <v>161</v>
      </c>
      <c r="F2278" s="214">
        <v>13.0</v>
      </c>
      <c r="G2278" s="205">
        <v>0.0</v>
      </c>
      <c r="H2278" s="206">
        <f t="shared" si="241"/>
        <v>0</v>
      </c>
      <c r="I2278" s="206" t="s">
        <v>619</v>
      </c>
    </row>
    <row r="2279" outlineLevel="2">
      <c r="A2279" s="422"/>
      <c r="B2279" s="428"/>
      <c r="C2279" s="513" t="s">
        <v>2960</v>
      </c>
      <c r="D2279" s="315" t="s">
        <v>1306</v>
      </c>
      <c r="E2279" s="444" t="s">
        <v>161</v>
      </c>
      <c r="F2279" s="214">
        <v>13.0</v>
      </c>
      <c r="G2279" s="205">
        <v>0.0</v>
      </c>
      <c r="H2279" s="206">
        <f t="shared" si="241"/>
        <v>0</v>
      </c>
      <c r="I2279" s="206" t="s">
        <v>619</v>
      </c>
    </row>
    <row r="2280" outlineLevel="2">
      <c r="A2280" s="422"/>
      <c r="B2280" s="428"/>
      <c r="C2280" s="502"/>
      <c r="D2280" s="208"/>
      <c r="E2280" s="431"/>
      <c r="F2280" s="432"/>
      <c r="G2280" s="434"/>
      <c r="H2280" s="206"/>
      <c r="I2280" s="240"/>
    </row>
    <row r="2281" outlineLevel="2">
      <c r="A2281" s="422"/>
      <c r="B2281" s="428"/>
      <c r="C2281" s="513" t="s">
        <v>2962</v>
      </c>
      <c r="D2281" s="315" t="s">
        <v>1123</v>
      </c>
      <c r="E2281" s="444"/>
      <c r="F2281" s="214"/>
      <c r="G2281" s="205"/>
      <c r="H2281" s="206"/>
      <c r="I2281" s="219"/>
    </row>
    <row r="2282" outlineLevel="2">
      <c r="A2282" s="422"/>
      <c r="B2282" s="428"/>
      <c r="C2282" s="514"/>
      <c r="D2282" s="329"/>
      <c r="E2282" s="437"/>
      <c r="F2282" s="170"/>
      <c r="G2282" s="239"/>
      <c r="H2282" s="206"/>
      <c r="I2282" s="240"/>
    </row>
    <row r="2283" outlineLevel="2">
      <c r="A2283" s="422" t="str">
        <f>'Master List'!A813</f>
        <v>W-PRT-007</v>
      </c>
      <c r="B2283" s="428"/>
      <c r="C2283" s="505"/>
      <c r="D2283" s="462" t="str">
        <f>VLOOKUP(A2283,'Master List'!$A$1:$C$1192,2,FALSE)</f>
        <v>Прокладання гофротруби діаметром до 20мм</v>
      </c>
      <c r="E2283" s="463" t="str">
        <f>VLOOKUP(A2283,'Master List'!$A$1:$C$1192,3,FALSE)</f>
        <v>м</v>
      </c>
      <c r="F2283" s="464">
        <f>F2293</f>
        <v>25</v>
      </c>
      <c r="G2283" s="463">
        <f>VLOOKUP(A2283,'Master List'!$A$4:$F5018,5,FALSE)</f>
        <v>2.6</v>
      </c>
      <c r="H2283" s="206">
        <f t="shared" ref="H2283:H2286" si="242">G2283*F2283</f>
        <v>65</v>
      </c>
      <c r="I2283" s="240"/>
    </row>
    <row r="2284" outlineLevel="2">
      <c r="A2284" s="422" t="str">
        <f>'Master List'!A814</f>
        <v>W-PRT-008</v>
      </c>
      <c r="B2284" s="428"/>
      <c r="C2284" s="505"/>
      <c r="D2284" s="462" t="str">
        <f>VLOOKUP(A2284,'Master List'!$A$1:$C$1192,2,FALSE)</f>
        <v>Прокладання гофротруби діаметром до 40мм</v>
      </c>
      <c r="E2284" s="463" t="str">
        <f>VLOOKUP(A2284,'Master List'!$A$1:$C$1192,3,FALSE)</f>
        <v>м</v>
      </c>
      <c r="F2284" s="464">
        <f>F2294+F2292+F2291</f>
        <v>342</v>
      </c>
      <c r="G2284" s="463">
        <f>VLOOKUP(A2284,'Master List'!$A$4:$F5019,5,FALSE)</f>
        <v>3.25</v>
      </c>
      <c r="H2284" s="206">
        <f t="shared" si="242"/>
        <v>1111.5</v>
      </c>
      <c r="I2284" s="240"/>
    </row>
    <row r="2285" outlineLevel="2">
      <c r="A2285" s="422" t="str">
        <f>'Master List'!A815</f>
        <v>W-PRT-009</v>
      </c>
      <c r="B2285" s="428"/>
      <c r="C2285" s="505"/>
      <c r="D2285" s="462" t="str">
        <f>VLOOKUP(A2285,'Master List'!$A$1:$C$1192,2,FALSE)</f>
        <v>Прокладання гофротруби діаметром до 63мм</v>
      </c>
      <c r="E2285" s="463" t="str">
        <f>VLOOKUP(A2285,'Master List'!$A$1:$C$1192,3,FALSE)</f>
        <v>м</v>
      </c>
      <c r="F2285" s="464">
        <f>+F2290+F2289</f>
        <v>614</v>
      </c>
      <c r="G2285" s="463">
        <f>VLOOKUP(A2285,'Master List'!$A$4:$F5020,5,FALSE)</f>
        <v>4.55</v>
      </c>
      <c r="H2285" s="206">
        <f t="shared" si="242"/>
        <v>2793.7</v>
      </c>
      <c r="I2285" s="240"/>
    </row>
    <row r="2286" outlineLevel="2">
      <c r="A2286" s="422" t="str">
        <f>'Master List'!A816</f>
        <v>W-PRT-010</v>
      </c>
      <c r="B2286" s="428"/>
      <c r="C2286" s="505"/>
      <c r="D2286" s="462" t="str">
        <f>VLOOKUP(A2286,'Master List'!$A$1:$C$1192,2,FALSE)</f>
        <v>Прокладання гофротруби діаметром до 125мм</v>
      </c>
      <c r="E2286" s="463" t="str">
        <f>VLOOKUP(A2286,'Master List'!$A$1:$C$1192,3,FALSE)</f>
        <v>м</v>
      </c>
      <c r="F2286" s="464">
        <f>+F2288</f>
        <v>7</v>
      </c>
      <c r="G2286" s="463">
        <f>VLOOKUP(A2286,'Master List'!$A$4:$F5021,5,FALSE)</f>
        <v>6.5</v>
      </c>
      <c r="H2286" s="206">
        <f t="shared" si="242"/>
        <v>45.5</v>
      </c>
      <c r="I2286" s="240"/>
    </row>
    <row r="2287" outlineLevel="2">
      <c r="A2287" s="422"/>
      <c r="B2287" s="428"/>
      <c r="C2287" s="502"/>
      <c r="D2287" s="208"/>
      <c r="E2287" s="431"/>
      <c r="F2287" s="432"/>
      <c r="G2287" s="434"/>
      <c r="H2287" s="206"/>
      <c r="I2287" s="240"/>
    </row>
    <row r="2288" outlineLevel="2">
      <c r="A2288" s="422" t="str">
        <f>'Master List'!A404</f>
        <v>M-PRT-020</v>
      </c>
      <c r="B2288" s="428"/>
      <c r="C2288" s="513" t="s">
        <v>2964</v>
      </c>
      <c r="D2288" s="315" t="s">
        <v>5641</v>
      </c>
      <c r="E2288" s="444" t="s">
        <v>161</v>
      </c>
      <c r="F2288" s="214">
        <v>7.0</v>
      </c>
      <c r="G2288" s="463">
        <f>VLOOKUP(A2288,'Master List'!$A$4:$F5023,5,FALSE)</f>
        <v>6.903</v>
      </c>
      <c r="H2288" s="206">
        <f t="shared" ref="H2288:H2294" si="243">G2288*F2288</f>
        <v>48.321</v>
      </c>
      <c r="I2288" s="219"/>
    </row>
    <row r="2289" outlineLevel="2">
      <c r="A2289" s="422" t="str">
        <f>'Master List'!A405</f>
        <v>M-PRT-021</v>
      </c>
      <c r="B2289" s="428"/>
      <c r="C2289" s="513" t="s">
        <v>2966</v>
      </c>
      <c r="D2289" s="315" t="s">
        <v>1308</v>
      </c>
      <c r="E2289" s="444" t="s">
        <v>161</v>
      </c>
      <c r="F2289" s="214">
        <v>550.0</v>
      </c>
      <c r="G2289" s="463">
        <f>VLOOKUP(A2289,'Master List'!$A$4:$F5024,5,FALSE)</f>
        <v>1.144</v>
      </c>
      <c r="H2289" s="206">
        <f t="shared" si="243"/>
        <v>629.2</v>
      </c>
      <c r="I2289" s="219"/>
    </row>
    <row r="2290" outlineLevel="2">
      <c r="A2290" s="422" t="str">
        <f>'Master List'!A406</f>
        <v>M-PRT-022</v>
      </c>
      <c r="B2290" s="428"/>
      <c r="C2290" s="513" t="s">
        <v>2968</v>
      </c>
      <c r="D2290" s="315" t="s">
        <v>1309</v>
      </c>
      <c r="E2290" s="444" t="s">
        <v>161</v>
      </c>
      <c r="F2290" s="214">
        <v>64.0</v>
      </c>
      <c r="G2290" s="463">
        <f>VLOOKUP(A2290,'Master List'!$A$4:$F5025,5,FALSE)</f>
        <v>1.274</v>
      </c>
      <c r="H2290" s="206">
        <f t="shared" si="243"/>
        <v>81.536</v>
      </c>
      <c r="I2290" s="219"/>
    </row>
    <row r="2291" outlineLevel="2">
      <c r="A2291" s="422" t="str">
        <f>'Master List'!A407</f>
        <v>M-PRT-023</v>
      </c>
      <c r="B2291" s="428"/>
      <c r="C2291" s="513" t="s">
        <v>2970</v>
      </c>
      <c r="D2291" s="315" t="s">
        <v>1310</v>
      </c>
      <c r="E2291" s="444" t="s">
        <v>161</v>
      </c>
      <c r="F2291" s="214">
        <v>169.0</v>
      </c>
      <c r="G2291" s="463">
        <f>VLOOKUP(A2291,'Master List'!$A$4:$F5026,5,FALSE)</f>
        <v>0.754</v>
      </c>
      <c r="H2291" s="206">
        <f t="shared" si="243"/>
        <v>127.426</v>
      </c>
      <c r="I2291" s="219"/>
    </row>
    <row r="2292" outlineLevel="2">
      <c r="A2292" s="422" t="str">
        <f>'Master List'!A408</f>
        <v>M-PRT-024</v>
      </c>
      <c r="B2292" s="428"/>
      <c r="C2292" s="513" t="s">
        <v>2972</v>
      </c>
      <c r="D2292" s="315" t="s">
        <v>1311</v>
      </c>
      <c r="E2292" s="444" t="s">
        <v>161</v>
      </c>
      <c r="F2292" s="214">
        <v>98.0</v>
      </c>
      <c r="G2292" s="463">
        <f>VLOOKUP(A2292,'Master List'!$A$4:$F5027,5,FALSE)</f>
        <v>0.702</v>
      </c>
      <c r="H2292" s="206">
        <f t="shared" si="243"/>
        <v>68.796</v>
      </c>
      <c r="I2292" s="219"/>
    </row>
    <row r="2293" outlineLevel="2">
      <c r="A2293" s="422" t="str">
        <f>'Master List'!A409</f>
        <v>M-PRT-025</v>
      </c>
      <c r="B2293" s="428"/>
      <c r="C2293" s="513" t="s">
        <v>2974</v>
      </c>
      <c r="D2293" s="315" t="s">
        <v>1312</v>
      </c>
      <c r="E2293" s="444" t="s">
        <v>161</v>
      </c>
      <c r="F2293" s="214">
        <v>25.0</v>
      </c>
      <c r="G2293" s="463">
        <f>VLOOKUP(A2293,'Master List'!$A$4:$F5028,5,FALSE)</f>
        <v>0.416</v>
      </c>
      <c r="H2293" s="206">
        <f t="shared" si="243"/>
        <v>10.4</v>
      </c>
      <c r="I2293" s="219"/>
    </row>
    <row r="2294" outlineLevel="2">
      <c r="A2294" s="422" t="str">
        <f>'Master List'!A410</f>
        <v>M-PRT-026</v>
      </c>
      <c r="B2294" s="428"/>
      <c r="C2294" s="513" t="s">
        <v>2976</v>
      </c>
      <c r="D2294" s="315" t="s">
        <v>1313</v>
      </c>
      <c r="E2294" s="444" t="s">
        <v>161</v>
      </c>
      <c r="F2294" s="214">
        <v>75.0</v>
      </c>
      <c r="G2294" s="463">
        <f>VLOOKUP(A2294,'Master List'!$A$4:$F5029,5,FALSE)</f>
        <v>2.457</v>
      </c>
      <c r="H2294" s="206">
        <f t="shared" si="243"/>
        <v>184.275</v>
      </c>
      <c r="I2294" s="219"/>
    </row>
    <row r="2295" outlineLevel="2">
      <c r="A2295" s="422"/>
      <c r="B2295" s="428"/>
      <c r="C2295" s="502"/>
      <c r="D2295" s="208"/>
      <c r="E2295" s="431"/>
      <c r="F2295" s="432"/>
      <c r="G2295" s="434"/>
      <c r="H2295" s="434"/>
      <c r="I2295" s="240"/>
    </row>
    <row r="2296" outlineLevel="2">
      <c r="A2296" s="422"/>
      <c r="B2296" s="428"/>
      <c r="C2296" s="537">
        <v>17.7</v>
      </c>
      <c r="D2296" s="323" t="s">
        <v>1128</v>
      </c>
      <c r="E2296" s="431"/>
      <c r="F2296" s="432"/>
      <c r="G2296" s="434"/>
      <c r="H2296" s="434"/>
      <c r="I2296" s="240"/>
    </row>
    <row r="2297" outlineLevel="2">
      <c r="A2297" s="422"/>
      <c r="B2297" s="428"/>
      <c r="C2297" s="502"/>
      <c r="D2297" s="208"/>
      <c r="E2297" s="431"/>
      <c r="F2297" s="432"/>
      <c r="G2297" s="434"/>
      <c r="H2297" s="434"/>
      <c r="I2297" s="240"/>
    </row>
    <row r="2298" outlineLevel="2">
      <c r="A2298" s="422"/>
      <c r="B2298" s="428"/>
      <c r="C2298" s="513" t="s">
        <v>2978</v>
      </c>
      <c r="D2298" s="315" t="s">
        <v>1314</v>
      </c>
      <c r="E2298" s="444" t="s">
        <v>75</v>
      </c>
      <c r="F2298" s="214">
        <v>13.0</v>
      </c>
      <c r="G2298" s="205"/>
      <c r="H2298" s="206"/>
      <c r="I2298" s="219"/>
    </row>
    <row r="2299" outlineLevel="2">
      <c r="A2299" s="422"/>
      <c r="B2299" s="428"/>
      <c r="C2299" s="514"/>
      <c r="D2299" s="329"/>
      <c r="E2299" s="437"/>
      <c r="F2299" s="170"/>
      <c r="G2299" s="239"/>
      <c r="H2299" s="239"/>
      <c r="I2299" s="240"/>
    </row>
    <row r="2300" outlineLevel="2">
      <c r="A2300" s="422" t="str">
        <f>'Master List'!A817</f>
        <v>W-PRT-011</v>
      </c>
      <c r="B2300" s="428"/>
      <c r="C2300" s="505"/>
      <c r="D2300" s="462" t="str">
        <f>VLOOKUP(A2300,'Master List'!$A$1:$C$1192,2,FALSE)</f>
        <v>Монтаж коробок оглядових</v>
      </c>
      <c r="E2300" s="463" t="str">
        <f>VLOOKUP(A2300,'Master List'!$A$1:$C$1192,3,FALSE)</f>
        <v>шт</v>
      </c>
      <c r="F2300" s="464">
        <v>13.0</v>
      </c>
      <c r="G2300" s="463">
        <f>VLOOKUP(A2300,'Master List'!$A$4:$F5039,5,FALSE)</f>
        <v>39</v>
      </c>
      <c r="H2300" s="206">
        <f t="shared" ref="H2300:H2301" si="244">G2300*F2300</f>
        <v>507</v>
      </c>
      <c r="I2300" s="240"/>
    </row>
    <row r="2301" outlineLevel="2">
      <c r="A2301" s="422" t="str">
        <f>'Master List'!A411</f>
        <v>M-PRT-027</v>
      </c>
      <c r="B2301" s="428"/>
      <c r="C2301" s="505"/>
      <c r="D2301" s="462" t="str">
        <f>VLOOKUP(A2301,'Master List'!$A$1:$C$1192,2,FALSE)</f>
        <v>Коробки оглядові  0,6x0,6x0,6</v>
      </c>
      <c r="E2301" s="463" t="str">
        <f>VLOOKUP(A2301,'Master List'!$A$1:$C$1192,3,FALSE)</f>
        <v>шт</v>
      </c>
      <c r="F2301" s="464">
        <v>13.0</v>
      </c>
      <c r="G2301" s="463">
        <f>VLOOKUP(A2301,'Master List'!$A$4:$F5040,5,FALSE)</f>
        <v>8.424</v>
      </c>
      <c r="H2301" s="206">
        <f t="shared" si="244"/>
        <v>109.512</v>
      </c>
      <c r="I2301" s="240"/>
    </row>
    <row r="2302" outlineLevel="2">
      <c r="A2302" s="422"/>
      <c r="B2302" s="428"/>
      <c r="C2302" s="514"/>
      <c r="D2302" s="329"/>
      <c r="E2302" s="437"/>
      <c r="F2302" s="170"/>
      <c r="G2302" s="239"/>
      <c r="H2302" s="239"/>
      <c r="I2302" s="240"/>
    </row>
    <row r="2303" outlineLevel="2">
      <c r="A2303" s="422"/>
      <c r="B2303" s="428"/>
      <c r="C2303" s="502"/>
      <c r="D2303" s="208"/>
      <c r="E2303" s="431"/>
      <c r="F2303" s="432"/>
      <c r="G2303" s="434"/>
      <c r="H2303" s="434"/>
      <c r="I2303" s="240"/>
    </row>
    <row r="2304" outlineLevel="2">
      <c r="A2304" s="422"/>
      <c r="B2304" s="472" t="s">
        <v>1315</v>
      </c>
      <c r="C2304" s="502"/>
      <c r="D2304" s="533" t="s">
        <v>1316</v>
      </c>
      <c r="E2304" s="431"/>
      <c r="F2304" s="432"/>
      <c r="G2304" s="434"/>
      <c r="H2304" s="434"/>
      <c r="I2304" s="240"/>
    </row>
    <row r="2305" outlineLevel="2">
      <c r="A2305" s="422"/>
      <c r="B2305" s="428"/>
      <c r="C2305" s="502"/>
      <c r="D2305" s="208"/>
      <c r="E2305" s="431"/>
      <c r="F2305" s="432"/>
      <c r="G2305" s="434"/>
      <c r="H2305" s="434"/>
      <c r="I2305" s="240"/>
    </row>
    <row r="2306" outlineLevel="2">
      <c r="A2306" s="422"/>
      <c r="B2306" s="428"/>
      <c r="C2306" s="537">
        <v>17.8</v>
      </c>
      <c r="D2306" s="323" t="s">
        <v>1317</v>
      </c>
      <c r="E2306" s="431"/>
      <c r="F2306" s="432"/>
      <c r="G2306" s="434"/>
      <c r="H2306" s="434"/>
      <c r="I2306" s="240"/>
    </row>
    <row r="2307" outlineLevel="2">
      <c r="A2307" s="422"/>
      <c r="B2307" s="428"/>
      <c r="C2307" s="538"/>
      <c r="D2307" s="536"/>
      <c r="E2307" s="431"/>
      <c r="F2307" s="432"/>
      <c r="G2307" s="434"/>
      <c r="H2307" s="434"/>
      <c r="I2307" s="240"/>
    </row>
    <row r="2308" outlineLevel="2">
      <c r="A2308" s="422" t="str">
        <f>'Master List'!A818</f>
        <v>W-PRT-012</v>
      </c>
      <c r="B2308" s="428"/>
      <c r="C2308" s="505"/>
      <c r="D2308" s="462" t="str">
        <f>VLOOKUP(A2308,'Master List'!$A$1:$C$1192,2,FALSE)</f>
        <v>Монтаж з'єднувача</v>
      </c>
      <c r="E2308" s="463" t="str">
        <f>VLOOKUP(A2308,'Master List'!$A$1:$C$1192,3,FALSE)</f>
        <v>шт</v>
      </c>
      <c r="F2308" s="464">
        <v>1.0</v>
      </c>
      <c r="G2308" s="463">
        <f>VLOOKUP(A2308,'Master List'!$A$4:$F5047,5,FALSE)</f>
        <v>15.6</v>
      </c>
      <c r="H2308" s="206">
        <f t="shared" ref="H2308:H2314" si="245">G2308*F2308</f>
        <v>15.6</v>
      </c>
      <c r="I2308" s="240"/>
    </row>
    <row r="2309" outlineLevel="2">
      <c r="A2309" s="422" t="str">
        <f>'Master List'!A819</f>
        <v>W-PRT-013</v>
      </c>
      <c r="B2309" s="428"/>
      <c r="C2309" s="505"/>
      <c r="D2309" s="462" t="str">
        <f>VLOOKUP(A2309,'Master List'!$A$1:$C$1192,2,FALSE)</f>
        <v>Прокладання мідного провідника перерізом 25мм2</v>
      </c>
      <c r="E2309" s="463" t="str">
        <f>VLOOKUP(A2309,'Master List'!$A$1:$C$1192,3,FALSE)</f>
        <v>м</v>
      </c>
      <c r="F2309" s="464">
        <v>13.0</v>
      </c>
      <c r="G2309" s="463">
        <f>VLOOKUP(A2309,'Master List'!$A$4:$F5048,5,FALSE)</f>
        <v>5.85</v>
      </c>
      <c r="H2309" s="206">
        <f t="shared" si="245"/>
        <v>76.05</v>
      </c>
      <c r="I2309" s="240"/>
    </row>
    <row r="2310" outlineLevel="2">
      <c r="A2310" s="422" t="str">
        <f>'Master List'!A820</f>
        <v>W-PRT-014</v>
      </c>
      <c r="B2310" s="428"/>
      <c r="C2310" s="505"/>
      <c r="D2310" s="462" t="str">
        <f>VLOOKUP(A2310,'Master List'!$A$1:$C$1192,2,FALSE)</f>
        <v>Монтаж електроду заземлення довжиною 2м</v>
      </c>
      <c r="E2310" s="463" t="str">
        <f>VLOOKUP(A2310,'Master List'!$A$1:$C$1192,3,FALSE)</f>
        <v>шт</v>
      </c>
      <c r="F2310" s="464">
        <v>3.0</v>
      </c>
      <c r="G2310" s="463">
        <f>VLOOKUP(A2310,'Master List'!$A$4:$F5049,5,FALSE)</f>
        <v>65</v>
      </c>
      <c r="H2310" s="206">
        <f t="shared" si="245"/>
        <v>195</v>
      </c>
      <c r="I2310" s="240"/>
    </row>
    <row r="2311" outlineLevel="2">
      <c r="A2311" s="422" t="str">
        <f>'Master List'!A813</f>
        <v>W-PRT-007</v>
      </c>
      <c r="B2311" s="428"/>
      <c r="C2311" s="505"/>
      <c r="D2311" s="462" t="str">
        <f>VLOOKUP(A2311,'Master List'!$A$1:$C$1192,2,FALSE)</f>
        <v>Прокладання гофротруби діаметром до 20мм</v>
      </c>
      <c r="E2311" s="463" t="str">
        <f>VLOOKUP(A2311,'Master List'!$A$1:$C$1192,3,FALSE)</f>
        <v>м</v>
      </c>
      <c r="F2311" s="464">
        <v>63.0</v>
      </c>
      <c r="G2311" s="463">
        <f>VLOOKUP(A2311,'Master List'!$A$4:$F5050,5,FALSE)</f>
        <v>2.6</v>
      </c>
      <c r="H2311" s="206">
        <f t="shared" si="245"/>
        <v>163.8</v>
      </c>
      <c r="I2311" s="240"/>
    </row>
    <row r="2312" outlineLevel="2">
      <c r="A2312" s="422" t="str">
        <f>'Master List'!A814</f>
        <v>W-PRT-008</v>
      </c>
      <c r="B2312" s="428"/>
      <c r="C2312" s="505"/>
      <c r="D2312" s="462" t="str">
        <f>VLOOKUP(A2312,'Master List'!$A$1:$C$1192,2,FALSE)</f>
        <v>Прокладання гофротруби діаметром до 40мм</v>
      </c>
      <c r="E2312" s="463" t="str">
        <f>VLOOKUP(A2312,'Master List'!$A$1:$C$1192,3,FALSE)</f>
        <v>м</v>
      </c>
      <c r="F2312" s="464">
        <v>13.0</v>
      </c>
      <c r="G2312" s="463">
        <f>VLOOKUP(A2312,'Master List'!$A$4:$F5051,5,FALSE)</f>
        <v>3.25</v>
      </c>
      <c r="H2312" s="206">
        <f t="shared" si="245"/>
        <v>42.25</v>
      </c>
      <c r="I2312" s="240"/>
    </row>
    <row r="2313" outlineLevel="2">
      <c r="A2313" s="422" t="str">
        <f>'Master List'!A821</f>
        <v>W-PRT-015</v>
      </c>
      <c r="B2313" s="428"/>
      <c r="C2313" s="505"/>
      <c r="D2313" s="462" t="str">
        <f>VLOOKUP(A2313,'Master List'!$A$1:$C$1192,2,FALSE)</f>
        <v>Прокладання проводів перерізом до 6мм2</v>
      </c>
      <c r="E2313" s="463" t="str">
        <f>VLOOKUP(A2313,'Master List'!$A$1:$C$1192,3,FALSE)</f>
        <v>м</v>
      </c>
      <c r="F2313" s="464">
        <v>63.0</v>
      </c>
      <c r="G2313" s="463">
        <f>VLOOKUP(A2313,'Master List'!$A$4:$F5052,5,FALSE)</f>
        <v>2.86</v>
      </c>
      <c r="H2313" s="206">
        <f t="shared" si="245"/>
        <v>180.18</v>
      </c>
      <c r="I2313" s="240"/>
    </row>
    <row r="2314" outlineLevel="2">
      <c r="A2314" s="422" t="str">
        <f>'Master List'!A823</f>
        <v>W-PRT-017</v>
      </c>
      <c r="B2314" s="428"/>
      <c r="C2314" s="505"/>
      <c r="D2314" s="462" t="str">
        <f>VLOOKUP(A2314,'Master List'!$A$1:$C$1192,2,FALSE)</f>
        <v>Прокладання проводів перерізом до 32мм2</v>
      </c>
      <c r="E2314" s="463" t="str">
        <f>VLOOKUP(A2314,'Master List'!$A$1:$C$1192,3,FALSE)</f>
        <v>м</v>
      </c>
      <c r="F2314" s="464">
        <v>7.0</v>
      </c>
      <c r="G2314" s="463">
        <f>VLOOKUP(A2314,'Master List'!$A$4:$F5053,5,FALSE)</f>
        <v>6.5</v>
      </c>
      <c r="H2314" s="206">
        <f t="shared" si="245"/>
        <v>45.5</v>
      </c>
      <c r="I2314" s="240"/>
    </row>
    <row r="2315" outlineLevel="2">
      <c r="A2315" s="422"/>
      <c r="B2315" s="428"/>
      <c r="C2315" s="502"/>
      <c r="D2315" s="208"/>
      <c r="E2315" s="431"/>
      <c r="F2315" s="432"/>
      <c r="G2315" s="434"/>
      <c r="H2315" s="434"/>
      <c r="I2315" s="240"/>
    </row>
    <row r="2316" outlineLevel="2">
      <c r="A2316" s="422" t="str">
        <f>'Master List'!A412</f>
        <v>M-PRT-028</v>
      </c>
      <c r="B2316" s="428"/>
      <c r="C2316" s="513" t="s">
        <v>2982</v>
      </c>
      <c r="D2316" s="315" t="s">
        <v>1318</v>
      </c>
      <c r="E2316" s="444" t="s">
        <v>75</v>
      </c>
      <c r="F2316" s="214">
        <v>1.0</v>
      </c>
      <c r="G2316" s="463">
        <f>VLOOKUP(A2316,'Master List'!$A$4:$F5055,5,FALSE)</f>
        <v>4.407</v>
      </c>
      <c r="H2316" s="206">
        <f t="shared" ref="H2316:H2322" si="246">G2316*F2316</f>
        <v>4.407</v>
      </c>
      <c r="I2316" s="219"/>
    </row>
    <row r="2317" outlineLevel="2">
      <c r="A2317" s="422" t="str">
        <f>'Master List'!A413</f>
        <v>M-PRT-029</v>
      </c>
      <c r="B2317" s="428"/>
      <c r="C2317" s="513" t="s">
        <v>2984</v>
      </c>
      <c r="D2317" s="315" t="s">
        <v>1319</v>
      </c>
      <c r="E2317" s="444" t="s">
        <v>161</v>
      </c>
      <c r="F2317" s="214">
        <v>13.0</v>
      </c>
      <c r="G2317" s="463">
        <f>VLOOKUP(A2317,'Master List'!$A$4:$F5056,5,FALSE)</f>
        <v>5.239</v>
      </c>
      <c r="H2317" s="206">
        <f t="shared" si="246"/>
        <v>68.107</v>
      </c>
      <c r="I2317" s="219"/>
    </row>
    <row r="2318" outlineLevel="2">
      <c r="A2318" s="422" t="str">
        <f>'Master List'!A414</f>
        <v>M-PRT-030</v>
      </c>
      <c r="B2318" s="428"/>
      <c r="C2318" s="513" t="s">
        <v>2986</v>
      </c>
      <c r="D2318" s="315" t="s">
        <v>1320</v>
      </c>
      <c r="E2318" s="444" t="s">
        <v>75</v>
      </c>
      <c r="F2318" s="214">
        <v>3.0</v>
      </c>
      <c r="G2318" s="463">
        <f>VLOOKUP(A2318,'Master List'!$A$4:$F5057,5,FALSE)</f>
        <v>14.872</v>
      </c>
      <c r="H2318" s="206">
        <f t="shared" si="246"/>
        <v>44.616</v>
      </c>
      <c r="I2318" s="219"/>
    </row>
    <row r="2319" outlineLevel="2">
      <c r="A2319" s="422" t="str">
        <f>'Master List'!A415</f>
        <v>M-PRT-031</v>
      </c>
      <c r="B2319" s="428"/>
      <c r="C2319" s="513" t="s">
        <v>2988</v>
      </c>
      <c r="D2319" s="315" t="s">
        <v>1321</v>
      </c>
      <c r="E2319" s="444" t="s">
        <v>161</v>
      </c>
      <c r="F2319" s="214">
        <v>13.0</v>
      </c>
      <c r="G2319" s="463">
        <f>VLOOKUP(A2319,'Master List'!$A$4:$F5058,5,FALSE)</f>
        <v>1.066</v>
      </c>
      <c r="H2319" s="206">
        <f t="shared" si="246"/>
        <v>13.858</v>
      </c>
      <c r="I2319" s="219"/>
    </row>
    <row r="2320" outlineLevel="2">
      <c r="A2320" s="422" t="str">
        <f>'Master List'!A416</f>
        <v>M-PRT-032</v>
      </c>
      <c r="B2320" s="428"/>
      <c r="C2320" s="513" t="s">
        <v>2990</v>
      </c>
      <c r="D2320" s="315" t="s">
        <v>5642</v>
      </c>
      <c r="E2320" s="444" t="s">
        <v>161</v>
      </c>
      <c r="F2320" s="214">
        <v>7.0</v>
      </c>
      <c r="G2320" s="463">
        <f>VLOOKUP(A2320,'Master List'!$A$4:$F5059,5,FALSE)</f>
        <v>8.762</v>
      </c>
      <c r="H2320" s="206">
        <f t="shared" si="246"/>
        <v>61.334</v>
      </c>
      <c r="I2320" s="219"/>
    </row>
    <row r="2321" outlineLevel="2">
      <c r="A2321" s="422" t="str">
        <f>'Master List'!A417</f>
        <v>M-PRT-033</v>
      </c>
      <c r="B2321" s="428"/>
      <c r="C2321" s="513" t="s">
        <v>2992</v>
      </c>
      <c r="D2321" s="315" t="s">
        <v>1323</v>
      </c>
      <c r="E2321" s="444" t="s">
        <v>161</v>
      </c>
      <c r="F2321" s="214">
        <v>63.0</v>
      </c>
      <c r="G2321" s="463">
        <f>VLOOKUP(A2321,'Master List'!$A$4:$F5060,5,FALSE)</f>
        <v>50.856</v>
      </c>
      <c r="H2321" s="206">
        <f t="shared" si="246"/>
        <v>3203.928</v>
      </c>
      <c r="I2321" s="219"/>
    </row>
    <row r="2322" outlineLevel="2">
      <c r="A2322" s="422" t="str">
        <f>'Master List'!A418</f>
        <v>M-PRT-034</v>
      </c>
      <c r="B2322" s="428"/>
      <c r="C2322" s="513" t="s">
        <v>2994</v>
      </c>
      <c r="D2322" s="315" t="s">
        <v>5643</v>
      </c>
      <c r="E2322" s="444" t="s">
        <v>161</v>
      </c>
      <c r="F2322" s="214">
        <v>63.0</v>
      </c>
      <c r="G2322" s="463">
        <f>VLOOKUP(A2322,'Master List'!$A$4:$F5061,5,FALSE)</f>
        <v>0.598</v>
      </c>
      <c r="H2322" s="206">
        <f t="shared" si="246"/>
        <v>37.674</v>
      </c>
      <c r="I2322" s="219"/>
    </row>
    <row r="2323" outlineLevel="2">
      <c r="A2323" s="422"/>
      <c r="B2323" s="428"/>
      <c r="C2323" s="502"/>
      <c r="D2323" s="208"/>
      <c r="E2323" s="431"/>
      <c r="F2323" s="432"/>
      <c r="G2323" s="434"/>
      <c r="H2323" s="434"/>
      <c r="I2323" s="240"/>
    </row>
    <row r="2324" outlineLevel="2">
      <c r="A2324" s="422"/>
      <c r="B2324" s="472" t="s">
        <v>1325</v>
      </c>
      <c r="C2324" s="537">
        <v>17.9</v>
      </c>
      <c r="D2324" s="323" t="s">
        <v>5644</v>
      </c>
      <c r="E2324" s="431"/>
      <c r="F2324" s="432"/>
      <c r="G2324" s="434"/>
      <c r="H2324" s="434"/>
      <c r="I2324" s="240"/>
    </row>
    <row r="2325" outlineLevel="2">
      <c r="A2325" s="422"/>
      <c r="B2325" s="472"/>
      <c r="C2325" s="538"/>
      <c r="D2325" s="536"/>
      <c r="E2325" s="431"/>
      <c r="F2325" s="432"/>
      <c r="G2325" s="434"/>
      <c r="H2325" s="434"/>
      <c r="I2325" s="240"/>
    </row>
    <row r="2326" outlineLevel="2">
      <c r="A2326" s="422" t="str">
        <f>'Master List'!A821</f>
        <v>W-PRT-015</v>
      </c>
      <c r="B2326" s="472"/>
      <c r="C2326" s="505"/>
      <c r="D2326" s="462" t="str">
        <f>VLOOKUP(A2326,'Master List'!$A$1:$C$1192,2,FALSE)</f>
        <v>Прокладання проводів перерізом до 6мм2</v>
      </c>
      <c r="E2326" s="463" t="str">
        <f>VLOOKUP(A2326,'Master List'!$A$1:$C$1192,3,FALSE)</f>
        <v>м</v>
      </c>
      <c r="F2326" s="464">
        <v>290.0</v>
      </c>
      <c r="G2326" s="463">
        <f>VLOOKUP(A2326,'Master List'!$A$4:$F5066,5,FALSE)</f>
        <v>2.86</v>
      </c>
      <c r="H2326" s="206">
        <f t="shared" ref="H2326:H2330" si="247">G2326*F2326</f>
        <v>829.4</v>
      </c>
      <c r="I2326" s="240"/>
    </row>
    <row r="2327" outlineLevel="2">
      <c r="A2327" s="422" t="str">
        <f>'Master List'!A822</f>
        <v>W-PRT-016</v>
      </c>
      <c r="B2327" s="472"/>
      <c r="C2327" s="505"/>
      <c r="D2327" s="462" t="str">
        <f>VLOOKUP(A2327,'Master List'!$A$1:$C$1192,2,FALSE)</f>
        <v>Прокладання проводів перерізом до 16мм2</v>
      </c>
      <c r="E2327" s="463" t="str">
        <f>VLOOKUP(A2327,'Master List'!$A$1:$C$1192,3,FALSE)</f>
        <v>м</v>
      </c>
      <c r="F2327" s="464">
        <v>19.0</v>
      </c>
      <c r="G2327" s="463">
        <f>VLOOKUP(A2327,'Master List'!$A$4:$F5067,5,FALSE)</f>
        <v>4.55</v>
      </c>
      <c r="H2327" s="206">
        <f t="shared" si="247"/>
        <v>86.45</v>
      </c>
      <c r="I2327" s="240"/>
    </row>
    <row r="2328" outlineLevel="2">
      <c r="A2328" s="422" t="str">
        <f>'Master List'!A813</f>
        <v>W-PRT-007</v>
      </c>
      <c r="B2328" s="472"/>
      <c r="C2328" s="505"/>
      <c r="D2328" s="462" t="str">
        <f>VLOOKUP(A2328,'Master List'!$A$1:$C$1192,2,FALSE)</f>
        <v>Прокладання гофротруби діаметром до 20мм</v>
      </c>
      <c r="E2328" s="463" t="str">
        <f>VLOOKUP(A2328,'Master List'!$A$1:$C$1192,3,FALSE)</f>
        <v>м</v>
      </c>
      <c r="F2328" s="464">
        <v>290.0</v>
      </c>
      <c r="G2328" s="463">
        <f>VLOOKUP(A2328,'Master List'!$A$4:$F5068,5,FALSE)</f>
        <v>2.6</v>
      </c>
      <c r="H2328" s="206">
        <f t="shared" si="247"/>
        <v>754</v>
      </c>
      <c r="I2328" s="240"/>
    </row>
    <row r="2329" outlineLevel="2">
      <c r="A2329" s="422" t="str">
        <f>'Master List'!A814</f>
        <v>W-PRT-008</v>
      </c>
      <c r="B2329" s="472"/>
      <c r="C2329" s="505"/>
      <c r="D2329" s="462" t="str">
        <f>VLOOKUP(A2329,'Master List'!$A$1:$C$1192,2,FALSE)</f>
        <v>Прокладання гофротруби діаметром до 40мм</v>
      </c>
      <c r="E2329" s="463" t="str">
        <f>VLOOKUP(A2329,'Master List'!$A$1:$C$1192,3,FALSE)</f>
        <v>м</v>
      </c>
      <c r="F2329" s="464">
        <v>19.0</v>
      </c>
      <c r="G2329" s="463">
        <f>VLOOKUP(A2329,'Master List'!$A$4:$F5069,5,FALSE)</f>
        <v>3.25</v>
      </c>
      <c r="H2329" s="206">
        <f t="shared" si="247"/>
        <v>61.75</v>
      </c>
      <c r="I2329" s="240"/>
    </row>
    <row r="2330" outlineLevel="2">
      <c r="A2330" s="422" t="str">
        <f>'Master List'!A824</f>
        <v>W-PRT-018</v>
      </c>
      <c r="B2330" s="472"/>
      <c r="C2330" s="505"/>
      <c r="D2330" s="462" t="str">
        <f>VLOOKUP(A2330,'Master List'!$A$1:$C$1192,2,FALSE)</f>
        <v>Монтаж накладної коробки</v>
      </c>
      <c r="E2330" s="463" t="str">
        <f>VLOOKUP(A2330,'Master List'!$A$1:$C$1192,3,FALSE)</f>
        <v>шт</v>
      </c>
      <c r="F2330" s="464">
        <v>12.0</v>
      </c>
      <c r="G2330" s="463">
        <f>VLOOKUP(A2330,'Master List'!$A$4:$F5070,5,FALSE)</f>
        <v>15.6</v>
      </c>
      <c r="H2330" s="206">
        <f t="shared" si="247"/>
        <v>187.2</v>
      </c>
      <c r="I2330" s="240"/>
    </row>
    <row r="2331" outlineLevel="2">
      <c r="A2331" s="422"/>
      <c r="B2331" s="428"/>
      <c r="C2331" s="502"/>
      <c r="D2331" s="208"/>
      <c r="E2331" s="431"/>
      <c r="F2331" s="432"/>
      <c r="G2331" s="434"/>
      <c r="H2331" s="434"/>
      <c r="I2331" s="240"/>
    </row>
    <row r="2332" outlineLevel="2">
      <c r="A2332" s="422" t="str">
        <f>'Master List'!A420</f>
        <v>M-PRT-036</v>
      </c>
      <c r="B2332" s="428"/>
      <c r="C2332" s="513" t="s">
        <v>2996</v>
      </c>
      <c r="D2332" s="315" t="s">
        <v>1327</v>
      </c>
      <c r="E2332" s="444" t="s">
        <v>161</v>
      </c>
      <c r="F2332" s="214">
        <v>290.0</v>
      </c>
      <c r="G2332" s="463">
        <f>VLOOKUP(A2332,'Master List'!$A$4:$F5072,5,FALSE)</f>
        <v>1.092</v>
      </c>
      <c r="H2332" s="206">
        <f t="shared" ref="H2332:H2336" si="248">G2332*F2332</f>
        <v>316.68</v>
      </c>
      <c r="I2332" s="219"/>
    </row>
    <row r="2333" outlineLevel="2">
      <c r="A2333" s="422" t="str">
        <f>'Master List'!A421</f>
        <v>M-PRT-037</v>
      </c>
      <c r="B2333" s="428"/>
      <c r="C2333" s="513" t="s">
        <v>2998</v>
      </c>
      <c r="D2333" s="315" t="s">
        <v>1328</v>
      </c>
      <c r="E2333" s="444" t="s">
        <v>161</v>
      </c>
      <c r="F2333" s="214">
        <v>19.0</v>
      </c>
      <c r="G2333" s="463">
        <f>VLOOKUP(A2333,'Master List'!$A$4:$F5073,5,FALSE)</f>
        <v>4.394</v>
      </c>
      <c r="H2333" s="206">
        <f t="shared" si="248"/>
        <v>83.486</v>
      </c>
      <c r="I2333" s="219"/>
    </row>
    <row r="2334" outlineLevel="2">
      <c r="A2334" s="422" t="str">
        <f>'Master List'!A418</f>
        <v>M-PRT-034</v>
      </c>
      <c r="B2334" s="428"/>
      <c r="C2334" s="513" t="s">
        <v>3000</v>
      </c>
      <c r="D2334" s="315" t="s">
        <v>1329</v>
      </c>
      <c r="E2334" s="444" t="s">
        <v>161</v>
      </c>
      <c r="F2334" s="214">
        <v>290.0</v>
      </c>
      <c r="G2334" s="463">
        <f>VLOOKUP(A2334,'Master List'!$A$4:$F5074,5,FALSE)</f>
        <v>0.598</v>
      </c>
      <c r="H2334" s="206">
        <f t="shared" si="248"/>
        <v>173.42</v>
      </c>
      <c r="I2334" s="219"/>
    </row>
    <row r="2335" outlineLevel="2">
      <c r="A2335" s="422" t="str">
        <f>'Master List'!A419</f>
        <v>M-PRT-035</v>
      </c>
      <c r="B2335" s="428"/>
      <c r="C2335" s="513" t="s">
        <v>3002</v>
      </c>
      <c r="D2335" s="315" t="s">
        <v>1330</v>
      </c>
      <c r="E2335" s="444" t="s">
        <v>161</v>
      </c>
      <c r="F2335" s="214">
        <v>19.0</v>
      </c>
      <c r="G2335" s="463">
        <f>VLOOKUP(A2335,'Master List'!$A$4:$F5075,5,FALSE)</f>
        <v>0.78</v>
      </c>
      <c r="H2335" s="206">
        <f t="shared" si="248"/>
        <v>14.82</v>
      </c>
      <c r="I2335" s="219"/>
    </row>
    <row r="2336" outlineLevel="2">
      <c r="A2336" s="422" t="str">
        <f>'Master List'!A422</f>
        <v>M-PRT-038</v>
      </c>
      <c r="B2336" s="428"/>
      <c r="C2336" s="513" t="s">
        <v>3004</v>
      </c>
      <c r="D2336" s="315" t="s">
        <v>1331</v>
      </c>
      <c r="E2336" s="444" t="s">
        <v>75</v>
      </c>
      <c r="F2336" s="214">
        <v>12.0</v>
      </c>
      <c r="G2336" s="463">
        <f>VLOOKUP(A2336,'Master List'!$A$4:$F5076,5,FALSE)</f>
        <v>0.247</v>
      </c>
      <c r="H2336" s="206">
        <f t="shared" si="248"/>
        <v>2.964</v>
      </c>
      <c r="I2336" s="219"/>
    </row>
    <row r="2337" outlineLevel="2">
      <c r="A2337" s="422"/>
      <c r="B2337" s="428"/>
      <c r="C2337" s="502"/>
      <c r="D2337" s="208"/>
      <c r="E2337" s="431"/>
      <c r="F2337" s="432"/>
      <c r="G2337" s="434"/>
      <c r="H2337" s="434"/>
      <c r="I2337" s="240"/>
    </row>
    <row r="2338" outlineLevel="1">
      <c r="A2338" s="422"/>
      <c r="B2338" s="472" t="s">
        <v>1332</v>
      </c>
      <c r="C2338" s="515"/>
      <c r="D2338" s="533" t="s">
        <v>1333</v>
      </c>
      <c r="E2338" s="431"/>
      <c r="F2338" s="432"/>
      <c r="G2338" s="436">
        <f>SUM(H2342:H2377)</f>
        <v>32128.915</v>
      </c>
      <c r="H2338" s="434"/>
      <c r="I2338" s="240"/>
    </row>
    <row r="2339" outlineLevel="2">
      <c r="A2339" s="422"/>
      <c r="B2339" s="428"/>
      <c r="C2339" s="502"/>
      <c r="D2339" s="208"/>
      <c r="E2339" s="431"/>
      <c r="F2339" s="432"/>
      <c r="G2339" s="434"/>
      <c r="H2339" s="434"/>
      <c r="I2339" s="240"/>
    </row>
    <row r="2340" outlineLevel="2">
      <c r="A2340" s="422"/>
      <c r="B2340" s="428"/>
      <c r="C2340" s="539" t="s">
        <v>3007</v>
      </c>
      <c r="D2340" s="323" t="s">
        <v>5645</v>
      </c>
      <c r="E2340" s="431"/>
      <c r="F2340" s="432"/>
      <c r="G2340" s="434"/>
      <c r="H2340" s="434"/>
      <c r="I2340" s="240"/>
    </row>
    <row r="2341" outlineLevel="2">
      <c r="A2341" s="422"/>
      <c r="B2341" s="428"/>
      <c r="C2341" s="540"/>
      <c r="D2341" s="536"/>
      <c r="E2341" s="431"/>
      <c r="F2341" s="432"/>
      <c r="G2341" s="434"/>
      <c r="H2341" s="434"/>
      <c r="I2341" s="240"/>
    </row>
    <row r="2342" outlineLevel="2">
      <c r="A2342" s="422" t="str">
        <f>'Master List'!A822</f>
        <v>W-PRT-016</v>
      </c>
      <c r="B2342" s="428"/>
      <c r="C2342" s="505"/>
      <c r="D2342" s="462" t="str">
        <f>VLOOKUP(A2342,'Master List'!$A$1:$C$1192,2,FALSE)</f>
        <v>Прокладання проводів перерізом до 16мм2</v>
      </c>
      <c r="E2342" s="463" t="str">
        <f>VLOOKUP(A2342,'Master List'!$A$1:$C$1192,3,FALSE)</f>
        <v>м</v>
      </c>
      <c r="F2342" s="464">
        <v>1585.0</v>
      </c>
      <c r="G2342" s="463">
        <f>VLOOKUP(A2342,'Master List'!$A$4:$F5082,5,FALSE)</f>
        <v>4.55</v>
      </c>
      <c r="H2342" s="206">
        <f>G2342*F2342</f>
        <v>7211.75</v>
      </c>
      <c r="I2342" s="240"/>
    </row>
    <row r="2343" outlineLevel="2">
      <c r="A2343" s="422"/>
      <c r="B2343" s="428"/>
      <c r="C2343" s="502"/>
      <c r="D2343" s="208"/>
      <c r="E2343" s="431"/>
      <c r="F2343" s="432"/>
      <c r="G2343" s="434"/>
      <c r="H2343" s="434"/>
      <c r="I2343" s="240"/>
    </row>
    <row r="2344" outlineLevel="2">
      <c r="A2344" s="422" t="str">
        <f>'Master List'!A423</f>
        <v>M-PRT-039</v>
      </c>
      <c r="B2344" s="428"/>
      <c r="C2344" s="513" t="s">
        <v>3009</v>
      </c>
      <c r="D2344" s="315" t="s">
        <v>1334</v>
      </c>
      <c r="E2344" s="444" t="s">
        <v>161</v>
      </c>
      <c r="F2344" s="214">
        <v>732.0</v>
      </c>
      <c r="G2344" s="463">
        <f>VLOOKUP(A2344,'Master List'!$A$4:$F5084,5,FALSE)</f>
        <v>1.807</v>
      </c>
      <c r="H2344" s="206">
        <f t="shared" ref="H2344:H2347" si="249">G2344*F2344</f>
        <v>1322.724</v>
      </c>
      <c r="I2344" s="219"/>
    </row>
    <row r="2345" outlineLevel="2">
      <c r="A2345" s="422" t="str">
        <f>'Master List'!A424</f>
        <v>M-PRT-040</v>
      </c>
      <c r="B2345" s="428"/>
      <c r="C2345" s="513" t="s">
        <v>3011</v>
      </c>
      <c r="D2345" s="315" t="s">
        <v>1335</v>
      </c>
      <c r="E2345" s="444" t="s">
        <v>161</v>
      </c>
      <c r="F2345" s="214">
        <v>780.0</v>
      </c>
      <c r="G2345" s="463">
        <f>VLOOKUP(A2345,'Master List'!$A$4:$F5085,5,FALSE)</f>
        <v>0.546</v>
      </c>
      <c r="H2345" s="206">
        <f t="shared" si="249"/>
        <v>425.88</v>
      </c>
      <c r="I2345" s="219"/>
    </row>
    <row r="2346" outlineLevel="2">
      <c r="A2346" s="422" t="str">
        <f>'Master List'!A425</f>
        <v>M-PRT-041</v>
      </c>
      <c r="B2346" s="428"/>
      <c r="C2346" s="513" t="s">
        <v>3013</v>
      </c>
      <c r="D2346" s="315" t="s">
        <v>1336</v>
      </c>
      <c r="E2346" s="444" t="s">
        <v>161</v>
      </c>
      <c r="F2346" s="214">
        <v>40.0</v>
      </c>
      <c r="G2346" s="463">
        <f>VLOOKUP(A2346,'Master List'!$A$4:$F5086,5,FALSE)</f>
        <v>1.742</v>
      </c>
      <c r="H2346" s="206">
        <f t="shared" si="249"/>
        <v>69.68</v>
      </c>
      <c r="I2346" s="219"/>
    </row>
    <row r="2347" outlineLevel="2">
      <c r="A2347" s="422" t="str">
        <f>'Master List'!A426</f>
        <v>M-PRT-042</v>
      </c>
      <c r="B2347" s="428"/>
      <c r="C2347" s="513" t="s">
        <v>3015</v>
      </c>
      <c r="D2347" s="315" t="s">
        <v>1337</v>
      </c>
      <c r="E2347" s="444" t="s">
        <v>161</v>
      </c>
      <c r="F2347" s="214">
        <v>33.0</v>
      </c>
      <c r="G2347" s="463">
        <f>VLOOKUP(A2347,'Master List'!$A$4:$F5087,5,FALSE)</f>
        <v>3.237</v>
      </c>
      <c r="H2347" s="206">
        <f t="shared" si="249"/>
        <v>106.821</v>
      </c>
      <c r="I2347" s="219"/>
    </row>
    <row r="2348" outlineLevel="2">
      <c r="A2348" s="422"/>
      <c r="B2348" s="428"/>
      <c r="C2348" s="502"/>
      <c r="D2348" s="208"/>
      <c r="E2348" s="431"/>
      <c r="F2348" s="432"/>
      <c r="G2348" s="434"/>
      <c r="H2348" s="434"/>
      <c r="I2348" s="240"/>
    </row>
    <row r="2349" outlineLevel="2">
      <c r="A2349" s="422"/>
      <c r="B2349" s="428"/>
      <c r="C2349" s="535">
        <v>17.11</v>
      </c>
      <c r="D2349" s="326" t="s">
        <v>5646</v>
      </c>
      <c r="E2349" s="431"/>
      <c r="F2349" s="432"/>
      <c r="G2349" s="434"/>
      <c r="H2349" s="434"/>
      <c r="I2349" s="240"/>
    </row>
    <row r="2350" outlineLevel="2">
      <c r="A2350" s="422"/>
      <c r="B2350" s="428"/>
      <c r="C2350" s="502"/>
      <c r="D2350" s="320"/>
      <c r="E2350" s="431"/>
      <c r="F2350" s="432"/>
      <c r="G2350" s="434"/>
      <c r="H2350" s="434"/>
      <c r="I2350" s="240"/>
    </row>
    <row r="2351" outlineLevel="2">
      <c r="A2351" s="422" t="str">
        <f>'Master List'!A813</f>
        <v>W-PRT-007</v>
      </c>
      <c r="B2351" s="428"/>
      <c r="C2351" s="505"/>
      <c r="D2351" s="462" t="str">
        <f>VLOOKUP(A2351,'Master List'!$A$1:$C$1192,2,FALSE)</f>
        <v>Прокладання гофротруби діаметром до 20мм</v>
      </c>
      <c r="E2351" s="463" t="str">
        <f>VLOOKUP(A2351,'Master List'!$A$1:$C$1192,3,FALSE)</f>
        <v>м</v>
      </c>
      <c r="F2351" s="464">
        <f t="shared" ref="F2351:F2352" si="250">F2354</f>
        <v>1552</v>
      </c>
      <c r="G2351" s="463">
        <f>VLOOKUP(A2351,'Master List'!$A$4:$F5091,5,FALSE)</f>
        <v>2.6</v>
      </c>
      <c r="H2351" s="206">
        <f t="shared" ref="H2351:H2352" si="251">G2351*F2351</f>
        <v>4035.2</v>
      </c>
      <c r="I2351" s="240"/>
    </row>
    <row r="2352" outlineLevel="2">
      <c r="A2352" s="422" t="str">
        <f>'Master List'!A814</f>
        <v>W-PRT-008</v>
      </c>
      <c r="B2352" s="428"/>
      <c r="C2352" s="505"/>
      <c r="D2352" s="462" t="str">
        <f>VLOOKUP(A2352,'Master List'!$A$1:$C$1192,2,FALSE)</f>
        <v>Прокладання гофротруби діаметром до 40мм</v>
      </c>
      <c r="E2352" s="463" t="str">
        <f>VLOOKUP(A2352,'Master List'!$A$1:$C$1192,3,FALSE)</f>
        <v>м</v>
      </c>
      <c r="F2352" s="464">
        <f t="shared" si="250"/>
        <v>33</v>
      </c>
      <c r="G2352" s="463">
        <f>VLOOKUP(A2352,'Master List'!$A$4:$F5092,5,FALSE)</f>
        <v>3.25</v>
      </c>
      <c r="H2352" s="206">
        <f t="shared" si="251"/>
        <v>107.25</v>
      </c>
      <c r="I2352" s="240"/>
    </row>
    <row r="2353" outlineLevel="2">
      <c r="A2353" s="422"/>
      <c r="B2353" s="428"/>
      <c r="C2353" s="502"/>
      <c r="D2353" s="208"/>
      <c r="E2353" s="431"/>
      <c r="F2353" s="432"/>
      <c r="G2353" s="434"/>
      <c r="H2353" s="434"/>
      <c r="I2353" s="240"/>
    </row>
    <row r="2354" outlineLevel="2">
      <c r="A2354" s="422" t="str">
        <f>'Master List'!A418</f>
        <v>M-PRT-034</v>
      </c>
      <c r="B2354" s="428"/>
      <c r="C2354" s="513" t="s">
        <v>3018</v>
      </c>
      <c r="D2354" s="315" t="s">
        <v>1329</v>
      </c>
      <c r="E2354" s="444" t="s">
        <v>161</v>
      </c>
      <c r="F2354" s="214">
        <f>1552</f>
        <v>1552</v>
      </c>
      <c r="G2354" s="463">
        <f>VLOOKUP(A2354,'Master List'!$A$4:$F5094,5,FALSE)</f>
        <v>0.598</v>
      </c>
      <c r="H2354" s="206">
        <f t="shared" ref="H2354:H2355" si="252">G2354*F2354</f>
        <v>928.096</v>
      </c>
      <c r="I2354" s="219"/>
    </row>
    <row r="2355" outlineLevel="2">
      <c r="A2355" s="422" t="str">
        <f>'Master List'!A419</f>
        <v>M-PRT-035</v>
      </c>
      <c r="B2355" s="428"/>
      <c r="C2355" s="513" t="s">
        <v>3019</v>
      </c>
      <c r="D2355" s="315" t="s">
        <v>1330</v>
      </c>
      <c r="E2355" s="444" t="s">
        <v>161</v>
      </c>
      <c r="F2355" s="214">
        <v>33.0</v>
      </c>
      <c r="G2355" s="463">
        <f>VLOOKUP(A2355,'Master List'!$A$4:$F5095,5,FALSE)</f>
        <v>0.78</v>
      </c>
      <c r="H2355" s="206">
        <f t="shared" si="252"/>
        <v>25.74</v>
      </c>
      <c r="I2355" s="219"/>
    </row>
    <row r="2356" outlineLevel="2">
      <c r="A2356" s="422"/>
      <c r="B2356" s="428"/>
      <c r="C2356" s="502"/>
      <c r="D2356" s="208"/>
      <c r="E2356" s="431"/>
      <c r="F2356" s="432"/>
      <c r="G2356" s="434"/>
      <c r="H2356" s="434"/>
      <c r="I2356" s="240"/>
    </row>
    <row r="2357" outlineLevel="2">
      <c r="A2357" s="422"/>
      <c r="B2357" s="428"/>
      <c r="C2357" s="537">
        <v>17.12</v>
      </c>
      <c r="D2357" s="323" t="s">
        <v>5647</v>
      </c>
      <c r="E2357" s="431"/>
      <c r="F2357" s="432"/>
      <c r="G2357" s="434"/>
      <c r="H2357" s="434"/>
      <c r="I2357" s="240"/>
    </row>
    <row r="2358" outlineLevel="2">
      <c r="A2358" s="422"/>
      <c r="B2358" s="428"/>
      <c r="C2358" s="502"/>
      <c r="D2358" s="208"/>
      <c r="E2358" s="431"/>
      <c r="F2358" s="432"/>
      <c r="G2358" s="434"/>
      <c r="H2358" s="434"/>
      <c r="I2358" s="240"/>
    </row>
    <row r="2359" outlineLevel="2">
      <c r="A2359" s="422" t="str">
        <f>'Master List'!A825</f>
        <v>W-PRT-019</v>
      </c>
      <c r="B2359" s="428"/>
      <c r="C2359" s="505"/>
      <c r="D2359" s="462" t="str">
        <f>VLOOKUP(A2359,'Master List'!$A$1:$C$1192,2,FALSE)</f>
        <v>Монтаж коробки для апаратури</v>
      </c>
      <c r="E2359" s="463" t="str">
        <f>VLOOKUP(A2359,'Master List'!$A$1:$C$1192,3,FALSE)</f>
        <v>шт</v>
      </c>
      <c r="F2359" s="464">
        <v>160.0</v>
      </c>
      <c r="G2359" s="463">
        <f>VLOOKUP(A2359,'Master List'!$A$4:$F5099,5,FALSE)</f>
        <v>22.1</v>
      </c>
      <c r="H2359" s="206">
        <f>G2359*F2359</f>
        <v>3536</v>
      </c>
      <c r="I2359" s="240"/>
    </row>
    <row r="2360" outlineLevel="2">
      <c r="A2360" s="422"/>
      <c r="B2360" s="428"/>
      <c r="C2360" s="502"/>
      <c r="D2360" s="208"/>
      <c r="E2360" s="431"/>
      <c r="F2360" s="432"/>
      <c r="G2360" s="434"/>
      <c r="H2360" s="434"/>
      <c r="I2360" s="240"/>
    </row>
    <row r="2361" outlineLevel="2">
      <c r="A2361" s="422" t="str">
        <f>'Master List'!A427</f>
        <v>M-PRT-043</v>
      </c>
      <c r="B2361" s="428"/>
      <c r="C2361" s="513" t="s">
        <v>3021</v>
      </c>
      <c r="D2361" s="315" t="s">
        <v>1338</v>
      </c>
      <c r="E2361" s="444" t="s">
        <v>75</v>
      </c>
      <c r="F2361" s="214">
        <v>160.0</v>
      </c>
      <c r="G2361" s="463">
        <f>VLOOKUP(A2361,'Master List'!$A$4:$F5101,5,FALSE)</f>
        <v>0.546</v>
      </c>
      <c r="H2361" s="206">
        <f>G2361*F2361</f>
        <v>87.36</v>
      </c>
      <c r="I2361" s="219"/>
    </row>
    <row r="2362" outlineLevel="2">
      <c r="A2362" s="422"/>
      <c r="B2362" s="428"/>
      <c r="C2362" s="502"/>
      <c r="D2362" s="208"/>
      <c r="E2362" s="431"/>
      <c r="F2362" s="432"/>
      <c r="G2362" s="434"/>
      <c r="H2362" s="434"/>
      <c r="I2362" s="240"/>
    </row>
    <row r="2363" outlineLevel="2">
      <c r="A2363" s="422"/>
      <c r="B2363" s="428"/>
      <c r="C2363" s="537">
        <v>17.13</v>
      </c>
      <c r="D2363" s="323" t="s">
        <v>5648</v>
      </c>
      <c r="E2363" s="431"/>
      <c r="F2363" s="432"/>
      <c r="G2363" s="434"/>
      <c r="H2363" s="434"/>
      <c r="I2363" s="240"/>
    </row>
    <row r="2364" outlineLevel="2">
      <c r="A2364" s="422"/>
      <c r="B2364" s="428"/>
      <c r="C2364" s="538"/>
      <c r="D2364" s="536"/>
      <c r="E2364" s="431"/>
      <c r="F2364" s="432"/>
      <c r="G2364" s="434"/>
      <c r="H2364" s="434"/>
      <c r="I2364" s="240"/>
    </row>
    <row r="2365" outlineLevel="2">
      <c r="A2365" s="422" t="str">
        <f>'Master List'!A826</f>
        <v>W-PRT-020</v>
      </c>
      <c r="B2365" s="428"/>
      <c r="C2365" s="505"/>
      <c r="D2365" s="462" t="str">
        <f>VLOOKUP(A2365,'Master List'!$A$1:$C$1192,2,FALSE)</f>
        <v>Монтаж розеток і вимикачів</v>
      </c>
      <c r="E2365" s="463" t="str">
        <f>VLOOKUP(A2365,'Master List'!$A$1:$C$1192,3,FALSE)</f>
        <v>шт</v>
      </c>
      <c r="F2365" s="464">
        <f>113-F2366-F2367</f>
        <v>99</v>
      </c>
      <c r="G2365" s="463">
        <f>VLOOKUP(A2365,'Master List'!$A$4:$F5105,5,FALSE)</f>
        <v>36.4</v>
      </c>
      <c r="H2365" s="206">
        <f t="shared" ref="H2365:H2367" si="253">G2365*F2365</f>
        <v>3603.6</v>
      </c>
      <c r="I2365" s="240"/>
    </row>
    <row r="2366" outlineLevel="2">
      <c r="A2366" s="422" t="str">
        <f>'Master List'!A827</f>
        <v>W-PRT-021</v>
      </c>
      <c r="B2366" s="428"/>
      <c r="C2366" s="505"/>
      <c r="D2366" s="462" t="str">
        <f>VLOOKUP(A2366,'Master List'!$A$1:$C$1192,2,FALSE)</f>
        <v>Монтаж підлогових коробок з розетками</v>
      </c>
      <c r="E2366" s="463" t="str">
        <f>VLOOKUP(A2366,'Master List'!$A$1:$C$1192,3,FALSE)</f>
        <v>шт</v>
      </c>
      <c r="F2366" s="464">
        <v>12.0</v>
      </c>
      <c r="G2366" s="463">
        <f>VLOOKUP(A2366,'Master List'!$A$4:$F5106,5,FALSE)</f>
        <v>71.5</v>
      </c>
      <c r="H2366" s="206">
        <f t="shared" si="253"/>
        <v>858</v>
      </c>
      <c r="I2366" s="240"/>
    </row>
    <row r="2367" outlineLevel="2">
      <c r="A2367" s="422" t="str">
        <f>'Master List'!A828</f>
        <v>W-PRT-022</v>
      </c>
      <c r="B2367" s="428"/>
      <c r="C2367" s="505"/>
      <c r="D2367" s="462" t="str">
        <f>VLOOKUP(A2367,'Master List'!$A$1:$C$1192,2,FALSE)</f>
        <v>Монтаж розеток для автомобілів</v>
      </c>
      <c r="E2367" s="463" t="str">
        <f>VLOOKUP(A2367,'Master List'!$A$1:$C$1192,3,FALSE)</f>
        <v>шт</v>
      </c>
      <c r="F2367" s="464">
        <v>2.0</v>
      </c>
      <c r="G2367" s="463">
        <f>VLOOKUP(A2367,'Master List'!$A$4:$F5107,5,FALSE)</f>
        <v>78</v>
      </c>
      <c r="H2367" s="206">
        <f t="shared" si="253"/>
        <v>156</v>
      </c>
      <c r="I2367" s="240"/>
    </row>
    <row r="2368" outlineLevel="2">
      <c r="A2368" s="422"/>
      <c r="B2368" s="428"/>
      <c r="C2368" s="502"/>
      <c r="D2368" s="208"/>
      <c r="E2368" s="431"/>
      <c r="F2368" s="432"/>
      <c r="G2368" s="434"/>
      <c r="H2368" s="434"/>
      <c r="I2368" s="240"/>
    </row>
    <row r="2369" outlineLevel="2">
      <c r="A2369" s="422" t="str">
        <f>'Master List'!A428</f>
        <v>M-PRT-044</v>
      </c>
      <c r="B2369" s="428"/>
      <c r="C2369" s="513" t="s">
        <v>3024</v>
      </c>
      <c r="D2369" s="315" t="s">
        <v>1340</v>
      </c>
      <c r="E2369" s="444" t="s">
        <v>75</v>
      </c>
      <c r="F2369" s="214">
        <v>21.0</v>
      </c>
      <c r="G2369" s="463">
        <f>VLOOKUP(A2369,'Master List'!$A$4:$F5109,5,FALSE)</f>
        <v>4.537</v>
      </c>
      <c r="H2369" s="206">
        <f t="shared" ref="H2369:H2377" si="254">G2369*F2369</f>
        <v>95.277</v>
      </c>
      <c r="I2369" s="219"/>
    </row>
    <row r="2370" outlineLevel="2">
      <c r="A2370" s="422" t="str">
        <f>'Master List'!A429</f>
        <v>M-PRT-045</v>
      </c>
      <c r="B2370" s="428"/>
      <c r="C2370" s="513" t="s">
        <v>3026</v>
      </c>
      <c r="D2370" s="315" t="s">
        <v>1341</v>
      </c>
      <c r="E2370" s="444" t="s">
        <v>75</v>
      </c>
      <c r="F2370" s="214">
        <v>41.0</v>
      </c>
      <c r="G2370" s="463">
        <f>VLOOKUP(A2370,'Master List'!$A$4:$F5110,5,FALSE)</f>
        <v>4.537</v>
      </c>
      <c r="H2370" s="206">
        <f t="shared" si="254"/>
        <v>186.017</v>
      </c>
      <c r="I2370" s="219"/>
    </row>
    <row r="2371" outlineLevel="2">
      <c r="A2371" s="422" t="str">
        <f>'Master List'!A430</f>
        <v>M-PRT-046</v>
      </c>
      <c r="B2371" s="428"/>
      <c r="C2371" s="513" t="s">
        <v>3028</v>
      </c>
      <c r="D2371" s="315" t="s">
        <v>1342</v>
      </c>
      <c r="E2371" s="444" t="s">
        <v>75</v>
      </c>
      <c r="F2371" s="214">
        <v>8.0</v>
      </c>
      <c r="G2371" s="463">
        <f>VLOOKUP(A2371,'Master List'!$A$4:$F5111,5,FALSE)</f>
        <v>18.187</v>
      </c>
      <c r="H2371" s="206">
        <f t="shared" si="254"/>
        <v>145.496</v>
      </c>
      <c r="I2371" s="219"/>
    </row>
    <row r="2372" outlineLevel="2">
      <c r="A2372" s="422" t="str">
        <f>'Master List'!A431</f>
        <v>M-PRT-047</v>
      </c>
      <c r="B2372" s="428"/>
      <c r="C2372" s="513" t="s">
        <v>3030</v>
      </c>
      <c r="D2372" s="315" t="s">
        <v>1343</v>
      </c>
      <c r="E2372" s="444" t="s">
        <v>75</v>
      </c>
      <c r="F2372" s="214">
        <v>9.0</v>
      </c>
      <c r="G2372" s="463">
        <f>VLOOKUP(A2372,'Master List'!$A$4:$F5112,5,FALSE)</f>
        <v>7.852</v>
      </c>
      <c r="H2372" s="206">
        <f t="shared" si="254"/>
        <v>70.668</v>
      </c>
      <c r="I2372" s="219"/>
    </row>
    <row r="2373" outlineLevel="2">
      <c r="A2373" s="422" t="str">
        <f>'Master List'!A432</f>
        <v>M-PRT-048</v>
      </c>
      <c r="B2373" s="428"/>
      <c r="C2373" s="513" t="s">
        <v>3032</v>
      </c>
      <c r="D2373" s="315" t="s">
        <v>1344</v>
      </c>
      <c r="E2373" s="444" t="s">
        <v>75</v>
      </c>
      <c r="F2373" s="214">
        <v>6.0</v>
      </c>
      <c r="G2373" s="463">
        <f>VLOOKUP(A2373,'Master List'!$A$4:$F5113,5,FALSE)</f>
        <v>15.73</v>
      </c>
      <c r="H2373" s="206">
        <f t="shared" si="254"/>
        <v>94.38</v>
      </c>
      <c r="I2373" s="219"/>
    </row>
    <row r="2374" outlineLevel="2">
      <c r="A2374" s="422" t="str">
        <f>'Master List'!A433</f>
        <v>M-PRT-049</v>
      </c>
      <c r="B2374" s="428"/>
      <c r="C2374" s="513" t="s">
        <v>3034</v>
      </c>
      <c r="D2374" s="315" t="s">
        <v>1345</v>
      </c>
      <c r="E2374" s="444" t="s">
        <v>75</v>
      </c>
      <c r="F2374" s="214">
        <v>2.0</v>
      </c>
      <c r="G2374" s="463">
        <f>VLOOKUP(A2374,'Master List'!$A$4:$F5114,5,FALSE)</f>
        <v>884</v>
      </c>
      <c r="H2374" s="206">
        <f t="shared" si="254"/>
        <v>1768</v>
      </c>
      <c r="I2374" s="219"/>
    </row>
    <row r="2375" outlineLevel="2">
      <c r="A2375" s="422" t="str">
        <f>'Master List'!A434</f>
        <v>M-PRT-050</v>
      </c>
      <c r="B2375" s="428"/>
      <c r="C2375" s="513" t="s">
        <v>3036</v>
      </c>
      <c r="D2375" s="315" t="s">
        <v>1346</v>
      </c>
      <c r="E2375" s="444" t="s">
        <v>75</v>
      </c>
      <c r="F2375" s="214">
        <v>10.0</v>
      </c>
      <c r="G2375" s="463">
        <f>VLOOKUP(A2375,'Master List'!$A$4:$F5115,5,FALSE)</f>
        <v>680.29</v>
      </c>
      <c r="H2375" s="206">
        <f t="shared" si="254"/>
        <v>6802.9</v>
      </c>
      <c r="I2375" s="219"/>
    </row>
    <row r="2376" outlineLevel="2">
      <c r="A2376" s="422" t="str">
        <f>'Master List'!A435</f>
        <v>M-PRT-051</v>
      </c>
      <c r="B2376" s="428"/>
      <c r="C2376" s="513" t="s">
        <v>3038</v>
      </c>
      <c r="D2376" s="315" t="s">
        <v>1347</v>
      </c>
      <c r="E2376" s="444" t="s">
        <v>75</v>
      </c>
      <c r="F2376" s="214">
        <v>2.0</v>
      </c>
      <c r="G2376" s="463">
        <f>VLOOKUP(A2376,'Master List'!$A$4:$F5116,5,FALSE)</f>
        <v>165.685</v>
      </c>
      <c r="H2376" s="206">
        <f t="shared" si="254"/>
        <v>331.37</v>
      </c>
      <c r="I2376" s="219"/>
    </row>
    <row r="2377" outlineLevel="2">
      <c r="A2377" s="422" t="str">
        <f>'Master List'!A436</f>
        <v>M-PRT-052</v>
      </c>
      <c r="B2377" s="428"/>
      <c r="C2377" s="513" t="s">
        <v>3040</v>
      </c>
      <c r="D2377" s="315" t="s">
        <v>1348</v>
      </c>
      <c r="E2377" s="444" t="s">
        <v>75</v>
      </c>
      <c r="F2377" s="214">
        <v>14.0</v>
      </c>
      <c r="G2377" s="463">
        <f>VLOOKUP(A2377,'Master List'!$A$4:$F5117,5,FALSE)</f>
        <v>11.479</v>
      </c>
      <c r="H2377" s="206">
        <f t="shared" si="254"/>
        <v>160.706</v>
      </c>
      <c r="I2377" s="219"/>
    </row>
    <row r="2378" outlineLevel="2">
      <c r="A2378" s="422"/>
      <c r="B2378" s="428"/>
      <c r="C2378" s="502"/>
      <c r="D2378" s="208"/>
      <c r="E2378" s="431"/>
      <c r="F2378" s="432"/>
      <c r="G2378" s="434"/>
      <c r="H2378" s="434"/>
      <c r="I2378" s="240"/>
    </row>
    <row r="2379" outlineLevel="1">
      <c r="A2379" s="422"/>
      <c r="B2379" s="472" t="s">
        <v>1349</v>
      </c>
      <c r="C2379" s="502"/>
      <c r="D2379" s="533" t="s">
        <v>1350</v>
      </c>
      <c r="E2379" s="431"/>
      <c r="F2379" s="432"/>
      <c r="G2379" s="436">
        <f>SUM(H2383:H2397)</f>
        <v>6369.896</v>
      </c>
      <c r="H2379" s="434"/>
      <c r="I2379" s="240"/>
    </row>
    <row r="2380" outlineLevel="2">
      <c r="A2380" s="422"/>
      <c r="B2380" s="428"/>
      <c r="C2380" s="502"/>
      <c r="D2380" s="208"/>
      <c r="E2380" s="431"/>
      <c r="F2380" s="432"/>
      <c r="G2380" s="434"/>
      <c r="H2380" s="434"/>
      <c r="I2380" s="240"/>
    </row>
    <row r="2381" outlineLevel="2">
      <c r="A2381" s="422"/>
      <c r="B2381" s="428"/>
      <c r="C2381" s="537">
        <v>17.14</v>
      </c>
      <c r="D2381" s="323" t="s">
        <v>5645</v>
      </c>
      <c r="E2381" s="431"/>
      <c r="F2381" s="432"/>
      <c r="G2381" s="434"/>
      <c r="H2381" s="434"/>
      <c r="I2381" s="240"/>
    </row>
    <row r="2382" outlineLevel="2">
      <c r="A2382" s="422"/>
      <c r="B2382" s="428"/>
      <c r="C2382" s="502"/>
      <c r="D2382" s="208"/>
      <c r="E2382" s="431"/>
      <c r="F2382" s="432"/>
      <c r="G2382" s="434"/>
      <c r="H2382" s="434"/>
      <c r="I2382" s="240"/>
    </row>
    <row r="2383" outlineLevel="2">
      <c r="A2383" s="422" t="str">
        <f>'Master List'!A821</f>
        <v>W-PRT-015</v>
      </c>
      <c r="B2383" s="428"/>
      <c r="C2383" s="505"/>
      <c r="D2383" s="462" t="str">
        <f>VLOOKUP(A2383,'Master List'!$A$1:$C$1192,2,FALSE)</f>
        <v>Прокладання проводів перерізом до 6мм2</v>
      </c>
      <c r="E2383" s="463" t="str">
        <f>VLOOKUP(A2383,'Master List'!$A$1:$C$1192,3,FALSE)</f>
        <v>м</v>
      </c>
      <c r="F2383" s="464">
        <v>704.0</v>
      </c>
      <c r="G2383" s="463">
        <f>VLOOKUP(A2383,'Master List'!$A$4:$F5123,5,FALSE)</f>
        <v>2.86</v>
      </c>
      <c r="H2383" s="206">
        <f>G2383*F2383</f>
        <v>2013.44</v>
      </c>
      <c r="I2383" s="240"/>
    </row>
    <row r="2384" outlineLevel="2">
      <c r="A2384" s="422"/>
      <c r="B2384" s="428"/>
      <c r="C2384" s="502"/>
      <c r="D2384" s="208"/>
      <c r="E2384" s="431"/>
      <c r="F2384" s="432"/>
      <c r="G2384" s="434"/>
      <c r="H2384" s="434"/>
      <c r="I2384" s="240"/>
    </row>
    <row r="2385" outlineLevel="2">
      <c r="A2385" s="422" t="str">
        <f>'Master List'!A437</f>
        <v>M-PRT-053</v>
      </c>
      <c r="B2385" s="428"/>
      <c r="C2385" s="513" t="s">
        <v>3043</v>
      </c>
      <c r="D2385" s="315" t="s">
        <v>1351</v>
      </c>
      <c r="E2385" s="444" t="s">
        <v>161</v>
      </c>
      <c r="F2385" s="214">
        <v>704.0</v>
      </c>
      <c r="G2385" s="463">
        <f>VLOOKUP(A2385,'Master List'!$A$4:$F5125,5,FALSE)</f>
        <v>2.249</v>
      </c>
      <c r="H2385" s="206">
        <f>G2385*F2385</f>
        <v>1583.296</v>
      </c>
      <c r="I2385" s="219"/>
    </row>
    <row r="2386" outlineLevel="2">
      <c r="A2386" s="422"/>
      <c r="B2386" s="428"/>
      <c r="C2386" s="502"/>
      <c r="D2386" s="208"/>
      <c r="E2386" s="431"/>
      <c r="F2386" s="432"/>
      <c r="G2386" s="434"/>
      <c r="H2386" s="434"/>
      <c r="I2386" s="240"/>
    </row>
    <row r="2387" outlineLevel="2">
      <c r="A2387" s="422"/>
      <c r="B2387" s="428"/>
      <c r="C2387" s="537">
        <v>17.15</v>
      </c>
      <c r="D2387" s="323" t="s">
        <v>5646</v>
      </c>
      <c r="E2387" s="431"/>
      <c r="F2387" s="432"/>
      <c r="G2387" s="434"/>
      <c r="H2387" s="434"/>
      <c r="I2387" s="240"/>
    </row>
    <row r="2388" outlineLevel="2">
      <c r="A2388" s="422"/>
      <c r="B2388" s="428"/>
      <c r="C2388" s="502"/>
      <c r="D2388" s="208"/>
      <c r="E2388" s="431"/>
      <c r="F2388" s="432"/>
      <c r="G2388" s="434"/>
      <c r="H2388" s="434"/>
      <c r="I2388" s="240"/>
    </row>
    <row r="2389" outlineLevel="2">
      <c r="A2389" s="422" t="str">
        <f>'Master List'!A813</f>
        <v>W-PRT-007</v>
      </c>
      <c r="B2389" s="428"/>
      <c r="C2389" s="505"/>
      <c r="D2389" s="462" t="str">
        <f>VLOOKUP(A2389,'Master List'!$A$1:$C$1192,2,FALSE)</f>
        <v>Прокладання гофротруби діаметром до 20мм</v>
      </c>
      <c r="E2389" s="463" t="str">
        <f>VLOOKUP(A2389,'Master List'!$A$1:$C$1192,3,FALSE)</f>
        <v>м</v>
      </c>
      <c r="F2389" s="464">
        <v>704.0</v>
      </c>
      <c r="G2389" s="463">
        <f>VLOOKUP(A2389,'Master List'!$A$4:$F5130,5,FALSE)</f>
        <v>2.6</v>
      </c>
      <c r="H2389" s="206">
        <f>G2389*F2389</f>
        <v>1830.4</v>
      </c>
      <c r="I2389" s="240"/>
    </row>
    <row r="2390" outlineLevel="2">
      <c r="A2390" s="422"/>
      <c r="B2390" s="428"/>
      <c r="C2390" s="502"/>
      <c r="D2390" s="208"/>
      <c r="E2390" s="431"/>
      <c r="F2390" s="432"/>
      <c r="G2390" s="434"/>
      <c r="H2390" s="434"/>
      <c r="I2390" s="240"/>
    </row>
    <row r="2391" outlineLevel="2">
      <c r="A2391" s="422" t="str">
        <f>'Master List'!A418</f>
        <v>M-PRT-034</v>
      </c>
      <c r="B2391" s="428"/>
      <c r="C2391" s="513" t="s">
        <v>3045</v>
      </c>
      <c r="D2391" s="315" t="s">
        <v>1352</v>
      </c>
      <c r="E2391" s="444" t="s">
        <v>161</v>
      </c>
      <c r="F2391" s="214">
        <v>704.0</v>
      </c>
      <c r="G2391" s="463">
        <f>VLOOKUP(A2391,'Master List'!$A$4:$F5132,5,FALSE)</f>
        <v>0.598</v>
      </c>
      <c r="H2391" s="206">
        <f>G2391*F2391</f>
        <v>420.992</v>
      </c>
      <c r="I2391" s="219"/>
    </row>
    <row r="2392" outlineLevel="2">
      <c r="A2392" s="422"/>
      <c r="B2392" s="428"/>
      <c r="C2392" s="502"/>
      <c r="D2392" s="208"/>
      <c r="E2392" s="431"/>
      <c r="F2392" s="432"/>
      <c r="G2392" s="434"/>
      <c r="H2392" s="434"/>
      <c r="I2392" s="240"/>
    </row>
    <row r="2393" outlineLevel="2">
      <c r="A2393" s="422"/>
      <c r="B2393" s="428"/>
      <c r="C2393" s="537">
        <v>17.16</v>
      </c>
      <c r="D2393" s="323" t="s">
        <v>5647</v>
      </c>
      <c r="E2393" s="431"/>
      <c r="F2393" s="432"/>
      <c r="G2393" s="434"/>
      <c r="H2393" s="434"/>
      <c r="I2393" s="240"/>
    </row>
    <row r="2394" outlineLevel="2">
      <c r="A2394" s="422"/>
      <c r="B2394" s="428"/>
      <c r="C2394" s="538"/>
      <c r="D2394" s="536"/>
      <c r="E2394" s="431"/>
      <c r="F2394" s="432"/>
      <c r="G2394" s="434"/>
      <c r="H2394" s="434"/>
      <c r="I2394" s="240"/>
    </row>
    <row r="2395" outlineLevel="2">
      <c r="A2395" s="422" t="str">
        <f>'Master List'!A824</f>
        <v>W-PRT-018</v>
      </c>
      <c r="B2395" s="428"/>
      <c r="C2395" s="505"/>
      <c r="D2395" s="462" t="str">
        <f>VLOOKUP(A2395,'Master List'!$A$1:$C$1192,2,FALSE)</f>
        <v>Монтаж накладної коробки</v>
      </c>
      <c r="E2395" s="463" t="str">
        <f>VLOOKUP(A2395,'Master List'!$A$1:$C$1192,3,FALSE)</f>
        <v>шт</v>
      </c>
      <c r="F2395" s="464">
        <v>29.0</v>
      </c>
      <c r="G2395" s="463">
        <f>VLOOKUP(A2395,'Master List'!$A$4:$F5137,5,FALSE)</f>
        <v>15.6</v>
      </c>
      <c r="H2395" s="206">
        <f>G2395*F2395</f>
        <v>452.4</v>
      </c>
      <c r="I2395" s="240"/>
    </row>
    <row r="2396" outlineLevel="2">
      <c r="A2396" s="422"/>
      <c r="B2396" s="428"/>
      <c r="C2396" s="502"/>
      <c r="D2396" s="208"/>
      <c r="E2396" s="431"/>
      <c r="F2396" s="432"/>
      <c r="G2396" s="434"/>
      <c r="H2396" s="434"/>
      <c r="I2396" s="240"/>
    </row>
    <row r="2397" outlineLevel="2">
      <c r="A2397" s="422" t="str">
        <f>'Master List'!A438</f>
        <v>M-PRT-054</v>
      </c>
      <c r="B2397" s="428"/>
      <c r="C2397" s="513" t="s">
        <v>3047</v>
      </c>
      <c r="D2397" s="315" t="s">
        <v>1353</v>
      </c>
      <c r="E2397" s="444" t="s">
        <v>75</v>
      </c>
      <c r="F2397" s="214">
        <v>29.0</v>
      </c>
      <c r="G2397" s="463">
        <f>VLOOKUP(A2397,'Master List'!$A$4:$F5139,5,FALSE)</f>
        <v>2.392</v>
      </c>
      <c r="H2397" s="206">
        <f>G2397*F2397</f>
        <v>69.368</v>
      </c>
      <c r="I2397" s="219"/>
    </row>
    <row r="2398" outlineLevel="2">
      <c r="A2398" s="422"/>
      <c r="B2398" s="428"/>
      <c r="C2398" s="502"/>
      <c r="D2398" s="208"/>
      <c r="E2398" s="431"/>
      <c r="F2398" s="432"/>
      <c r="G2398" s="434"/>
      <c r="H2398" s="434"/>
      <c r="I2398" s="240"/>
    </row>
    <row r="2399" outlineLevel="1">
      <c r="A2399" s="422"/>
      <c r="B2399" s="472" t="s">
        <v>1354</v>
      </c>
      <c r="C2399" s="502"/>
      <c r="D2399" s="533" t="s">
        <v>5649</v>
      </c>
      <c r="E2399" s="431"/>
      <c r="F2399" s="432"/>
      <c r="G2399" s="436">
        <f>SUM(H2403:H2521)</f>
        <v>51964.237</v>
      </c>
      <c r="H2399" s="434"/>
      <c r="I2399" s="240"/>
    </row>
    <row r="2400" outlineLevel="2">
      <c r="A2400" s="422"/>
      <c r="B2400" s="428"/>
      <c r="C2400" s="502"/>
      <c r="D2400" s="208"/>
      <c r="E2400" s="431"/>
      <c r="F2400" s="432"/>
      <c r="G2400" s="434"/>
      <c r="H2400" s="434"/>
      <c r="I2400" s="240"/>
    </row>
    <row r="2401" outlineLevel="2">
      <c r="A2401" s="422"/>
      <c r="B2401" s="428"/>
      <c r="C2401" s="537">
        <v>17.17</v>
      </c>
      <c r="D2401" s="323" t="s">
        <v>5645</v>
      </c>
      <c r="E2401" s="431"/>
      <c r="F2401" s="432"/>
      <c r="G2401" s="434"/>
      <c r="H2401" s="434"/>
      <c r="I2401" s="240"/>
    </row>
    <row r="2402" outlineLevel="2">
      <c r="A2402" s="422"/>
      <c r="B2402" s="428"/>
      <c r="C2402" s="538"/>
      <c r="D2402" s="536"/>
      <c r="E2402" s="431"/>
      <c r="F2402" s="432"/>
      <c r="G2402" s="434"/>
      <c r="H2402" s="434"/>
      <c r="I2402" s="240"/>
    </row>
    <row r="2403" outlineLevel="2">
      <c r="A2403" s="422" t="str">
        <f>'Master List'!A821</f>
        <v>W-PRT-015</v>
      </c>
      <c r="B2403" s="428"/>
      <c r="C2403" s="505"/>
      <c r="D2403" s="462" t="str">
        <f>VLOOKUP(A2403,'Master List'!$A$1:$C$1192,2,FALSE)</f>
        <v>Прокладання проводів перерізом до 6мм2</v>
      </c>
      <c r="E2403" s="463" t="str">
        <f>VLOOKUP(A2403,'Master List'!$A$1:$C$1192,3,FALSE)</f>
        <v>м</v>
      </c>
      <c r="F2403" s="464">
        <f>F2405+F2406+F2407</f>
        <v>2866</v>
      </c>
      <c r="G2403" s="463">
        <f>VLOOKUP(A2403,'Master List'!$A$4:$F5145,5,FALSE)</f>
        <v>2.86</v>
      </c>
      <c r="H2403" s="206">
        <f>G2403*F2403</f>
        <v>8196.76</v>
      </c>
      <c r="I2403" s="240"/>
    </row>
    <row r="2404" outlineLevel="2">
      <c r="A2404" s="422"/>
      <c r="B2404" s="428"/>
      <c r="C2404" s="502"/>
      <c r="D2404" s="208"/>
      <c r="E2404" s="431"/>
      <c r="F2404" s="432"/>
      <c r="G2404" s="434"/>
      <c r="H2404" s="434"/>
      <c r="I2404" s="240"/>
    </row>
    <row r="2405" outlineLevel="2">
      <c r="A2405" s="422" t="str">
        <f>'Master List'!A439</f>
        <v>M-PRT-055</v>
      </c>
      <c r="B2405" s="428"/>
      <c r="C2405" s="513" t="s">
        <v>3050</v>
      </c>
      <c r="D2405" s="315" t="s">
        <v>1356</v>
      </c>
      <c r="E2405" s="444" t="s">
        <v>161</v>
      </c>
      <c r="F2405" s="214">
        <v>984.0</v>
      </c>
      <c r="G2405" s="463">
        <f>VLOOKUP(A2405,'Master List'!$A$4:$F5147,5,FALSE)</f>
        <v>1.04</v>
      </c>
      <c r="H2405" s="206">
        <f t="shared" ref="H2405:H2407" si="255">G2405*F2405</f>
        <v>1023.36</v>
      </c>
      <c r="I2405" s="219"/>
    </row>
    <row r="2406" outlineLevel="2">
      <c r="A2406" s="422" t="str">
        <f>'Master List'!A440</f>
        <v>M-PRT-056</v>
      </c>
      <c r="B2406" s="428"/>
      <c r="C2406" s="513" t="s">
        <v>3052</v>
      </c>
      <c r="D2406" s="315" t="s">
        <v>1357</v>
      </c>
      <c r="E2406" s="444" t="s">
        <v>161</v>
      </c>
      <c r="F2406" s="214">
        <v>1527.0</v>
      </c>
      <c r="G2406" s="463">
        <f>VLOOKUP(A2406,'Master List'!$A$4:$F5148,5,FALSE)</f>
        <v>1.027</v>
      </c>
      <c r="H2406" s="206">
        <f t="shared" si="255"/>
        <v>1568.229</v>
      </c>
      <c r="I2406" s="219"/>
    </row>
    <row r="2407" outlineLevel="2">
      <c r="A2407" s="422" t="str">
        <f>'Master List'!A441</f>
        <v>M-PRT-057</v>
      </c>
      <c r="B2407" s="428"/>
      <c r="C2407" s="513" t="s">
        <v>3054</v>
      </c>
      <c r="D2407" s="315" t="s">
        <v>1358</v>
      </c>
      <c r="E2407" s="444" t="s">
        <v>161</v>
      </c>
      <c r="F2407" s="214">
        <v>355.0</v>
      </c>
      <c r="G2407" s="463">
        <f>VLOOKUP(A2407,'Master List'!$A$4:$F5149,5,FALSE)</f>
        <v>2.262</v>
      </c>
      <c r="H2407" s="206">
        <f t="shared" si="255"/>
        <v>803.01</v>
      </c>
      <c r="I2407" s="219"/>
    </row>
    <row r="2408" outlineLevel="2">
      <c r="A2408" s="422"/>
      <c r="B2408" s="428"/>
      <c r="C2408" s="502"/>
      <c r="D2408" s="208"/>
      <c r="E2408" s="431"/>
      <c r="F2408" s="432"/>
      <c r="G2408" s="434"/>
      <c r="H2408" s="434"/>
      <c r="I2408" s="240"/>
    </row>
    <row r="2409" outlineLevel="2">
      <c r="A2409" s="422"/>
      <c r="B2409" s="428"/>
      <c r="C2409" s="537">
        <v>17.18</v>
      </c>
      <c r="D2409" s="323" t="s">
        <v>5646</v>
      </c>
      <c r="E2409" s="431"/>
      <c r="F2409" s="432"/>
      <c r="G2409" s="434"/>
      <c r="H2409" s="434"/>
      <c r="I2409" s="240"/>
    </row>
    <row r="2410" outlineLevel="2">
      <c r="A2410" s="422"/>
      <c r="B2410" s="428"/>
      <c r="C2410" s="538"/>
      <c r="D2410" s="536"/>
      <c r="E2410" s="431"/>
      <c r="F2410" s="432"/>
      <c r="G2410" s="434"/>
      <c r="H2410" s="434"/>
      <c r="I2410" s="240"/>
    </row>
    <row r="2411" outlineLevel="2">
      <c r="A2411" s="422" t="str">
        <f>'Master List'!A813</f>
        <v>W-PRT-007</v>
      </c>
      <c r="B2411" s="428"/>
      <c r="C2411" s="505"/>
      <c r="D2411" s="462" t="str">
        <f>VLOOKUP(A2411,'Master List'!$A$1:$C$1192,2,FALSE)</f>
        <v>Прокладання гофротруби діаметром до 20мм</v>
      </c>
      <c r="E2411" s="463" t="str">
        <f>VLOOKUP(A2411,'Master List'!$A$1:$C$1192,3,FALSE)</f>
        <v>м</v>
      </c>
      <c r="F2411" s="464">
        <v>2865.0</v>
      </c>
      <c r="G2411" s="463">
        <f>VLOOKUP(A2411,'Master List'!$A$4:$F5153,5,FALSE)</f>
        <v>2.6</v>
      </c>
      <c r="H2411" s="206">
        <f>G2411*F2411</f>
        <v>7449</v>
      </c>
      <c r="I2411" s="240"/>
    </row>
    <row r="2412" outlineLevel="2">
      <c r="A2412" s="422"/>
      <c r="B2412" s="428"/>
      <c r="C2412" s="502"/>
      <c r="D2412" s="208"/>
      <c r="E2412" s="431"/>
      <c r="F2412" s="432"/>
      <c r="G2412" s="434"/>
      <c r="H2412" s="434"/>
      <c r="I2412" s="240"/>
    </row>
    <row r="2413" outlineLevel="2">
      <c r="A2413" s="422" t="str">
        <f>'Master List'!A418</f>
        <v>M-PRT-034</v>
      </c>
      <c r="B2413" s="428"/>
      <c r="C2413" s="513" t="s">
        <v>3056</v>
      </c>
      <c r="D2413" s="315" t="s">
        <v>1359</v>
      </c>
      <c r="E2413" s="444" t="s">
        <v>161</v>
      </c>
      <c r="F2413" s="214">
        <v>2865.0</v>
      </c>
      <c r="G2413" s="463">
        <f>VLOOKUP(A2413,'Master List'!$A$4:$F5155,5,FALSE)</f>
        <v>0.598</v>
      </c>
      <c r="H2413" s="206">
        <f>G2413*F2413</f>
        <v>1713.27</v>
      </c>
      <c r="I2413" s="219"/>
    </row>
    <row r="2414" outlineLevel="2">
      <c r="A2414" s="422"/>
      <c r="B2414" s="428"/>
      <c r="C2414" s="502"/>
      <c r="D2414" s="208"/>
      <c r="E2414" s="431"/>
      <c r="F2414" s="432"/>
      <c r="G2414" s="434"/>
      <c r="H2414" s="434"/>
      <c r="I2414" s="240"/>
    </row>
    <row r="2415" outlineLevel="2">
      <c r="A2415" s="422"/>
      <c r="B2415" s="428"/>
      <c r="C2415" s="535">
        <v>17.19</v>
      </c>
      <c r="D2415" s="323" t="s">
        <v>5647</v>
      </c>
      <c r="E2415" s="431"/>
      <c r="F2415" s="432"/>
      <c r="G2415" s="434"/>
      <c r="H2415" s="434"/>
      <c r="I2415" s="240"/>
    </row>
    <row r="2416" outlineLevel="2">
      <c r="A2416" s="422"/>
      <c r="B2416" s="428"/>
      <c r="C2416" s="502"/>
      <c r="D2416" s="536"/>
      <c r="E2416" s="431"/>
      <c r="F2416" s="432"/>
      <c r="G2416" s="434"/>
      <c r="H2416" s="434"/>
      <c r="I2416" s="240"/>
    </row>
    <row r="2417" outlineLevel="2">
      <c r="A2417" s="422" t="str">
        <f>'Master List'!A824</f>
        <v>W-PRT-018</v>
      </c>
      <c r="B2417" s="428"/>
      <c r="C2417" s="505"/>
      <c r="D2417" s="462" t="str">
        <f>VLOOKUP(A2417,'Master List'!$A$1:$C$1192,2,FALSE)</f>
        <v>Монтаж накладної коробки</v>
      </c>
      <c r="E2417" s="463" t="str">
        <f>VLOOKUP(A2417,'Master List'!$A$1:$C$1192,3,FALSE)</f>
        <v>шт</v>
      </c>
      <c r="F2417" s="464">
        <v>240.0</v>
      </c>
      <c r="G2417" s="463">
        <f>VLOOKUP(A2417,'Master List'!$A$4:$F5159,5,FALSE)</f>
        <v>15.6</v>
      </c>
      <c r="H2417" s="206">
        <f>G2417*F2417</f>
        <v>3744</v>
      </c>
      <c r="I2417" s="240"/>
    </row>
    <row r="2418" outlineLevel="2">
      <c r="A2418" s="422"/>
      <c r="B2418" s="428"/>
      <c r="C2418" s="502"/>
      <c r="D2418" s="208"/>
      <c r="E2418" s="431"/>
      <c r="F2418" s="432"/>
      <c r="G2418" s="434"/>
      <c r="H2418" s="434"/>
      <c r="I2418" s="240"/>
    </row>
    <row r="2419" outlineLevel="2">
      <c r="A2419" s="422" t="str">
        <f>'Master List'!A438</f>
        <v>M-PRT-054</v>
      </c>
      <c r="B2419" s="428"/>
      <c r="C2419" s="513" t="s">
        <v>3058</v>
      </c>
      <c r="D2419" s="315" t="s">
        <v>1360</v>
      </c>
      <c r="E2419" s="444" t="s">
        <v>75</v>
      </c>
      <c r="F2419" s="214">
        <v>199.0</v>
      </c>
      <c r="G2419" s="463">
        <f>VLOOKUP(A2419,'Master List'!$A$4:$F5161,5,FALSE)</f>
        <v>2.392</v>
      </c>
      <c r="H2419" s="206">
        <f t="shared" ref="H2419:H2422" si="256">G2419*F2419</f>
        <v>476.008</v>
      </c>
      <c r="I2419" s="219"/>
    </row>
    <row r="2420" outlineLevel="2">
      <c r="A2420" s="422" t="str">
        <f>'Master List'!A443</f>
        <v>M-PRT-059</v>
      </c>
      <c r="B2420" s="428"/>
      <c r="C2420" s="513" t="s">
        <v>3060</v>
      </c>
      <c r="D2420" s="315" t="s">
        <v>1361</v>
      </c>
      <c r="E2420" s="444" t="s">
        <v>75</v>
      </c>
      <c r="F2420" s="214">
        <v>15.0</v>
      </c>
      <c r="G2420" s="463">
        <f>VLOOKUP(A2420,'Master List'!$A$4:$F5162,5,FALSE)</f>
        <v>11.947</v>
      </c>
      <c r="H2420" s="206">
        <f t="shared" si="256"/>
        <v>179.205</v>
      </c>
      <c r="I2420" s="219"/>
    </row>
    <row r="2421" outlineLevel="2">
      <c r="A2421" s="422" t="str">
        <f>'Master List'!A422</f>
        <v>M-PRT-038</v>
      </c>
      <c r="B2421" s="428"/>
      <c r="C2421" s="513" t="s">
        <v>3062</v>
      </c>
      <c r="D2421" s="315" t="s">
        <v>1362</v>
      </c>
      <c r="E2421" s="444" t="s">
        <v>75</v>
      </c>
      <c r="F2421" s="214">
        <v>16.0</v>
      </c>
      <c r="G2421" s="463">
        <f>VLOOKUP(A2421,'Master List'!$A$4:$F5163,5,FALSE)</f>
        <v>0.247</v>
      </c>
      <c r="H2421" s="206">
        <f t="shared" si="256"/>
        <v>3.952</v>
      </c>
      <c r="I2421" s="219"/>
    </row>
    <row r="2422" outlineLevel="2">
      <c r="A2422" s="422" t="str">
        <f>'Master List'!A442</f>
        <v>M-PRT-058</v>
      </c>
      <c r="B2422" s="428"/>
      <c r="C2422" s="513" t="s">
        <v>3064</v>
      </c>
      <c r="D2422" s="315" t="s">
        <v>1363</v>
      </c>
      <c r="E2422" s="444" t="s">
        <v>75</v>
      </c>
      <c r="F2422" s="214">
        <v>10.0</v>
      </c>
      <c r="G2422" s="463">
        <f>VLOOKUP(A2422,'Master List'!$A$4:$F5164,5,FALSE)</f>
        <v>48.685</v>
      </c>
      <c r="H2422" s="206">
        <f t="shared" si="256"/>
        <v>486.85</v>
      </c>
      <c r="I2422" s="219"/>
    </row>
    <row r="2423" outlineLevel="2">
      <c r="A2423" s="422"/>
      <c r="B2423" s="428"/>
      <c r="C2423" s="502"/>
      <c r="D2423" s="208"/>
      <c r="E2423" s="431"/>
      <c r="F2423" s="432"/>
      <c r="G2423" s="434"/>
      <c r="H2423" s="434"/>
      <c r="I2423" s="240"/>
    </row>
    <row r="2424" outlineLevel="2">
      <c r="A2424" s="422"/>
      <c r="B2424" s="428"/>
      <c r="C2424" s="541" t="s">
        <v>3066</v>
      </c>
      <c r="D2424" s="323" t="s">
        <v>5650</v>
      </c>
      <c r="E2424" s="431"/>
      <c r="F2424" s="432"/>
      <c r="G2424" s="434"/>
      <c r="H2424" s="434"/>
      <c r="I2424" s="320" t="s">
        <v>1366</v>
      </c>
    </row>
    <row r="2425" outlineLevel="2">
      <c r="A2425" s="422"/>
      <c r="B2425" s="428"/>
      <c r="C2425" s="502"/>
      <c r="D2425" s="208"/>
      <c r="E2425" s="431"/>
      <c r="F2425" s="432"/>
      <c r="G2425" s="434"/>
      <c r="H2425" s="434"/>
      <c r="I2425" s="240"/>
    </row>
    <row r="2426" outlineLevel="2">
      <c r="A2426" s="422"/>
      <c r="B2426" s="428"/>
      <c r="C2426" s="535" t="s">
        <v>3069</v>
      </c>
      <c r="D2426" s="323" t="s">
        <v>1367</v>
      </c>
      <c r="E2426" s="431"/>
      <c r="F2426" s="432"/>
      <c r="G2426" s="434"/>
      <c r="H2426" s="434"/>
      <c r="I2426" s="240"/>
    </row>
    <row r="2427" outlineLevel="2">
      <c r="A2427" s="422"/>
      <c r="B2427" s="428"/>
      <c r="C2427" s="502"/>
      <c r="D2427" s="536"/>
      <c r="E2427" s="431"/>
      <c r="F2427" s="432"/>
      <c r="G2427" s="434"/>
      <c r="H2427" s="434"/>
      <c r="I2427" s="240"/>
    </row>
    <row r="2428" outlineLevel="2">
      <c r="A2428" s="422" t="str">
        <f>'Master List'!A829</f>
        <v>W-PRT-023</v>
      </c>
      <c r="B2428" s="428"/>
      <c r="C2428" s="505"/>
      <c r="D2428" s="462" t="str">
        <f>VLOOKUP(A2428,'Master List'!$A$1:$C$1192,2,FALSE)</f>
        <v>Монтаж світильників</v>
      </c>
      <c r="E2428" s="463" t="str">
        <f>VLOOKUP(A2428,'Master List'!$A$1:$C$1192,3,FALSE)</f>
        <v>шт</v>
      </c>
      <c r="F2428" s="464">
        <f>48+6</f>
        <v>54</v>
      </c>
      <c r="G2428" s="463">
        <f>VLOOKUP(A2428,'Master List'!$A$4:$F5170,5,FALSE)</f>
        <v>58.5</v>
      </c>
      <c r="H2428" s="206">
        <f t="shared" ref="H2428:H2430" si="257">G2428*F2428</f>
        <v>3159</v>
      </c>
      <c r="I2428" s="240"/>
    </row>
    <row r="2429" outlineLevel="2">
      <c r="A2429" s="422" t="str">
        <f>'Master List'!A830</f>
        <v>W-PRT-024</v>
      </c>
      <c r="B2429" s="428"/>
      <c r="C2429" s="505"/>
      <c r="D2429" s="462" t="str">
        <f>VLOOKUP(A2429,'Master List'!$A$1:$C$1192,2,FALSE)</f>
        <v>Монтаж датчиків руху</v>
      </c>
      <c r="E2429" s="463" t="str">
        <f>VLOOKUP(A2429,'Master List'!$A$1:$C$1192,3,FALSE)</f>
        <v>шт</v>
      </c>
      <c r="F2429" s="464">
        <v>1.0</v>
      </c>
      <c r="G2429" s="463">
        <f>VLOOKUP(A2429,'Master List'!$A$4:$F5171,5,FALSE)</f>
        <v>39</v>
      </c>
      <c r="H2429" s="206">
        <f t="shared" si="257"/>
        <v>39</v>
      </c>
      <c r="I2429" s="240"/>
    </row>
    <row r="2430" outlineLevel="2">
      <c r="A2430" s="422" t="str">
        <f>'Master List'!A826</f>
        <v>W-PRT-020</v>
      </c>
      <c r="B2430" s="428"/>
      <c r="C2430" s="505"/>
      <c r="D2430" s="462" t="str">
        <f>VLOOKUP(A2430,'Master List'!$A$1:$C$1192,2,FALSE)</f>
        <v>Монтаж розеток і вимикачів</v>
      </c>
      <c r="E2430" s="463" t="str">
        <f>VLOOKUP(A2430,'Master List'!$A$1:$C$1192,3,FALSE)</f>
        <v>шт</v>
      </c>
      <c r="F2430" s="464">
        <v>3.0</v>
      </c>
      <c r="G2430" s="463">
        <f>VLOOKUP(A2430,'Master List'!$A$4:$F5172,5,FALSE)</f>
        <v>36.4</v>
      </c>
      <c r="H2430" s="206">
        <f t="shared" si="257"/>
        <v>109.2</v>
      </c>
      <c r="I2430" s="240"/>
    </row>
    <row r="2431" outlineLevel="2">
      <c r="A2431" s="422"/>
      <c r="B2431" s="428"/>
      <c r="C2431" s="502"/>
      <c r="D2431" s="208"/>
      <c r="E2431" s="431"/>
      <c r="F2431" s="432"/>
      <c r="G2431" s="434"/>
      <c r="H2431" s="434"/>
      <c r="I2431" s="240"/>
    </row>
    <row r="2432" outlineLevel="2">
      <c r="A2432" s="422" t="str">
        <f>'Master List'!A444</f>
        <v>M-PRT-060</v>
      </c>
      <c r="B2432" s="428"/>
      <c r="C2432" s="513" t="s">
        <v>3071</v>
      </c>
      <c r="D2432" s="315" t="s">
        <v>1368</v>
      </c>
      <c r="E2432" s="444" t="s">
        <v>75</v>
      </c>
      <c r="F2432" s="214">
        <v>9.0</v>
      </c>
      <c r="G2432" s="463">
        <f>VLOOKUP(A2432,'Master List'!$A$4:$F5174,5,FALSE)</f>
        <v>9.997</v>
      </c>
      <c r="H2432" s="206">
        <f t="shared" ref="H2432:H2446" si="258">G2432*F2432</f>
        <v>89.973</v>
      </c>
      <c r="I2432" s="219"/>
    </row>
    <row r="2433" outlineLevel="2">
      <c r="A2433" s="422" t="str">
        <f>'Master List'!A444</f>
        <v>M-PRT-060</v>
      </c>
      <c r="B2433" s="428"/>
      <c r="C2433" s="513" t="s">
        <v>3073</v>
      </c>
      <c r="D2433" s="315" t="s">
        <v>1369</v>
      </c>
      <c r="E2433" s="444" t="s">
        <v>75</v>
      </c>
      <c r="F2433" s="214">
        <v>11.0</v>
      </c>
      <c r="G2433" s="463">
        <f>VLOOKUP(A2433,'Master List'!$A$4:$F5175,5,FALSE)</f>
        <v>9.997</v>
      </c>
      <c r="H2433" s="206">
        <f t="shared" si="258"/>
        <v>109.967</v>
      </c>
      <c r="I2433" s="219"/>
    </row>
    <row r="2434" outlineLevel="2">
      <c r="A2434" s="422" t="str">
        <f>'Master List'!A444</f>
        <v>M-PRT-060</v>
      </c>
      <c r="B2434" s="428"/>
      <c r="C2434" s="513" t="s">
        <v>3075</v>
      </c>
      <c r="D2434" s="315" t="s">
        <v>1370</v>
      </c>
      <c r="E2434" s="444" t="s">
        <v>75</v>
      </c>
      <c r="F2434" s="214">
        <v>7.0</v>
      </c>
      <c r="G2434" s="463">
        <f>VLOOKUP(A2434,'Master List'!$A$4:$F5176,5,FALSE)</f>
        <v>9.997</v>
      </c>
      <c r="H2434" s="206">
        <f t="shared" si="258"/>
        <v>69.979</v>
      </c>
      <c r="I2434" s="219"/>
    </row>
    <row r="2435" outlineLevel="2">
      <c r="A2435" s="422" t="str">
        <f>'Master List'!A444</f>
        <v>M-PRT-060</v>
      </c>
      <c r="B2435" s="428"/>
      <c r="C2435" s="513" t="s">
        <v>3077</v>
      </c>
      <c r="D2435" s="315" t="s">
        <v>1371</v>
      </c>
      <c r="E2435" s="444" t="s">
        <v>75</v>
      </c>
      <c r="F2435" s="214">
        <v>2.0</v>
      </c>
      <c r="G2435" s="463">
        <f>VLOOKUP(A2435,'Master List'!$A$4:$F5177,5,FALSE)</f>
        <v>9.997</v>
      </c>
      <c r="H2435" s="206">
        <f t="shared" si="258"/>
        <v>19.994</v>
      </c>
      <c r="I2435" s="219"/>
    </row>
    <row r="2436" outlineLevel="2">
      <c r="A2436" s="422" t="str">
        <f>'Master List'!A444</f>
        <v>M-PRT-060</v>
      </c>
      <c r="B2436" s="428"/>
      <c r="C2436" s="513" t="s">
        <v>3079</v>
      </c>
      <c r="D2436" s="315" t="s">
        <v>1372</v>
      </c>
      <c r="E2436" s="444" t="s">
        <v>75</v>
      </c>
      <c r="F2436" s="214">
        <v>8.0</v>
      </c>
      <c r="G2436" s="463">
        <f>VLOOKUP(A2436,'Master List'!$A$4:$F5178,5,FALSE)</f>
        <v>9.997</v>
      </c>
      <c r="H2436" s="206">
        <f t="shared" si="258"/>
        <v>79.976</v>
      </c>
      <c r="I2436" s="219"/>
    </row>
    <row r="2437" outlineLevel="2">
      <c r="A2437" s="422" t="str">
        <f>'Master List'!A444</f>
        <v>M-PRT-060</v>
      </c>
      <c r="B2437" s="428"/>
      <c r="C2437" s="513" t="s">
        <v>3081</v>
      </c>
      <c r="D2437" s="315" t="s">
        <v>1373</v>
      </c>
      <c r="E2437" s="444" t="s">
        <v>1374</v>
      </c>
      <c r="F2437" s="214">
        <v>2.0</v>
      </c>
      <c r="G2437" s="463">
        <f>VLOOKUP(A2437,'Master List'!$A$4:$F5179,5,FALSE)</f>
        <v>9.997</v>
      </c>
      <c r="H2437" s="206">
        <f t="shared" si="258"/>
        <v>19.994</v>
      </c>
      <c r="I2437" s="219"/>
    </row>
    <row r="2438" outlineLevel="2">
      <c r="A2438" s="422" t="str">
        <f>'Master List'!A444</f>
        <v>M-PRT-060</v>
      </c>
      <c r="B2438" s="428"/>
      <c r="C2438" s="513" t="s">
        <v>3083</v>
      </c>
      <c r="D2438" s="315" t="s">
        <v>1375</v>
      </c>
      <c r="E2438" s="444" t="s">
        <v>75</v>
      </c>
      <c r="F2438" s="214">
        <v>1.0</v>
      </c>
      <c r="G2438" s="463">
        <f>VLOOKUP(A2438,'Master List'!$A$4:$F5180,5,FALSE)</f>
        <v>9.997</v>
      </c>
      <c r="H2438" s="206">
        <f t="shared" si="258"/>
        <v>9.997</v>
      </c>
      <c r="I2438" s="219"/>
    </row>
    <row r="2439" outlineLevel="2">
      <c r="A2439" s="422" t="str">
        <f>'Master List'!A444</f>
        <v>M-PRT-060</v>
      </c>
      <c r="B2439" s="428"/>
      <c r="C2439" s="513" t="s">
        <v>3085</v>
      </c>
      <c r="D2439" s="315" t="s">
        <v>1376</v>
      </c>
      <c r="E2439" s="444" t="s">
        <v>75</v>
      </c>
      <c r="F2439" s="214">
        <v>3.0</v>
      </c>
      <c r="G2439" s="463">
        <f>VLOOKUP(A2439,'Master List'!$A$4:$F5181,5,FALSE)</f>
        <v>9.997</v>
      </c>
      <c r="H2439" s="206">
        <f t="shared" si="258"/>
        <v>29.991</v>
      </c>
      <c r="I2439" s="219"/>
    </row>
    <row r="2440" outlineLevel="2">
      <c r="A2440" s="422" t="str">
        <f>'Master List'!A444</f>
        <v>M-PRT-060</v>
      </c>
      <c r="B2440" s="428"/>
      <c r="C2440" s="513" t="s">
        <v>3087</v>
      </c>
      <c r="D2440" s="315" t="s">
        <v>1377</v>
      </c>
      <c r="E2440" s="444" t="s">
        <v>75</v>
      </c>
      <c r="F2440" s="214">
        <v>2.0</v>
      </c>
      <c r="G2440" s="463">
        <f>VLOOKUP(A2440,'Master List'!$A$4:$F5182,5,FALSE)</f>
        <v>9.997</v>
      </c>
      <c r="H2440" s="206">
        <f t="shared" si="258"/>
        <v>19.994</v>
      </c>
      <c r="I2440" s="219"/>
    </row>
    <row r="2441" outlineLevel="2">
      <c r="A2441" s="422" t="str">
        <f>'Master List'!A444</f>
        <v>M-PRT-060</v>
      </c>
      <c r="B2441" s="428"/>
      <c r="C2441" s="513" t="s">
        <v>3089</v>
      </c>
      <c r="D2441" s="315" t="s">
        <v>1378</v>
      </c>
      <c r="E2441" s="444" t="s">
        <v>75</v>
      </c>
      <c r="F2441" s="214">
        <v>1.0</v>
      </c>
      <c r="G2441" s="463">
        <f>VLOOKUP(A2441,'Master List'!$A$4:$F5183,5,FALSE)</f>
        <v>9.997</v>
      </c>
      <c r="H2441" s="206">
        <f t="shared" si="258"/>
        <v>9.997</v>
      </c>
      <c r="I2441" s="219"/>
    </row>
    <row r="2442" outlineLevel="2">
      <c r="A2442" s="422" t="str">
        <f>'Master List'!A444</f>
        <v>M-PRT-060</v>
      </c>
      <c r="B2442" s="428"/>
      <c r="C2442" s="513" t="s">
        <v>3091</v>
      </c>
      <c r="D2442" s="315" t="s">
        <v>1379</v>
      </c>
      <c r="E2442" s="444" t="s">
        <v>75</v>
      </c>
      <c r="F2442" s="214">
        <v>1.0</v>
      </c>
      <c r="G2442" s="463">
        <f>VLOOKUP(A2442,'Master List'!$A$4:$F5184,5,FALSE)</f>
        <v>9.997</v>
      </c>
      <c r="H2442" s="206">
        <f t="shared" si="258"/>
        <v>9.997</v>
      </c>
      <c r="I2442" s="219"/>
    </row>
    <row r="2443" outlineLevel="2">
      <c r="A2443" s="422" t="str">
        <f>'Master List'!A444</f>
        <v>M-PRT-060</v>
      </c>
      <c r="B2443" s="428"/>
      <c r="C2443" s="513" t="s">
        <v>3093</v>
      </c>
      <c r="D2443" s="315" t="s">
        <v>1380</v>
      </c>
      <c r="E2443" s="444" t="s">
        <v>75</v>
      </c>
      <c r="F2443" s="214">
        <v>1.0</v>
      </c>
      <c r="G2443" s="463">
        <f>VLOOKUP(A2443,'Master List'!$A$4:$F5185,5,FALSE)</f>
        <v>9.997</v>
      </c>
      <c r="H2443" s="206">
        <f t="shared" si="258"/>
        <v>9.997</v>
      </c>
      <c r="I2443" s="219"/>
    </row>
    <row r="2444" outlineLevel="2">
      <c r="A2444" s="422" t="str">
        <f>'Master List'!A445</f>
        <v>M-PRT-061</v>
      </c>
      <c r="B2444" s="428"/>
      <c r="C2444" s="513" t="s">
        <v>3095</v>
      </c>
      <c r="D2444" s="315" t="s">
        <v>1381</v>
      </c>
      <c r="E2444" s="444" t="s">
        <v>75</v>
      </c>
      <c r="F2444" s="214">
        <v>1.0</v>
      </c>
      <c r="G2444" s="463">
        <f>VLOOKUP(A2444,'Master List'!$A$4:$F5186,5,FALSE)</f>
        <v>18.837</v>
      </c>
      <c r="H2444" s="206">
        <f t="shared" si="258"/>
        <v>18.837</v>
      </c>
      <c r="I2444" s="219"/>
    </row>
    <row r="2445" outlineLevel="2">
      <c r="A2445" s="422" t="str">
        <f>'Master List'!A447</f>
        <v>M-PRT-063</v>
      </c>
      <c r="B2445" s="428"/>
      <c r="C2445" s="513" t="s">
        <v>3097</v>
      </c>
      <c r="D2445" s="315" t="s">
        <v>1382</v>
      </c>
      <c r="E2445" s="444" t="s">
        <v>75</v>
      </c>
      <c r="F2445" s="214">
        <v>3.0</v>
      </c>
      <c r="G2445" s="463">
        <f>VLOOKUP(A2445,'Master List'!$A$4:$F5187,5,FALSE)</f>
        <v>1.859</v>
      </c>
      <c r="H2445" s="206">
        <f t="shared" si="258"/>
        <v>5.577</v>
      </c>
      <c r="I2445" s="219"/>
    </row>
    <row r="2446" outlineLevel="2">
      <c r="A2446" s="422" t="str">
        <f>'Master List'!A446</f>
        <v>M-PRT-062</v>
      </c>
      <c r="B2446" s="428"/>
      <c r="C2446" s="513" t="s">
        <v>3099</v>
      </c>
      <c r="D2446" s="315" t="s">
        <v>1383</v>
      </c>
      <c r="E2446" s="444" t="s">
        <v>75</v>
      </c>
      <c r="F2446" s="214">
        <v>6.0</v>
      </c>
      <c r="G2446" s="463">
        <f>VLOOKUP(A2446,'Master List'!$A$4:$F5188,5,FALSE)</f>
        <v>0</v>
      </c>
      <c r="H2446" s="206">
        <f t="shared" si="258"/>
        <v>0</v>
      </c>
      <c r="I2446" s="219"/>
    </row>
    <row r="2447" outlineLevel="2">
      <c r="A2447" s="422"/>
      <c r="B2447" s="428"/>
      <c r="C2447" s="502"/>
      <c r="D2447" s="208"/>
      <c r="E2447" s="431"/>
      <c r="F2447" s="432"/>
      <c r="G2447" s="434"/>
      <c r="H2447" s="434"/>
      <c r="I2447" s="240"/>
    </row>
    <row r="2448" outlineLevel="2">
      <c r="A2448" s="422"/>
      <c r="B2448" s="428"/>
      <c r="C2448" s="535" t="s">
        <v>3101</v>
      </c>
      <c r="D2448" s="323" t="s">
        <v>1384</v>
      </c>
      <c r="E2448" s="431"/>
      <c r="F2448" s="432"/>
      <c r="G2448" s="434"/>
      <c r="H2448" s="434"/>
      <c r="I2448" s="240"/>
    </row>
    <row r="2449" outlineLevel="2">
      <c r="A2449" s="422"/>
      <c r="B2449" s="428"/>
      <c r="C2449" s="502"/>
      <c r="D2449" s="536"/>
      <c r="E2449" s="431"/>
      <c r="F2449" s="432"/>
      <c r="G2449" s="434"/>
      <c r="H2449" s="434"/>
      <c r="I2449" s="240"/>
    </row>
    <row r="2450" outlineLevel="2">
      <c r="A2450" s="422" t="str">
        <f>'Master List'!A829</f>
        <v>W-PRT-023</v>
      </c>
      <c r="B2450" s="428"/>
      <c r="C2450" s="505"/>
      <c r="D2450" s="462" t="str">
        <f>VLOOKUP(A2450,'Master List'!$A$1:$C$1192,2,FALSE)</f>
        <v>Монтаж світильників</v>
      </c>
      <c r="E2450" s="463" t="str">
        <f>VLOOKUP(A2450,'Master List'!$A$1:$C$1192,3,FALSE)</f>
        <v>шт</v>
      </c>
      <c r="F2450" s="464">
        <f>213-9</f>
        <v>204</v>
      </c>
      <c r="G2450" s="463">
        <f>VLOOKUP(A2450,'Master List'!$A$4:$F5192,5,FALSE)</f>
        <v>58.5</v>
      </c>
      <c r="H2450" s="206">
        <f t="shared" ref="H2450:H2452" si="259">G2450*F2450</f>
        <v>11934</v>
      </c>
      <c r="I2450" s="240"/>
    </row>
    <row r="2451" outlineLevel="2">
      <c r="A2451" s="422" t="str">
        <f>'Master List'!A830</f>
        <v>W-PRT-024</v>
      </c>
      <c r="B2451" s="428"/>
      <c r="C2451" s="505"/>
      <c r="D2451" s="462" t="str">
        <f>VLOOKUP(A2451,'Master List'!$A$1:$C$1192,2,FALSE)</f>
        <v>Монтаж датчиків руху</v>
      </c>
      <c r="E2451" s="463" t="str">
        <f>VLOOKUP(A2451,'Master List'!$A$1:$C$1192,3,FALSE)</f>
        <v>шт</v>
      </c>
      <c r="F2451" s="464">
        <v>1.0</v>
      </c>
      <c r="G2451" s="463">
        <f>VLOOKUP(A2451,'Master List'!$A$4:$F5193,5,FALSE)</f>
        <v>39</v>
      </c>
      <c r="H2451" s="206">
        <f t="shared" si="259"/>
        <v>39</v>
      </c>
      <c r="I2451" s="240"/>
    </row>
    <row r="2452" outlineLevel="2">
      <c r="A2452" s="422" t="str">
        <f>'Master List'!A826</f>
        <v>W-PRT-020</v>
      </c>
      <c r="B2452" s="428"/>
      <c r="C2452" s="505"/>
      <c r="D2452" s="462" t="str">
        <f>VLOOKUP(A2452,'Master List'!$A$1:$C$1192,2,FALSE)</f>
        <v>Монтаж розеток і вимикачів</v>
      </c>
      <c r="E2452" s="463" t="str">
        <f>VLOOKUP(A2452,'Master List'!$A$1:$C$1192,3,FALSE)</f>
        <v>шт</v>
      </c>
      <c r="F2452" s="464">
        <v>8.0</v>
      </c>
      <c r="G2452" s="463">
        <f>VLOOKUP(A2452,'Master List'!$A$4:$F5194,5,FALSE)</f>
        <v>36.4</v>
      </c>
      <c r="H2452" s="206">
        <f t="shared" si="259"/>
        <v>291.2</v>
      </c>
      <c r="I2452" s="240"/>
    </row>
    <row r="2453" outlineLevel="2">
      <c r="A2453" s="422"/>
      <c r="B2453" s="428"/>
      <c r="C2453" s="502"/>
      <c r="D2453" s="208"/>
      <c r="E2453" s="431"/>
      <c r="F2453" s="432"/>
      <c r="G2453" s="434"/>
      <c r="H2453" s="434"/>
      <c r="I2453" s="240"/>
    </row>
    <row r="2454" outlineLevel="2">
      <c r="A2454" s="422" t="str">
        <f>'Master List'!A444</f>
        <v>M-PRT-060</v>
      </c>
      <c r="B2454" s="428"/>
      <c r="C2454" s="535" t="s">
        <v>3103</v>
      </c>
      <c r="D2454" s="315" t="s">
        <v>1369</v>
      </c>
      <c r="E2454" s="444" t="s">
        <v>75</v>
      </c>
      <c r="F2454" s="214">
        <v>27.0</v>
      </c>
      <c r="G2454" s="463">
        <f>VLOOKUP(A2454,'Master List'!$A$4:$F5192,5,FALSE)</f>
        <v>9.997</v>
      </c>
      <c r="H2454" s="206">
        <f t="shared" ref="H2454:H2489" si="260">G2454*F2454</f>
        <v>269.919</v>
      </c>
      <c r="I2454" s="219"/>
    </row>
    <row r="2455" outlineLevel="2">
      <c r="A2455" s="422" t="str">
        <f>'Master List'!A444</f>
        <v>M-PRT-060</v>
      </c>
      <c r="B2455" s="428"/>
      <c r="C2455" s="535" t="s">
        <v>3104</v>
      </c>
      <c r="D2455" s="315" t="s">
        <v>1372</v>
      </c>
      <c r="E2455" s="444" t="s">
        <v>75</v>
      </c>
      <c r="F2455" s="214">
        <v>40.0</v>
      </c>
      <c r="G2455" s="463">
        <f>VLOOKUP(A2455,'Master List'!$A$4:$F5193,5,FALSE)</f>
        <v>9.997</v>
      </c>
      <c r="H2455" s="206">
        <f t="shared" si="260"/>
        <v>399.88</v>
      </c>
      <c r="I2455" s="219"/>
    </row>
    <row r="2456" outlineLevel="2">
      <c r="A2456" s="422" t="str">
        <f>'Master List'!A444</f>
        <v>M-PRT-060</v>
      </c>
      <c r="B2456" s="428"/>
      <c r="C2456" s="535" t="s">
        <v>3105</v>
      </c>
      <c r="D2456" s="315" t="s">
        <v>1385</v>
      </c>
      <c r="E2456" s="444" t="s">
        <v>75</v>
      </c>
      <c r="F2456" s="214">
        <v>5.0</v>
      </c>
      <c r="G2456" s="463">
        <f>VLOOKUP(A2456,'Master List'!$A$4:$F5194,5,FALSE)</f>
        <v>9.997</v>
      </c>
      <c r="H2456" s="206">
        <f t="shared" si="260"/>
        <v>49.985</v>
      </c>
      <c r="I2456" s="219"/>
    </row>
    <row r="2457" outlineLevel="2">
      <c r="A2457" s="422" t="str">
        <f>'Master List'!A444</f>
        <v>M-PRT-060</v>
      </c>
      <c r="B2457" s="428"/>
      <c r="C2457" s="535" t="s">
        <v>3107</v>
      </c>
      <c r="D2457" s="315" t="s">
        <v>1375</v>
      </c>
      <c r="E2457" s="444" t="s">
        <v>75</v>
      </c>
      <c r="F2457" s="214">
        <v>14.0</v>
      </c>
      <c r="G2457" s="463">
        <f>VLOOKUP(A2457,'Master List'!$A$4:$F5195,5,FALSE)</f>
        <v>9.997</v>
      </c>
      <c r="H2457" s="206">
        <f t="shared" si="260"/>
        <v>139.958</v>
      </c>
      <c r="I2457" s="219"/>
    </row>
    <row r="2458" outlineLevel="2">
      <c r="A2458" s="422" t="str">
        <f>'Master List'!A444</f>
        <v>M-PRT-060</v>
      </c>
      <c r="B2458" s="428"/>
      <c r="C2458" s="535" t="s">
        <v>3108</v>
      </c>
      <c r="D2458" s="315" t="s">
        <v>1386</v>
      </c>
      <c r="E2458" s="444" t="s">
        <v>75</v>
      </c>
      <c r="F2458" s="214">
        <v>52.0</v>
      </c>
      <c r="G2458" s="463">
        <f>VLOOKUP(A2458,'Master List'!$A$4:$F5196,5,FALSE)</f>
        <v>9.997</v>
      </c>
      <c r="H2458" s="206">
        <f t="shared" si="260"/>
        <v>519.844</v>
      </c>
      <c r="I2458" s="219"/>
    </row>
    <row r="2459" outlineLevel="2">
      <c r="A2459" s="422" t="str">
        <f>'Master List'!A444</f>
        <v>M-PRT-060</v>
      </c>
      <c r="B2459" s="428"/>
      <c r="C2459" s="535" t="s">
        <v>3110</v>
      </c>
      <c r="D2459" s="315" t="s">
        <v>1387</v>
      </c>
      <c r="E2459" s="444" t="s">
        <v>75</v>
      </c>
      <c r="F2459" s="214">
        <v>3.0</v>
      </c>
      <c r="G2459" s="463">
        <f>VLOOKUP(A2459,'Master List'!$A$4:$F5197,5,FALSE)</f>
        <v>9.997</v>
      </c>
      <c r="H2459" s="206">
        <f t="shared" si="260"/>
        <v>29.991</v>
      </c>
      <c r="I2459" s="219"/>
    </row>
    <row r="2460" outlineLevel="2">
      <c r="A2460" s="422" t="str">
        <f>'Master List'!A444</f>
        <v>M-PRT-060</v>
      </c>
      <c r="B2460" s="428"/>
      <c r="C2460" s="535" t="s">
        <v>3112</v>
      </c>
      <c r="D2460" s="315" t="s">
        <v>1373</v>
      </c>
      <c r="E2460" s="444" t="s">
        <v>1374</v>
      </c>
      <c r="F2460" s="214">
        <v>1.0</v>
      </c>
      <c r="G2460" s="463">
        <f>VLOOKUP(A2460,'Master List'!$A$4:$F5198,5,FALSE)</f>
        <v>9.997</v>
      </c>
      <c r="H2460" s="206">
        <f t="shared" si="260"/>
        <v>9.997</v>
      </c>
      <c r="I2460" s="219"/>
    </row>
    <row r="2461" outlineLevel="2">
      <c r="A2461" s="422" t="str">
        <f>'Master List'!A444</f>
        <v>M-PRT-060</v>
      </c>
      <c r="B2461" s="428"/>
      <c r="C2461" s="535" t="s">
        <v>3113</v>
      </c>
      <c r="D2461" s="315" t="s">
        <v>1388</v>
      </c>
      <c r="E2461" s="444" t="s">
        <v>75</v>
      </c>
      <c r="F2461" s="214">
        <v>4.0</v>
      </c>
      <c r="G2461" s="463">
        <f>VLOOKUP(A2461,'Master List'!$A$4:$F5199,5,FALSE)</f>
        <v>9.997</v>
      </c>
      <c r="H2461" s="206">
        <f t="shared" si="260"/>
        <v>39.988</v>
      </c>
      <c r="I2461" s="219"/>
    </row>
    <row r="2462" outlineLevel="2">
      <c r="A2462" s="422" t="str">
        <f>'Master List'!A444</f>
        <v>M-PRT-060</v>
      </c>
      <c r="B2462" s="428"/>
      <c r="C2462" s="535" t="s">
        <v>3115</v>
      </c>
      <c r="D2462" s="315" t="s">
        <v>1389</v>
      </c>
      <c r="E2462" s="444" t="s">
        <v>75</v>
      </c>
      <c r="F2462" s="214">
        <v>22.0</v>
      </c>
      <c r="G2462" s="463">
        <f>VLOOKUP(A2462,'Master List'!$A$4:$F5200,5,FALSE)</f>
        <v>9.997</v>
      </c>
      <c r="H2462" s="206">
        <f t="shared" si="260"/>
        <v>219.934</v>
      </c>
      <c r="I2462" s="219"/>
    </row>
    <row r="2463" outlineLevel="2">
      <c r="A2463" s="422" t="str">
        <f>'Master List'!A444</f>
        <v>M-PRT-060</v>
      </c>
      <c r="B2463" s="428"/>
      <c r="C2463" s="535" t="s">
        <v>3117</v>
      </c>
      <c r="D2463" s="315" t="s">
        <v>1390</v>
      </c>
      <c r="E2463" s="444" t="s">
        <v>75</v>
      </c>
      <c r="F2463" s="214">
        <v>1.0</v>
      </c>
      <c r="G2463" s="463">
        <f>VLOOKUP(A2463,'Master List'!$A$4:$F5201,5,FALSE)</f>
        <v>9.997</v>
      </c>
      <c r="H2463" s="206">
        <f t="shared" si="260"/>
        <v>9.997</v>
      </c>
      <c r="I2463" s="219"/>
    </row>
    <row r="2464" outlineLevel="2">
      <c r="A2464" s="422" t="str">
        <f>'Master List'!A444</f>
        <v>M-PRT-060</v>
      </c>
      <c r="B2464" s="428"/>
      <c r="C2464" s="535" t="s">
        <v>3119</v>
      </c>
      <c r="D2464" s="315" t="s">
        <v>1391</v>
      </c>
      <c r="E2464" s="444" t="s">
        <v>75</v>
      </c>
      <c r="F2464" s="214">
        <v>1.0</v>
      </c>
      <c r="G2464" s="463">
        <f>VLOOKUP(A2464,'Master List'!$A$4:$F5202,5,FALSE)</f>
        <v>9.997</v>
      </c>
      <c r="H2464" s="206">
        <f t="shared" si="260"/>
        <v>9.997</v>
      </c>
      <c r="I2464" s="219"/>
    </row>
    <row r="2465" outlineLevel="2">
      <c r="A2465" s="422" t="str">
        <f>'Master List'!A444</f>
        <v>M-PRT-060</v>
      </c>
      <c r="B2465" s="428"/>
      <c r="C2465" s="535" t="s">
        <v>3121</v>
      </c>
      <c r="D2465" s="315" t="s">
        <v>1392</v>
      </c>
      <c r="E2465" s="444" t="s">
        <v>75</v>
      </c>
      <c r="F2465" s="214">
        <v>1.0</v>
      </c>
      <c r="G2465" s="463">
        <f>VLOOKUP(A2465,'Master List'!$A$4:$F5203,5,FALSE)</f>
        <v>9.997</v>
      </c>
      <c r="H2465" s="206">
        <f t="shared" si="260"/>
        <v>9.997</v>
      </c>
      <c r="I2465" s="219"/>
    </row>
    <row r="2466" outlineLevel="2">
      <c r="A2466" s="422" t="str">
        <f>'Master List'!A444</f>
        <v>M-PRT-060</v>
      </c>
      <c r="B2466" s="428"/>
      <c r="C2466" s="535" t="s">
        <v>3123</v>
      </c>
      <c r="D2466" s="315" t="s">
        <v>1393</v>
      </c>
      <c r="E2466" s="444" t="s">
        <v>75</v>
      </c>
      <c r="F2466" s="214">
        <v>1.0</v>
      </c>
      <c r="G2466" s="463">
        <f>VLOOKUP(A2466,'Master List'!$A$4:$F5204,5,FALSE)</f>
        <v>9.997</v>
      </c>
      <c r="H2466" s="206">
        <f t="shared" si="260"/>
        <v>9.997</v>
      </c>
      <c r="I2466" s="219"/>
    </row>
    <row r="2467" outlineLevel="2">
      <c r="A2467" s="422" t="str">
        <f>'Master List'!A444</f>
        <v>M-PRT-060</v>
      </c>
      <c r="B2467" s="428"/>
      <c r="C2467" s="535" t="s">
        <v>3125</v>
      </c>
      <c r="D2467" s="315" t="s">
        <v>1394</v>
      </c>
      <c r="E2467" s="444" t="s">
        <v>75</v>
      </c>
      <c r="F2467" s="214">
        <v>1.0</v>
      </c>
      <c r="G2467" s="463">
        <f>VLOOKUP(A2467,'Master List'!$A$4:$F5205,5,FALSE)</f>
        <v>9.997</v>
      </c>
      <c r="H2467" s="206">
        <f t="shared" si="260"/>
        <v>9.997</v>
      </c>
      <c r="I2467" s="219"/>
    </row>
    <row r="2468" outlineLevel="2">
      <c r="A2468" s="422" t="str">
        <f>'Master List'!A444</f>
        <v>M-PRT-060</v>
      </c>
      <c r="B2468" s="428"/>
      <c r="C2468" s="535" t="s">
        <v>3127</v>
      </c>
      <c r="D2468" s="315" t="s">
        <v>1395</v>
      </c>
      <c r="E2468" s="444" t="s">
        <v>75</v>
      </c>
      <c r="F2468" s="214">
        <v>1.0</v>
      </c>
      <c r="G2468" s="463">
        <f>VLOOKUP(A2468,'Master List'!$A$4:$F5206,5,FALSE)</f>
        <v>9.997</v>
      </c>
      <c r="H2468" s="206">
        <f t="shared" si="260"/>
        <v>9.997</v>
      </c>
      <c r="I2468" s="219"/>
    </row>
    <row r="2469" outlineLevel="2">
      <c r="A2469" s="422" t="str">
        <f>'Master List'!A444</f>
        <v>M-PRT-060</v>
      </c>
      <c r="B2469" s="428"/>
      <c r="C2469" s="535" t="s">
        <v>3129</v>
      </c>
      <c r="D2469" s="315" t="s">
        <v>1396</v>
      </c>
      <c r="E2469" s="444" t="s">
        <v>1374</v>
      </c>
      <c r="F2469" s="214">
        <v>1.0</v>
      </c>
      <c r="G2469" s="463">
        <f>VLOOKUP(A2469,'Master List'!$A$4:$F5207,5,FALSE)</f>
        <v>9.997</v>
      </c>
      <c r="H2469" s="206">
        <f t="shared" si="260"/>
        <v>9.997</v>
      </c>
      <c r="I2469" s="219"/>
    </row>
    <row r="2470" outlineLevel="2">
      <c r="A2470" s="422" t="str">
        <f>'Master List'!A444</f>
        <v>M-PRT-060</v>
      </c>
      <c r="B2470" s="428"/>
      <c r="C2470" s="535" t="s">
        <v>3131</v>
      </c>
      <c r="D2470" s="315" t="s">
        <v>1397</v>
      </c>
      <c r="E2470" s="444" t="s">
        <v>75</v>
      </c>
      <c r="F2470" s="214">
        <v>1.0</v>
      </c>
      <c r="G2470" s="463">
        <f>VLOOKUP(A2470,'Master List'!$A$4:$F5208,5,FALSE)</f>
        <v>9.997</v>
      </c>
      <c r="H2470" s="206">
        <f t="shared" si="260"/>
        <v>9.997</v>
      </c>
      <c r="I2470" s="219"/>
    </row>
    <row r="2471" outlineLevel="2">
      <c r="A2471" s="422" t="str">
        <f>'Master List'!A444</f>
        <v>M-PRT-060</v>
      </c>
      <c r="B2471" s="428"/>
      <c r="C2471" s="535" t="s">
        <v>3133</v>
      </c>
      <c r="D2471" s="315" t="s">
        <v>1398</v>
      </c>
      <c r="E2471" s="444" t="s">
        <v>75</v>
      </c>
      <c r="F2471" s="214">
        <v>5.0</v>
      </c>
      <c r="G2471" s="463">
        <f>VLOOKUP(A2471,'Master List'!$A$4:$F5209,5,FALSE)</f>
        <v>9.997</v>
      </c>
      <c r="H2471" s="206">
        <f t="shared" si="260"/>
        <v>49.985</v>
      </c>
      <c r="I2471" s="219"/>
    </row>
    <row r="2472" outlineLevel="2">
      <c r="A2472" s="422" t="str">
        <f>'Master List'!A444</f>
        <v>M-PRT-060</v>
      </c>
      <c r="B2472" s="428"/>
      <c r="C2472" s="535" t="s">
        <v>3135</v>
      </c>
      <c r="D2472" s="315" t="s">
        <v>1380</v>
      </c>
      <c r="E2472" s="444" t="s">
        <v>75</v>
      </c>
      <c r="F2472" s="214">
        <v>2.0</v>
      </c>
      <c r="G2472" s="463">
        <f>VLOOKUP(A2472,'Master List'!$A$4:$F5210,5,FALSE)</f>
        <v>9.997</v>
      </c>
      <c r="H2472" s="206">
        <f t="shared" si="260"/>
        <v>19.994</v>
      </c>
      <c r="I2472" s="219"/>
    </row>
    <row r="2473" outlineLevel="2">
      <c r="A2473" s="422" t="str">
        <f>'Master List'!A444</f>
        <v>M-PRT-060</v>
      </c>
      <c r="B2473" s="428"/>
      <c r="C2473" s="535" t="s">
        <v>3136</v>
      </c>
      <c r="D2473" s="315" t="s">
        <v>1399</v>
      </c>
      <c r="E2473" s="444" t="s">
        <v>75</v>
      </c>
      <c r="F2473" s="214">
        <v>1.0</v>
      </c>
      <c r="G2473" s="463">
        <f>VLOOKUP(A2473,'Master List'!$A$4:$F5211,5,FALSE)</f>
        <v>9.997</v>
      </c>
      <c r="H2473" s="206">
        <f t="shared" si="260"/>
        <v>9.997</v>
      </c>
      <c r="I2473" s="219"/>
    </row>
    <row r="2474" outlineLevel="2">
      <c r="A2474" s="422" t="str">
        <f>'Master List'!A444</f>
        <v>M-PRT-060</v>
      </c>
      <c r="B2474" s="428"/>
      <c r="C2474" s="535" t="s">
        <v>3138</v>
      </c>
      <c r="D2474" s="315" t="s">
        <v>1400</v>
      </c>
      <c r="E2474" s="444" t="s">
        <v>75</v>
      </c>
      <c r="F2474" s="214">
        <v>1.0</v>
      </c>
      <c r="G2474" s="463">
        <f>VLOOKUP(A2474,'Master List'!$A$4:$F5212,5,FALSE)</f>
        <v>9.997</v>
      </c>
      <c r="H2474" s="206">
        <f t="shared" si="260"/>
        <v>9.997</v>
      </c>
      <c r="I2474" s="219"/>
    </row>
    <row r="2475" outlineLevel="2">
      <c r="A2475" s="422" t="str">
        <f>'Master List'!A444</f>
        <v>M-PRT-060</v>
      </c>
      <c r="B2475" s="428"/>
      <c r="C2475" s="535" t="s">
        <v>3140</v>
      </c>
      <c r="D2475" s="315" t="s">
        <v>1401</v>
      </c>
      <c r="E2475" s="444" t="s">
        <v>75</v>
      </c>
      <c r="F2475" s="214">
        <v>1.0</v>
      </c>
      <c r="G2475" s="463">
        <f>VLOOKUP(A2475,'Master List'!$A$4:$F5213,5,FALSE)</f>
        <v>9.997</v>
      </c>
      <c r="H2475" s="206">
        <f t="shared" si="260"/>
        <v>9.997</v>
      </c>
      <c r="I2475" s="219"/>
    </row>
    <row r="2476" outlineLevel="2">
      <c r="A2476" s="422" t="str">
        <f>'Master List'!A444</f>
        <v>M-PRT-060</v>
      </c>
      <c r="B2476" s="428"/>
      <c r="C2476" s="535" t="s">
        <v>3142</v>
      </c>
      <c r="D2476" s="315" t="s">
        <v>1402</v>
      </c>
      <c r="E2476" s="444" t="s">
        <v>75</v>
      </c>
      <c r="F2476" s="214">
        <v>1.0</v>
      </c>
      <c r="G2476" s="463">
        <f>VLOOKUP(A2476,'Master List'!$A$4:$F5214,5,FALSE)</f>
        <v>9.997</v>
      </c>
      <c r="H2476" s="206">
        <f t="shared" si="260"/>
        <v>9.997</v>
      </c>
      <c r="I2476" s="219"/>
    </row>
    <row r="2477" outlineLevel="2">
      <c r="A2477" s="422" t="str">
        <f>'Master List'!A444</f>
        <v>M-PRT-060</v>
      </c>
      <c r="B2477" s="428"/>
      <c r="C2477" s="535" t="s">
        <v>3144</v>
      </c>
      <c r="D2477" s="315" t="s">
        <v>1403</v>
      </c>
      <c r="E2477" s="444" t="s">
        <v>75</v>
      </c>
      <c r="F2477" s="214">
        <v>1.0</v>
      </c>
      <c r="G2477" s="463">
        <f>VLOOKUP(A2477,'Master List'!$A$4:$F5215,5,FALSE)</f>
        <v>9.997</v>
      </c>
      <c r="H2477" s="206">
        <f t="shared" si="260"/>
        <v>9.997</v>
      </c>
      <c r="I2477" s="219"/>
    </row>
    <row r="2478" outlineLevel="2">
      <c r="A2478" s="422" t="str">
        <f>'Master List'!A444</f>
        <v>M-PRT-060</v>
      </c>
      <c r="B2478" s="428"/>
      <c r="C2478" s="535" t="s">
        <v>3146</v>
      </c>
      <c r="D2478" s="315" t="s">
        <v>1404</v>
      </c>
      <c r="E2478" s="444" t="s">
        <v>75</v>
      </c>
      <c r="F2478" s="214">
        <v>1.0</v>
      </c>
      <c r="G2478" s="463">
        <f>VLOOKUP(A2478,'Master List'!$A$4:$F5216,5,FALSE)</f>
        <v>9.997</v>
      </c>
      <c r="H2478" s="206">
        <f t="shared" si="260"/>
        <v>9.997</v>
      </c>
      <c r="I2478" s="219"/>
    </row>
    <row r="2479" outlineLevel="2">
      <c r="A2479" s="422" t="str">
        <f>'Master List'!A444</f>
        <v>M-PRT-060</v>
      </c>
      <c r="B2479" s="428"/>
      <c r="C2479" s="535" t="s">
        <v>3148</v>
      </c>
      <c r="D2479" s="315" t="s">
        <v>1405</v>
      </c>
      <c r="E2479" s="444" t="s">
        <v>75</v>
      </c>
      <c r="F2479" s="214">
        <v>1.0</v>
      </c>
      <c r="G2479" s="463">
        <f>VLOOKUP(A2479,'Master List'!$A$4:$F5217,5,FALSE)</f>
        <v>9.997</v>
      </c>
      <c r="H2479" s="206">
        <f t="shared" si="260"/>
        <v>9.997</v>
      </c>
      <c r="I2479" s="219"/>
    </row>
    <row r="2480" outlineLevel="2">
      <c r="A2480" s="422" t="str">
        <f>'Master List'!A444</f>
        <v>M-PRT-060</v>
      </c>
      <c r="B2480" s="428"/>
      <c r="C2480" s="535" t="s">
        <v>3150</v>
      </c>
      <c r="D2480" s="315" t="s">
        <v>1406</v>
      </c>
      <c r="E2480" s="444" t="s">
        <v>75</v>
      </c>
      <c r="F2480" s="214">
        <v>1.0</v>
      </c>
      <c r="G2480" s="463">
        <f>VLOOKUP(A2480,'Master List'!$A$4:$F5218,5,FALSE)</f>
        <v>9.997</v>
      </c>
      <c r="H2480" s="206">
        <f t="shared" si="260"/>
        <v>9.997</v>
      </c>
      <c r="I2480" s="219"/>
    </row>
    <row r="2481" outlineLevel="2">
      <c r="A2481" s="422" t="str">
        <f>'Master List'!A444</f>
        <v>M-PRT-060</v>
      </c>
      <c r="B2481" s="428"/>
      <c r="C2481" s="535" t="s">
        <v>3152</v>
      </c>
      <c r="D2481" s="315" t="s">
        <v>1407</v>
      </c>
      <c r="E2481" s="444" t="s">
        <v>75</v>
      </c>
      <c r="F2481" s="214">
        <v>1.0</v>
      </c>
      <c r="G2481" s="463">
        <f>VLOOKUP(A2481,'Master List'!$A$4:$F5219,5,FALSE)</f>
        <v>9.997</v>
      </c>
      <c r="H2481" s="206">
        <f t="shared" si="260"/>
        <v>9.997</v>
      </c>
      <c r="I2481" s="219"/>
    </row>
    <row r="2482" outlineLevel="2">
      <c r="A2482" s="422" t="str">
        <f>'Master List'!A444</f>
        <v>M-PRT-060</v>
      </c>
      <c r="B2482" s="428"/>
      <c r="C2482" s="535" t="s">
        <v>3154</v>
      </c>
      <c r="D2482" s="315" t="s">
        <v>1408</v>
      </c>
      <c r="E2482" s="444" t="s">
        <v>75</v>
      </c>
      <c r="F2482" s="214">
        <v>1.0</v>
      </c>
      <c r="G2482" s="463">
        <f>VLOOKUP(A2482,'Master List'!$A$4:$F5220,5,FALSE)</f>
        <v>9.997</v>
      </c>
      <c r="H2482" s="206">
        <f t="shared" si="260"/>
        <v>9.997</v>
      </c>
      <c r="I2482" s="219"/>
    </row>
    <row r="2483" outlineLevel="2">
      <c r="A2483" s="422" t="str">
        <f>'Master List'!A444</f>
        <v>M-PRT-060</v>
      </c>
      <c r="B2483" s="428"/>
      <c r="C2483" s="535" t="s">
        <v>3156</v>
      </c>
      <c r="D2483" s="315" t="s">
        <v>1409</v>
      </c>
      <c r="E2483" s="444" t="s">
        <v>75</v>
      </c>
      <c r="F2483" s="214">
        <v>1.0</v>
      </c>
      <c r="G2483" s="463">
        <f>VLOOKUP(A2483,'Master List'!$A$4:$F5221,5,FALSE)</f>
        <v>9.997</v>
      </c>
      <c r="H2483" s="206">
        <f t="shared" si="260"/>
        <v>9.997</v>
      </c>
      <c r="I2483" s="219"/>
    </row>
    <row r="2484" outlineLevel="2">
      <c r="A2484" s="422" t="str">
        <f>'Master List'!A444</f>
        <v>M-PRT-060</v>
      </c>
      <c r="B2484" s="428"/>
      <c r="C2484" s="535" t="s">
        <v>3158</v>
      </c>
      <c r="D2484" s="315" t="s">
        <v>1410</v>
      </c>
      <c r="E2484" s="444" t="s">
        <v>75</v>
      </c>
      <c r="F2484" s="214">
        <v>1.0</v>
      </c>
      <c r="G2484" s="463">
        <f>VLOOKUP(A2484,'Master List'!$A$4:$F5222,5,FALSE)</f>
        <v>9.997</v>
      </c>
      <c r="H2484" s="206">
        <f t="shared" si="260"/>
        <v>9.997</v>
      </c>
      <c r="I2484" s="219"/>
    </row>
    <row r="2485" outlineLevel="2">
      <c r="A2485" s="422" t="str">
        <f>'Master List'!A444</f>
        <v>M-PRT-060</v>
      </c>
      <c r="B2485" s="428"/>
      <c r="C2485" s="535" t="s">
        <v>3160</v>
      </c>
      <c r="D2485" s="315" t="s">
        <v>1376</v>
      </c>
      <c r="E2485" s="444" t="s">
        <v>75</v>
      </c>
      <c r="F2485" s="214">
        <v>6.0</v>
      </c>
      <c r="G2485" s="463">
        <f>VLOOKUP(A2485,'Master List'!$A$4:$F5223,5,FALSE)</f>
        <v>9.997</v>
      </c>
      <c r="H2485" s="206">
        <f t="shared" si="260"/>
        <v>59.982</v>
      </c>
      <c r="I2485" s="219"/>
    </row>
    <row r="2486" outlineLevel="2">
      <c r="A2486" s="422" t="str">
        <f>'Master List'!A429</f>
        <v>M-PRT-045</v>
      </c>
      <c r="B2486" s="428"/>
      <c r="C2486" s="535" t="s">
        <v>3161</v>
      </c>
      <c r="D2486" s="315" t="s">
        <v>1411</v>
      </c>
      <c r="E2486" s="444" t="s">
        <v>75</v>
      </c>
      <c r="F2486" s="214">
        <v>8.0</v>
      </c>
      <c r="G2486" s="463">
        <f>VLOOKUP(A2486,'Master List'!$A$4:$F5224,5,FALSE)</f>
        <v>4.537</v>
      </c>
      <c r="H2486" s="206">
        <f t="shared" si="260"/>
        <v>36.296</v>
      </c>
      <c r="I2486" s="219"/>
    </row>
    <row r="2487" outlineLevel="2">
      <c r="A2487" s="422" t="str">
        <f>'Master List'!A444</f>
        <v>M-PRT-060</v>
      </c>
      <c r="B2487" s="428"/>
      <c r="C2487" s="535" t="s">
        <v>3163</v>
      </c>
      <c r="D2487" s="315" t="s">
        <v>1368</v>
      </c>
      <c r="E2487" s="444" t="s">
        <v>75</v>
      </c>
      <c r="F2487" s="214">
        <v>1.0</v>
      </c>
      <c r="G2487" s="463">
        <f>VLOOKUP(A2487,'Master List'!$A$4:$F5225,5,FALSE)</f>
        <v>9.997</v>
      </c>
      <c r="H2487" s="206">
        <f t="shared" si="260"/>
        <v>9.997</v>
      </c>
      <c r="I2487" s="219"/>
    </row>
    <row r="2488" outlineLevel="2">
      <c r="A2488" s="422" t="str">
        <f>'Master List'!A446</f>
        <v>M-PRT-062</v>
      </c>
      <c r="B2488" s="428"/>
      <c r="C2488" s="535" t="s">
        <v>3164</v>
      </c>
      <c r="D2488" s="315" t="s">
        <v>1383</v>
      </c>
      <c r="E2488" s="444" t="s">
        <v>75</v>
      </c>
      <c r="F2488" s="214">
        <v>2.0</v>
      </c>
      <c r="G2488" s="463">
        <f>VLOOKUP(A2488,'Master List'!$A$4:$F5226,5,FALSE)</f>
        <v>0</v>
      </c>
      <c r="H2488" s="206">
        <f t="shared" si="260"/>
        <v>0</v>
      </c>
      <c r="I2488" s="219"/>
    </row>
    <row r="2489" outlineLevel="2">
      <c r="A2489" s="422" t="str">
        <f>'Master List'!A445</f>
        <v>M-PRT-061</v>
      </c>
      <c r="B2489" s="428"/>
      <c r="C2489" s="535" t="s">
        <v>3165</v>
      </c>
      <c r="D2489" s="315" t="s">
        <v>1381</v>
      </c>
      <c r="E2489" s="444" t="s">
        <v>75</v>
      </c>
      <c r="F2489" s="214">
        <v>1.0</v>
      </c>
      <c r="G2489" s="463">
        <f>VLOOKUP(A2489,'Master List'!$A$4:$F5227,5,FALSE)</f>
        <v>18.837</v>
      </c>
      <c r="H2489" s="206">
        <f t="shared" si="260"/>
        <v>18.837</v>
      </c>
      <c r="I2489" s="219"/>
    </row>
    <row r="2490" outlineLevel="2">
      <c r="A2490" s="422"/>
      <c r="B2490" s="428"/>
      <c r="C2490" s="502"/>
      <c r="D2490" s="208"/>
      <c r="E2490" s="431"/>
      <c r="F2490" s="432"/>
      <c r="G2490" s="434"/>
      <c r="H2490" s="434"/>
      <c r="I2490" s="240"/>
    </row>
    <row r="2491" outlineLevel="2">
      <c r="A2491" s="422"/>
      <c r="B2491" s="428"/>
      <c r="C2491" s="535" t="s">
        <v>3166</v>
      </c>
      <c r="D2491" s="323" t="s">
        <v>1412</v>
      </c>
      <c r="E2491" s="431"/>
      <c r="F2491" s="432"/>
      <c r="G2491" s="434"/>
      <c r="H2491" s="434"/>
      <c r="I2491" s="240"/>
    </row>
    <row r="2492" outlineLevel="2">
      <c r="A2492" s="422"/>
      <c r="B2492" s="428"/>
      <c r="C2492" s="502"/>
      <c r="D2492" s="536"/>
      <c r="E2492" s="431"/>
      <c r="F2492" s="432"/>
      <c r="G2492" s="434"/>
      <c r="H2492" s="434"/>
      <c r="I2492" s="240"/>
    </row>
    <row r="2493" outlineLevel="2">
      <c r="A2493" s="422" t="str">
        <f>'Master List'!A829</f>
        <v>W-PRT-023</v>
      </c>
      <c r="B2493" s="428"/>
      <c r="C2493" s="505"/>
      <c r="D2493" s="462" t="str">
        <f>VLOOKUP(A2493,'Master List'!$A$1:$C$1192,2,FALSE)</f>
        <v>Монтаж світильників</v>
      </c>
      <c r="E2493" s="463" t="str">
        <f>VLOOKUP(A2493,'Master List'!$A$1:$C$1192,3,FALSE)</f>
        <v>шт</v>
      </c>
      <c r="F2493" s="464">
        <f>122-3</f>
        <v>119</v>
      </c>
      <c r="G2493" s="463">
        <f>VLOOKUP(A2493,'Master List'!$A$4:$F5235,5,FALSE)</f>
        <v>58.5</v>
      </c>
      <c r="H2493" s="206">
        <f t="shared" ref="H2493:H2494" si="261">G2493*F2493</f>
        <v>6961.5</v>
      </c>
      <c r="I2493" s="240"/>
    </row>
    <row r="2494" outlineLevel="2">
      <c r="A2494" s="422" t="str">
        <f>'Master List'!A826</f>
        <v>W-PRT-020</v>
      </c>
      <c r="B2494" s="428"/>
      <c r="C2494" s="505"/>
      <c r="D2494" s="462" t="str">
        <f>VLOOKUP(A2494,'Master List'!$A$1:$C$1192,2,FALSE)</f>
        <v>Монтаж розеток і вимикачів</v>
      </c>
      <c r="E2494" s="463" t="str">
        <f>VLOOKUP(A2494,'Master List'!$A$1:$C$1192,3,FALSE)</f>
        <v>шт</v>
      </c>
      <c r="F2494" s="464">
        <v>3.0</v>
      </c>
      <c r="G2494" s="463">
        <f>VLOOKUP(A2494,'Master List'!$A$4:$F5236,5,FALSE)</f>
        <v>36.4</v>
      </c>
      <c r="H2494" s="206">
        <f t="shared" si="261"/>
        <v>109.2</v>
      </c>
      <c r="I2494" s="240"/>
    </row>
    <row r="2495" outlineLevel="2">
      <c r="A2495" s="422"/>
      <c r="B2495" s="428"/>
      <c r="C2495" s="502"/>
      <c r="D2495" s="208"/>
      <c r="E2495" s="431"/>
      <c r="F2495" s="432"/>
      <c r="G2495" s="434"/>
      <c r="H2495" s="434"/>
      <c r="I2495" s="240"/>
    </row>
    <row r="2496" outlineLevel="2">
      <c r="A2496" s="422" t="str">
        <f>'Master List'!A444</f>
        <v>M-PRT-060</v>
      </c>
      <c r="B2496" s="428"/>
      <c r="C2496" s="513" t="s">
        <v>3168</v>
      </c>
      <c r="D2496" s="315" t="s">
        <v>1413</v>
      </c>
      <c r="E2496" s="444" t="s">
        <v>75</v>
      </c>
      <c r="F2496" s="214">
        <v>51.0</v>
      </c>
      <c r="G2496" s="463">
        <f>VLOOKUP(A2496,'Master List'!$A$4:$F5238,5,FALSE)</f>
        <v>9.997</v>
      </c>
      <c r="H2496" s="206">
        <f t="shared" ref="H2496:H2517" si="262">G2496*F2496</f>
        <v>509.847</v>
      </c>
      <c r="I2496" s="219"/>
    </row>
    <row r="2497" outlineLevel="2">
      <c r="A2497" s="422" t="str">
        <f>'Master List'!A444</f>
        <v>M-PRT-060</v>
      </c>
      <c r="B2497" s="428"/>
      <c r="C2497" s="513" t="s">
        <v>3170</v>
      </c>
      <c r="D2497" s="315" t="s">
        <v>1377</v>
      </c>
      <c r="E2497" s="444" t="s">
        <v>75</v>
      </c>
      <c r="F2497" s="214">
        <v>6.0</v>
      </c>
      <c r="G2497" s="463">
        <f>VLOOKUP(A2497,'Master List'!$A$4:$F5239,5,FALSE)</f>
        <v>9.997</v>
      </c>
      <c r="H2497" s="206">
        <f t="shared" si="262"/>
        <v>59.982</v>
      </c>
      <c r="I2497" s="219"/>
    </row>
    <row r="2498" outlineLevel="2">
      <c r="A2498" s="422" t="str">
        <f>'Master List'!A444</f>
        <v>M-PRT-060</v>
      </c>
      <c r="B2498" s="428"/>
      <c r="C2498" s="513" t="s">
        <v>3171</v>
      </c>
      <c r="D2498" s="315" t="s">
        <v>1375</v>
      </c>
      <c r="E2498" s="444" t="s">
        <v>75</v>
      </c>
      <c r="F2498" s="214">
        <v>11.0</v>
      </c>
      <c r="G2498" s="463">
        <f>VLOOKUP(A2498,'Master List'!$A$4:$F5240,5,FALSE)</f>
        <v>9.997</v>
      </c>
      <c r="H2498" s="206">
        <f t="shared" si="262"/>
        <v>109.967</v>
      </c>
      <c r="I2498" s="219"/>
    </row>
    <row r="2499" outlineLevel="2">
      <c r="A2499" s="422" t="str">
        <f>'Master List'!A444</f>
        <v>M-PRT-060</v>
      </c>
      <c r="B2499" s="428"/>
      <c r="C2499" s="513" t="s">
        <v>3172</v>
      </c>
      <c r="D2499" s="315" t="s">
        <v>1373</v>
      </c>
      <c r="E2499" s="444" t="s">
        <v>1374</v>
      </c>
      <c r="F2499" s="214">
        <v>4.0</v>
      </c>
      <c r="G2499" s="463">
        <f>VLOOKUP(A2499,'Master List'!$A$4:$F5241,5,FALSE)</f>
        <v>9.997</v>
      </c>
      <c r="H2499" s="206">
        <f t="shared" si="262"/>
        <v>39.988</v>
      </c>
      <c r="I2499" s="219"/>
    </row>
    <row r="2500" outlineLevel="2">
      <c r="A2500" s="422" t="str">
        <f>'Master List'!A444</f>
        <v>M-PRT-060</v>
      </c>
      <c r="B2500" s="428"/>
      <c r="C2500" s="513" t="s">
        <v>3173</v>
      </c>
      <c r="D2500" s="315" t="s">
        <v>1414</v>
      </c>
      <c r="E2500" s="444" t="s">
        <v>75</v>
      </c>
      <c r="F2500" s="214">
        <v>1.0</v>
      </c>
      <c r="G2500" s="463">
        <f>VLOOKUP(A2500,'Master List'!$A$4:$F5242,5,FALSE)</f>
        <v>9.997</v>
      </c>
      <c r="H2500" s="206">
        <f t="shared" si="262"/>
        <v>9.997</v>
      </c>
      <c r="I2500" s="219"/>
    </row>
    <row r="2501" outlineLevel="2">
      <c r="A2501" s="422" t="str">
        <f>'Master List'!A444</f>
        <v>M-PRT-060</v>
      </c>
      <c r="B2501" s="428"/>
      <c r="C2501" s="513" t="s">
        <v>3175</v>
      </c>
      <c r="D2501" s="315" t="s">
        <v>1369</v>
      </c>
      <c r="E2501" s="444" t="s">
        <v>75</v>
      </c>
      <c r="F2501" s="214">
        <v>9.0</v>
      </c>
      <c r="G2501" s="463">
        <f>VLOOKUP(A2501,'Master List'!$A$4:$F5243,5,FALSE)</f>
        <v>9.997</v>
      </c>
      <c r="H2501" s="206">
        <f t="shared" si="262"/>
        <v>89.973</v>
      </c>
      <c r="I2501" s="219"/>
    </row>
    <row r="2502" outlineLevel="2">
      <c r="A2502" s="422" t="str">
        <f>'Master List'!A444</f>
        <v>M-PRT-060</v>
      </c>
      <c r="B2502" s="428"/>
      <c r="C2502" s="513" t="s">
        <v>3176</v>
      </c>
      <c r="D2502" s="315" t="s">
        <v>1389</v>
      </c>
      <c r="E2502" s="444" t="s">
        <v>75</v>
      </c>
      <c r="F2502" s="214">
        <v>4.0</v>
      </c>
      <c r="G2502" s="463">
        <f>VLOOKUP(A2502,'Master List'!$A$4:$F5244,5,FALSE)</f>
        <v>9.997</v>
      </c>
      <c r="H2502" s="206">
        <f t="shared" si="262"/>
        <v>39.988</v>
      </c>
      <c r="I2502" s="219"/>
    </row>
    <row r="2503" outlineLevel="2">
      <c r="A2503" s="422" t="str">
        <f>'Master List'!A444</f>
        <v>M-PRT-060</v>
      </c>
      <c r="B2503" s="428"/>
      <c r="C2503" s="513" t="s">
        <v>3177</v>
      </c>
      <c r="D2503" s="315" t="s">
        <v>1388</v>
      </c>
      <c r="E2503" s="444" t="s">
        <v>75</v>
      </c>
      <c r="F2503" s="214">
        <v>4.0</v>
      </c>
      <c r="G2503" s="463">
        <f>VLOOKUP(A2503,'Master List'!$A$4:$F5245,5,FALSE)</f>
        <v>9.997</v>
      </c>
      <c r="H2503" s="206">
        <f t="shared" si="262"/>
        <v>39.988</v>
      </c>
      <c r="I2503" s="219"/>
    </row>
    <row r="2504" outlineLevel="2">
      <c r="A2504" s="422" t="str">
        <f>'Master List'!A444</f>
        <v>M-PRT-060</v>
      </c>
      <c r="B2504" s="428"/>
      <c r="C2504" s="513" t="s">
        <v>3178</v>
      </c>
      <c r="D2504" s="315" t="s">
        <v>1376</v>
      </c>
      <c r="E2504" s="444" t="s">
        <v>75</v>
      </c>
      <c r="F2504" s="214">
        <v>4.0</v>
      </c>
      <c r="G2504" s="463">
        <f>VLOOKUP(A2504,'Master List'!$A$4:$F5246,5,FALSE)</f>
        <v>9.997</v>
      </c>
      <c r="H2504" s="206">
        <f t="shared" si="262"/>
        <v>39.988</v>
      </c>
      <c r="I2504" s="219"/>
    </row>
    <row r="2505" outlineLevel="2">
      <c r="A2505" s="422" t="str">
        <f>'Master List'!A444</f>
        <v>M-PRT-060</v>
      </c>
      <c r="B2505" s="428"/>
      <c r="C2505" s="513" t="s">
        <v>3179</v>
      </c>
      <c r="D2505" s="315" t="s">
        <v>1415</v>
      </c>
      <c r="E2505" s="444" t="s">
        <v>75</v>
      </c>
      <c r="F2505" s="214">
        <v>1.0</v>
      </c>
      <c r="G2505" s="463">
        <f>VLOOKUP(A2505,'Master List'!$A$4:$F5247,5,FALSE)</f>
        <v>9.997</v>
      </c>
      <c r="H2505" s="206">
        <f t="shared" si="262"/>
        <v>9.997</v>
      </c>
      <c r="I2505" s="219"/>
    </row>
    <row r="2506" outlineLevel="2">
      <c r="A2506" s="422" t="str">
        <f>'Master List'!A444</f>
        <v>M-PRT-060</v>
      </c>
      <c r="B2506" s="428"/>
      <c r="C2506" s="513" t="s">
        <v>3181</v>
      </c>
      <c r="D2506" s="315" t="s">
        <v>1416</v>
      </c>
      <c r="E2506" s="444" t="s">
        <v>75</v>
      </c>
      <c r="F2506" s="214">
        <v>1.0</v>
      </c>
      <c r="G2506" s="463">
        <f>VLOOKUP(A2506,'Master List'!$A$4:$F5248,5,FALSE)</f>
        <v>9.997</v>
      </c>
      <c r="H2506" s="206">
        <f t="shared" si="262"/>
        <v>9.997</v>
      </c>
      <c r="I2506" s="219"/>
    </row>
    <row r="2507" outlineLevel="2">
      <c r="A2507" s="422" t="str">
        <f>'Master List'!A444</f>
        <v>M-PRT-060</v>
      </c>
      <c r="B2507" s="428"/>
      <c r="C2507" s="513" t="s">
        <v>3183</v>
      </c>
      <c r="D2507" s="315" t="s">
        <v>1417</v>
      </c>
      <c r="E2507" s="444" t="s">
        <v>75</v>
      </c>
      <c r="F2507" s="214">
        <v>1.0</v>
      </c>
      <c r="G2507" s="463">
        <f>VLOOKUP(A2507,'Master List'!$A$4:$F5249,5,FALSE)</f>
        <v>9.997</v>
      </c>
      <c r="H2507" s="206">
        <f t="shared" si="262"/>
        <v>9.997</v>
      </c>
      <c r="I2507" s="219"/>
    </row>
    <row r="2508" outlineLevel="2">
      <c r="A2508" s="422" t="str">
        <f>'Master List'!A444</f>
        <v>M-PRT-060</v>
      </c>
      <c r="B2508" s="428"/>
      <c r="C2508" s="513" t="s">
        <v>3185</v>
      </c>
      <c r="D2508" s="315" t="s">
        <v>1418</v>
      </c>
      <c r="E2508" s="444" t="s">
        <v>75</v>
      </c>
      <c r="F2508" s="214">
        <v>1.0</v>
      </c>
      <c r="G2508" s="463">
        <f>VLOOKUP(A2508,'Master List'!$A$4:$F5250,5,FALSE)</f>
        <v>9.997</v>
      </c>
      <c r="H2508" s="206">
        <f t="shared" si="262"/>
        <v>9.997</v>
      </c>
      <c r="I2508" s="219"/>
    </row>
    <row r="2509" outlineLevel="2">
      <c r="A2509" s="422" t="str">
        <f>'Master List'!A444</f>
        <v>M-PRT-060</v>
      </c>
      <c r="B2509" s="428"/>
      <c r="C2509" s="513" t="s">
        <v>3187</v>
      </c>
      <c r="D2509" s="315" t="s">
        <v>1419</v>
      </c>
      <c r="E2509" s="444" t="s">
        <v>75</v>
      </c>
      <c r="F2509" s="214">
        <v>1.0</v>
      </c>
      <c r="G2509" s="463">
        <f>VLOOKUP(A2509,'Master List'!$A$4:$F5251,5,FALSE)</f>
        <v>9.997</v>
      </c>
      <c r="H2509" s="206">
        <f t="shared" si="262"/>
        <v>9.997</v>
      </c>
      <c r="I2509" s="219"/>
    </row>
    <row r="2510" outlineLevel="2">
      <c r="A2510" s="422" t="str">
        <f>'Master List'!A444</f>
        <v>M-PRT-060</v>
      </c>
      <c r="B2510" s="428"/>
      <c r="C2510" s="513" t="s">
        <v>3189</v>
      </c>
      <c r="D2510" s="315" t="s">
        <v>1420</v>
      </c>
      <c r="E2510" s="444" t="s">
        <v>75</v>
      </c>
      <c r="F2510" s="214">
        <v>1.0</v>
      </c>
      <c r="G2510" s="463">
        <f>VLOOKUP(A2510,'Master List'!$A$4:$F5252,5,FALSE)</f>
        <v>9.997</v>
      </c>
      <c r="H2510" s="206">
        <f t="shared" si="262"/>
        <v>9.997</v>
      </c>
      <c r="I2510" s="219"/>
    </row>
    <row r="2511" outlineLevel="2">
      <c r="A2511" s="422" t="str">
        <f>'Master List'!A444</f>
        <v>M-PRT-060</v>
      </c>
      <c r="B2511" s="428"/>
      <c r="C2511" s="513" t="s">
        <v>3191</v>
      </c>
      <c r="D2511" s="315" t="s">
        <v>1421</v>
      </c>
      <c r="E2511" s="444" t="s">
        <v>75</v>
      </c>
      <c r="F2511" s="214">
        <v>1.0</v>
      </c>
      <c r="G2511" s="463">
        <f>VLOOKUP(A2511,'Master List'!$A$4:$F5253,5,FALSE)</f>
        <v>9.997</v>
      </c>
      <c r="H2511" s="206">
        <f t="shared" si="262"/>
        <v>9.997</v>
      </c>
      <c r="I2511" s="219"/>
    </row>
    <row r="2512" outlineLevel="2">
      <c r="A2512" s="422" t="str">
        <f>'Master List'!A444</f>
        <v>M-PRT-060</v>
      </c>
      <c r="B2512" s="428"/>
      <c r="C2512" s="513" t="s">
        <v>3193</v>
      </c>
      <c r="D2512" s="315" t="s">
        <v>1422</v>
      </c>
      <c r="E2512" s="444" t="s">
        <v>75</v>
      </c>
      <c r="F2512" s="214">
        <v>1.0</v>
      </c>
      <c r="G2512" s="463">
        <f>VLOOKUP(A2512,'Master List'!$A$4:$F5254,5,FALSE)</f>
        <v>9.997</v>
      </c>
      <c r="H2512" s="206">
        <f t="shared" si="262"/>
        <v>9.997</v>
      </c>
      <c r="I2512" s="219"/>
    </row>
    <row r="2513" outlineLevel="2">
      <c r="A2513" s="422" t="str">
        <f>'Master List'!A444</f>
        <v>M-PRT-060</v>
      </c>
      <c r="B2513" s="428"/>
      <c r="C2513" s="513" t="s">
        <v>3195</v>
      </c>
      <c r="D2513" s="315" t="s">
        <v>1423</v>
      </c>
      <c r="E2513" s="444" t="s">
        <v>1374</v>
      </c>
      <c r="F2513" s="214">
        <v>1.0</v>
      </c>
      <c r="G2513" s="463">
        <f>VLOOKUP(A2513,'Master List'!$A$4:$F5255,5,FALSE)</f>
        <v>9.997</v>
      </c>
      <c r="H2513" s="206">
        <f t="shared" si="262"/>
        <v>9.997</v>
      </c>
      <c r="I2513" s="219"/>
    </row>
    <row r="2514" outlineLevel="2">
      <c r="A2514" s="422" t="str">
        <f>'Master List'!A444</f>
        <v>M-PRT-060</v>
      </c>
      <c r="B2514" s="428"/>
      <c r="C2514" s="513" t="s">
        <v>3197</v>
      </c>
      <c r="D2514" s="315" t="s">
        <v>1396</v>
      </c>
      <c r="E2514" s="444" t="s">
        <v>1374</v>
      </c>
      <c r="F2514" s="214">
        <v>1.0</v>
      </c>
      <c r="G2514" s="463">
        <f>VLOOKUP(A2514,'Master List'!$A$4:$F5256,5,FALSE)</f>
        <v>9.997</v>
      </c>
      <c r="H2514" s="206">
        <f t="shared" si="262"/>
        <v>9.997</v>
      </c>
      <c r="I2514" s="219"/>
    </row>
    <row r="2515" outlineLevel="2">
      <c r="A2515" s="422" t="str">
        <f>'Master List'!A444</f>
        <v>M-PRT-060</v>
      </c>
      <c r="B2515" s="428"/>
      <c r="C2515" s="513" t="s">
        <v>3198</v>
      </c>
      <c r="D2515" s="315" t="s">
        <v>1424</v>
      </c>
      <c r="E2515" s="444" t="s">
        <v>75</v>
      </c>
      <c r="F2515" s="214">
        <v>1.0</v>
      </c>
      <c r="G2515" s="463">
        <f>VLOOKUP(A2515,'Master List'!$A$4:$F5257,5,FALSE)</f>
        <v>9.997</v>
      </c>
      <c r="H2515" s="206">
        <f t="shared" si="262"/>
        <v>9.997</v>
      </c>
      <c r="I2515" s="219"/>
    </row>
    <row r="2516" outlineLevel="2">
      <c r="A2516" s="422" t="str">
        <f>'Master List'!A446</f>
        <v>M-PRT-062</v>
      </c>
      <c r="B2516" s="428"/>
      <c r="C2516" s="542" t="s">
        <v>3200</v>
      </c>
      <c r="D2516" s="543" t="s">
        <v>1383</v>
      </c>
      <c r="E2516" s="459" t="s">
        <v>75</v>
      </c>
      <c r="F2516" s="460">
        <v>14.0</v>
      </c>
      <c r="G2516" s="544">
        <f>VLOOKUP(A2516,'Master List'!$A$4:$F5258,5,FALSE)</f>
        <v>0</v>
      </c>
      <c r="H2516" s="465">
        <f t="shared" si="262"/>
        <v>0</v>
      </c>
      <c r="I2516" s="219"/>
    </row>
    <row r="2517" outlineLevel="2">
      <c r="A2517" s="422" t="str">
        <f>'Master List'!A429</f>
        <v>M-PRT-045</v>
      </c>
      <c r="B2517" s="428"/>
      <c r="C2517" s="513" t="s">
        <v>3201</v>
      </c>
      <c r="D2517" s="315" t="s">
        <v>1425</v>
      </c>
      <c r="E2517" s="444" t="s">
        <v>75</v>
      </c>
      <c r="F2517" s="214">
        <v>3.0</v>
      </c>
      <c r="G2517" s="463">
        <f>VLOOKUP(A2517,'Master List'!$A$4:$F5259,5,FALSE)</f>
        <v>4.537</v>
      </c>
      <c r="H2517" s="206">
        <f t="shared" si="262"/>
        <v>13.611</v>
      </c>
      <c r="I2517" s="506"/>
    </row>
    <row r="2518" outlineLevel="2">
      <c r="A2518" s="422"/>
      <c r="B2518" s="428"/>
      <c r="C2518" s="514"/>
      <c r="D2518" s="329"/>
      <c r="E2518" s="437"/>
      <c r="F2518" s="170"/>
      <c r="G2518" s="239"/>
      <c r="H2518" s="239"/>
      <c r="I2518" s="240"/>
    </row>
    <row r="2519" outlineLevel="2">
      <c r="A2519" s="422" t="str">
        <f>'Master List'!A831</f>
        <v>W-PRT-025</v>
      </c>
      <c r="B2519" s="428"/>
      <c r="C2519" s="517" t="s">
        <v>3203</v>
      </c>
      <c r="D2519" s="316" t="s">
        <v>1426</v>
      </c>
      <c r="E2519" s="244" t="s">
        <v>33</v>
      </c>
      <c r="F2519" s="303">
        <v>1.0</v>
      </c>
      <c r="G2519" s="463">
        <f>VLOOKUP(A2519,'Master List'!$A$4:$F5261,5,FALSE)</f>
        <v>36.4</v>
      </c>
      <c r="H2519" s="206">
        <f>G2519*F2519</f>
        <v>36.4</v>
      </c>
      <c r="I2519" s="219" t="s">
        <v>5651</v>
      </c>
    </row>
    <row r="2520" outlineLevel="2">
      <c r="A2520" s="422"/>
      <c r="B2520" s="428"/>
      <c r="C2520" s="502"/>
      <c r="D2520" s="208"/>
      <c r="E2520" s="431"/>
      <c r="F2520" s="432"/>
      <c r="G2520" s="434"/>
      <c r="H2520" s="434"/>
      <c r="I2520" s="240"/>
    </row>
    <row r="2521" outlineLevel="2">
      <c r="A2521" s="422"/>
      <c r="B2521" s="428"/>
      <c r="C2521" s="513" t="s">
        <v>3206</v>
      </c>
      <c r="D2521" s="315" t="s">
        <v>1427</v>
      </c>
      <c r="E2521" s="444" t="s">
        <v>33</v>
      </c>
      <c r="F2521" s="214">
        <v>1.0</v>
      </c>
      <c r="G2521" s="205">
        <v>0.0</v>
      </c>
      <c r="H2521" s="206">
        <f>G2521*F2521</f>
        <v>0</v>
      </c>
      <c r="I2521" s="206" t="s">
        <v>619</v>
      </c>
    </row>
    <row r="2522" outlineLevel="2">
      <c r="A2522" s="422"/>
      <c r="B2522" s="428"/>
      <c r="C2522" s="502"/>
      <c r="D2522" s="208"/>
      <c r="E2522" s="431"/>
      <c r="F2522" s="432"/>
      <c r="G2522" s="434"/>
      <c r="H2522" s="434"/>
      <c r="I2522" s="240"/>
    </row>
    <row r="2523" outlineLevel="1">
      <c r="A2523" s="422"/>
      <c r="B2523" s="472" t="s">
        <v>1429</v>
      </c>
      <c r="C2523" s="502"/>
      <c r="D2523" s="533" t="s">
        <v>5652</v>
      </c>
      <c r="E2523" s="431"/>
      <c r="F2523" s="432"/>
      <c r="G2523" s="436">
        <f>SUM(H2525:H2527)</f>
        <v>0</v>
      </c>
      <c r="H2523" s="434"/>
      <c r="I2523" s="240"/>
    </row>
    <row r="2524" outlineLevel="2">
      <c r="A2524" s="422"/>
      <c r="B2524" s="428"/>
      <c r="C2524" s="502"/>
      <c r="D2524" s="208"/>
      <c r="E2524" s="431"/>
      <c r="F2524" s="432"/>
      <c r="G2524" s="434"/>
      <c r="H2524" s="434"/>
      <c r="I2524" s="240"/>
    </row>
    <row r="2525" outlineLevel="2">
      <c r="A2525" s="422"/>
      <c r="B2525" s="428"/>
      <c r="C2525" s="513" t="s">
        <v>3209</v>
      </c>
      <c r="D2525" s="315" t="s">
        <v>1135</v>
      </c>
      <c r="E2525" s="444" t="s">
        <v>33</v>
      </c>
      <c r="F2525" s="214">
        <v>1.0</v>
      </c>
      <c r="G2525" s="205">
        <v>0.0</v>
      </c>
      <c r="H2525" s="206">
        <f>G2525*F2525</f>
        <v>0</v>
      </c>
      <c r="I2525" s="206" t="s">
        <v>619</v>
      </c>
    </row>
    <row r="2526" outlineLevel="2">
      <c r="A2526" s="422"/>
      <c r="B2526" s="428"/>
      <c r="C2526" s="502"/>
      <c r="D2526" s="208"/>
      <c r="E2526" s="431"/>
      <c r="F2526" s="432"/>
      <c r="G2526" s="434"/>
      <c r="H2526" s="434"/>
      <c r="I2526" s="240"/>
    </row>
    <row r="2527" outlineLevel="2">
      <c r="A2527" s="422"/>
      <c r="B2527" s="428"/>
      <c r="C2527" s="513" t="s">
        <v>3210</v>
      </c>
      <c r="D2527" s="315" t="s">
        <v>1431</v>
      </c>
      <c r="E2527" s="444" t="s">
        <v>33</v>
      </c>
      <c r="F2527" s="214">
        <v>1.0</v>
      </c>
      <c r="G2527" s="205">
        <v>0.0</v>
      </c>
      <c r="H2527" s="206">
        <f>G2527*F2527</f>
        <v>0</v>
      </c>
      <c r="I2527" s="206" t="s">
        <v>619</v>
      </c>
    </row>
    <row r="2528" outlineLevel="2">
      <c r="A2528" s="422"/>
      <c r="B2528" s="428"/>
      <c r="C2528" s="502"/>
      <c r="D2528" s="208"/>
      <c r="E2528" s="431"/>
      <c r="F2528" s="432"/>
      <c r="G2528" s="434"/>
      <c r="H2528" s="434"/>
      <c r="I2528" s="240"/>
    </row>
    <row r="2529" outlineLevel="1">
      <c r="A2529" s="422"/>
      <c r="B2529" s="472" t="s">
        <v>1432</v>
      </c>
      <c r="C2529" s="502"/>
      <c r="D2529" s="545" t="s">
        <v>5653</v>
      </c>
      <c r="E2529" s="431"/>
      <c r="F2529" s="432"/>
      <c r="G2529" s="436">
        <f>SUM(H2531:H2679)</f>
        <v>11550.019</v>
      </c>
      <c r="H2529" s="434"/>
      <c r="I2529" s="240"/>
    </row>
    <row r="2530" outlineLevel="2">
      <c r="A2530" s="422"/>
      <c r="B2530" s="428"/>
      <c r="C2530" s="502"/>
      <c r="D2530" s="208"/>
      <c r="E2530" s="431"/>
      <c r="F2530" s="432"/>
      <c r="G2530" s="434"/>
      <c r="H2530" s="434"/>
      <c r="I2530" s="240"/>
    </row>
    <row r="2531" outlineLevel="2">
      <c r="A2531" s="422" t="str">
        <f>'Master List'!A832</f>
        <v>W-PRT-026</v>
      </c>
      <c r="B2531" s="21"/>
      <c r="C2531" s="513" t="s">
        <v>3213</v>
      </c>
      <c r="D2531" s="315" t="s">
        <v>1434</v>
      </c>
      <c r="E2531" s="444" t="s">
        <v>33</v>
      </c>
      <c r="F2531" s="214">
        <v>1.0</v>
      </c>
      <c r="G2531" s="463">
        <f>VLOOKUP(A2531,'Master List'!$A$4:$F5273,5,FALSE)</f>
        <v>1885</v>
      </c>
      <c r="H2531" s="206">
        <f>F2531*G2531</f>
        <v>1885</v>
      </c>
      <c r="I2531" s="219"/>
    </row>
    <row r="2532" outlineLevel="2">
      <c r="A2532" s="422"/>
      <c r="B2532" s="428"/>
      <c r="C2532" s="502"/>
      <c r="D2532" s="208"/>
      <c r="E2532" s="431"/>
      <c r="F2532" s="432"/>
      <c r="G2532" s="434"/>
      <c r="H2532" s="434"/>
      <c r="I2532" s="240"/>
    </row>
    <row r="2533" outlineLevel="2">
      <c r="A2533" s="422"/>
      <c r="B2533" s="472" t="s">
        <v>1436</v>
      </c>
      <c r="C2533" s="502"/>
      <c r="D2533" s="545" t="s">
        <v>1437</v>
      </c>
      <c r="E2533" s="431"/>
      <c r="F2533" s="432"/>
      <c r="G2533" s="434"/>
      <c r="H2533" s="434"/>
      <c r="I2533" s="240"/>
    </row>
    <row r="2534" outlineLevel="2">
      <c r="A2534" s="422"/>
      <c r="B2534" s="428"/>
      <c r="C2534" s="502"/>
      <c r="D2534" s="208"/>
      <c r="E2534" s="431"/>
      <c r="F2534" s="432"/>
      <c r="G2534" s="434"/>
      <c r="H2534" s="434"/>
      <c r="I2534" s="240"/>
    </row>
    <row r="2535" outlineLevel="2">
      <c r="A2535" s="422"/>
      <c r="B2535" s="428"/>
      <c r="C2535" s="502"/>
      <c r="D2535" s="320" t="s">
        <v>1438</v>
      </c>
      <c r="E2535" s="431"/>
      <c r="F2535" s="432"/>
      <c r="G2535" s="434"/>
      <c r="H2535" s="434"/>
      <c r="I2535" s="240"/>
    </row>
    <row r="2536" outlineLevel="2">
      <c r="A2536" s="422"/>
      <c r="B2536" s="428"/>
      <c r="C2536" s="502"/>
      <c r="D2536" s="208"/>
      <c r="E2536" s="431"/>
      <c r="F2536" s="432"/>
      <c r="G2536" s="434"/>
      <c r="H2536" s="434"/>
      <c r="I2536" s="240"/>
    </row>
    <row r="2537" outlineLevel="2">
      <c r="A2537" s="422"/>
      <c r="B2537" s="428"/>
      <c r="C2537" s="537">
        <v>17.26</v>
      </c>
      <c r="D2537" s="323" t="s">
        <v>1439</v>
      </c>
      <c r="E2537" s="431"/>
      <c r="F2537" s="432"/>
      <c r="G2537" s="434"/>
      <c r="H2537" s="434"/>
      <c r="I2537" s="240"/>
    </row>
    <row r="2538" outlineLevel="2">
      <c r="A2538" s="422"/>
      <c r="B2538" s="428"/>
      <c r="C2538" s="502"/>
      <c r="D2538" s="208"/>
      <c r="E2538" s="431"/>
      <c r="F2538" s="432"/>
      <c r="G2538" s="434"/>
      <c r="H2538" s="434"/>
      <c r="I2538" s="240"/>
    </row>
    <row r="2539" outlineLevel="2">
      <c r="A2539" s="422"/>
      <c r="B2539" s="428"/>
      <c r="C2539" s="513" t="s">
        <v>3218</v>
      </c>
      <c r="D2539" s="315" t="s">
        <v>1440</v>
      </c>
      <c r="E2539" s="444" t="s">
        <v>75</v>
      </c>
      <c r="F2539" s="214">
        <v>28.0</v>
      </c>
      <c r="G2539" s="205">
        <v>0.0</v>
      </c>
      <c r="H2539" s="206">
        <f t="shared" ref="H2539:H2541" si="263">G2539*F2539</f>
        <v>0</v>
      </c>
      <c r="I2539" s="206" t="s">
        <v>619</v>
      </c>
    </row>
    <row r="2540" outlineLevel="2">
      <c r="A2540" s="422"/>
      <c r="B2540" s="428"/>
      <c r="C2540" s="513" t="s">
        <v>3220</v>
      </c>
      <c r="D2540" s="315" t="s">
        <v>1441</v>
      </c>
      <c r="E2540" s="444" t="s">
        <v>75</v>
      </c>
      <c r="F2540" s="214">
        <v>6.0</v>
      </c>
      <c r="G2540" s="205">
        <v>0.0</v>
      </c>
      <c r="H2540" s="206">
        <f t="shared" si="263"/>
        <v>0</v>
      </c>
      <c r="I2540" s="206" t="s">
        <v>619</v>
      </c>
    </row>
    <row r="2541" outlineLevel="2">
      <c r="A2541" s="422"/>
      <c r="B2541" s="428"/>
      <c r="C2541" s="513" t="s">
        <v>3222</v>
      </c>
      <c r="D2541" s="315" t="s">
        <v>1442</v>
      </c>
      <c r="E2541" s="444" t="s">
        <v>75</v>
      </c>
      <c r="F2541" s="214">
        <v>1.0</v>
      </c>
      <c r="G2541" s="205">
        <v>0.0</v>
      </c>
      <c r="H2541" s="206">
        <f t="shared" si="263"/>
        <v>0</v>
      </c>
      <c r="I2541" s="206" t="s">
        <v>619</v>
      </c>
    </row>
    <row r="2542" outlineLevel="2">
      <c r="A2542" s="422"/>
      <c r="B2542" s="428"/>
      <c r="C2542" s="502"/>
      <c r="D2542" s="208"/>
      <c r="E2542" s="431"/>
      <c r="F2542" s="432"/>
      <c r="G2542" s="434"/>
      <c r="H2542" s="434"/>
      <c r="I2542" s="434"/>
    </row>
    <row r="2543" outlineLevel="2">
      <c r="A2543" s="422"/>
      <c r="B2543" s="428"/>
      <c r="C2543" s="537">
        <v>17.27</v>
      </c>
      <c r="D2543" s="323" t="s">
        <v>1443</v>
      </c>
      <c r="E2543" s="431"/>
      <c r="F2543" s="432"/>
      <c r="G2543" s="434"/>
      <c r="H2543" s="434"/>
      <c r="I2543" s="434"/>
    </row>
    <row r="2544" outlineLevel="2">
      <c r="A2544" s="422"/>
      <c r="B2544" s="428"/>
      <c r="C2544" s="502"/>
      <c r="D2544" s="208"/>
      <c r="E2544" s="431"/>
      <c r="F2544" s="432"/>
      <c r="G2544" s="434"/>
      <c r="H2544" s="434"/>
      <c r="I2544" s="434"/>
    </row>
    <row r="2545" outlineLevel="2">
      <c r="A2545" s="422"/>
      <c r="B2545" s="428"/>
      <c r="C2545" s="513" t="s">
        <v>3225</v>
      </c>
      <c r="D2545" s="315" t="s">
        <v>1444</v>
      </c>
      <c r="E2545" s="444" t="s">
        <v>75</v>
      </c>
      <c r="F2545" s="214">
        <v>7.0</v>
      </c>
      <c r="G2545" s="205">
        <v>0.0</v>
      </c>
      <c r="H2545" s="206">
        <f t="shared" ref="H2545:H2546" si="264">G2545*F2545</f>
        <v>0</v>
      </c>
      <c r="I2545" s="206" t="s">
        <v>619</v>
      </c>
    </row>
    <row r="2546" outlineLevel="2">
      <c r="A2546" s="422"/>
      <c r="B2546" s="428"/>
      <c r="C2546" s="513" t="s">
        <v>3227</v>
      </c>
      <c r="D2546" s="315" t="s">
        <v>1445</v>
      </c>
      <c r="E2546" s="444" t="s">
        <v>75</v>
      </c>
      <c r="F2546" s="214">
        <v>8.0</v>
      </c>
      <c r="G2546" s="205">
        <v>0.0</v>
      </c>
      <c r="H2546" s="206">
        <f t="shared" si="264"/>
        <v>0</v>
      </c>
      <c r="I2546" s="206" t="s">
        <v>619</v>
      </c>
    </row>
    <row r="2547" outlineLevel="2">
      <c r="A2547" s="422"/>
      <c r="B2547" s="428"/>
      <c r="C2547" s="502"/>
      <c r="D2547" s="208"/>
      <c r="E2547" s="431"/>
      <c r="F2547" s="432"/>
      <c r="G2547" s="434"/>
      <c r="H2547" s="434"/>
      <c r="I2547" s="434"/>
    </row>
    <row r="2548" outlineLevel="2">
      <c r="A2548" s="422"/>
      <c r="B2548" s="428"/>
      <c r="C2548" s="535">
        <v>17.28</v>
      </c>
      <c r="D2548" s="323" t="s">
        <v>5654</v>
      </c>
      <c r="E2548" s="431"/>
      <c r="F2548" s="432"/>
      <c r="G2548" s="434"/>
      <c r="H2548" s="434"/>
      <c r="I2548" s="434"/>
    </row>
    <row r="2549" outlineLevel="2">
      <c r="A2549" s="422"/>
      <c r="B2549" s="428"/>
      <c r="C2549" s="502"/>
      <c r="D2549" s="208"/>
      <c r="E2549" s="431"/>
      <c r="F2549" s="432"/>
      <c r="G2549" s="434"/>
      <c r="H2549" s="434"/>
      <c r="I2549" s="434"/>
    </row>
    <row r="2550" outlineLevel="2">
      <c r="A2550" s="422"/>
      <c r="B2550" s="428"/>
      <c r="C2550" s="513" t="s">
        <v>3230</v>
      </c>
      <c r="D2550" s="315" t="s">
        <v>1447</v>
      </c>
      <c r="E2550" s="444" t="s">
        <v>161</v>
      </c>
      <c r="F2550" s="214">
        <v>488.0</v>
      </c>
      <c r="G2550" s="205">
        <v>0.0</v>
      </c>
      <c r="H2550" s="206">
        <f>G2550*F2550</f>
        <v>0</v>
      </c>
      <c r="I2550" s="206" t="s">
        <v>619</v>
      </c>
    </row>
    <row r="2551" outlineLevel="2">
      <c r="A2551" s="422"/>
      <c r="B2551" s="428"/>
      <c r="C2551" s="502"/>
      <c r="D2551" s="208"/>
      <c r="E2551" s="431"/>
      <c r="F2551" s="432"/>
      <c r="G2551" s="434"/>
      <c r="H2551" s="434"/>
      <c r="I2551" s="240"/>
    </row>
    <row r="2552" outlineLevel="2">
      <c r="A2552" s="422"/>
      <c r="B2552" s="428"/>
      <c r="C2552" s="535">
        <v>17.29</v>
      </c>
      <c r="D2552" s="323" t="s">
        <v>5646</v>
      </c>
      <c r="E2552" s="431"/>
      <c r="F2552" s="432"/>
      <c r="G2552" s="434"/>
      <c r="H2552" s="434"/>
      <c r="I2552" s="240"/>
    </row>
    <row r="2553" outlineLevel="2">
      <c r="A2553" s="422"/>
      <c r="B2553" s="428"/>
      <c r="C2553" s="502"/>
      <c r="D2553" s="536"/>
      <c r="E2553" s="431"/>
      <c r="F2553" s="432"/>
      <c r="G2553" s="434"/>
      <c r="H2553" s="434"/>
      <c r="I2553" s="240"/>
    </row>
    <row r="2554" outlineLevel="2">
      <c r="A2554" s="422" t="str">
        <f>'Master List'!A813</f>
        <v>W-PRT-007</v>
      </c>
      <c r="B2554" s="428"/>
      <c r="C2554" s="505"/>
      <c r="D2554" s="462" t="str">
        <f>VLOOKUP(A2554,'Master List'!$A$1:$C$1192,2,FALSE)</f>
        <v>Прокладання гофротруби діаметром до 20мм</v>
      </c>
      <c r="E2554" s="463" t="str">
        <f>VLOOKUP(A2554,'Master List'!$A$1:$C$1192,3,FALSE)</f>
        <v>м</v>
      </c>
      <c r="F2554" s="464">
        <v>457.0</v>
      </c>
      <c r="G2554" s="463">
        <f>VLOOKUP(A2554,'Master List'!$A$4:$F5296,5,FALSE)</f>
        <v>2.6</v>
      </c>
      <c r="H2554" s="206">
        <f t="shared" ref="H2554:H2555" si="265">G2554*F2554</f>
        <v>1188.2</v>
      </c>
      <c r="I2554" s="240"/>
    </row>
    <row r="2555" outlineLevel="2">
      <c r="A2555" s="422" t="str">
        <f>'Master List'!A814</f>
        <v>W-PRT-008</v>
      </c>
      <c r="B2555" s="428"/>
      <c r="C2555" s="505"/>
      <c r="D2555" s="462" t="str">
        <f>VLOOKUP(A2555,'Master List'!$A$1:$C$1192,2,FALSE)</f>
        <v>Прокладання гофротруби діаметром до 40мм</v>
      </c>
      <c r="E2555" s="463" t="str">
        <f>VLOOKUP(A2555,'Master List'!$A$1:$C$1192,3,FALSE)</f>
        <v>м</v>
      </c>
      <c r="F2555" s="464">
        <v>32.0</v>
      </c>
      <c r="G2555" s="463">
        <f>VLOOKUP(A2555,'Master List'!$A$4:$F5297,5,FALSE)</f>
        <v>3.25</v>
      </c>
      <c r="H2555" s="206">
        <f t="shared" si="265"/>
        <v>104</v>
      </c>
      <c r="I2555" s="240"/>
    </row>
    <row r="2556" outlineLevel="2">
      <c r="A2556" s="422"/>
      <c r="B2556" s="428"/>
      <c r="C2556" s="502"/>
      <c r="D2556" s="208"/>
      <c r="E2556" s="431"/>
      <c r="F2556" s="432"/>
      <c r="G2556" s="434"/>
      <c r="H2556" s="434"/>
      <c r="I2556" s="240"/>
    </row>
    <row r="2557" outlineLevel="2">
      <c r="A2557" s="422" t="str">
        <f>'Master List'!A418</f>
        <v>M-PRT-034</v>
      </c>
      <c r="B2557" s="428"/>
      <c r="C2557" s="513" t="s">
        <v>3232</v>
      </c>
      <c r="D2557" s="315" t="s">
        <v>1329</v>
      </c>
      <c r="E2557" s="444" t="s">
        <v>161</v>
      </c>
      <c r="F2557" s="214">
        <v>457.0</v>
      </c>
      <c r="G2557" s="463">
        <f>VLOOKUP(A2557,'Master List'!$A$4:$F5299,5,FALSE)</f>
        <v>0.598</v>
      </c>
      <c r="H2557" s="206">
        <f t="shared" ref="H2557:H2558" si="266">G2557*F2557</f>
        <v>273.286</v>
      </c>
      <c r="I2557" s="219"/>
    </row>
    <row r="2558" outlineLevel="2">
      <c r="A2558" s="422" t="str">
        <f>'Master List'!A415</f>
        <v>M-PRT-031</v>
      </c>
      <c r="B2558" s="428"/>
      <c r="C2558" s="513" t="s">
        <v>3233</v>
      </c>
      <c r="D2558" s="315" t="s">
        <v>1448</v>
      </c>
      <c r="E2558" s="444" t="s">
        <v>161</v>
      </c>
      <c r="F2558" s="214">
        <v>32.0</v>
      </c>
      <c r="G2558" s="463">
        <f>VLOOKUP(A2558,'Master List'!$A$4:$F5300,5,FALSE)</f>
        <v>1.066</v>
      </c>
      <c r="H2558" s="206">
        <f t="shared" si="266"/>
        <v>34.112</v>
      </c>
      <c r="I2558" s="219"/>
    </row>
    <row r="2559" outlineLevel="2">
      <c r="A2559" s="422"/>
      <c r="B2559" s="428"/>
      <c r="C2559" s="502"/>
      <c r="D2559" s="208"/>
      <c r="E2559" s="431"/>
      <c r="F2559" s="432"/>
      <c r="G2559" s="434"/>
      <c r="H2559" s="434"/>
      <c r="I2559" s="240"/>
    </row>
    <row r="2560" outlineLevel="2">
      <c r="A2560" s="422"/>
      <c r="B2560" s="428"/>
      <c r="C2560" s="541" t="s">
        <v>3235</v>
      </c>
      <c r="D2560" s="323" t="s">
        <v>5647</v>
      </c>
      <c r="E2560" s="431"/>
      <c r="F2560" s="432"/>
      <c r="G2560" s="434"/>
      <c r="H2560" s="434"/>
      <c r="I2560" s="240"/>
    </row>
    <row r="2561" outlineLevel="2">
      <c r="A2561" s="422"/>
      <c r="B2561" s="428"/>
      <c r="C2561" s="515"/>
      <c r="D2561" s="536"/>
      <c r="E2561" s="431"/>
      <c r="F2561" s="432"/>
      <c r="G2561" s="434"/>
      <c r="H2561" s="434"/>
      <c r="I2561" s="240"/>
    </row>
    <row r="2562" outlineLevel="2">
      <c r="A2562" s="422" t="str">
        <f>'Master List'!A825</f>
        <v>W-PRT-019</v>
      </c>
      <c r="B2562" s="428"/>
      <c r="C2562" s="505"/>
      <c r="D2562" s="462" t="str">
        <f>VLOOKUP(A2562,'Master List'!$A$1:$C$1192,2,FALSE)</f>
        <v>Монтаж коробки для апаратури</v>
      </c>
      <c r="E2562" s="463" t="str">
        <f>VLOOKUP(A2562,'Master List'!$A$1:$C$1192,3,FALSE)</f>
        <v>шт</v>
      </c>
      <c r="F2562" s="464">
        <v>52.0</v>
      </c>
      <c r="G2562" s="463">
        <f>VLOOKUP(A2562,'Master List'!$A$4:$F5304,5,FALSE)</f>
        <v>22.1</v>
      </c>
      <c r="H2562" s="206">
        <f>G2562*F2562</f>
        <v>1149.2</v>
      </c>
      <c r="I2562" s="240"/>
    </row>
    <row r="2563" outlineLevel="2">
      <c r="A2563" s="422"/>
      <c r="B2563" s="428"/>
      <c r="C2563" s="502"/>
      <c r="D2563" s="208"/>
      <c r="E2563" s="431"/>
      <c r="F2563" s="432"/>
      <c r="G2563" s="434"/>
      <c r="H2563" s="434"/>
      <c r="I2563" s="240"/>
    </row>
    <row r="2564" outlineLevel="2">
      <c r="A2564" s="422" t="str">
        <f>'Master List'!A427</f>
        <v>M-PRT-043</v>
      </c>
      <c r="B2564" s="428"/>
      <c r="C2564" s="513" t="s">
        <v>3236</v>
      </c>
      <c r="D2564" s="315" t="s">
        <v>1338</v>
      </c>
      <c r="E2564" s="444" t="s">
        <v>75</v>
      </c>
      <c r="F2564" s="214">
        <v>50.0</v>
      </c>
      <c r="G2564" s="463">
        <f>VLOOKUP(A2564,'Master List'!$A$4:$F5306,5,FALSE)</f>
        <v>0.546</v>
      </c>
      <c r="H2564" s="206">
        <f t="shared" ref="H2564:H2565" si="267">G2564*F2564</f>
        <v>27.3</v>
      </c>
      <c r="I2564" s="219"/>
    </row>
    <row r="2565" outlineLevel="2">
      <c r="A2565" s="422" t="str">
        <f>'Master List'!A448</f>
        <v>M-PRT-064</v>
      </c>
      <c r="B2565" s="428"/>
      <c r="C2565" s="546" t="s">
        <v>3238</v>
      </c>
      <c r="D2565" s="332" t="s">
        <v>5655</v>
      </c>
      <c r="E2565" s="444" t="s">
        <v>75</v>
      </c>
      <c r="F2565" s="334">
        <v>2.0</v>
      </c>
      <c r="G2565" s="463">
        <f>VLOOKUP(A2565,'Master List'!$A$4:$F5307,5,FALSE)</f>
        <v>13.143</v>
      </c>
      <c r="H2565" s="206">
        <f t="shared" si="267"/>
        <v>26.286</v>
      </c>
      <c r="I2565" s="336"/>
    </row>
    <row r="2566" outlineLevel="2">
      <c r="A2566" s="422"/>
      <c r="B2566" s="428"/>
      <c r="C2566" s="502"/>
      <c r="D2566" s="208"/>
      <c r="E2566" s="431"/>
      <c r="F2566" s="432"/>
      <c r="G2566" s="434"/>
      <c r="H2566" s="434"/>
      <c r="I2566" s="240"/>
    </row>
    <row r="2567" outlineLevel="2">
      <c r="A2567" s="422"/>
      <c r="B2567" s="472" t="s">
        <v>1451</v>
      </c>
      <c r="C2567" s="502"/>
      <c r="D2567" s="545" t="s">
        <v>1452</v>
      </c>
      <c r="E2567" s="431"/>
      <c r="F2567" s="428"/>
      <c r="G2567" s="428"/>
      <c r="H2567" s="428"/>
      <c r="I2567" s="240"/>
    </row>
    <row r="2568" outlineLevel="2">
      <c r="A2568" s="422"/>
      <c r="B2568" s="428"/>
      <c r="C2568" s="502"/>
      <c r="D2568" s="208"/>
      <c r="E2568" s="431"/>
      <c r="F2568" s="432"/>
      <c r="G2568" s="434"/>
      <c r="H2568" s="434"/>
      <c r="I2568" s="240"/>
    </row>
    <row r="2569" outlineLevel="2">
      <c r="A2569" s="422"/>
      <c r="B2569" s="428"/>
      <c r="C2569" s="502"/>
      <c r="D2569" s="320" t="s">
        <v>1453</v>
      </c>
      <c r="E2569" s="526"/>
      <c r="F2569" s="527"/>
      <c r="G2569" s="439"/>
      <c r="H2569" s="239"/>
      <c r="I2569" s="240"/>
    </row>
    <row r="2570" outlineLevel="2">
      <c r="A2570" s="422"/>
      <c r="B2570" s="428"/>
      <c r="C2570" s="502"/>
      <c r="D2570" s="208"/>
      <c r="E2570" s="431"/>
      <c r="F2570" s="432"/>
      <c r="G2570" s="434"/>
      <c r="H2570" s="434"/>
      <c r="I2570" s="240"/>
    </row>
    <row r="2571" outlineLevel="2">
      <c r="A2571" s="422" t="str">
        <f>'Master List'!A833</f>
        <v>W-PRT-027</v>
      </c>
      <c r="B2571" s="428"/>
      <c r="C2571" s="535">
        <v>17.31</v>
      </c>
      <c r="D2571" s="337" t="s">
        <v>5656</v>
      </c>
      <c r="E2571" s="244" t="s">
        <v>1435</v>
      </c>
      <c r="F2571" s="547">
        <v>1.0</v>
      </c>
      <c r="G2571" s="463">
        <f>VLOOKUP(A2571,'Master List'!$A$4:$F5313,5,FALSE)</f>
        <v>403</v>
      </c>
      <c r="H2571" s="304">
        <f>G2571*F2571</f>
        <v>403</v>
      </c>
      <c r="I2571" s="240"/>
    </row>
    <row r="2572" outlineLevel="2">
      <c r="A2572" s="422"/>
      <c r="B2572" s="428"/>
      <c r="C2572" s="502"/>
      <c r="D2572" s="208"/>
      <c r="E2572" s="431"/>
      <c r="F2572" s="432"/>
      <c r="G2572" s="434"/>
      <c r="H2572" s="434"/>
      <c r="I2572" s="240"/>
    </row>
    <row r="2573" outlineLevel="2">
      <c r="A2573" s="422"/>
      <c r="B2573" s="428"/>
      <c r="C2573" s="546" t="s">
        <v>3242</v>
      </c>
      <c r="D2573" s="332" t="s">
        <v>1455</v>
      </c>
      <c r="E2573" s="444" t="s">
        <v>75</v>
      </c>
      <c r="F2573" s="334">
        <v>10.0</v>
      </c>
      <c r="G2573" s="335">
        <v>0.0</v>
      </c>
      <c r="H2573" s="341">
        <f t="shared" ref="H2573:H2583" si="268">G2573*F2573</f>
        <v>0</v>
      </c>
      <c r="I2573" s="341" t="s">
        <v>619</v>
      </c>
    </row>
    <row r="2574" outlineLevel="2">
      <c r="A2574" s="422"/>
      <c r="B2574" s="428"/>
      <c r="C2574" s="546" t="s">
        <v>3244</v>
      </c>
      <c r="D2574" s="332" t="s">
        <v>1456</v>
      </c>
      <c r="E2574" s="444" t="s">
        <v>75</v>
      </c>
      <c r="F2574" s="334">
        <v>1.0</v>
      </c>
      <c r="G2574" s="335">
        <v>0.0</v>
      </c>
      <c r="H2574" s="341">
        <f t="shared" si="268"/>
        <v>0</v>
      </c>
      <c r="I2574" s="341" t="s">
        <v>619</v>
      </c>
    </row>
    <row r="2575" outlineLevel="2">
      <c r="A2575" s="422"/>
      <c r="B2575" s="428"/>
      <c r="C2575" s="546" t="s">
        <v>3246</v>
      </c>
      <c r="D2575" s="332" t="s">
        <v>1457</v>
      </c>
      <c r="E2575" s="444" t="s">
        <v>75</v>
      </c>
      <c r="F2575" s="334">
        <v>11.0</v>
      </c>
      <c r="G2575" s="335">
        <v>0.0</v>
      </c>
      <c r="H2575" s="341">
        <f t="shared" si="268"/>
        <v>0</v>
      </c>
      <c r="I2575" s="341" t="s">
        <v>619</v>
      </c>
    </row>
    <row r="2576" outlineLevel="2">
      <c r="A2576" s="422"/>
      <c r="B2576" s="428"/>
      <c r="C2576" s="546" t="s">
        <v>3248</v>
      </c>
      <c r="D2576" s="332" t="s">
        <v>1458</v>
      </c>
      <c r="E2576" s="444"/>
      <c r="F2576" s="334"/>
      <c r="G2576" s="335">
        <v>0.0</v>
      </c>
      <c r="H2576" s="341">
        <f t="shared" si="268"/>
        <v>0</v>
      </c>
      <c r="I2576" s="341"/>
    </row>
    <row r="2577" outlineLevel="2">
      <c r="A2577" s="422"/>
      <c r="B2577" s="428"/>
      <c r="C2577" s="546" t="s">
        <v>3250</v>
      </c>
      <c r="D2577" s="332" t="s">
        <v>1459</v>
      </c>
      <c r="E2577" s="444" t="s">
        <v>75</v>
      </c>
      <c r="F2577" s="334">
        <v>1.0</v>
      </c>
      <c r="G2577" s="335">
        <v>0.0</v>
      </c>
      <c r="H2577" s="341">
        <f t="shared" si="268"/>
        <v>0</v>
      </c>
      <c r="I2577" s="341" t="s">
        <v>619</v>
      </c>
    </row>
    <row r="2578" outlineLevel="2">
      <c r="A2578" s="422"/>
      <c r="B2578" s="428"/>
      <c r="C2578" s="546" t="s">
        <v>3252</v>
      </c>
      <c r="D2578" s="332" t="s">
        <v>1460</v>
      </c>
      <c r="E2578" s="444" t="s">
        <v>75</v>
      </c>
      <c r="F2578" s="334">
        <v>1.0</v>
      </c>
      <c r="G2578" s="335">
        <v>0.0</v>
      </c>
      <c r="H2578" s="341">
        <f t="shared" si="268"/>
        <v>0</v>
      </c>
      <c r="I2578" s="341" t="s">
        <v>619</v>
      </c>
    </row>
    <row r="2579" outlineLevel="2">
      <c r="A2579" s="422"/>
      <c r="B2579" s="428"/>
      <c r="C2579" s="546" t="s">
        <v>3254</v>
      </c>
      <c r="D2579" s="332" t="s">
        <v>1461</v>
      </c>
      <c r="E2579" s="444" t="s">
        <v>75</v>
      </c>
      <c r="F2579" s="334">
        <v>1.0</v>
      </c>
      <c r="G2579" s="335">
        <v>0.0</v>
      </c>
      <c r="H2579" s="341">
        <f t="shared" si="268"/>
        <v>0</v>
      </c>
      <c r="I2579" s="341" t="s">
        <v>619</v>
      </c>
    </row>
    <row r="2580" outlineLevel="2">
      <c r="A2580" s="422"/>
      <c r="B2580" s="428"/>
      <c r="C2580" s="546" t="s">
        <v>3256</v>
      </c>
      <c r="D2580" s="332" t="s">
        <v>1462</v>
      </c>
      <c r="E2580" s="444" t="s">
        <v>75</v>
      </c>
      <c r="F2580" s="334">
        <v>1.0</v>
      </c>
      <c r="G2580" s="335">
        <v>0.0</v>
      </c>
      <c r="H2580" s="341">
        <f t="shared" si="268"/>
        <v>0</v>
      </c>
      <c r="I2580" s="341" t="s">
        <v>619</v>
      </c>
    </row>
    <row r="2581" outlineLevel="2">
      <c r="A2581" s="422"/>
      <c r="B2581" s="428"/>
      <c r="C2581" s="546" t="s">
        <v>3258</v>
      </c>
      <c r="D2581" s="332" t="s">
        <v>1463</v>
      </c>
      <c r="E2581" s="444" t="s">
        <v>75</v>
      </c>
      <c r="F2581" s="334">
        <v>1.0</v>
      </c>
      <c r="G2581" s="335">
        <v>0.0</v>
      </c>
      <c r="H2581" s="341">
        <f t="shared" si="268"/>
        <v>0</v>
      </c>
      <c r="I2581" s="341" t="s">
        <v>619</v>
      </c>
    </row>
    <row r="2582" outlineLevel="2">
      <c r="A2582" s="422"/>
      <c r="B2582" s="428"/>
      <c r="C2582" s="546" t="s">
        <v>3260</v>
      </c>
      <c r="D2582" s="332" t="s">
        <v>1464</v>
      </c>
      <c r="E2582" s="444" t="s">
        <v>161</v>
      </c>
      <c r="F2582" s="334">
        <v>303.0</v>
      </c>
      <c r="G2582" s="335">
        <v>0.0</v>
      </c>
      <c r="H2582" s="341">
        <f t="shared" si="268"/>
        <v>0</v>
      </c>
      <c r="I2582" s="341" t="s">
        <v>619</v>
      </c>
    </row>
    <row r="2583" outlineLevel="2">
      <c r="A2583" s="422"/>
      <c r="B2583" s="428"/>
      <c r="C2583" s="546" t="s">
        <v>3262</v>
      </c>
      <c r="D2583" s="332" t="s">
        <v>1465</v>
      </c>
      <c r="E2583" s="444" t="s">
        <v>75</v>
      </c>
      <c r="F2583" s="334">
        <v>11.0</v>
      </c>
      <c r="G2583" s="335"/>
      <c r="H2583" s="341">
        <f t="shared" si="268"/>
        <v>0</v>
      </c>
      <c r="I2583" s="341" t="s">
        <v>619</v>
      </c>
    </row>
    <row r="2584" outlineLevel="2">
      <c r="A2584" s="422"/>
      <c r="B2584" s="428"/>
      <c r="C2584" s="548"/>
      <c r="D2584" s="428"/>
      <c r="E2584" s="428"/>
      <c r="F2584" s="428"/>
      <c r="G2584" s="428"/>
      <c r="H2584" s="428"/>
      <c r="I2584" s="428"/>
    </row>
    <row r="2585" outlineLevel="2">
      <c r="A2585" s="422" t="str">
        <f>'Master List'!A813</f>
        <v>W-PRT-007</v>
      </c>
      <c r="B2585" s="428"/>
      <c r="C2585" s="505"/>
      <c r="D2585" s="462" t="str">
        <f>VLOOKUP(A2585,'Master List'!$A$1:$C$1192,2,FALSE)</f>
        <v>Прокладання гофротруби діаметром до 20мм</v>
      </c>
      <c r="E2585" s="463" t="str">
        <f>VLOOKUP(A2585,'Master List'!$A$1:$C$1192,3,FALSE)</f>
        <v>м</v>
      </c>
      <c r="F2585" s="464">
        <v>183.0</v>
      </c>
      <c r="G2585" s="463">
        <f>VLOOKUP(A2585,'Master List'!$A$4:$F5327,5,FALSE)</f>
        <v>2.6</v>
      </c>
      <c r="H2585" s="206">
        <f t="shared" ref="H2585:H2587" si="269">G2585*F2585</f>
        <v>475.8</v>
      </c>
      <c r="I2585" s="428"/>
    </row>
    <row r="2586" outlineLevel="2">
      <c r="A2586" s="422" t="str">
        <f>'Master List'!A814</f>
        <v>W-PRT-008</v>
      </c>
      <c r="B2586" s="428"/>
      <c r="C2586" s="505"/>
      <c r="D2586" s="462" t="str">
        <f>VLOOKUP(A2586,'Master List'!$A$1:$C$1192,2,FALSE)</f>
        <v>Прокладання гофротруби діаметром до 40мм</v>
      </c>
      <c r="E2586" s="463" t="str">
        <f>VLOOKUP(A2586,'Master List'!$A$1:$C$1192,3,FALSE)</f>
        <v>м</v>
      </c>
      <c r="F2586" s="464">
        <v>19.0</v>
      </c>
      <c r="G2586" s="463">
        <f>VLOOKUP(A2586,'Master List'!$A$4:$F5328,5,FALSE)</f>
        <v>3.25</v>
      </c>
      <c r="H2586" s="206">
        <f t="shared" si="269"/>
        <v>61.75</v>
      </c>
      <c r="I2586" s="428"/>
    </row>
    <row r="2587" outlineLevel="2">
      <c r="A2587" s="422" t="str">
        <f>'Master List'!A825</f>
        <v>W-PRT-019</v>
      </c>
      <c r="B2587" s="428"/>
      <c r="C2587" s="505"/>
      <c r="D2587" s="462" t="str">
        <f>VLOOKUP(A2587,'Master List'!$A$1:$C$1192,2,FALSE)</f>
        <v>Монтаж коробки для апаратури</v>
      </c>
      <c r="E2587" s="463" t="str">
        <f>VLOOKUP(A2587,'Master List'!$A$1:$C$1192,3,FALSE)</f>
        <v>шт</v>
      </c>
      <c r="F2587" s="464">
        <v>2.0</v>
      </c>
      <c r="G2587" s="463">
        <f>VLOOKUP(A2587,'Master List'!$A$4:$F5329,5,FALSE)</f>
        <v>22.1</v>
      </c>
      <c r="H2587" s="206">
        <f t="shared" si="269"/>
        <v>44.2</v>
      </c>
      <c r="I2587" s="428"/>
    </row>
    <row r="2588" outlineLevel="2">
      <c r="A2588" s="422"/>
      <c r="B2588" s="428"/>
      <c r="C2588" s="548"/>
      <c r="D2588" s="428"/>
      <c r="E2588" s="428"/>
      <c r="F2588" s="428"/>
      <c r="G2588" s="428"/>
      <c r="H2588" s="428"/>
      <c r="I2588" s="428"/>
    </row>
    <row r="2589" outlineLevel="2">
      <c r="A2589" s="422" t="str">
        <f>'Master List'!A415</f>
        <v>M-PRT-031</v>
      </c>
      <c r="B2589" s="428"/>
      <c r="C2589" s="546" t="s">
        <v>3264</v>
      </c>
      <c r="D2589" s="332" t="s">
        <v>1466</v>
      </c>
      <c r="E2589" s="444" t="s">
        <v>161</v>
      </c>
      <c r="F2589" s="334">
        <v>183.0</v>
      </c>
      <c r="G2589" s="463">
        <f>VLOOKUP(A2589,'Master List'!$A$4:$F5331,5,FALSE)</f>
        <v>1.066</v>
      </c>
      <c r="H2589" s="341">
        <f t="shared" ref="H2589:H2591" si="270">G2589*F2589</f>
        <v>195.078</v>
      </c>
      <c r="I2589" s="336"/>
    </row>
    <row r="2590" outlineLevel="2">
      <c r="A2590" s="422" t="str">
        <f>'Master List'!A408</f>
        <v>M-PRT-024</v>
      </c>
      <c r="B2590" s="428"/>
      <c r="C2590" s="546" t="s">
        <v>3266</v>
      </c>
      <c r="D2590" s="332" t="s">
        <v>1467</v>
      </c>
      <c r="E2590" s="444" t="s">
        <v>161</v>
      </c>
      <c r="F2590" s="334">
        <v>19.0</v>
      </c>
      <c r="G2590" s="463">
        <f>VLOOKUP(A2590,'Master List'!$A$4:$F5332,5,FALSE)</f>
        <v>0.702</v>
      </c>
      <c r="H2590" s="341">
        <f t="shared" si="270"/>
        <v>13.338</v>
      </c>
      <c r="I2590" s="336"/>
    </row>
    <row r="2591" outlineLevel="2">
      <c r="A2591" s="422" t="str">
        <f>'Master List'!A449</f>
        <v>M-PRT-065</v>
      </c>
      <c r="B2591" s="428"/>
      <c r="C2591" s="546" t="s">
        <v>3268</v>
      </c>
      <c r="D2591" s="332" t="s">
        <v>1468</v>
      </c>
      <c r="E2591" s="444" t="s">
        <v>75</v>
      </c>
      <c r="F2591" s="334">
        <v>2.0</v>
      </c>
      <c r="G2591" s="463">
        <f>VLOOKUP(A2591,'Master List'!$A$4:$F5333,5,FALSE)</f>
        <v>46.93</v>
      </c>
      <c r="H2591" s="341">
        <f t="shared" si="270"/>
        <v>93.86</v>
      </c>
      <c r="I2591" s="336"/>
    </row>
    <row r="2592" outlineLevel="2">
      <c r="A2592" s="422"/>
      <c r="B2592" s="428"/>
      <c r="C2592" s="502"/>
      <c r="D2592" s="208"/>
      <c r="E2592" s="431"/>
      <c r="F2592" s="432"/>
      <c r="G2592" s="434"/>
      <c r="H2592" s="434"/>
      <c r="I2592" s="240"/>
    </row>
    <row r="2593" outlineLevel="2">
      <c r="A2593" s="422"/>
      <c r="B2593" s="472" t="s">
        <v>1469</v>
      </c>
      <c r="C2593" s="502"/>
      <c r="D2593" s="545" t="s">
        <v>1470</v>
      </c>
      <c r="E2593" s="526" t="s">
        <v>1435</v>
      </c>
      <c r="F2593" s="527">
        <v>0.0</v>
      </c>
      <c r="G2593" s="434"/>
      <c r="H2593" s="439">
        <v>0.0</v>
      </c>
      <c r="I2593" s="240"/>
    </row>
    <row r="2594" outlineLevel="2">
      <c r="A2594" s="422"/>
      <c r="B2594" s="428"/>
      <c r="C2594" s="502"/>
      <c r="D2594" s="208"/>
      <c r="E2594" s="431"/>
      <c r="F2594" s="432"/>
      <c r="G2594" s="434"/>
      <c r="H2594" s="434"/>
      <c r="I2594" s="240"/>
    </row>
    <row r="2595" outlineLevel="2">
      <c r="A2595" s="422" t="str">
        <f>'Master List'!A834</f>
        <v>W-PRT-028</v>
      </c>
      <c r="B2595" s="151" t="s">
        <v>1471</v>
      </c>
      <c r="C2595" s="535">
        <v>17.32</v>
      </c>
      <c r="D2595" s="549" t="s">
        <v>1472</v>
      </c>
      <c r="E2595" s="550" t="s">
        <v>1435</v>
      </c>
      <c r="F2595" s="344">
        <v>1.0</v>
      </c>
      <c r="G2595" s="463">
        <f>VLOOKUP(A2595,'Master List'!$A$4:$F5337,5,FALSE)</f>
        <v>520</v>
      </c>
      <c r="H2595" s="206">
        <f>G2595*F2595</f>
        <v>520</v>
      </c>
      <c r="I2595" s="240"/>
    </row>
    <row r="2596" outlineLevel="2">
      <c r="A2596" s="422"/>
      <c r="B2596" s="428"/>
      <c r="C2596" s="502"/>
      <c r="D2596" s="208"/>
      <c r="E2596" s="431"/>
      <c r="F2596" s="432"/>
      <c r="G2596" s="434"/>
      <c r="H2596" s="434"/>
      <c r="I2596" s="240"/>
    </row>
    <row r="2597" outlineLevel="2">
      <c r="A2597" s="422"/>
      <c r="B2597" s="428"/>
      <c r="C2597" s="503" t="s">
        <v>3272</v>
      </c>
      <c r="D2597" s="346" t="s">
        <v>1473</v>
      </c>
      <c r="E2597" s="244" t="s">
        <v>161</v>
      </c>
      <c r="F2597" s="551">
        <v>98.0</v>
      </c>
      <c r="G2597" s="552">
        <v>0.0</v>
      </c>
      <c r="H2597" s="206">
        <f>G2597*F2597</f>
        <v>0</v>
      </c>
      <c r="I2597" s="552" t="s">
        <v>619</v>
      </c>
    </row>
    <row r="2598" outlineLevel="2">
      <c r="A2598" s="422"/>
      <c r="B2598" s="428"/>
      <c r="C2598" s="502"/>
      <c r="D2598" s="208"/>
      <c r="E2598" s="431"/>
      <c r="F2598" s="432"/>
      <c r="G2598" s="434"/>
      <c r="H2598" s="434"/>
      <c r="I2598" s="434"/>
    </row>
    <row r="2599" outlineLevel="2">
      <c r="A2599" s="422"/>
      <c r="B2599" s="428"/>
      <c r="C2599" s="535">
        <v>17.33</v>
      </c>
      <c r="D2599" s="323" t="s">
        <v>1317</v>
      </c>
      <c r="E2599" s="431"/>
      <c r="F2599" s="432"/>
      <c r="G2599" s="434"/>
      <c r="H2599" s="434"/>
      <c r="I2599" s="434"/>
    </row>
    <row r="2600" outlineLevel="2">
      <c r="A2600" s="422"/>
      <c r="B2600" s="428"/>
      <c r="C2600" s="502"/>
      <c r="D2600" s="208"/>
      <c r="E2600" s="431"/>
      <c r="F2600" s="432"/>
      <c r="G2600" s="434"/>
      <c r="H2600" s="434"/>
      <c r="I2600" s="434"/>
    </row>
    <row r="2601" outlineLevel="2">
      <c r="A2601" s="422"/>
      <c r="B2601" s="428"/>
      <c r="C2601" s="553" t="s">
        <v>3274</v>
      </c>
      <c r="D2601" s="332" t="s">
        <v>1474</v>
      </c>
      <c r="E2601" s="444" t="s">
        <v>75</v>
      </c>
      <c r="F2601" s="334">
        <v>1.0</v>
      </c>
      <c r="G2601" s="335">
        <v>0.0</v>
      </c>
      <c r="H2601" s="206">
        <f t="shared" ref="H2601:H2603" si="271">G2601*F2601</f>
        <v>0</v>
      </c>
      <c r="I2601" s="341" t="s">
        <v>619</v>
      </c>
    </row>
    <row r="2602" outlineLevel="2">
      <c r="A2602" s="422"/>
      <c r="B2602" s="428"/>
      <c r="C2602" s="553" t="s">
        <v>3276</v>
      </c>
      <c r="D2602" s="332" t="s">
        <v>1475</v>
      </c>
      <c r="E2602" s="444" t="s">
        <v>75</v>
      </c>
      <c r="F2602" s="334">
        <v>1.0</v>
      </c>
      <c r="G2602" s="335">
        <v>0.0</v>
      </c>
      <c r="H2602" s="206">
        <f t="shared" si="271"/>
        <v>0</v>
      </c>
      <c r="I2602" s="341" t="s">
        <v>619</v>
      </c>
    </row>
    <row r="2603" outlineLevel="2">
      <c r="A2603" s="422"/>
      <c r="B2603" s="428"/>
      <c r="C2603" s="553" t="s">
        <v>3278</v>
      </c>
      <c r="D2603" s="332" t="s">
        <v>1465</v>
      </c>
      <c r="E2603" s="444" t="s">
        <v>75</v>
      </c>
      <c r="F2603" s="334">
        <v>1.0</v>
      </c>
      <c r="G2603" s="335">
        <v>0.0</v>
      </c>
      <c r="H2603" s="206">
        <f t="shared" si="271"/>
        <v>0</v>
      </c>
      <c r="I2603" s="341" t="s">
        <v>619</v>
      </c>
    </row>
    <row r="2604" outlineLevel="2">
      <c r="A2604" s="422"/>
      <c r="B2604" s="428"/>
      <c r="C2604" s="502"/>
      <c r="D2604" s="208"/>
      <c r="E2604" s="431"/>
      <c r="F2604" s="432"/>
      <c r="G2604" s="434"/>
      <c r="H2604" s="434"/>
      <c r="I2604" s="240"/>
    </row>
    <row r="2605" outlineLevel="2">
      <c r="A2605" s="422"/>
      <c r="B2605" s="428"/>
      <c r="C2605" s="535">
        <v>17.34</v>
      </c>
      <c r="D2605" s="326" t="s">
        <v>1317</v>
      </c>
      <c r="E2605" s="431"/>
      <c r="F2605" s="432"/>
      <c r="G2605" s="434"/>
      <c r="H2605" s="434"/>
      <c r="I2605" s="240"/>
    </row>
    <row r="2606" outlineLevel="2">
      <c r="A2606" s="422"/>
      <c r="B2606" s="428"/>
      <c r="C2606" s="502"/>
      <c r="D2606" s="208"/>
      <c r="E2606" s="431"/>
      <c r="F2606" s="432"/>
      <c r="G2606" s="434"/>
      <c r="H2606" s="434"/>
      <c r="I2606" s="240"/>
    </row>
    <row r="2607" outlineLevel="2">
      <c r="A2607" s="422" t="str">
        <f>'Master List'!A814</f>
        <v>W-PRT-008</v>
      </c>
      <c r="B2607" s="428"/>
      <c r="C2607" s="505"/>
      <c r="D2607" s="462" t="str">
        <f>VLOOKUP(A2607,'Master List'!$A$1:$C$1192,2,FALSE)</f>
        <v>Прокладання гофротруби діаметром до 40мм</v>
      </c>
      <c r="E2607" s="463" t="str">
        <f>VLOOKUP(A2607,'Master List'!$A$1:$C$1192,3,FALSE)</f>
        <v>м</v>
      </c>
      <c r="F2607" s="464">
        <v>50.0</v>
      </c>
      <c r="G2607" s="463">
        <f>VLOOKUP(A2607,'Master List'!$A$4:$F5349,5,FALSE)</f>
        <v>3.25</v>
      </c>
      <c r="H2607" s="206">
        <f t="shared" ref="H2607:H2608" si="272">G2607*F2607</f>
        <v>162.5</v>
      </c>
      <c r="I2607" s="240"/>
    </row>
    <row r="2608" outlineLevel="2">
      <c r="A2608" s="422" t="str">
        <f>'Master List'!A825</f>
        <v>W-PRT-019</v>
      </c>
      <c r="B2608" s="428"/>
      <c r="C2608" s="505"/>
      <c r="D2608" s="462" t="str">
        <f>VLOOKUP(A2608,'Master List'!$A$1:$C$1192,2,FALSE)</f>
        <v>Монтаж коробки для апаратури</v>
      </c>
      <c r="E2608" s="463" t="str">
        <f>VLOOKUP(A2608,'Master List'!$A$1:$C$1192,3,FALSE)</f>
        <v>шт</v>
      </c>
      <c r="F2608" s="464">
        <v>1.0</v>
      </c>
      <c r="G2608" s="463">
        <f>VLOOKUP(A2608,'Master List'!$A$4:$F5350,5,FALSE)</f>
        <v>22.1</v>
      </c>
      <c r="H2608" s="206">
        <f t="shared" si="272"/>
        <v>22.1</v>
      </c>
      <c r="I2608" s="240"/>
    </row>
    <row r="2609" outlineLevel="2">
      <c r="A2609" s="422"/>
      <c r="B2609" s="428"/>
      <c r="C2609" s="502"/>
      <c r="D2609" s="208"/>
      <c r="E2609" s="431"/>
      <c r="F2609" s="432"/>
      <c r="G2609" s="434"/>
      <c r="H2609" s="434"/>
      <c r="I2609" s="240"/>
    </row>
    <row r="2610" outlineLevel="2">
      <c r="A2610" s="422" t="str">
        <f>'Master List'!A415</f>
        <v>M-PRT-031</v>
      </c>
      <c r="B2610" s="428"/>
      <c r="C2610" s="546" t="s">
        <v>3279</v>
      </c>
      <c r="D2610" s="332" t="s">
        <v>1466</v>
      </c>
      <c r="E2610" s="444" t="s">
        <v>161</v>
      </c>
      <c r="F2610" s="334">
        <v>50.0</v>
      </c>
      <c r="G2610" s="463">
        <f>VLOOKUP(A2610,'Master List'!$A$4:$F5352,5,FALSE)</f>
        <v>1.066</v>
      </c>
      <c r="H2610" s="206">
        <f t="shared" ref="H2610:H2611" si="273">G2610*F2610</f>
        <v>53.3</v>
      </c>
      <c r="I2610" s="336"/>
    </row>
    <row r="2611" outlineLevel="2">
      <c r="A2611" s="422" t="str">
        <f>'Master List'!A448</f>
        <v>M-PRT-064</v>
      </c>
      <c r="B2611" s="428"/>
      <c r="C2611" s="546" t="s">
        <v>3280</v>
      </c>
      <c r="D2611" s="332" t="s">
        <v>1476</v>
      </c>
      <c r="E2611" s="444" t="s">
        <v>75</v>
      </c>
      <c r="F2611" s="334">
        <v>1.0</v>
      </c>
      <c r="G2611" s="463">
        <f>VLOOKUP(A2611,'Master List'!$A$4:$F5353,5,FALSE)</f>
        <v>13.143</v>
      </c>
      <c r="H2611" s="206">
        <f t="shared" si="273"/>
        <v>13.143</v>
      </c>
      <c r="I2611" s="336"/>
    </row>
    <row r="2612" outlineLevel="2">
      <c r="A2612" s="422"/>
      <c r="B2612" s="428"/>
      <c r="C2612" s="502"/>
      <c r="D2612" s="208"/>
      <c r="E2612" s="431"/>
      <c r="F2612" s="432"/>
      <c r="G2612" s="434"/>
      <c r="H2612" s="434"/>
      <c r="I2612" s="240"/>
    </row>
    <row r="2613" outlineLevel="2">
      <c r="A2613" s="422"/>
      <c r="B2613" s="472" t="s">
        <v>1477</v>
      </c>
      <c r="C2613" s="502"/>
      <c r="D2613" s="545" t="s">
        <v>1478</v>
      </c>
      <c r="E2613" s="431"/>
      <c r="F2613" s="432"/>
      <c r="G2613" s="434"/>
      <c r="H2613" s="434"/>
      <c r="I2613" s="240"/>
    </row>
    <row r="2614" outlineLevel="2">
      <c r="A2614" s="422"/>
      <c r="B2614" s="428"/>
      <c r="C2614" s="502"/>
      <c r="D2614" s="208"/>
      <c r="E2614" s="431"/>
      <c r="F2614" s="432"/>
      <c r="G2614" s="434"/>
      <c r="H2614" s="434"/>
      <c r="I2614" s="240"/>
    </row>
    <row r="2615" outlineLevel="2">
      <c r="A2615" s="422"/>
      <c r="B2615" s="428"/>
      <c r="C2615" s="554" t="s">
        <v>3283</v>
      </c>
      <c r="D2615" s="332" t="s">
        <v>1479</v>
      </c>
      <c r="E2615" s="244" t="s">
        <v>75</v>
      </c>
      <c r="F2615" s="551">
        <v>1.0</v>
      </c>
      <c r="G2615" s="552">
        <v>0.0</v>
      </c>
      <c r="H2615" s="206">
        <f>G2615*F2615</f>
        <v>0</v>
      </c>
      <c r="I2615" s="552" t="s">
        <v>619</v>
      </c>
    </row>
    <row r="2616" outlineLevel="2">
      <c r="A2616" s="422"/>
      <c r="B2616" s="428"/>
      <c r="C2616" s="502"/>
      <c r="D2616" s="208"/>
      <c r="E2616" s="431"/>
      <c r="F2616" s="432"/>
      <c r="G2616" s="434"/>
      <c r="H2616" s="434"/>
      <c r="I2616" s="434"/>
    </row>
    <row r="2617" outlineLevel="2">
      <c r="A2617" s="422"/>
      <c r="B2617" s="428"/>
      <c r="C2617" s="554" t="s">
        <v>3285</v>
      </c>
      <c r="D2617" s="332" t="s">
        <v>1480</v>
      </c>
      <c r="E2617" s="244" t="s">
        <v>75</v>
      </c>
      <c r="F2617" s="551">
        <v>1.0</v>
      </c>
      <c r="G2617" s="552">
        <v>0.0</v>
      </c>
      <c r="H2617" s="206">
        <f>G2617*F2617</f>
        <v>0</v>
      </c>
      <c r="I2617" s="552" t="s">
        <v>619</v>
      </c>
    </row>
    <row r="2618" outlineLevel="2">
      <c r="A2618" s="422"/>
      <c r="B2618" s="428"/>
      <c r="C2618" s="502"/>
      <c r="D2618" s="208"/>
      <c r="E2618" s="431"/>
      <c r="F2618" s="432"/>
      <c r="G2618" s="434"/>
      <c r="H2618" s="434"/>
      <c r="I2618" s="434"/>
    </row>
    <row r="2619" outlineLevel="2">
      <c r="A2619" s="422"/>
      <c r="B2619" s="428"/>
      <c r="C2619" s="554" t="s">
        <v>3287</v>
      </c>
      <c r="D2619" s="332" t="s">
        <v>1481</v>
      </c>
      <c r="E2619" s="244" t="s">
        <v>75</v>
      </c>
      <c r="F2619" s="551">
        <v>3.0</v>
      </c>
      <c r="G2619" s="552">
        <v>0.0</v>
      </c>
      <c r="H2619" s="206">
        <f>G2619*F2619</f>
        <v>0</v>
      </c>
      <c r="I2619" s="552" t="s">
        <v>619</v>
      </c>
    </row>
    <row r="2620" outlineLevel="2">
      <c r="A2620" s="422"/>
      <c r="B2620" s="428"/>
      <c r="C2620" s="502"/>
      <c r="D2620" s="208"/>
      <c r="E2620" s="431"/>
      <c r="F2620" s="432"/>
      <c r="G2620" s="434"/>
      <c r="H2620" s="434"/>
      <c r="I2620" s="434"/>
    </row>
    <row r="2621" outlineLevel="2">
      <c r="A2621" s="422"/>
      <c r="B2621" s="428"/>
      <c r="C2621" s="554" t="s">
        <v>3289</v>
      </c>
      <c r="D2621" s="332" t="s">
        <v>1482</v>
      </c>
      <c r="E2621" s="244" t="s">
        <v>75</v>
      </c>
      <c r="F2621" s="551">
        <v>1.0</v>
      </c>
      <c r="G2621" s="552">
        <v>0.0</v>
      </c>
      <c r="H2621" s="206">
        <f>G2621*F2621</f>
        <v>0</v>
      </c>
      <c r="I2621" s="552" t="s">
        <v>619</v>
      </c>
    </row>
    <row r="2622" outlineLevel="2">
      <c r="A2622" s="422"/>
      <c r="B2622" s="428"/>
      <c r="C2622" s="502"/>
      <c r="D2622" s="208"/>
      <c r="E2622" s="431"/>
      <c r="F2622" s="432"/>
      <c r="G2622" s="434"/>
      <c r="H2622" s="434"/>
      <c r="I2622" s="240"/>
    </row>
    <row r="2623" outlineLevel="2">
      <c r="A2623" s="422"/>
      <c r="B2623" s="472" t="s">
        <v>1483</v>
      </c>
      <c r="C2623" s="502"/>
      <c r="D2623" s="545" t="s">
        <v>1484</v>
      </c>
      <c r="E2623" s="526" t="s">
        <v>1485</v>
      </c>
      <c r="F2623" s="527"/>
      <c r="G2623" s="434"/>
      <c r="H2623" s="439"/>
      <c r="I2623" s="240"/>
    </row>
    <row r="2624" outlineLevel="2">
      <c r="A2624" s="422"/>
      <c r="B2624" s="428"/>
      <c r="C2624" s="502"/>
      <c r="D2624" s="208"/>
      <c r="E2624" s="431"/>
      <c r="F2624" s="432"/>
      <c r="G2624" s="434"/>
      <c r="H2624" s="434"/>
      <c r="I2624" s="240"/>
    </row>
    <row r="2625" outlineLevel="2">
      <c r="A2625" s="422"/>
      <c r="B2625" s="472" t="s">
        <v>1486</v>
      </c>
      <c r="C2625" s="502"/>
      <c r="D2625" s="545" t="s">
        <v>1487</v>
      </c>
      <c r="E2625" s="431"/>
      <c r="F2625" s="428"/>
      <c r="G2625" s="428"/>
      <c r="H2625" s="428"/>
      <c r="I2625" s="240"/>
    </row>
    <row r="2626" outlineLevel="2">
      <c r="A2626" s="422"/>
      <c r="B2626" s="428"/>
      <c r="C2626" s="502"/>
      <c r="D2626" s="208"/>
      <c r="E2626" s="431"/>
      <c r="F2626" s="432"/>
      <c r="G2626" s="434"/>
      <c r="H2626" s="434"/>
      <c r="I2626" s="240"/>
    </row>
    <row r="2627" outlineLevel="2">
      <c r="A2627" s="422"/>
      <c r="B2627" s="428"/>
      <c r="C2627" s="502"/>
      <c r="D2627" s="320" t="s">
        <v>1488</v>
      </c>
      <c r="E2627" s="431"/>
      <c r="F2627" s="428"/>
      <c r="G2627" s="428"/>
      <c r="H2627" s="428"/>
      <c r="I2627" s="240"/>
    </row>
    <row r="2628" outlineLevel="2">
      <c r="A2628" s="422"/>
      <c r="B2628" s="428"/>
      <c r="C2628" s="502"/>
      <c r="D2628" s="208"/>
      <c r="E2628" s="431"/>
      <c r="F2628" s="432"/>
      <c r="G2628" s="434"/>
      <c r="H2628" s="434"/>
      <c r="I2628" s="240"/>
    </row>
    <row r="2629" outlineLevel="2">
      <c r="A2629" s="422" t="str">
        <f>'Master List'!A835</f>
        <v>W-PRT-029</v>
      </c>
      <c r="B2629" s="428"/>
      <c r="C2629" s="535">
        <v>17.39</v>
      </c>
      <c r="D2629" s="323" t="s">
        <v>1489</v>
      </c>
      <c r="E2629" s="550" t="s">
        <v>1435</v>
      </c>
      <c r="F2629" s="547">
        <v>1.0</v>
      </c>
      <c r="G2629" s="463">
        <f>VLOOKUP(A2629,'Master List'!$A$4:$F5371,5,FALSE)</f>
        <v>325</v>
      </c>
      <c r="H2629" s="206">
        <f>G2629*F2629</f>
        <v>325</v>
      </c>
      <c r="I2629" s="240"/>
    </row>
    <row r="2630" outlineLevel="2">
      <c r="A2630" s="422"/>
      <c r="B2630" s="428"/>
      <c r="C2630" s="502"/>
      <c r="D2630" s="208"/>
      <c r="E2630" s="431"/>
      <c r="F2630" s="432"/>
      <c r="G2630" s="434"/>
      <c r="H2630" s="434"/>
      <c r="I2630" s="240"/>
    </row>
    <row r="2631" outlineLevel="2">
      <c r="A2631" s="422"/>
      <c r="B2631" s="428"/>
      <c r="C2631" s="546" t="s">
        <v>3295</v>
      </c>
      <c r="D2631" s="354" t="s">
        <v>1490</v>
      </c>
      <c r="E2631" s="444" t="s">
        <v>33</v>
      </c>
      <c r="F2631" s="334">
        <v>1.0</v>
      </c>
      <c r="G2631" s="555">
        <v>0.0</v>
      </c>
      <c r="H2631" s="205">
        <f t="shared" ref="H2631:H2644" si="274">G2631*F2631</f>
        <v>0</v>
      </c>
      <c r="I2631" s="341" t="s">
        <v>619</v>
      </c>
    </row>
    <row r="2632" outlineLevel="2">
      <c r="A2632" s="422"/>
      <c r="B2632" s="428"/>
      <c r="C2632" s="546" t="s">
        <v>3297</v>
      </c>
      <c r="D2632" s="354" t="s">
        <v>1491</v>
      </c>
      <c r="E2632" s="444" t="s">
        <v>75</v>
      </c>
      <c r="F2632" s="334">
        <v>1.0</v>
      </c>
      <c r="G2632" s="555">
        <v>0.0</v>
      </c>
      <c r="H2632" s="205">
        <f t="shared" si="274"/>
        <v>0</v>
      </c>
      <c r="I2632" s="341" t="s">
        <v>619</v>
      </c>
    </row>
    <row r="2633" outlineLevel="2">
      <c r="A2633" s="422"/>
      <c r="B2633" s="428"/>
      <c r="C2633" s="546" t="s">
        <v>3299</v>
      </c>
      <c r="D2633" s="354" t="s">
        <v>1492</v>
      </c>
      <c r="E2633" s="444" t="s">
        <v>161</v>
      </c>
      <c r="F2633" s="334">
        <v>654.0</v>
      </c>
      <c r="G2633" s="555">
        <v>0.0</v>
      </c>
      <c r="H2633" s="205">
        <f t="shared" si="274"/>
        <v>0</v>
      </c>
      <c r="I2633" s="341" t="s">
        <v>619</v>
      </c>
    </row>
    <row r="2634" outlineLevel="2">
      <c r="A2634" s="422"/>
      <c r="B2634" s="428"/>
      <c r="C2634" s="546" t="s">
        <v>3301</v>
      </c>
      <c r="D2634" s="354" t="s">
        <v>1493</v>
      </c>
      <c r="E2634" s="444" t="s">
        <v>75</v>
      </c>
      <c r="F2634" s="334">
        <v>1.0</v>
      </c>
      <c r="G2634" s="555">
        <v>0.0</v>
      </c>
      <c r="H2634" s="205">
        <f t="shared" si="274"/>
        <v>0</v>
      </c>
      <c r="I2634" s="341" t="s">
        <v>619</v>
      </c>
    </row>
    <row r="2635" outlineLevel="2">
      <c r="A2635" s="422"/>
      <c r="B2635" s="428"/>
      <c r="C2635" s="546" t="s">
        <v>3303</v>
      </c>
      <c r="D2635" s="354" t="s">
        <v>1494</v>
      </c>
      <c r="E2635" s="444" t="s">
        <v>75</v>
      </c>
      <c r="F2635" s="334">
        <v>1.0</v>
      </c>
      <c r="G2635" s="555">
        <v>0.0</v>
      </c>
      <c r="H2635" s="205">
        <f t="shared" si="274"/>
        <v>0</v>
      </c>
      <c r="I2635" s="341" t="s">
        <v>619</v>
      </c>
    </row>
    <row r="2636" outlineLevel="2">
      <c r="A2636" s="422"/>
      <c r="B2636" s="428"/>
      <c r="C2636" s="546" t="s">
        <v>3305</v>
      </c>
      <c r="D2636" s="354" t="s">
        <v>1495</v>
      </c>
      <c r="E2636" s="444" t="s">
        <v>75</v>
      </c>
      <c r="F2636" s="334">
        <v>1.0</v>
      </c>
      <c r="G2636" s="555">
        <v>0.0</v>
      </c>
      <c r="H2636" s="205">
        <f t="shared" si="274"/>
        <v>0</v>
      </c>
      <c r="I2636" s="341" t="s">
        <v>619</v>
      </c>
    </row>
    <row r="2637" outlineLevel="2">
      <c r="A2637" s="422"/>
      <c r="B2637" s="428"/>
      <c r="C2637" s="546" t="s">
        <v>3307</v>
      </c>
      <c r="D2637" s="354" t="s">
        <v>1496</v>
      </c>
      <c r="E2637" s="444" t="s">
        <v>75</v>
      </c>
      <c r="F2637" s="334">
        <v>1.0</v>
      </c>
      <c r="G2637" s="555">
        <v>0.0</v>
      </c>
      <c r="H2637" s="205">
        <f t="shared" si="274"/>
        <v>0</v>
      </c>
      <c r="I2637" s="341" t="s">
        <v>619</v>
      </c>
    </row>
    <row r="2638" outlineLevel="2">
      <c r="A2638" s="422"/>
      <c r="B2638" s="428"/>
      <c r="C2638" s="546" t="s">
        <v>3309</v>
      </c>
      <c r="D2638" s="354" t="s">
        <v>1497</v>
      </c>
      <c r="E2638" s="444" t="s">
        <v>75</v>
      </c>
      <c r="F2638" s="334">
        <v>5.0</v>
      </c>
      <c r="G2638" s="555">
        <v>0.0</v>
      </c>
      <c r="H2638" s="205">
        <f t="shared" si="274"/>
        <v>0</v>
      </c>
      <c r="I2638" s="341" t="s">
        <v>619</v>
      </c>
    </row>
    <row r="2639" outlineLevel="2">
      <c r="A2639" s="422"/>
      <c r="B2639" s="428"/>
      <c r="C2639" s="546" t="s">
        <v>3311</v>
      </c>
      <c r="D2639" s="354" t="s">
        <v>1498</v>
      </c>
      <c r="E2639" s="444" t="s">
        <v>75</v>
      </c>
      <c r="F2639" s="334">
        <v>19.0</v>
      </c>
      <c r="G2639" s="555">
        <v>0.0</v>
      </c>
      <c r="H2639" s="205">
        <f t="shared" si="274"/>
        <v>0</v>
      </c>
      <c r="I2639" s="341" t="s">
        <v>619</v>
      </c>
    </row>
    <row r="2640" outlineLevel="2">
      <c r="A2640" s="422"/>
      <c r="B2640" s="428"/>
      <c r="C2640" s="546" t="s">
        <v>3313</v>
      </c>
      <c r="D2640" s="354" t="s">
        <v>1499</v>
      </c>
      <c r="E2640" s="444" t="s">
        <v>75</v>
      </c>
      <c r="F2640" s="334">
        <v>4.0</v>
      </c>
      <c r="G2640" s="555">
        <v>0.0</v>
      </c>
      <c r="H2640" s="205">
        <f t="shared" si="274"/>
        <v>0</v>
      </c>
      <c r="I2640" s="341" t="s">
        <v>619</v>
      </c>
    </row>
    <row r="2641" outlineLevel="2">
      <c r="A2641" s="422"/>
      <c r="B2641" s="428"/>
      <c r="C2641" s="546" t="s">
        <v>3315</v>
      </c>
      <c r="D2641" s="354" t="s">
        <v>1500</v>
      </c>
      <c r="E2641" s="444" t="s">
        <v>75</v>
      </c>
      <c r="F2641" s="334">
        <v>9.0</v>
      </c>
      <c r="G2641" s="555">
        <v>0.0</v>
      </c>
      <c r="H2641" s="205">
        <f t="shared" si="274"/>
        <v>0</v>
      </c>
      <c r="I2641" s="341" t="s">
        <v>619</v>
      </c>
    </row>
    <row r="2642" outlineLevel="2">
      <c r="A2642" s="422"/>
      <c r="B2642" s="428"/>
      <c r="C2642" s="546" t="s">
        <v>3317</v>
      </c>
      <c r="D2642" s="354" t="s">
        <v>1501</v>
      </c>
      <c r="E2642" s="444" t="s">
        <v>75</v>
      </c>
      <c r="F2642" s="334">
        <v>1.0</v>
      </c>
      <c r="G2642" s="555">
        <v>0.0</v>
      </c>
      <c r="H2642" s="205">
        <f t="shared" si="274"/>
        <v>0</v>
      </c>
      <c r="I2642" s="341" t="s">
        <v>619</v>
      </c>
    </row>
    <row r="2643" outlineLevel="2">
      <c r="A2643" s="422"/>
      <c r="B2643" s="428"/>
      <c r="C2643" s="546" t="s">
        <v>3319</v>
      </c>
      <c r="D2643" s="354" t="s">
        <v>1502</v>
      </c>
      <c r="E2643" s="444" t="s">
        <v>75</v>
      </c>
      <c r="F2643" s="334">
        <v>2.0</v>
      </c>
      <c r="G2643" s="555">
        <v>0.0</v>
      </c>
      <c r="H2643" s="205">
        <f t="shared" si="274"/>
        <v>0</v>
      </c>
      <c r="I2643" s="341" t="s">
        <v>619</v>
      </c>
    </row>
    <row r="2644" outlineLevel="2">
      <c r="A2644" s="422"/>
      <c r="B2644" s="428"/>
      <c r="C2644" s="546" t="s">
        <v>3321</v>
      </c>
      <c r="D2644" s="354" t="s">
        <v>1503</v>
      </c>
      <c r="E2644" s="444" t="s">
        <v>75</v>
      </c>
      <c r="F2644" s="334">
        <v>1.0</v>
      </c>
      <c r="G2644" s="555">
        <v>0.0</v>
      </c>
      <c r="H2644" s="205">
        <f t="shared" si="274"/>
        <v>0</v>
      </c>
      <c r="I2644" s="341" t="s">
        <v>619</v>
      </c>
    </row>
    <row r="2645" outlineLevel="2">
      <c r="A2645" s="422"/>
      <c r="B2645" s="428"/>
      <c r="C2645" s="548"/>
      <c r="D2645" s="428"/>
      <c r="E2645" s="428"/>
      <c r="F2645" s="428"/>
      <c r="G2645" s="428"/>
      <c r="H2645" s="428"/>
      <c r="I2645" s="428"/>
    </row>
    <row r="2646" outlineLevel="2">
      <c r="A2646" s="422" t="str">
        <f>'Master List'!A813</f>
        <v>W-PRT-007</v>
      </c>
      <c r="B2646" s="428"/>
      <c r="C2646" s="505"/>
      <c r="D2646" s="462" t="str">
        <f>VLOOKUP(A2646,'Master List'!$A$1:$C$1192,2,FALSE)</f>
        <v>Прокладання гофротруби діаметром до 20мм</v>
      </c>
      <c r="E2646" s="463" t="str">
        <f>VLOOKUP(A2646,'Master List'!$A$1:$C$1192,3,FALSE)</f>
        <v>м</v>
      </c>
      <c r="F2646" s="464">
        <v>628.0</v>
      </c>
      <c r="G2646" s="463">
        <f>VLOOKUP(A2646,'Master List'!$A$4:$F5388,5,FALSE)</f>
        <v>2.6</v>
      </c>
      <c r="H2646" s="206">
        <f t="shared" ref="H2646:H2648" si="275">G2646*F2646</f>
        <v>1632.8</v>
      </c>
      <c r="I2646" s="428"/>
    </row>
    <row r="2647" outlineLevel="2">
      <c r="A2647" s="422" t="str">
        <f>'Master List'!A814</f>
        <v>W-PRT-008</v>
      </c>
      <c r="B2647" s="428"/>
      <c r="C2647" s="505"/>
      <c r="D2647" s="462" t="str">
        <f>VLOOKUP(A2647,'Master List'!$A$1:$C$1192,2,FALSE)</f>
        <v>Прокладання гофротруби діаметром до 40мм</v>
      </c>
      <c r="E2647" s="463" t="str">
        <f>VLOOKUP(A2647,'Master List'!$A$1:$C$1192,3,FALSE)</f>
        <v>м</v>
      </c>
      <c r="F2647" s="464">
        <v>25.0</v>
      </c>
      <c r="G2647" s="463">
        <f>VLOOKUP(A2647,'Master List'!$A$4:$F5389,5,FALSE)</f>
        <v>3.25</v>
      </c>
      <c r="H2647" s="206">
        <f t="shared" si="275"/>
        <v>81.25</v>
      </c>
      <c r="I2647" s="428"/>
    </row>
    <row r="2648" outlineLevel="2">
      <c r="A2648" s="422" t="str">
        <f>'Master List'!A825</f>
        <v>W-PRT-019</v>
      </c>
      <c r="B2648" s="428"/>
      <c r="C2648" s="505"/>
      <c r="D2648" s="462" t="str">
        <f>VLOOKUP(A2648,'Master List'!$A$1:$C$1192,2,FALSE)</f>
        <v>Монтаж коробки для апаратури</v>
      </c>
      <c r="E2648" s="463" t="str">
        <f>VLOOKUP(A2648,'Master List'!$A$1:$C$1192,3,FALSE)</f>
        <v>шт</v>
      </c>
      <c r="F2648" s="464">
        <v>3.0</v>
      </c>
      <c r="G2648" s="463">
        <f>VLOOKUP(A2648,'Master List'!$A$4:$F5390,5,FALSE)</f>
        <v>22.1</v>
      </c>
      <c r="H2648" s="206">
        <f t="shared" si="275"/>
        <v>66.3</v>
      </c>
      <c r="I2648" s="428"/>
    </row>
    <row r="2649" outlineLevel="2">
      <c r="A2649" s="422"/>
      <c r="B2649" s="428"/>
      <c r="C2649" s="548"/>
      <c r="D2649" s="428"/>
      <c r="E2649" s="428"/>
      <c r="F2649" s="428"/>
      <c r="G2649" s="428"/>
      <c r="H2649" s="428"/>
      <c r="I2649" s="428"/>
    </row>
    <row r="2650" outlineLevel="2">
      <c r="A2650" s="422" t="str">
        <f>'Master List'!A418</f>
        <v>M-PRT-034</v>
      </c>
      <c r="B2650" s="428"/>
      <c r="C2650" s="546" t="s">
        <v>3323</v>
      </c>
      <c r="D2650" s="354" t="s">
        <v>1504</v>
      </c>
      <c r="E2650" s="444" t="s">
        <v>161</v>
      </c>
      <c r="F2650" s="334">
        <v>628.0</v>
      </c>
      <c r="G2650" s="463">
        <f>VLOOKUP(A2650,'Master List'!$A$4:$F5392,5,FALSE)</f>
        <v>0.598</v>
      </c>
      <c r="H2650" s="205">
        <f t="shared" ref="H2650:H2653" si="276">G2650*F2650</f>
        <v>375.544</v>
      </c>
      <c r="I2650" s="356"/>
    </row>
    <row r="2651" outlineLevel="2">
      <c r="A2651" s="422" t="str">
        <f>'Master List'!A419</f>
        <v>M-PRT-035</v>
      </c>
      <c r="B2651" s="428"/>
      <c r="C2651" s="546" t="s">
        <v>3325</v>
      </c>
      <c r="D2651" s="354" t="s">
        <v>1505</v>
      </c>
      <c r="E2651" s="444" t="s">
        <v>161</v>
      </c>
      <c r="F2651" s="334">
        <v>25.0</v>
      </c>
      <c r="G2651" s="463">
        <f>VLOOKUP(A2651,'Master List'!$A$4:$F5393,5,FALSE)</f>
        <v>0.78</v>
      </c>
      <c r="H2651" s="205">
        <f t="shared" si="276"/>
        <v>19.5</v>
      </c>
      <c r="I2651" s="356"/>
    </row>
    <row r="2652" outlineLevel="2">
      <c r="A2652" s="422" t="str">
        <f>'Master List'!A449</f>
        <v>M-PRT-065</v>
      </c>
      <c r="B2652" s="428"/>
      <c r="C2652" s="546" t="s">
        <v>3327</v>
      </c>
      <c r="D2652" s="354" t="s">
        <v>1468</v>
      </c>
      <c r="E2652" s="444" t="s">
        <v>75</v>
      </c>
      <c r="F2652" s="334">
        <v>2.0</v>
      </c>
      <c r="G2652" s="463">
        <f>VLOOKUP(A2652,'Master List'!$A$4:$F5394,5,FALSE)</f>
        <v>46.93</v>
      </c>
      <c r="H2652" s="205">
        <f t="shared" si="276"/>
        <v>93.86</v>
      </c>
      <c r="I2652" s="356"/>
    </row>
    <row r="2653" outlineLevel="2">
      <c r="A2653" s="422" t="str">
        <f>'Master List'!A450</f>
        <v>M-PRT-066</v>
      </c>
      <c r="B2653" s="428"/>
      <c r="C2653" s="546" t="s">
        <v>3328</v>
      </c>
      <c r="D2653" s="354" t="s">
        <v>1506</v>
      </c>
      <c r="E2653" s="444" t="s">
        <v>75</v>
      </c>
      <c r="F2653" s="334">
        <v>1.0</v>
      </c>
      <c r="G2653" s="463">
        <f>VLOOKUP(A2653,'Master List'!$A$4:$F5395,5,FALSE)</f>
        <v>71.318</v>
      </c>
      <c r="H2653" s="205">
        <f t="shared" si="276"/>
        <v>71.318</v>
      </c>
      <c r="I2653" s="356"/>
    </row>
    <row r="2654" outlineLevel="2">
      <c r="A2654" s="422"/>
      <c r="B2654" s="428"/>
      <c r="C2654" s="502"/>
      <c r="D2654" s="208"/>
      <c r="E2654" s="431"/>
      <c r="F2654" s="432"/>
      <c r="G2654" s="434"/>
      <c r="H2654" s="434"/>
      <c r="I2654" s="240"/>
    </row>
    <row r="2655" outlineLevel="2">
      <c r="A2655" s="422"/>
      <c r="B2655" s="472" t="s">
        <v>1507</v>
      </c>
      <c r="C2655" s="502"/>
      <c r="D2655" s="545" t="s">
        <v>1508</v>
      </c>
      <c r="E2655" s="526"/>
      <c r="F2655" s="527"/>
      <c r="G2655" s="439"/>
      <c r="H2655" s="439"/>
      <c r="I2655" s="240"/>
    </row>
    <row r="2656" outlineLevel="2">
      <c r="A2656" s="422"/>
      <c r="B2656" s="428"/>
      <c r="C2656" s="502"/>
      <c r="D2656" s="208"/>
      <c r="E2656" s="431"/>
      <c r="F2656" s="432"/>
      <c r="G2656" s="434"/>
      <c r="H2656" s="434"/>
      <c r="I2656" s="240"/>
    </row>
    <row r="2657" outlineLevel="2">
      <c r="A2657" s="422"/>
      <c r="B2657" s="428"/>
      <c r="C2657" s="502"/>
      <c r="D2657" s="320" t="s">
        <v>1509</v>
      </c>
      <c r="E2657" s="431"/>
      <c r="F2657" s="432"/>
      <c r="G2657" s="434"/>
      <c r="H2657" s="434"/>
      <c r="I2657" s="240"/>
    </row>
    <row r="2658" outlineLevel="2">
      <c r="A2658" s="422"/>
      <c r="B2658" s="428"/>
      <c r="C2658" s="502"/>
      <c r="D2658" s="208"/>
      <c r="E2658" s="431"/>
      <c r="F2658" s="432"/>
      <c r="G2658" s="434"/>
      <c r="H2658" s="434"/>
      <c r="I2658" s="240"/>
    </row>
    <row r="2659" outlineLevel="2">
      <c r="A2659" s="422" t="str">
        <f>'Master List'!A836</f>
        <v>W-PRT-030</v>
      </c>
      <c r="B2659" s="428"/>
      <c r="C2659" s="541" t="s">
        <v>3332</v>
      </c>
      <c r="D2659" s="357" t="s">
        <v>1510</v>
      </c>
      <c r="E2659" s="477" t="s">
        <v>1435</v>
      </c>
      <c r="F2659" s="556">
        <v>1.0</v>
      </c>
      <c r="G2659" s="463">
        <f>VLOOKUP(A2659,'Master List'!$A$4:$F5401,5,FALSE)</f>
        <v>494</v>
      </c>
      <c r="H2659" s="206">
        <f>G2659*F2659</f>
        <v>494</v>
      </c>
      <c r="I2659" s="219"/>
    </row>
    <row r="2660" outlineLevel="2">
      <c r="A2660" s="422"/>
      <c r="B2660" s="428"/>
      <c r="C2660" s="502"/>
      <c r="D2660" s="208"/>
      <c r="E2660" s="431"/>
      <c r="F2660" s="432"/>
      <c r="G2660" s="434"/>
      <c r="H2660" s="434"/>
      <c r="I2660" s="240"/>
    </row>
    <row r="2661" outlineLevel="2">
      <c r="A2661" s="422"/>
      <c r="B2661" s="428"/>
      <c r="C2661" s="554" t="s">
        <v>3334</v>
      </c>
      <c r="D2661" s="332" t="s">
        <v>1511</v>
      </c>
      <c r="E2661" s="444" t="s">
        <v>75</v>
      </c>
      <c r="F2661" s="334">
        <v>1.0</v>
      </c>
      <c r="G2661" s="555">
        <v>0.0</v>
      </c>
      <c r="H2661" s="206">
        <f t="shared" ref="H2661:H2668" si="277">G2661*F2661</f>
        <v>0</v>
      </c>
      <c r="I2661" s="341" t="s">
        <v>619</v>
      </c>
    </row>
    <row r="2662" outlineLevel="2">
      <c r="A2662" s="422"/>
      <c r="B2662" s="428"/>
      <c r="C2662" s="554" t="s">
        <v>3336</v>
      </c>
      <c r="D2662" s="332" t="s">
        <v>1512</v>
      </c>
      <c r="E2662" s="444" t="s">
        <v>75</v>
      </c>
      <c r="F2662" s="334">
        <v>1.0</v>
      </c>
      <c r="G2662" s="555">
        <v>0.0</v>
      </c>
      <c r="H2662" s="206">
        <f t="shared" si="277"/>
        <v>0</v>
      </c>
      <c r="I2662" s="341" t="s">
        <v>619</v>
      </c>
    </row>
    <row r="2663" outlineLevel="2">
      <c r="A2663" s="422"/>
      <c r="B2663" s="428"/>
      <c r="C2663" s="554" t="s">
        <v>3338</v>
      </c>
      <c r="D2663" s="332" t="s">
        <v>1513</v>
      </c>
      <c r="E2663" s="444" t="s">
        <v>75</v>
      </c>
      <c r="F2663" s="334">
        <v>1.0</v>
      </c>
      <c r="G2663" s="555">
        <v>0.0</v>
      </c>
      <c r="H2663" s="206">
        <f t="shared" si="277"/>
        <v>0</v>
      </c>
      <c r="I2663" s="341" t="s">
        <v>619</v>
      </c>
    </row>
    <row r="2664" outlineLevel="2">
      <c r="A2664" s="422"/>
      <c r="B2664" s="428"/>
      <c r="C2664" s="554" t="s">
        <v>3340</v>
      </c>
      <c r="D2664" s="332" t="s">
        <v>1514</v>
      </c>
      <c r="E2664" s="444" t="s">
        <v>75</v>
      </c>
      <c r="F2664" s="334">
        <v>1.0</v>
      </c>
      <c r="G2664" s="555">
        <v>0.0</v>
      </c>
      <c r="H2664" s="206">
        <f t="shared" si="277"/>
        <v>0</v>
      </c>
      <c r="I2664" s="341" t="s">
        <v>619</v>
      </c>
    </row>
    <row r="2665" outlineLevel="2">
      <c r="A2665" s="422"/>
      <c r="B2665" s="428"/>
      <c r="C2665" s="554" t="s">
        <v>3342</v>
      </c>
      <c r="D2665" s="332" t="s">
        <v>1515</v>
      </c>
      <c r="E2665" s="444" t="s">
        <v>161</v>
      </c>
      <c r="F2665" s="334">
        <v>398.0</v>
      </c>
      <c r="G2665" s="555">
        <v>0.0</v>
      </c>
      <c r="H2665" s="206">
        <f t="shared" si="277"/>
        <v>0</v>
      </c>
      <c r="I2665" s="341" t="s">
        <v>619</v>
      </c>
    </row>
    <row r="2666" outlineLevel="2">
      <c r="A2666" s="422"/>
      <c r="B2666" s="428"/>
      <c r="C2666" s="554" t="s">
        <v>3344</v>
      </c>
      <c r="D2666" s="332" t="s">
        <v>1516</v>
      </c>
      <c r="E2666" s="444" t="s">
        <v>75</v>
      </c>
      <c r="F2666" s="334">
        <v>9.0</v>
      </c>
      <c r="G2666" s="555">
        <v>0.0</v>
      </c>
      <c r="H2666" s="206">
        <f t="shared" si="277"/>
        <v>0</v>
      </c>
      <c r="I2666" s="341" t="s">
        <v>619</v>
      </c>
    </row>
    <row r="2667" outlineLevel="2">
      <c r="A2667" s="422"/>
      <c r="B2667" s="428"/>
      <c r="C2667" s="554" t="s">
        <v>3346</v>
      </c>
      <c r="D2667" s="332" t="s">
        <v>1517</v>
      </c>
      <c r="E2667" s="444" t="s">
        <v>75</v>
      </c>
      <c r="F2667" s="334">
        <v>4.0</v>
      </c>
      <c r="G2667" s="555">
        <v>0.0</v>
      </c>
      <c r="H2667" s="206">
        <f t="shared" si="277"/>
        <v>0</v>
      </c>
      <c r="I2667" s="341" t="s">
        <v>619</v>
      </c>
    </row>
    <row r="2668" outlineLevel="2">
      <c r="A2668" s="422"/>
      <c r="B2668" s="428"/>
      <c r="C2668" s="554" t="s">
        <v>3348</v>
      </c>
      <c r="D2668" s="332" t="s">
        <v>1518</v>
      </c>
      <c r="E2668" s="444" t="s">
        <v>75</v>
      </c>
      <c r="F2668" s="334">
        <v>1.0</v>
      </c>
      <c r="G2668" s="555">
        <v>0.0</v>
      </c>
      <c r="H2668" s="206">
        <f t="shared" si="277"/>
        <v>0</v>
      </c>
      <c r="I2668" s="341" t="s">
        <v>619</v>
      </c>
    </row>
    <row r="2669" outlineLevel="2">
      <c r="A2669" s="422"/>
      <c r="B2669" s="428"/>
      <c r="C2669" s="548"/>
      <c r="D2669" s="428"/>
      <c r="E2669" s="428"/>
      <c r="F2669" s="428"/>
      <c r="G2669" s="428"/>
      <c r="H2669" s="428"/>
      <c r="I2669" s="428"/>
    </row>
    <row r="2670" outlineLevel="2">
      <c r="A2670" s="422" t="str">
        <f>'Master List'!A814</f>
        <v>W-PRT-008</v>
      </c>
      <c r="B2670" s="428"/>
      <c r="C2670" s="505"/>
      <c r="D2670" s="462" t="str">
        <f>VLOOKUP(A2670,'Master List'!$A$1:$C$1192,2,FALSE)</f>
        <v>Прокладання гофротруби діаметром до 40мм</v>
      </c>
      <c r="E2670" s="463" t="str">
        <f>VLOOKUP(A2670,'Master List'!$A$1:$C$1192,3,FALSE)</f>
        <v>м</v>
      </c>
      <c r="F2670" s="464">
        <f>F2672+F2673</f>
        <v>382</v>
      </c>
      <c r="G2670" s="463">
        <f>VLOOKUP(A2670,'Master List'!$A$4:$F5412,5,FALSE)</f>
        <v>3.25</v>
      </c>
      <c r="H2670" s="206">
        <f>G2670*F2670</f>
        <v>1241.5</v>
      </c>
      <c r="I2670" s="428"/>
    </row>
    <row r="2671" outlineLevel="2">
      <c r="A2671" s="422"/>
      <c r="B2671" s="428"/>
      <c r="C2671" s="548"/>
      <c r="D2671" s="428"/>
      <c r="E2671" s="428"/>
      <c r="F2671" s="428"/>
      <c r="G2671" s="428"/>
      <c r="H2671" s="428"/>
      <c r="I2671" s="428"/>
    </row>
    <row r="2672" outlineLevel="2">
      <c r="A2672" s="422" t="str">
        <f>'Master List'!A415</f>
        <v>M-PRT-031</v>
      </c>
      <c r="B2672" s="428"/>
      <c r="C2672" s="554" t="s">
        <v>3349</v>
      </c>
      <c r="D2672" s="332" t="s">
        <v>1519</v>
      </c>
      <c r="E2672" s="444" t="s">
        <v>161</v>
      </c>
      <c r="F2672" s="334">
        <v>369.0</v>
      </c>
      <c r="G2672" s="463">
        <f>VLOOKUP(A2672,'Master List'!$A$4:$F5414,5,FALSE)</f>
        <v>1.066</v>
      </c>
      <c r="H2672" s="206">
        <f t="shared" ref="H2672:H2673" si="278">G2672*F2672</f>
        <v>393.354</v>
      </c>
      <c r="I2672" s="336"/>
    </row>
    <row r="2673" outlineLevel="2">
      <c r="A2673" s="422" t="str">
        <f>'Master List'!A419</f>
        <v>M-PRT-035</v>
      </c>
      <c r="B2673" s="428"/>
      <c r="C2673" s="554" t="s">
        <v>3351</v>
      </c>
      <c r="D2673" s="332" t="s">
        <v>1520</v>
      </c>
      <c r="E2673" s="444" t="s">
        <v>161</v>
      </c>
      <c r="F2673" s="334">
        <v>13.0</v>
      </c>
      <c r="G2673" s="463">
        <f>VLOOKUP(A2673,'Master List'!$A$4:$F5415,5,FALSE)</f>
        <v>0.78</v>
      </c>
      <c r="H2673" s="206">
        <f t="shared" si="278"/>
        <v>10.14</v>
      </c>
      <c r="I2673" s="336"/>
    </row>
    <row r="2674" outlineLevel="2">
      <c r="A2674" s="422"/>
      <c r="B2674" s="428"/>
      <c r="C2674" s="502"/>
      <c r="D2674" s="208"/>
      <c r="E2674" s="431"/>
      <c r="F2674" s="432"/>
      <c r="G2674" s="434"/>
      <c r="H2674" s="434"/>
      <c r="I2674" s="240"/>
    </row>
    <row r="2675" outlineLevel="2">
      <c r="A2675" s="422"/>
      <c r="B2675" s="472" t="s">
        <v>1521</v>
      </c>
      <c r="C2675" s="502"/>
      <c r="D2675" s="545" t="s">
        <v>1430</v>
      </c>
      <c r="E2675" s="431"/>
      <c r="F2675" s="432"/>
      <c r="G2675" s="434"/>
      <c r="H2675" s="434"/>
      <c r="I2675" s="240"/>
    </row>
    <row r="2676" outlineLevel="2">
      <c r="A2676" s="422"/>
      <c r="B2676" s="428"/>
      <c r="C2676" s="502"/>
      <c r="D2676" s="208"/>
      <c r="E2676" s="431"/>
      <c r="F2676" s="432"/>
      <c r="G2676" s="434"/>
      <c r="H2676" s="434"/>
      <c r="I2676" s="240"/>
    </row>
    <row r="2677" outlineLevel="2">
      <c r="A2677" s="422"/>
      <c r="B2677" s="428"/>
      <c r="C2677" s="554" t="s">
        <v>3353</v>
      </c>
      <c r="D2677" s="332" t="s">
        <v>1135</v>
      </c>
      <c r="E2677" s="444" t="s">
        <v>33</v>
      </c>
      <c r="F2677" s="361">
        <v>1.0</v>
      </c>
      <c r="G2677" s="362">
        <v>0.0</v>
      </c>
      <c r="H2677" s="206">
        <f>G2677*F2677</f>
        <v>0</v>
      </c>
      <c r="I2677" s="341" t="s">
        <v>619</v>
      </c>
    </row>
    <row r="2678" outlineLevel="2">
      <c r="A2678" s="422"/>
      <c r="B2678" s="428"/>
      <c r="C2678" s="502"/>
      <c r="D2678" s="208"/>
      <c r="E2678" s="437"/>
      <c r="F2678" s="557"/>
      <c r="G2678" s="558"/>
      <c r="H2678" s="558"/>
      <c r="I2678" s="240"/>
    </row>
    <row r="2679" outlineLevel="2">
      <c r="A2679" s="422"/>
      <c r="B2679" s="428"/>
      <c r="C2679" s="554" t="s">
        <v>3354</v>
      </c>
      <c r="D2679" s="332" t="s">
        <v>1431</v>
      </c>
      <c r="E2679" s="444" t="s">
        <v>33</v>
      </c>
      <c r="F2679" s="361">
        <v>1.0</v>
      </c>
      <c r="G2679" s="362">
        <v>0.0</v>
      </c>
      <c r="H2679" s="206">
        <f>G2679*F2679</f>
        <v>0</v>
      </c>
      <c r="I2679" s="341" t="s">
        <v>619</v>
      </c>
    </row>
    <row r="2680" outlineLevel="2">
      <c r="A2680" s="422"/>
      <c r="B2680" s="428"/>
      <c r="C2680" s="502"/>
      <c r="D2680" s="208"/>
      <c r="E2680" s="431"/>
      <c r="F2680" s="432"/>
      <c r="G2680" s="434"/>
      <c r="H2680" s="434"/>
      <c r="I2680" s="240"/>
    </row>
    <row r="2681" outlineLevel="1">
      <c r="A2681" s="422"/>
      <c r="B2681" s="428"/>
      <c r="C2681" s="502"/>
      <c r="D2681" s="428"/>
      <c r="E2681" s="431"/>
      <c r="F2681" s="432"/>
      <c r="G2681" s="434"/>
      <c r="H2681" s="434"/>
      <c r="I2681" s="240"/>
    </row>
    <row r="2682">
      <c r="A2682" s="422"/>
      <c r="B2682" s="471"/>
      <c r="C2682" s="500">
        <v>18.0</v>
      </c>
      <c r="D2682" s="532" t="s">
        <v>5657</v>
      </c>
      <c r="E2682" s="493"/>
      <c r="F2682" s="214"/>
      <c r="G2682" s="205"/>
      <c r="H2682" s="426">
        <f>SUM(H2690:H2748)</f>
        <v>9916.335</v>
      </c>
      <c r="I2682" s="427">
        <f>H2682-Resumo!J46</f>
        <v>-4302.265</v>
      </c>
    </row>
    <row r="2683" outlineLevel="1">
      <c r="A2683" s="422"/>
      <c r="B2683" s="472"/>
      <c r="C2683" s="502"/>
      <c r="D2683" s="525"/>
      <c r="E2683" s="526"/>
      <c r="F2683" s="527"/>
      <c r="G2683" s="439"/>
      <c r="H2683" s="239"/>
      <c r="I2683" s="240"/>
    </row>
    <row r="2684" outlineLevel="1">
      <c r="A2684" s="422"/>
      <c r="B2684" s="472"/>
      <c r="C2684" s="502"/>
      <c r="D2684" s="533" t="s">
        <v>5658</v>
      </c>
      <c r="E2684" s="431"/>
      <c r="F2684" s="432"/>
      <c r="G2684" s="436">
        <f>SUM(H2690:H2748)</f>
        <v>9916.335</v>
      </c>
      <c r="H2684" s="434"/>
      <c r="I2684" s="240"/>
    </row>
    <row r="2685" outlineLevel="2">
      <c r="A2685" s="422"/>
      <c r="B2685" s="472"/>
      <c r="C2685" s="559"/>
      <c r="D2685" s="525"/>
      <c r="E2685" s="431"/>
      <c r="F2685" s="432"/>
      <c r="G2685" s="434"/>
      <c r="H2685" s="434"/>
      <c r="I2685" s="240"/>
    </row>
    <row r="2686" outlineLevel="2">
      <c r="A2686" s="422"/>
      <c r="B2686" s="472"/>
      <c r="C2686" s="559"/>
      <c r="D2686" s="525" t="s">
        <v>1524</v>
      </c>
      <c r="E2686" s="431"/>
      <c r="F2686" s="432"/>
      <c r="G2686" s="434"/>
      <c r="H2686" s="434"/>
      <c r="I2686" s="240"/>
    </row>
    <row r="2687" outlineLevel="2">
      <c r="A2687" s="422"/>
      <c r="B2687" s="472"/>
      <c r="C2687" s="559"/>
      <c r="D2687" s="428"/>
      <c r="E2687" s="431"/>
      <c r="F2687" s="432"/>
      <c r="G2687" s="434"/>
      <c r="H2687" s="434"/>
      <c r="I2687" s="240"/>
    </row>
    <row r="2688" outlineLevel="2">
      <c r="A2688" s="422"/>
      <c r="B2688" s="472"/>
      <c r="C2688" s="517" t="s">
        <v>3358</v>
      </c>
      <c r="D2688" s="365" t="s">
        <v>1526</v>
      </c>
      <c r="E2688" s="437"/>
      <c r="F2688" s="366"/>
      <c r="G2688" s="367"/>
      <c r="H2688" s="367"/>
      <c r="I2688" s="116"/>
    </row>
    <row r="2689" outlineLevel="2">
      <c r="A2689" s="422"/>
      <c r="B2689" s="472"/>
      <c r="C2689" s="514"/>
      <c r="D2689" s="229"/>
      <c r="E2689" s="437"/>
      <c r="F2689" s="366"/>
      <c r="G2689" s="367"/>
      <c r="H2689" s="367"/>
      <c r="I2689" s="116"/>
    </row>
    <row r="2690" outlineLevel="2">
      <c r="A2690" s="422" t="str">
        <f>'Master List'!A814</f>
        <v>W-PRT-008</v>
      </c>
      <c r="B2690" s="472"/>
      <c r="C2690" s="505"/>
      <c r="D2690" s="462" t="str">
        <f>VLOOKUP(A2690,'Master List'!$A$1:$C$1192,2,FALSE)</f>
        <v>Прокладання гофротруби діаметром до 40мм</v>
      </c>
      <c r="E2690" s="463" t="str">
        <f>VLOOKUP(A2690,'Master List'!$A$1:$C$1192,3,FALSE)</f>
        <v>м</v>
      </c>
      <c r="F2690" s="464">
        <f>F2693+F2694</f>
        <v>413</v>
      </c>
      <c r="G2690" s="463">
        <f>VLOOKUP(A2690,'Master List'!$A$4:$F5420,5,FALSE)</f>
        <v>3.25</v>
      </c>
      <c r="H2690" s="206">
        <f t="shared" ref="H2690:H2691" si="279">G2690*F2690</f>
        <v>1342.25</v>
      </c>
      <c r="I2690" s="116"/>
    </row>
    <row r="2691" outlineLevel="2">
      <c r="A2691" s="422" t="str">
        <f>'Master List'!A815</f>
        <v>W-PRT-009</v>
      </c>
      <c r="B2691" s="472"/>
      <c r="C2691" s="505"/>
      <c r="D2691" s="462" t="str">
        <f>VLOOKUP(A2691,'Master List'!$A$1:$C$1192,2,FALSE)</f>
        <v>Прокладання гофротруби діаметром до 63мм</v>
      </c>
      <c r="E2691" s="463" t="str">
        <f>VLOOKUP(A2691,'Master List'!$A$1:$C$1192,3,FALSE)</f>
        <v>м</v>
      </c>
      <c r="F2691" s="464">
        <f>F2695</f>
        <v>10</v>
      </c>
      <c r="G2691" s="463">
        <f>VLOOKUP(A2691,'Master List'!$A$4:$F5421,5,FALSE)</f>
        <v>4.55</v>
      </c>
      <c r="H2691" s="206">
        <f t="shared" si="279"/>
        <v>45.5</v>
      </c>
      <c r="I2691" s="116"/>
    </row>
    <row r="2692" outlineLevel="2">
      <c r="A2692" s="422"/>
      <c r="B2692" s="472"/>
      <c r="C2692" s="559"/>
      <c r="D2692" s="428"/>
      <c r="E2692" s="431"/>
      <c r="F2692" s="432"/>
      <c r="G2692" s="434"/>
      <c r="H2692" s="434"/>
      <c r="I2692" s="240"/>
    </row>
    <row r="2693" outlineLevel="2">
      <c r="A2693" s="422" t="str">
        <f>'Master List'!A415</f>
        <v>M-PRT-031</v>
      </c>
      <c r="B2693" s="472"/>
      <c r="C2693" s="513" t="s">
        <v>3360</v>
      </c>
      <c r="D2693" s="332" t="s">
        <v>1527</v>
      </c>
      <c r="E2693" s="444" t="s">
        <v>161</v>
      </c>
      <c r="F2693" s="334">
        <v>369.0</v>
      </c>
      <c r="G2693" s="463">
        <f>VLOOKUP(A2693,'Master List'!$A$4:$F5423,5,FALSE)</f>
        <v>1.066</v>
      </c>
      <c r="H2693" s="206">
        <f t="shared" ref="H2693:H2695" si="280">G2693*F2693</f>
        <v>393.354</v>
      </c>
      <c r="I2693" s="336"/>
    </row>
    <row r="2694" outlineLevel="2">
      <c r="A2694" s="422" t="str">
        <f>'Master List'!A407</f>
        <v>M-PRT-023</v>
      </c>
      <c r="B2694" s="472"/>
      <c r="C2694" s="513" t="s">
        <v>3361</v>
      </c>
      <c r="D2694" s="332" t="s">
        <v>1528</v>
      </c>
      <c r="E2694" s="444" t="s">
        <v>161</v>
      </c>
      <c r="F2694" s="334">
        <v>44.0</v>
      </c>
      <c r="G2694" s="463">
        <f>VLOOKUP(A2694,'Master List'!$A$4:$F5424,5,FALSE)</f>
        <v>0.754</v>
      </c>
      <c r="H2694" s="206">
        <f t="shared" si="280"/>
        <v>33.176</v>
      </c>
      <c r="I2694" s="336"/>
    </row>
    <row r="2695" outlineLevel="2">
      <c r="A2695" s="422" t="str">
        <f>'Master List'!A406</f>
        <v>M-PRT-022</v>
      </c>
      <c r="B2695" s="472"/>
      <c r="C2695" s="513" t="s">
        <v>3362</v>
      </c>
      <c r="D2695" s="332" t="s">
        <v>1529</v>
      </c>
      <c r="E2695" s="444" t="s">
        <v>161</v>
      </c>
      <c r="F2695" s="334">
        <v>10.0</v>
      </c>
      <c r="G2695" s="463">
        <f>VLOOKUP(A2695,'Master List'!$A$4:$F5425,5,FALSE)</f>
        <v>1.274</v>
      </c>
      <c r="H2695" s="206">
        <f t="shared" si="280"/>
        <v>12.74</v>
      </c>
      <c r="I2695" s="336"/>
    </row>
    <row r="2696" outlineLevel="2">
      <c r="A2696" s="422"/>
      <c r="B2696" s="472"/>
      <c r="C2696" s="559"/>
      <c r="D2696" s="428"/>
      <c r="E2696" s="431"/>
      <c r="F2696" s="432"/>
      <c r="G2696" s="434"/>
      <c r="H2696" s="434"/>
      <c r="I2696" s="240"/>
    </row>
    <row r="2697" outlineLevel="2">
      <c r="A2697" s="422"/>
      <c r="B2697" s="472"/>
      <c r="C2697" s="517" t="s">
        <v>3363</v>
      </c>
      <c r="D2697" s="365" t="s">
        <v>1531</v>
      </c>
      <c r="E2697" s="437"/>
      <c r="F2697" s="366"/>
      <c r="G2697" s="367"/>
      <c r="H2697" s="367"/>
      <c r="I2697" s="116"/>
    </row>
    <row r="2698" outlineLevel="2">
      <c r="A2698" s="422"/>
      <c r="B2698" s="472"/>
      <c r="C2698" s="514"/>
      <c r="D2698" s="229"/>
      <c r="E2698" s="437"/>
      <c r="F2698" s="366"/>
      <c r="G2698" s="367"/>
      <c r="H2698" s="367"/>
      <c r="I2698" s="116"/>
    </row>
    <row r="2699" outlineLevel="2">
      <c r="A2699" s="422" t="str">
        <f>'Master List'!A837</f>
        <v>W-PRT-031</v>
      </c>
      <c r="B2699" s="472"/>
      <c r="C2699" s="505"/>
      <c r="D2699" s="462" t="str">
        <f>VLOOKUP(A2699,'Master List'!$A$1:$C$1192,2,FALSE)</f>
        <v>Монтаж камери САМ</v>
      </c>
      <c r="E2699" s="463" t="str">
        <f>VLOOKUP(A2699,'Master List'!$A$1:$C$1192,3,FALSE)</f>
        <v>шт</v>
      </c>
      <c r="F2699" s="464">
        <v>1.0</v>
      </c>
      <c r="G2699" s="463">
        <f>VLOOKUP(A2699,'Master List'!$A$4:$F5430,5,FALSE)</f>
        <v>58.5</v>
      </c>
      <c r="H2699" s="206">
        <f t="shared" ref="H2699:H2700" si="281">G2699*F2699</f>
        <v>58.5</v>
      </c>
      <c r="I2699" s="116"/>
    </row>
    <row r="2700" outlineLevel="2">
      <c r="A2700" s="422" t="str">
        <f>'Master List'!A817</f>
        <v>W-PRT-011</v>
      </c>
      <c r="B2700" s="472"/>
      <c r="C2700" s="505"/>
      <c r="D2700" s="462" t="str">
        <f>VLOOKUP(A2700,'Master List'!$A$1:$C$1192,2,FALSE)</f>
        <v>Монтаж коробок оглядових</v>
      </c>
      <c r="E2700" s="463" t="str">
        <f>VLOOKUP(A2700,'Master List'!$A$1:$C$1192,3,FALSE)</f>
        <v>шт</v>
      </c>
      <c r="F2700" s="464">
        <v>1.0</v>
      </c>
      <c r="G2700" s="463">
        <f>VLOOKUP(A2700,'Master List'!$A$4:$F5431,5,FALSE)</f>
        <v>39</v>
      </c>
      <c r="H2700" s="206">
        <f t="shared" si="281"/>
        <v>39</v>
      </c>
      <c r="I2700" s="116"/>
    </row>
    <row r="2701" outlineLevel="2">
      <c r="A2701" s="422"/>
      <c r="B2701" s="472"/>
      <c r="C2701" s="559"/>
      <c r="D2701" s="428"/>
      <c r="E2701" s="431"/>
      <c r="F2701" s="432"/>
      <c r="G2701" s="434"/>
      <c r="H2701" s="434"/>
      <c r="I2701" s="240"/>
    </row>
    <row r="2702" outlineLevel="2">
      <c r="A2702" s="422" t="str">
        <f>'Master List'!A451</f>
        <v>M-PRT-067</v>
      </c>
      <c r="B2702" s="472"/>
      <c r="C2702" s="513" t="s">
        <v>3365</v>
      </c>
      <c r="D2702" s="332" t="s">
        <v>1532</v>
      </c>
      <c r="E2702" s="444" t="s">
        <v>75</v>
      </c>
      <c r="F2702" s="334">
        <v>1.0</v>
      </c>
      <c r="G2702" s="463">
        <f>VLOOKUP(A2702,'Master List'!$A$4:$F5433,5,FALSE)</f>
        <v>48.672</v>
      </c>
      <c r="H2702" s="206">
        <f t="shared" ref="H2702:H2703" si="282">G2702*F2702</f>
        <v>48.672</v>
      </c>
      <c r="I2702" s="336"/>
    </row>
    <row r="2703" outlineLevel="2">
      <c r="A2703" s="422" t="str">
        <f>'Master List'!A411</f>
        <v>M-PRT-027</v>
      </c>
      <c r="B2703" s="472"/>
      <c r="C2703" s="513" t="s">
        <v>3366</v>
      </c>
      <c r="D2703" s="332" t="s">
        <v>1533</v>
      </c>
      <c r="E2703" s="444" t="s">
        <v>75</v>
      </c>
      <c r="F2703" s="334">
        <v>1.0</v>
      </c>
      <c r="G2703" s="463">
        <f>VLOOKUP(A2703,'Master List'!$A$4:$F5434,5,FALSE)</f>
        <v>8.424</v>
      </c>
      <c r="H2703" s="206">
        <f t="shared" si="282"/>
        <v>8.424</v>
      </c>
      <c r="I2703" s="336"/>
    </row>
    <row r="2704" outlineLevel="2">
      <c r="A2704" s="422"/>
      <c r="B2704" s="472"/>
      <c r="C2704" s="559"/>
      <c r="D2704" s="428"/>
      <c r="E2704" s="431"/>
      <c r="F2704" s="432"/>
      <c r="G2704" s="434"/>
      <c r="H2704" s="434"/>
      <c r="I2704" s="240"/>
    </row>
    <row r="2705" outlineLevel="2">
      <c r="A2705" s="422"/>
      <c r="B2705" s="472"/>
      <c r="C2705" s="503">
        <v>18.3</v>
      </c>
      <c r="D2705" s="560" t="s">
        <v>1535</v>
      </c>
      <c r="E2705" s="431"/>
      <c r="F2705" s="432"/>
      <c r="G2705" s="434"/>
      <c r="H2705" s="434"/>
      <c r="I2705" s="240"/>
    </row>
    <row r="2706" outlineLevel="2">
      <c r="A2706" s="422"/>
      <c r="B2706" s="472"/>
      <c r="C2706" s="559"/>
      <c r="D2706" s="428"/>
      <c r="E2706" s="431"/>
      <c r="F2706" s="432"/>
      <c r="G2706" s="434"/>
      <c r="H2706" s="434"/>
      <c r="I2706" s="240"/>
    </row>
    <row r="2707" outlineLevel="2">
      <c r="A2707" s="422" t="str">
        <f>'Master List'!A838</f>
        <v>W-PRT-032</v>
      </c>
      <c r="B2707" s="472"/>
      <c r="C2707" s="513" t="s">
        <v>3369</v>
      </c>
      <c r="D2707" s="332" t="s">
        <v>1536</v>
      </c>
      <c r="E2707" s="444" t="s">
        <v>33</v>
      </c>
      <c r="F2707" s="361">
        <v>1.0</v>
      </c>
      <c r="G2707" s="463">
        <f>VLOOKUP(A2707,'Master List'!$A$4:$F5438,5,FALSE)</f>
        <v>253.5</v>
      </c>
      <c r="H2707" s="206">
        <f>G2707*F2707</f>
        <v>253.5</v>
      </c>
      <c r="I2707" s="336"/>
    </row>
    <row r="2708" outlineLevel="2">
      <c r="A2708" s="422"/>
      <c r="B2708" s="472"/>
      <c r="C2708" s="559"/>
      <c r="D2708" s="428"/>
      <c r="E2708" s="431"/>
      <c r="F2708" s="432"/>
      <c r="G2708" s="434"/>
      <c r="H2708" s="434"/>
      <c r="I2708" s="240"/>
    </row>
    <row r="2709" outlineLevel="2">
      <c r="A2709" s="422"/>
      <c r="B2709" s="472"/>
      <c r="C2709" s="503">
        <v>18.4</v>
      </c>
      <c r="D2709" s="560" t="s">
        <v>1538</v>
      </c>
      <c r="E2709" s="431"/>
      <c r="F2709" s="432"/>
      <c r="G2709" s="434"/>
      <c r="H2709" s="434"/>
      <c r="I2709" s="240"/>
    </row>
    <row r="2710" outlineLevel="2">
      <c r="A2710" s="422"/>
      <c r="B2710" s="472"/>
      <c r="C2710" s="559"/>
      <c r="D2710" s="525"/>
      <c r="E2710" s="431"/>
      <c r="F2710" s="432"/>
      <c r="G2710" s="434"/>
      <c r="H2710" s="434"/>
      <c r="I2710" s="240"/>
    </row>
    <row r="2711" outlineLevel="2">
      <c r="A2711" s="422" t="str">
        <f>'Master List'!A825</f>
        <v>W-PRT-019</v>
      </c>
      <c r="B2711" s="472"/>
      <c r="C2711" s="505"/>
      <c r="D2711" s="462" t="str">
        <f>VLOOKUP(A2711,'Master List'!$A$1:$C$1192,2,FALSE)</f>
        <v>Монтаж коробки для апаратури</v>
      </c>
      <c r="E2711" s="463" t="str">
        <f>VLOOKUP(A2711,'Master List'!$A$1:$C$1192,3,FALSE)</f>
        <v>шт</v>
      </c>
      <c r="F2711" s="464">
        <f>F2713+F2714</f>
        <v>26</v>
      </c>
      <c r="G2711" s="463">
        <f>VLOOKUP(A2711,'Master List'!$A$4:$F5443,5,FALSE)</f>
        <v>22.1</v>
      </c>
      <c r="H2711" s="206">
        <f>G2711*F2711</f>
        <v>574.6</v>
      </c>
      <c r="I2711" s="240"/>
    </row>
    <row r="2712" outlineLevel="2">
      <c r="A2712" s="422"/>
      <c r="B2712" s="472"/>
      <c r="C2712" s="559"/>
      <c r="D2712" s="428"/>
      <c r="E2712" s="431"/>
      <c r="F2712" s="432"/>
      <c r="G2712" s="434"/>
      <c r="H2712" s="434"/>
      <c r="I2712" s="240"/>
    </row>
    <row r="2713" outlineLevel="2">
      <c r="A2713" s="422" t="str">
        <f>'Master List'!A452</f>
        <v>M-PRT-068</v>
      </c>
      <c r="B2713" s="472"/>
      <c r="C2713" s="513" t="s">
        <v>3372</v>
      </c>
      <c r="D2713" s="332" t="s">
        <v>1539</v>
      </c>
      <c r="E2713" s="444" t="s">
        <v>75</v>
      </c>
      <c r="F2713" s="361">
        <v>23.0</v>
      </c>
      <c r="G2713" s="463">
        <f>VLOOKUP(A2713,'Master List'!$A$4:$F5445,5,FALSE)</f>
        <v>0.975</v>
      </c>
      <c r="H2713" s="206">
        <f t="shared" ref="H2713:H2714" si="283">G2713*F2713</f>
        <v>22.425</v>
      </c>
      <c r="I2713" s="336"/>
    </row>
    <row r="2714" outlineLevel="2">
      <c r="A2714" s="422" t="str">
        <f>'Master List'!A449</f>
        <v>M-PRT-065</v>
      </c>
      <c r="B2714" s="472"/>
      <c r="C2714" s="513" t="s">
        <v>3374</v>
      </c>
      <c r="D2714" s="332" t="s">
        <v>1540</v>
      </c>
      <c r="E2714" s="444" t="s">
        <v>75</v>
      </c>
      <c r="F2714" s="361">
        <v>3.0</v>
      </c>
      <c r="G2714" s="463">
        <f>VLOOKUP(A2714,'Master List'!$A$4:$F5446,5,FALSE)</f>
        <v>46.93</v>
      </c>
      <c r="H2714" s="206">
        <f t="shared" si="283"/>
        <v>140.79</v>
      </c>
      <c r="I2714" s="336"/>
    </row>
    <row r="2715" outlineLevel="2">
      <c r="A2715" s="422"/>
      <c r="B2715" s="472"/>
      <c r="C2715" s="559"/>
      <c r="D2715" s="428"/>
      <c r="E2715" s="431"/>
      <c r="F2715" s="432"/>
      <c r="G2715" s="434"/>
      <c r="H2715" s="434"/>
      <c r="I2715" s="240"/>
    </row>
    <row r="2716" outlineLevel="2">
      <c r="A2716" s="422"/>
      <c r="B2716" s="472"/>
      <c r="C2716" s="513">
        <v>18.5</v>
      </c>
      <c r="D2716" s="332" t="s">
        <v>1542</v>
      </c>
      <c r="E2716" s="444"/>
      <c r="F2716" s="361"/>
      <c r="G2716" s="362"/>
      <c r="H2716" s="206"/>
      <c r="I2716" s="336"/>
    </row>
    <row r="2717" outlineLevel="2">
      <c r="A2717" s="422"/>
      <c r="B2717" s="472"/>
      <c r="C2717" s="559"/>
      <c r="D2717" s="428"/>
      <c r="E2717" s="431"/>
      <c r="F2717" s="432"/>
      <c r="G2717" s="434"/>
      <c r="H2717" s="434"/>
      <c r="I2717" s="240"/>
    </row>
    <row r="2718" outlineLevel="2">
      <c r="A2718" s="422" t="str">
        <f>'Master List'!A826</f>
        <v>W-PRT-020</v>
      </c>
      <c r="B2718" s="472"/>
      <c r="C2718" s="505"/>
      <c r="D2718" s="462" t="str">
        <f>VLOOKUP(A2718,'Master List'!$A$1:$C$1192,2,FALSE)</f>
        <v>Монтаж розеток і вимикачів</v>
      </c>
      <c r="E2718" s="463" t="str">
        <f>VLOOKUP(A2718,'Master List'!$A$1:$C$1192,3,FALSE)</f>
        <v>шт</v>
      </c>
      <c r="F2718" s="464">
        <f>F2720+F2721+F2722</f>
        <v>23</v>
      </c>
      <c r="G2718" s="463">
        <f>VLOOKUP(A2718,'Master List'!$A$4:$F5451,5,FALSE)</f>
        <v>36.4</v>
      </c>
      <c r="H2718" s="206">
        <f>G2718*F2718</f>
        <v>837.2</v>
      </c>
      <c r="I2718" s="240"/>
    </row>
    <row r="2719" outlineLevel="2">
      <c r="A2719" s="422"/>
      <c r="B2719" s="472"/>
      <c r="C2719" s="559"/>
      <c r="D2719" s="428"/>
      <c r="E2719" s="431"/>
      <c r="F2719" s="432"/>
      <c r="G2719" s="434"/>
      <c r="H2719" s="434"/>
      <c r="I2719" s="240"/>
    </row>
    <row r="2720" outlineLevel="2">
      <c r="A2720" s="422" t="str">
        <f>'Master List'!A453</f>
        <v>M-PRT-069</v>
      </c>
      <c r="B2720" s="472"/>
      <c r="C2720" s="513" t="s">
        <v>3377</v>
      </c>
      <c r="D2720" s="369" t="s">
        <v>1543</v>
      </c>
      <c r="E2720" s="444" t="s">
        <v>75</v>
      </c>
      <c r="F2720" s="361">
        <v>10.0</v>
      </c>
      <c r="G2720" s="463">
        <f>VLOOKUP(A2720,'Master List'!$A$4:$F5453,5,FALSE)</f>
        <v>7.358</v>
      </c>
      <c r="H2720" s="206">
        <f t="shared" ref="H2720:H2722" si="284">G2720*F2720</f>
        <v>73.58</v>
      </c>
      <c r="I2720" s="370"/>
    </row>
    <row r="2721" outlineLevel="2">
      <c r="A2721" s="422" t="str">
        <f>'Master List'!A454</f>
        <v>M-PRT-070</v>
      </c>
      <c r="B2721" s="472"/>
      <c r="C2721" s="513" t="s">
        <v>3379</v>
      </c>
      <c r="D2721" s="369" t="s">
        <v>1544</v>
      </c>
      <c r="E2721" s="444" t="s">
        <v>75</v>
      </c>
      <c r="F2721" s="361">
        <v>12.0</v>
      </c>
      <c r="G2721" s="463">
        <f>VLOOKUP(A2721,'Master List'!$A$4:$F5454,5,FALSE)</f>
        <v>7.02</v>
      </c>
      <c r="H2721" s="206">
        <f t="shared" si="284"/>
        <v>84.24</v>
      </c>
      <c r="I2721" s="370"/>
    </row>
    <row r="2722" outlineLevel="2">
      <c r="A2722" s="422" t="str">
        <f>'Master List'!A455</f>
        <v>M-PRT-071</v>
      </c>
      <c r="B2722" s="472"/>
      <c r="C2722" s="513" t="s">
        <v>3381</v>
      </c>
      <c r="D2722" s="369" t="s">
        <v>1545</v>
      </c>
      <c r="E2722" s="444" t="s">
        <v>75</v>
      </c>
      <c r="F2722" s="361">
        <v>1.0</v>
      </c>
      <c r="G2722" s="463">
        <f>VLOOKUP(A2722,'Master List'!$A$4:$F5455,5,FALSE)</f>
        <v>3.809</v>
      </c>
      <c r="H2722" s="206">
        <f t="shared" si="284"/>
        <v>3.809</v>
      </c>
      <c r="I2722" s="370"/>
    </row>
    <row r="2723" outlineLevel="2">
      <c r="A2723" s="422"/>
      <c r="B2723" s="472"/>
      <c r="C2723" s="559"/>
      <c r="D2723" s="428"/>
      <c r="E2723" s="431"/>
      <c r="F2723" s="432"/>
      <c r="G2723" s="434"/>
      <c r="H2723" s="434"/>
      <c r="I2723" s="240"/>
    </row>
    <row r="2724" outlineLevel="2">
      <c r="A2724" s="422"/>
      <c r="B2724" s="472"/>
      <c r="C2724" s="503">
        <v>18.6</v>
      </c>
      <c r="D2724" s="560" t="s">
        <v>1547</v>
      </c>
      <c r="E2724" s="431"/>
      <c r="F2724" s="432"/>
      <c r="G2724" s="434"/>
      <c r="H2724" s="434"/>
      <c r="I2724" s="240"/>
    </row>
    <row r="2725" outlineLevel="2">
      <c r="A2725" s="422"/>
      <c r="B2725" s="472"/>
      <c r="C2725" s="559"/>
      <c r="D2725" s="428"/>
      <c r="E2725" s="431"/>
      <c r="F2725" s="432"/>
      <c r="G2725" s="434"/>
      <c r="H2725" s="434"/>
      <c r="I2725" s="240"/>
    </row>
    <row r="2726" outlineLevel="2">
      <c r="A2726" s="422" t="str">
        <f>'Master List'!A839</f>
        <v>W-PRT-033</v>
      </c>
      <c r="B2726" s="472"/>
      <c r="C2726" s="513" t="s">
        <v>3384</v>
      </c>
      <c r="D2726" s="369" t="s">
        <v>1548</v>
      </c>
      <c r="E2726" s="444" t="s">
        <v>75</v>
      </c>
      <c r="F2726" s="361">
        <v>1.0</v>
      </c>
      <c r="G2726" s="463">
        <f>VLOOKUP(A2726,'Master List'!$A$4:$F5459,5,FALSE)</f>
        <v>84.5</v>
      </c>
      <c r="H2726" s="206">
        <f t="shared" ref="H2726:H2727" si="285">G2726*F2726</f>
        <v>84.5</v>
      </c>
      <c r="I2726" s="370"/>
    </row>
    <row r="2727" outlineLevel="2">
      <c r="A2727" s="422" t="str">
        <f>'Master List'!A840</f>
        <v>W-PRT-034</v>
      </c>
      <c r="B2727" s="472"/>
      <c r="C2727" s="513" t="s">
        <v>3386</v>
      </c>
      <c r="D2727" s="369" t="s">
        <v>1549</v>
      </c>
      <c r="E2727" s="444" t="s">
        <v>75</v>
      </c>
      <c r="F2727" s="361">
        <v>1.0</v>
      </c>
      <c r="G2727" s="463">
        <f>VLOOKUP(A2727,'Master List'!$A$4:$F5460,5,FALSE)</f>
        <v>35.1</v>
      </c>
      <c r="H2727" s="206">
        <f t="shared" si="285"/>
        <v>35.1</v>
      </c>
      <c r="I2727" s="370"/>
    </row>
    <row r="2728" outlineLevel="2">
      <c r="A2728" s="422"/>
      <c r="B2728" s="472"/>
      <c r="C2728" s="559"/>
      <c r="D2728" s="428"/>
      <c r="E2728" s="431"/>
      <c r="F2728" s="432"/>
      <c r="G2728" s="434"/>
      <c r="H2728" s="434"/>
      <c r="I2728" s="240"/>
    </row>
    <row r="2729" outlineLevel="2">
      <c r="A2729" s="422"/>
      <c r="B2729" s="472"/>
      <c r="C2729" s="503">
        <v>18.7</v>
      </c>
      <c r="D2729" s="560" t="s">
        <v>1551</v>
      </c>
      <c r="E2729" s="431"/>
      <c r="F2729" s="432"/>
      <c r="G2729" s="434"/>
      <c r="H2729" s="434"/>
      <c r="I2729" s="240"/>
    </row>
    <row r="2730" outlineLevel="2">
      <c r="A2730" s="422"/>
      <c r="B2730" s="472"/>
      <c r="C2730" s="559"/>
      <c r="D2730" s="428"/>
      <c r="E2730" s="431"/>
      <c r="F2730" s="432"/>
      <c r="G2730" s="434"/>
      <c r="H2730" s="434"/>
      <c r="I2730" s="240"/>
    </row>
    <row r="2731" outlineLevel="2">
      <c r="A2731" s="422" t="str">
        <f>'Master List'!A821</f>
        <v>W-PRT-015</v>
      </c>
      <c r="B2731" s="472"/>
      <c r="C2731" s="505"/>
      <c r="D2731" s="462" t="str">
        <f>VLOOKUP(A2731,'Master List'!$A$1:$C$1192,2,FALSE)</f>
        <v>Прокладання проводів перерізом до 6мм2</v>
      </c>
      <c r="E2731" s="463" t="str">
        <f>VLOOKUP(A2731,'Master List'!$A$1:$C$1192,3,FALSE)</f>
        <v>м</v>
      </c>
      <c r="F2731" s="464">
        <f>F2733+F2734+F2735</f>
        <v>1114</v>
      </c>
      <c r="G2731" s="463">
        <f>VLOOKUP(A2731,'Master List'!$A$4:$F5465,5,FALSE)</f>
        <v>2.86</v>
      </c>
      <c r="H2731" s="206">
        <f>G2731*F2731</f>
        <v>3186.04</v>
      </c>
      <c r="I2731" s="240"/>
    </row>
    <row r="2732" outlineLevel="2">
      <c r="A2732" s="422"/>
      <c r="B2732" s="472"/>
      <c r="C2732" s="559"/>
      <c r="D2732" s="428"/>
      <c r="E2732" s="431"/>
      <c r="F2732" s="432"/>
      <c r="G2732" s="434"/>
      <c r="H2732" s="434"/>
      <c r="I2732" s="240"/>
    </row>
    <row r="2733" outlineLevel="2">
      <c r="A2733" s="422" t="str">
        <f>'Master List'!A456</f>
        <v>M-PRT-072</v>
      </c>
      <c r="B2733" s="472"/>
      <c r="C2733" s="513" t="s">
        <v>3389</v>
      </c>
      <c r="D2733" s="369" t="s">
        <v>1552</v>
      </c>
      <c r="E2733" s="444" t="s">
        <v>161</v>
      </c>
      <c r="F2733" s="361">
        <v>532.0</v>
      </c>
      <c r="G2733" s="463">
        <f>VLOOKUP(A2733,'Master List'!$A$4:$F5467,5,FALSE)</f>
        <v>1.781</v>
      </c>
      <c r="H2733" s="206">
        <f t="shared" ref="H2733:H2735" si="286">G2733*F2733</f>
        <v>947.492</v>
      </c>
      <c r="I2733" s="370"/>
    </row>
    <row r="2734" outlineLevel="2">
      <c r="A2734" s="422" t="str">
        <f>'Master List'!A457</f>
        <v>M-PRT-073</v>
      </c>
      <c r="B2734" s="472"/>
      <c r="C2734" s="513" t="s">
        <v>3391</v>
      </c>
      <c r="D2734" s="369" t="s">
        <v>1553</v>
      </c>
      <c r="E2734" s="444" t="s">
        <v>161</v>
      </c>
      <c r="F2734" s="361">
        <v>557.0</v>
      </c>
      <c r="G2734" s="463">
        <f>VLOOKUP(A2734,'Master List'!$A$4:$F5468,5,FALSE)</f>
        <v>2.067</v>
      </c>
      <c r="H2734" s="206">
        <f t="shared" si="286"/>
        <v>1151.319</v>
      </c>
      <c r="I2734" s="370"/>
    </row>
    <row r="2735" outlineLevel="2">
      <c r="A2735" s="422" t="str">
        <f>'Master List'!A458</f>
        <v>M-PRT-074</v>
      </c>
      <c r="B2735" s="472"/>
      <c r="C2735" s="513" t="s">
        <v>3393</v>
      </c>
      <c r="D2735" s="369" t="s">
        <v>1554</v>
      </c>
      <c r="E2735" s="444" t="s">
        <v>161</v>
      </c>
      <c r="F2735" s="361">
        <v>25.0</v>
      </c>
      <c r="G2735" s="463">
        <f>VLOOKUP(A2735,'Master List'!$A$4:$F5469,5,FALSE)</f>
        <v>3.887</v>
      </c>
      <c r="H2735" s="206">
        <f t="shared" si="286"/>
        <v>97.175</v>
      </c>
      <c r="I2735" s="370"/>
    </row>
    <row r="2736" outlineLevel="2">
      <c r="A2736" s="422"/>
      <c r="B2736" s="472"/>
      <c r="C2736" s="559"/>
      <c r="D2736" s="428"/>
      <c r="E2736" s="431"/>
      <c r="F2736" s="432"/>
      <c r="G2736" s="434"/>
      <c r="H2736" s="434"/>
      <c r="I2736" s="240"/>
    </row>
    <row r="2737" outlineLevel="2">
      <c r="A2737" s="422"/>
      <c r="B2737" s="472"/>
      <c r="C2737" s="503">
        <v>18.8</v>
      </c>
      <c r="D2737" s="560" t="s">
        <v>928</v>
      </c>
      <c r="E2737" s="431"/>
      <c r="F2737" s="432"/>
      <c r="G2737" s="434"/>
      <c r="H2737" s="434"/>
      <c r="I2737" s="240"/>
    </row>
    <row r="2738" outlineLevel="2">
      <c r="A2738" s="422"/>
      <c r="B2738" s="472"/>
      <c r="C2738" s="559"/>
      <c r="D2738" s="428"/>
      <c r="E2738" s="431"/>
      <c r="F2738" s="432"/>
      <c r="G2738" s="434"/>
      <c r="H2738" s="434"/>
      <c r="I2738" s="240"/>
    </row>
    <row r="2739" outlineLevel="2">
      <c r="A2739" s="422" t="str">
        <f>'Master List'!A821</f>
        <v>W-PRT-015</v>
      </c>
      <c r="B2739" s="472"/>
      <c r="C2739" s="505"/>
      <c r="D2739" s="462" t="str">
        <f>VLOOKUP(A2739,'Master List'!$A$1:$C$1192,2,FALSE)</f>
        <v>Прокладання проводів перерізом до 6мм2</v>
      </c>
      <c r="E2739" s="463" t="str">
        <f>VLOOKUP(A2739,'Master List'!$A$1:$C$1192,3,FALSE)</f>
        <v>м</v>
      </c>
      <c r="F2739" s="464">
        <f>F2741+F2742</f>
        <v>32</v>
      </c>
      <c r="G2739" s="463">
        <f>VLOOKUP(A2739,'Master List'!$A$4:$F5473,5,FALSE)</f>
        <v>2.86</v>
      </c>
      <c r="H2739" s="206">
        <f>G2739*F2739</f>
        <v>91.52</v>
      </c>
      <c r="I2739" s="240"/>
    </row>
    <row r="2740" outlineLevel="2">
      <c r="A2740" s="422"/>
      <c r="B2740" s="472"/>
      <c r="C2740" s="559"/>
      <c r="D2740" s="428"/>
      <c r="E2740" s="431"/>
      <c r="F2740" s="432"/>
      <c r="G2740" s="434"/>
      <c r="H2740" s="434"/>
      <c r="I2740" s="240"/>
    </row>
    <row r="2741" outlineLevel="2">
      <c r="A2741" s="422" t="str">
        <f>'Master List'!A459</f>
        <v>M-PRT-075</v>
      </c>
      <c r="B2741" s="472"/>
      <c r="C2741" s="513" t="s">
        <v>3395</v>
      </c>
      <c r="D2741" s="369" t="s">
        <v>1556</v>
      </c>
      <c r="E2741" s="444" t="s">
        <v>161</v>
      </c>
      <c r="F2741" s="361">
        <v>13.0</v>
      </c>
      <c r="G2741" s="463">
        <f>VLOOKUP(A2741,'Master List'!$A$4:$F5475,5,FALSE)</f>
        <v>1.365</v>
      </c>
      <c r="H2741" s="206">
        <f t="shared" ref="H2741:H2742" si="287">G2741*F2741</f>
        <v>17.745</v>
      </c>
      <c r="I2741" s="370"/>
    </row>
    <row r="2742" outlineLevel="2">
      <c r="A2742" s="422" t="str">
        <f>'Master List'!A460</f>
        <v>M-PRT-076</v>
      </c>
      <c r="B2742" s="472"/>
      <c r="C2742" s="513" t="s">
        <v>3396</v>
      </c>
      <c r="D2742" s="369" t="s">
        <v>1557</v>
      </c>
      <c r="E2742" s="444" t="s">
        <v>161</v>
      </c>
      <c r="F2742" s="361">
        <v>19.0</v>
      </c>
      <c r="G2742" s="463">
        <f>VLOOKUP(A2742,'Master List'!$A$4:$F5476,5,FALSE)</f>
        <v>3.536</v>
      </c>
      <c r="H2742" s="206">
        <f t="shared" si="287"/>
        <v>67.184</v>
      </c>
      <c r="I2742" s="370"/>
    </row>
    <row r="2743" outlineLevel="2">
      <c r="A2743" s="422"/>
      <c r="B2743" s="472"/>
      <c r="C2743" s="559"/>
      <c r="D2743" s="428"/>
      <c r="E2743" s="431"/>
      <c r="F2743" s="432"/>
      <c r="G2743" s="434"/>
      <c r="H2743" s="434"/>
      <c r="I2743" s="240"/>
    </row>
    <row r="2744" outlineLevel="2">
      <c r="A2744" s="422"/>
      <c r="B2744" s="472"/>
      <c r="C2744" s="503">
        <v>18.9</v>
      </c>
      <c r="D2744" s="560" t="s">
        <v>1430</v>
      </c>
      <c r="E2744" s="431"/>
      <c r="F2744" s="432"/>
      <c r="G2744" s="434"/>
      <c r="H2744" s="434"/>
      <c r="I2744" s="240"/>
    </row>
    <row r="2745" outlineLevel="2">
      <c r="A2745" s="422"/>
      <c r="B2745" s="472"/>
      <c r="C2745" s="559"/>
      <c r="D2745" s="428"/>
      <c r="E2745" s="431"/>
      <c r="F2745" s="432"/>
      <c r="G2745" s="434"/>
      <c r="H2745" s="434"/>
      <c r="I2745" s="240"/>
    </row>
    <row r="2746" outlineLevel="2">
      <c r="A2746" s="422" t="str">
        <f>'Master List'!A841</f>
        <v>W-PRT-035</v>
      </c>
      <c r="B2746" s="472"/>
      <c r="C2746" s="513" t="s">
        <v>3397</v>
      </c>
      <c r="D2746" s="369" t="s">
        <v>1135</v>
      </c>
      <c r="E2746" s="444" t="s">
        <v>33</v>
      </c>
      <c r="F2746" s="361">
        <v>1.0</v>
      </c>
      <c r="G2746" s="463">
        <f>VLOOKUP(A2746,'Master List'!$A$4:$F5480,5,FALSE)</f>
        <v>156</v>
      </c>
      <c r="H2746" s="206">
        <f>G2746*F2746</f>
        <v>156</v>
      </c>
      <c r="I2746" s="370"/>
    </row>
    <row r="2747" outlineLevel="2">
      <c r="A2747" s="422"/>
      <c r="B2747" s="472"/>
      <c r="C2747" s="559"/>
      <c r="D2747" s="428"/>
      <c r="E2747" s="431"/>
      <c r="F2747" s="432"/>
      <c r="G2747" s="434"/>
      <c r="H2747" s="434"/>
      <c r="I2747" s="240"/>
    </row>
    <row r="2748" outlineLevel="2">
      <c r="A2748" s="422" t="str">
        <f>'Master List'!A842</f>
        <v>W-PRT-036</v>
      </c>
      <c r="B2748" s="472"/>
      <c r="C2748" s="513" t="s">
        <v>3398</v>
      </c>
      <c r="D2748" s="369" t="s">
        <v>1431</v>
      </c>
      <c r="E2748" s="444" t="s">
        <v>33</v>
      </c>
      <c r="F2748" s="361">
        <v>1.0</v>
      </c>
      <c r="G2748" s="463">
        <f>VLOOKUP(A2748,'Master List'!$A$4:$F5482,5,FALSE)</f>
        <v>110.5</v>
      </c>
      <c r="H2748" s="206">
        <f>G2748*F2748</f>
        <v>110.5</v>
      </c>
      <c r="I2748" s="370"/>
    </row>
    <row r="2749" outlineLevel="1">
      <c r="A2749" s="422"/>
      <c r="B2749" s="472"/>
      <c r="C2749" s="559"/>
      <c r="D2749" s="525"/>
      <c r="E2749" s="526"/>
      <c r="F2749" s="527"/>
      <c r="G2749" s="439"/>
      <c r="H2749" s="239"/>
      <c r="I2749" s="240"/>
    </row>
    <row r="2750">
      <c r="A2750" s="422"/>
      <c r="B2750" s="471"/>
      <c r="C2750" s="500">
        <v>19.0</v>
      </c>
      <c r="D2750" s="516" t="s">
        <v>1589</v>
      </c>
      <c r="E2750" s="493"/>
      <c r="F2750" s="214"/>
      <c r="G2750" s="205"/>
      <c r="H2750" s="426">
        <f>SUM(H2758:H2816)</f>
        <v>25064.97041</v>
      </c>
      <c r="I2750" s="427">
        <f>H2750-Resumo!J49</f>
        <v>-13039.72959</v>
      </c>
    </row>
    <row r="2751" outlineLevel="1">
      <c r="A2751" s="422"/>
      <c r="B2751" s="472"/>
      <c r="C2751" s="559"/>
      <c r="D2751" s="525"/>
      <c r="E2751" s="526"/>
      <c r="F2751" s="527"/>
      <c r="G2751" s="439"/>
      <c r="H2751" s="239"/>
      <c r="I2751" s="240"/>
    </row>
    <row r="2752" outlineLevel="1">
      <c r="A2752" s="422"/>
      <c r="B2752" s="472"/>
      <c r="C2752" s="559"/>
      <c r="D2752" s="476" t="s">
        <v>5659</v>
      </c>
      <c r="E2752" s="431"/>
      <c r="F2752" s="432"/>
      <c r="G2752" s="436">
        <f>SUM(H2758:H2816)</f>
        <v>25064.97041</v>
      </c>
      <c r="H2752" s="434"/>
      <c r="I2752" s="240"/>
    </row>
    <row r="2753" outlineLevel="2">
      <c r="A2753" s="422"/>
      <c r="B2753" s="472"/>
      <c r="C2753" s="559"/>
      <c r="D2753" s="525"/>
      <c r="E2753" s="431"/>
      <c r="F2753" s="432"/>
      <c r="G2753" s="434"/>
      <c r="H2753" s="434"/>
      <c r="I2753" s="240"/>
    </row>
    <row r="2754" outlineLevel="2">
      <c r="A2754" s="422"/>
      <c r="B2754" s="472"/>
      <c r="C2754" s="559"/>
      <c r="D2754" s="525" t="s">
        <v>1590</v>
      </c>
      <c r="E2754" s="431"/>
      <c r="F2754" s="432"/>
      <c r="G2754" s="434"/>
      <c r="H2754" s="434"/>
      <c r="I2754" s="240"/>
    </row>
    <row r="2755" outlineLevel="2">
      <c r="A2755" s="422"/>
      <c r="B2755" s="472"/>
      <c r="C2755" s="559"/>
      <c r="D2755" s="428"/>
      <c r="E2755" s="431"/>
      <c r="F2755" s="432"/>
      <c r="G2755" s="434"/>
      <c r="H2755" s="434"/>
      <c r="I2755" s="240"/>
    </row>
    <row r="2756" outlineLevel="2">
      <c r="A2756" s="422"/>
      <c r="B2756" s="472" t="s">
        <v>1591</v>
      </c>
      <c r="C2756" s="503">
        <v>19.1</v>
      </c>
      <c r="D2756" s="561" t="s">
        <v>1592</v>
      </c>
      <c r="E2756" s="431"/>
      <c r="F2756" s="432"/>
      <c r="G2756" s="434"/>
      <c r="H2756" s="434"/>
      <c r="I2756" s="240"/>
    </row>
    <row r="2757" outlineLevel="2">
      <c r="A2757" s="422"/>
      <c r="B2757" s="428"/>
      <c r="C2757" s="559"/>
      <c r="D2757" s="428"/>
      <c r="E2757" s="431"/>
      <c r="F2757" s="432"/>
      <c r="G2757" s="434"/>
      <c r="H2757" s="434"/>
      <c r="I2757" s="240"/>
    </row>
    <row r="2758" outlineLevel="2">
      <c r="A2758" s="422"/>
      <c r="B2758" s="472" t="s">
        <v>1593</v>
      </c>
      <c r="C2758" s="513" t="s">
        <v>3403</v>
      </c>
      <c r="D2758" s="332" t="s">
        <v>1594</v>
      </c>
      <c r="E2758" s="444" t="s">
        <v>40</v>
      </c>
      <c r="F2758" s="361">
        <v>180.0</v>
      </c>
      <c r="G2758" s="362"/>
      <c r="H2758" s="206"/>
      <c r="I2758" s="336"/>
    </row>
    <row r="2759" outlineLevel="2">
      <c r="A2759" s="422"/>
      <c r="B2759" s="472"/>
      <c r="C2759" s="514"/>
      <c r="D2759" s="229"/>
      <c r="E2759" s="437"/>
      <c r="F2759" s="562"/>
      <c r="G2759" s="563"/>
      <c r="H2759" s="239"/>
      <c r="I2759" s="116"/>
    </row>
    <row r="2760" outlineLevel="2">
      <c r="A2760" s="422" t="str">
        <f>'Master List'!A494</f>
        <v>W-CON-001</v>
      </c>
      <c r="B2760" s="472"/>
      <c r="C2760" s="505"/>
      <c r="D2760" s="462" t="str">
        <f>VLOOKUP(A2760,'Master List'!$A$1:$C$1192,2,FALSE)</f>
        <v>Устройство щебеночного основания</v>
      </c>
      <c r="E2760" s="463" t="str">
        <f>VLOOKUP(A2760,'Master List'!$A$1:$C$1192,3,FALSE)</f>
        <v>м3</v>
      </c>
      <c r="F2760" s="464">
        <f>F2758*0.2</f>
        <v>36</v>
      </c>
      <c r="G2760" s="463">
        <f>VLOOKUP(A2760,'Master List'!$A$4:$F5495,5,FALSE)</f>
        <v>7.15</v>
      </c>
      <c r="H2760" s="206">
        <f t="shared" ref="H2760:H2767" si="288">G2760*F2760</f>
        <v>257.4</v>
      </c>
      <c r="I2760" s="116"/>
    </row>
    <row r="2761" outlineLevel="2">
      <c r="A2761" s="422" t="str">
        <f>'Master List'!A495</f>
        <v>W-CON-008</v>
      </c>
      <c r="B2761" s="472"/>
      <c r="C2761" s="505"/>
      <c r="D2761" s="462" t="str">
        <f>VLOOKUP(A2761,'Master List'!$A$1:$C$1192,2,FALSE)</f>
        <v>Влаштування піщаної основи </v>
      </c>
      <c r="E2761" s="463" t="str">
        <f>VLOOKUP(A2761,'Master List'!$A$1:$C$1192,3,FALSE)</f>
        <v>м3</v>
      </c>
      <c r="F2761" s="464">
        <f>F2758*0.05</f>
        <v>9</v>
      </c>
      <c r="G2761" s="463">
        <f>VLOOKUP(A2761,'Master List'!$A$4:$F5496,5,FALSE)</f>
        <v>11.05</v>
      </c>
      <c r="H2761" s="206">
        <f t="shared" si="288"/>
        <v>99.45</v>
      </c>
      <c r="I2761" s="116"/>
    </row>
    <row r="2762" outlineLevel="2">
      <c r="A2762" s="422" t="str">
        <f>'Master List'!A581</f>
        <v>W-LAN-005</v>
      </c>
      <c r="B2762" s="472"/>
      <c r="C2762" s="505"/>
      <c r="D2762" s="462" t="str">
        <f>VLOOKUP(A2762,'Master List'!$A$1:$C$1192,2,FALSE)</f>
        <v>Укладання поліпропіленових решіток для озеленення</v>
      </c>
      <c r="E2762" s="463" t="str">
        <f>VLOOKUP(A2762,'Master List'!$A$1:$C$1192,3,FALSE)</f>
        <v>м2</v>
      </c>
      <c r="F2762" s="464">
        <f>F2758</f>
        <v>180</v>
      </c>
      <c r="G2762" s="463">
        <f>VLOOKUP(A2762,'Master List'!$A$4:$F5497,5,FALSE)</f>
        <v>7.93</v>
      </c>
      <c r="H2762" s="206">
        <f t="shared" si="288"/>
        <v>1427.4</v>
      </c>
      <c r="I2762" s="116"/>
    </row>
    <row r="2763" outlineLevel="2">
      <c r="A2763" s="422" t="str">
        <f>'Master List'!A582</f>
        <v>W-LAN-006</v>
      </c>
      <c r="B2763" s="472"/>
      <c r="C2763" s="505"/>
      <c r="D2763" s="462" t="str">
        <f>VLOOKUP(A2763,'Master List'!$A$1:$C$1192,2,FALSE)</f>
        <v>Заповнення решіток грунтом</v>
      </c>
      <c r="E2763" s="463" t="str">
        <f>VLOOKUP(A2763,'Master List'!$A$1:$C$1192,3,FALSE)</f>
        <v>м2</v>
      </c>
      <c r="F2763" s="464">
        <f>F2758</f>
        <v>180</v>
      </c>
      <c r="G2763" s="463">
        <f>VLOOKUP(A2763,'Master List'!$A$4:$F5498,5,FALSE)</f>
        <v>6.37</v>
      </c>
      <c r="H2763" s="206">
        <f t="shared" si="288"/>
        <v>1146.6</v>
      </c>
      <c r="I2763" s="116"/>
    </row>
    <row r="2764" outlineLevel="2">
      <c r="A2764" s="422" t="str">
        <f>'Master List'!A59</f>
        <v>M-IMP-015</v>
      </c>
      <c r="B2764" s="472"/>
      <c r="C2764" s="505"/>
      <c r="D2764" s="462" t="str">
        <f>VLOOKUP(A2764,'Master List'!$A$1:$C$1192,2,FALSE)</f>
        <v>Щебень №2</v>
      </c>
      <c r="E2764" s="463" t="str">
        <f>VLOOKUP(A2764,'Master List'!$A$1:$C$1192,3,FALSE)</f>
        <v>м3</v>
      </c>
      <c r="F2764" s="464">
        <f>F2760*1.15</f>
        <v>41.4</v>
      </c>
      <c r="G2764" s="463">
        <f>VLOOKUP(A2764,'Master List'!$A$4:$F5496,5,FALSE)</f>
        <v>31.07</v>
      </c>
      <c r="H2764" s="206">
        <f t="shared" si="288"/>
        <v>1286.298</v>
      </c>
      <c r="I2764" s="116"/>
    </row>
    <row r="2765" outlineLevel="2">
      <c r="A2765" s="422" t="str">
        <f>'Master List'!A39</f>
        <v>M-BRK-026</v>
      </c>
      <c r="B2765" s="472"/>
      <c r="C2765" s="505"/>
      <c r="D2765" s="462" t="str">
        <f>VLOOKUP(A2765,'Master List'!$A$1:$C$1192,2,FALSE)</f>
        <v>Песок</v>
      </c>
      <c r="E2765" s="463" t="str">
        <f>VLOOKUP(A2765,'Master List'!$A$1:$C$1192,3,FALSE)</f>
        <v>м3</v>
      </c>
      <c r="F2765" s="464">
        <f>F2761*1.1</f>
        <v>9.9</v>
      </c>
      <c r="G2765" s="463">
        <f>VLOOKUP(A2765,'Master List'!$A$4:$F5497,5,FALSE)</f>
        <v>56.875</v>
      </c>
      <c r="H2765" s="206">
        <f t="shared" si="288"/>
        <v>563.0625</v>
      </c>
      <c r="I2765" s="116"/>
    </row>
    <row r="2766" outlineLevel="2">
      <c r="A2766" s="422" t="str">
        <f>'Master List'!A114</f>
        <v>M-LAN-005</v>
      </c>
      <c r="B2766" s="472"/>
      <c r="C2766" s="505"/>
      <c r="D2766" s="462" t="str">
        <f>VLOOKUP(A2766,'Master List'!$A$1:$C$1192,2,FALSE)</f>
        <v>Поліпропіленові решітки для озеленення</v>
      </c>
      <c r="E2766" s="463" t="str">
        <f>VLOOKUP(A2766,'Master List'!$A$1:$C$1192,3,FALSE)</f>
        <v>м2</v>
      </c>
      <c r="F2766" s="464">
        <f>F2762*1.05</f>
        <v>189</v>
      </c>
      <c r="G2766" s="463">
        <f>VLOOKUP(A2766,'Master List'!$A$4:$F5498,5,FALSE)</f>
        <v>0.975</v>
      </c>
      <c r="H2766" s="206">
        <f t="shared" si="288"/>
        <v>184.275</v>
      </c>
      <c r="I2766" s="116"/>
    </row>
    <row r="2767" outlineLevel="2">
      <c r="A2767" s="422" t="str">
        <f>'Master List'!A115</f>
        <v>M-LAN-006</v>
      </c>
      <c r="B2767" s="472"/>
      <c r="C2767" s="505"/>
      <c r="D2767" s="462" t="str">
        <f>VLOOKUP(A2767,'Master List'!$A$1:$C$1192,2,FALSE)</f>
        <v>Грунт</v>
      </c>
      <c r="E2767" s="463" t="str">
        <f>VLOOKUP(A2767,'Master List'!$A$1:$C$1192,3,FALSE)</f>
        <v>м3</v>
      </c>
      <c r="F2767" s="464">
        <f>F2763*0.03*1.05</f>
        <v>5.67</v>
      </c>
      <c r="G2767" s="463">
        <f>VLOOKUP(A2767,'Master List'!$A$4:$F5499,5,FALSE)</f>
        <v>0</v>
      </c>
      <c r="H2767" s="206">
        <f t="shared" si="288"/>
        <v>0</v>
      </c>
      <c r="I2767" s="116"/>
    </row>
    <row r="2768" outlineLevel="2">
      <c r="A2768" s="422"/>
      <c r="B2768" s="428"/>
      <c r="C2768" s="559"/>
      <c r="D2768" s="428"/>
      <c r="E2768" s="431"/>
      <c r="F2768" s="432"/>
      <c r="G2768" s="434"/>
      <c r="H2768" s="434"/>
      <c r="I2768" s="240"/>
    </row>
    <row r="2769" outlineLevel="2">
      <c r="A2769" s="422"/>
      <c r="B2769" s="472" t="s">
        <v>1595</v>
      </c>
      <c r="C2769" s="513" t="s">
        <v>3405</v>
      </c>
      <c r="D2769" s="369" t="s">
        <v>1596</v>
      </c>
      <c r="E2769" s="444" t="s">
        <v>933</v>
      </c>
      <c r="F2769" s="361">
        <v>10.0</v>
      </c>
      <c r="G2769" s="362"/>
      <c r="H2769" s="206"/>
      <c r="I2769" s="370"/>
    </row>
    <row r="2770" outlineLevel="2">
      <c r="A2770" s="422"/>
      <c r="B2770" s="472"/>
      <c r="C2770" s="514"/>
      <c r="D2770" s="564"/>
      <c r="E2770" s="437"/>
      <c r="F2770" s="562"/>
      <c r="G2770" s="563"/>
      <c r="H2770" s="239"/>
      <c r="I2770" s="565"/>
    </row>
    <row r="2771" outlineLevel="2">
      <c r="A2771" s="422" t="str">
        <f>'Master List'!A583</f>
        <v>W-LAN-007</v>
      </c>
      <c r="B2771" s="472"/>
      <c r="C2771" s="505"/>
      <c r="D2771" s="462" t="str">
        <f>VLOOKUP(A2771,'Master List'!$A$1:$C$1192,2,FALSE)</f>
        <v>Влаштування основи товщиною 5см з рослинного грунту</v>
      </c>
      <c r="E2771" s="463" t="str">
        <f>VLOOKUP(A2771,'Master List'!$A$1:$C$1192,3,FALSE)</f>
        <v>м2</v>
      </c>
      <c r="F2771" s="464">
        <f>F2769/0.05</f>
        <v>200</v>
      </c>
      <c r="G2771" s="463">
        <f>VLOOKUP(A2771,'Master List'!$A$4:$F5503,5,FALSE)</f>
        <v>4.55</v>
      </c>
      <c r="H2771" s="206">
        <f t="shared" ref="H2771:H2772" si="289">G2771*F2771</f>
        <v>910</v>
      </c>
      <c r="I2771" s="565"/>
    </row>
    <row r="2772" outlineLevel="2">
      <c r="A2772" s="422" t="str">
        <f>'Master List'!A115</f>
        <v>M-LAN-006</v>
      </c>
      <c r="B2772" s="472"/>
      <c r="C2772" s="505"/>
      <c r="D2772" s="462" t="str">
        <f>VLOOKUP(A2772,'Master List'!$A$1:$C$1192,2,FALSE)</f>
        <v>Грунт</v>
      </c>
      <c r="E2772" s="463" t="str">
        <f>VLOOKUP(A2772,'Master List'!$A$1:$C$1192,3,FALSE)</f>
        <v>м3</v>
      </c>
      <c r="F2772" s="464">
        <f>F2769*1.1</f>
        <v>11</v>
      </c>
      <c r="G2772" s="463">
        <f>VLOOKUP(A2772,'Master List'!$A$4:$F5504,5,FALSE)</f>
        <v>0</v>
      </c>
      <c r="H2772" s="206">
        <f t="shared" si="289"/>
        <v>0</v>
      </c>
      <c r="I2772" s="565"/>
    </row>
    <row r="2773" outlineLevel="2">
      <c r="A2773" s="422"/>
      <c r="B2773" s="428"/>
      <c r="C2773" s="559"/>
      <c r="D2773" s="428"/>
      <c r="E2773" s="431"/>
      <c r="F2773" s="432"/>
      <c r="G2773" s="434"/>
      <c r="H2773" s="434"/>
      <c r="I2773" s="240"/>
    </row>
    <row r="2774" outlineLevel="2">
      <c r="A2774" s="422"/>
      <c r="B2774" s="472" t="s">
        <v>1597</v>
      </c>
      <c r="C2774" s="503">
        <v>19.2</v>
      </c>
      <c r="D2774" s="561" t="s">
        <v>1598</v>
      </c>
      <c r="E2774" s="431"/>
      <c r="F2774" s="432"/>
      <c r="G2774" s="434"/>
      <c r="H2774" s="434"/>
      <c r="I2774" s="240"/>
    </row>
    <row r="2775" outlineLevel="2">
      <c r="A2775" s="422"/>
      <c r="B2775" s="428"/>
      <c r="C2775" s="559"/>
      <c r="D2775" s="428"/>
      <c r="E2775" s="431"/>
      <c r="F2775" s="432"/>
      <c r="G2775" s="434"/>
      <c r="H2775" s="434"/>
      <c r="I2775" s="240"/>
    </row>
    <row r="2776" outlineLevel="2">
      <c r="A2776" s="422"/>
      <c r="B2776" s="472" t="s">
        <v>1599</v>
      </c>
      <c r="C2776" s="513" t="s">
        <v>3408</v>
      </c>
      <c r="D2776" s="369" t="s">
        <v>1600</v>
      </c>
      <c r="E2776" s="444" t="s">
        <v>40</v>
      </c>
      <c r="F2776" s="361">
        <v>20.0</v>
      </c>
      <c r="G2776" s="362"/>
      <c r="H2776" s="206"/>
      <c r="I2776" s="370"/>
    </row>
    <row r="2777" outlineLevel="2">
      <c r="A2777" s="422"/>
      <c r="B2777" s="472"/>
      <c r="C2777" s="514"/>
      <c r="D2777" s="564"/>
      <c r="E2777" s="437"/>
      <c r="F2777" s="562"/>
      <c r="G2777" s="563"/>
      <c r="H2777" s="239"/>
      <c r="I2777" s="565"/>
    </row>
    <row r="2778" outlineLevel="2">
      <c r="A2778" s="422" t="str">
        <f>'Master List'!A584</f>
        <v>W-LAN-008</v>
      </c>
      <c r="B2778" s="472"/>
      <c r="C2778" s="505"/>
      <c r="D2778" s="462" t="str">
        <f>VLOOKUP(A2778,'Master List'!$A$1:$C$1192,2,FALSE)</f>
        <v>Влаштування основи товщиною 10см з гравію</v>
      </c>
      <c r="E2778" s="463" t="str">
        <f>VLOOKUP(A2778,'Master List'!$A$1:$C$1192,3,FALSE)</f>
        <v>м2</v>
      </c>
      <c r="F2778" s="464">
        <f>F2776</f>
        <v>20</v>
      </c>
      <c r="G2778" s="463">
        <f>VLOOKUP(A2778,'Master List'!$A$4:$F5507,5,FALSE)</f>
        <v>11.05</v>
      </c>
      <c r="H2778" s="206">
        <f t="shared" ref="H2778:H2779" si="290">G2778*F2778</f>
        <v>221</v>
      </c>
      <c r="I2778" s="565"/>
    </row>
    <row r="2779" outlineLevel="2">
      <c r="A2779" s="422" t="str">
        <f>'Master List'!A60</f>
        <v>M-IMP-020</v>
      </c>
      <c r="B2779" s="472"/>
      <c r="C2779" s="505"/>
      <c r="D2779" s="462" t="str">
        <f>VLOOKUP(A2779,'Master List'!$A$1:$C$1192,2,FALSE)</f>
        <v>Гравій №2</v>
      </c>
      <c r="E2779" s="463" t="str">
        <f>VLOOKUP(A2779,'Master List'!$A$1:$C$1192,3,FALSE)</f>
        <v>м3</v>
      </c>
      <c r="F2779" s="464">
        <f>F2778*0.1*1.1</f>
        <v>2.2</v>
      </c>
      <c r="G2779" s="463">
        <f>VLOOKUP(A2779,'Master List'!$A$4:$F5508,5,FALSE)</f>
        <v>31.07</v>
      </c>
      <c r="H2779" s="206">
        <f t="shared" si="290"/>
        <v>68.354</v>
      </c>
      <c r="I2779" s="565"/>
    </row>
    <row r="2780" outlineLevel="2">
      <c r="A2780" s="422"/>
      <c r="B2780" s="428"/>
      <c r="C2780" s="559"/>
      <c r="D2780" s="428"/>
      <c r="E2780" s="431"/>
      <c r="F2780" s="432"/>
      <c r="G2780" s="434"/>
      <c r="H2780" s="434"/>
      <c r="I2780" s="240"/>
    </row>
    <row r="2781" outlineLevel="2">
      <c r="A2781" s="422"/>
      <c r="B2781" s="472" t="s">
        <v>1601</v>
      </c>
      <c r="C2781" s="503">
        <v>19.3</v>
      </c>
      <c r="D2781" s="561" t="s">
        <v>1602</v>
      </c>
      <c r="E2781" s="431"/>
      <c r="F2781" s="432"/>
      <c r="G2781" s="434"/>
      <c r="H2781" s="434"/>
      <c r="I2781" s="240"/>
    </row>
    <row r="2782" outlineLevel="2">
      <c r="A2782" s="422"/>
      <c r="B2782" s="428"/>
      <c r="C2782" s="559"/>
      <c r="D2782" s="428"/>
      <c r="E2782" s="431"/>
      <c r="F2782" s="432"/>
      <c r="G2782" s="434"/>
      <c r="H2782" s="434"/>
      <c r="I2782" s="240"/>
    </row>
    <row r="2783" outlineLevel="2">
      <c r="A2783" s="422"/>
      <c r="B2783" s="472" t="s">
        <v>1603</v>
      </c>
      <c r="C2783" s="513" t="s">
        <v>3411</v>
      </c>
      <c r="D2783" s="369" t="s">
        <v>1604</v>
      </c>
      <c r="E2783" s="444" t="s">
        <v>40</v>
      </c>
      <c r="F2783" s="361">
        <v>6.0</v>
      </c>
      <c r="G2783" s="362"/>
      <c r="H2783" s="206"/>
      <c r="I2783" s="370"/>
    </row>
    <row r="2784" outlineLevel="2">
      <c r="A2784" s="422"/>
      <c r="B2784" s="472"/>
      <c r="C2784" s="514"/>
      <c r="D2784" s="564"/>
      <c r="E2784" s="437"/>
      <c r="F2784" s="562"/>
      <c r="G2784" s="563"/>
      <c r="H2784" s="239"/>
      <c r="I2784" s="565"/>
    </row>
    <row r="2785" outlineLevel="2">
      <c r="A2785" s="422" t="str">
        <f>'Master List'!A494</f>
        <v>W-CON-001</v>
      </c>
      <c r="B2785" s="472"/>
      <c r="C2785" s="505"/>
      <c r="D2785" s="462" t="str">
        <f>VLOOKUP(A2785,'Master List'!$A$1:$C$1192,2,FALSE)</f>
        <v>Устройство щебеночного основания</v>
      </c>
      <c r="E2785" s="463" t="str">
        <f>VLOOKUP(A2785,'Master List'!$A$1:$C$1192,3,FALSE)</f>
        <v>м3</v>
      </c>
      <c r="F2785" s="464">
        <f>F2783*0.1</f>
        <v>0.6</v>
      </c>
      <c r="G2785" s="463">
        <f>VLOOKUP(A2785,'Master List'!$A$4:$F5515,5,FALSE)</f>
        <v>7.15</v>
      </c>
      <c r="H2785" s="206">
        <f t="shared" ref="H2785:H2788" si="291">G2785*F2785</f>
        <v>4.29</v>
      </c>
      <c r="I2785" s="565"/>
    </row>
    <row r="2786" outlineLevel="2">
      <c r="A2786" s="422" t="str">
        <f>'Master List'!A585</f>
        <v>W-LAN-009</v>
      </c>
      <c r="B2786" s="472"/>
      <c r="C2786" s="505"/>
      <c r="D2786" s="462" t="str">
        <f>VLOOKUP(A2786,'Master List'!$A$1:$C$1192,2,FALSE)</f>
        <v>Влаштування покриття з дерев'яних шпал</v>
      </c>
      <c r="E2786" s="463" t="str">
        <f>VLOOKUP(A2786,'Master List'!$A$1:$C$1192,3,FALSE)</f>
        <v>м2</v>
      </c>
      <c r="F2786" s="464">
        <f>F2783</f>
        <v>6</v>
      </c>
      <c r="G2786" s="463">
        <f>VLOOKUP(A2786,'Master List'!$A$4:$F5516,5,FALSE)</f>
        <v>33.93</v>
      </c>
      <c r="H2786" s="206">
        <f t="shared" si="291"/>
        <v>203.58</v>
      </c>
      <c r="I2786" s="565"/>
    </row>
    <row r="2787" outlineLevel="2">
      <c r="A2787" s="422" t="str">
        <f>'Master List'!A59</f>
        <v>M-IMP-015</v>
      </c>
      <c r="B2787" s="472"/>
      <c r="C2787" s="505"/>
      <c r="D2787" s="462" t="str">
        <f>VLOOKUP(A2787,'Master List'!$A$1:$C$1192,2,FALSE)</f>
        <v>Щебень №2</v>
      </c>
      <c r="E2787" s="463" t="str">
        <f>VLOOKUP(A2787,'Master List'!$A$1:$C$1192,3,FALSE)</f>
        <v>м3</v>
      </c>
      <c r="F2787" s="464">
        <f>F2785*1.15</f>
        <v>0.69</v>
      </c>
      <c r="G2787" s="463">
        <f>VLOOKUP(A2787,'Master List'!$A$4:$F5518,5,FALSE)</f>
        <v>31.07</v>
      </c>
      <c r="H2787" s="206">
        <f t="shared" si="291"/>
        <v>21.4383</v>
      </c>
      <c r="I2787" s="565"/>
    </row>
    <row r="2788" outlineLevel="2">
      <c r="A2788" s="422" t="str">
        <f>'Master List'!A116</f>
        <v>M-LAN-007</v>
      </c>
      <c r="B2788" s="472"/>
      <c r="C2788" s="505"/>
      <c r="D2788" s="462" t="str">
        <f>VLOOKUP(A2788,'Master List'!$A$1:$C$1192,2,FALSE)</f>
        <v>Шпали з морської сосни розміром 1,00x0,24x0,10м</v>
      </c>
      <c r="E2788" s="463" t="str">
        <f>VLOOKUP(A2788,'Master List'!$A$1:$C$1192,3,FALSE)</f>
        <v>м2</v>
      </c>
      <c r="F2788" s="464">
        <f>F2783*1.05</f>
        <v>6.3</v>
      </c>
      <c r="G2788" s="463">
        <f>VLOOKUP(A2788,'Master List'!$A$4:$F5519,5,FALSE)</f>
        <v>130</v>
      </c>
      <c r="H2788" s="206">
        <f t="shared" si="291"/>
        <v>819</v>
      </c>
      <c r="I2788" s="565"/>
    </row>
    <row r="2789" outlineLevel="2">
      <c r="A2789" s="422"/>
      <c r="B2789" s="428"/>
      <c r="C2789" s="559"/>
      <c r="D2789" s="428"/>
      <c r="E2789" s="431"/>
      <c r="F2789" s="432"/>
      <c r="G2789" s="434"/>
      <c r="H2789" s="434"/>
      <c r="I2789" s="240"/>
    </row>
    <row r="2790" outlineLevel="2">
      <c r="A2790" s="422"/>
      <c r="B2790" s="472" t="s">
        <v>1605</v>
      </c>
      <c r="C2790" s="503">
        <v>19.4</v>
      </c>
      <c r="D2790" s="561" t="s">
        <v>1606</v>
      </c>
      <c r="E2790" s="431"/>
      <c r="F2790" s="432"/>
      <c r="G2790" s="434"/>
      <c r="H2790" s="434"/>
      <c r="I2790" s="240"/>
    </row>
    <row r="2791" outlineLevel="2">
      <c r="A2791" s="422"/>
      <c r="B2791" s="428"/>
      <c r="C2791" s="559"/>
      <c r="D2791" s="428"/>
      <c r="E2791" s="431"/>
      <c r="F2791" s="432"/>
      <c r="G2791" s="434"/>
      <c r="H2791" s="434"/>
      <c r="I2791" s="240"/>
    </row>
    <row r="2792" outlineLevel="2">
      <c r="A2792" s="422"/>
      <c r="B2792" s="472" t="s">
        <v>1607</v>
      </c>
      <c r="C2792" s="513" t="s">
        <v>3414</v>
      </c>
      <c r="D2792" s="369" t="s">
        <v>1608</v>
      </c>
      <c r="E2792" s="444" t="s">
        <v>40</v>
      </c>
      <c r="F2792" s="361">
        <v>45.0</v>
      </c>
      <c r="G2792" s="362"/>
      <c r="H2792" s="206"/>
      <c r="I2792" s="370" t="s">
        <v>5660</v>
      </c>
    </row>
    <row r="2793" outlineLevel="2">
      <c r="A2793" s="422"/>
      <c r="B2793" s="472"/>
      <c r="C2793" s="514"/>
      <c r="D2793" s="564"/>
      <c r="E2793" s="437"/>
      <c r="F2793" s="562"/>
      <c r="G2793" s="563"/>
      <c r="H2793" s="239"/>
      <c r="I2793" s="565"/>
    </row>
    <row r="2794" outlineLevel="2">
      <c r="A2794" s="422" t="str">
        <f>'Master List'!A494</f>
        <v>W-CON-001</v>
      </c>
      <c r="B2794" s="472"/>
      <c r="C2794" s="505"/>
      <c r="D2794" s="462" t="str">
        <f>VLOOKUP(A2794,'Master List'!$A$1:$C$1192,2,FALSE)</f>
        <v>Устройство щебеночного основания</v>
      </c>
      <c r="E2794" s="463" t="str">
        <f>VLOOKUP(A2794,'Master List'!$A$1:$C$1192,3,FALSE)</f>
        <v>м3</v>
      </c>
      <c r="F2794" s="464">
        <f>F2792*0.1</f>
        <v>4.5</v>
      </c>
      <c r="G2794" s="463">
        <f>VLOOKUP(A2794,'Master List'!$A$4:$F5523,5,FALSE)</f>
        <v>7.15</v>
      </c>
      <c r="H2794" s="206">
        <f t="shared" ref="H2794:H2800" si="292">G2794*F2794</f>
        <v>32.175</v>
      </c>
      <c r="I2794" s="565"/>
    </row>
    <row r="2795" outlineLevel="2">
      <c r="A2795" s="422" t="str">
        <f>'Master List'!A573</f>
        <v>W-FIN-050</v>
      </c>
      <c r="B2795" s="472"/>
      <c r="C2795" s="505"/>
      <c r="D2795" s="462" t="str">
        <f>VLOOKUP(A2795,'Master List'!$A$1:$C$1192,2,FALSE)</f>
        <v>Устройство черновой стяжки толщиной 100 мм</v>
      </c>
      <c r="E2795" s="463" t="str">
        <f>VLOOKUP(A2795,'Master List'!$A$1:$C$1192,3,FALSE)</f>
        <v>м2</v>
      </c>
      <c r="F2795" s="464">
        <f>F2792</f>
        <v>45</v>
      </c>
      <c r="G2795" s="463">
        <f>VLOOKUP(A2795,'Master List'!$A$4:$F5524,5,FALSE)</f>
        <v>13</v>
      </c>
      <c r="H2795" s="206">
        <f t="shared" si="292"/>
        <v>585</v>
      </c>
      <c r="I2795" s="565"/>
    </row>
    <row r="2796" outlineLevel="2">
      <c r="A2796" s="422" t="str">
        <f>'Master List'!A586</f>
        <v>W-LAN-010</v>
      </c>
      <c r="B2796" s="472"/>
      <c r="C2796" s="505"/>
      <c r="D2796" s="462" t="str">
        <f>VLOOKUP(A2796,'Master List'!$A$1:$C$1192,2,FALSE)</f>
        <v>Влаштування покриття з настилу TOSCCA</v>
      </c>
      <c r="E2796" s="463" t="str">
        <f>VLOOKUP(A2796,'Master List'!$A$1:$C$1192,3,FALSE)</f>
        <v>м2</v>
      </c>
      <c r="F2796" s="464">
        <f>F2792</f>
        <v>45</v>
      </c>
      <c r="G2796" s="463">
        <f>VLOOKUP(A2796,'Master List'!$A$4:$F5525,5,FALSE)</f>
        <v>41.6</v>
      </c>
      <c r="H2796" s="206">
        <f t="shared" si="292"/>
        <v>1872</v>
      </c>
      <c r="I2796" s="565"/>
    </row>
    <row r="2797" outlineLevel="2">
      <c r="A2797" s="422" t="str">
        <f>'Master List'!A59</f>
        <v>M-IMP-015</v>
      </c>
      <c r="B2797" s="472"/>
      <c r="C2797" s="505"/>
      <c r="D2797" s="462" t="str">
        <f>VLOOKUP(A2797,'Master List'!$A$1:$C$1192,2,FALSE)</f>
        <v>Щебень №2</v>
      </c>
      <c r="E2797" s="463" t="str">
        <f>VLOOKUP(A2797,'Master List'!$A$1:$C$1192,3,FALSE)</f>
        <v>м3</v>
      </c>
      <c r="F2797" s="464">
        <f>F2794*1.15</f>
        <v>5.175</v>
      </c>
      <c r="G2797" s="463">
        <f>VLOOKUP(A2797,'Master List'!$A$4:$F5526,5,FALSE)</f>
        <v>31.07</v>
      </c>
      <c r="H2797" s="206">
        <f t="shared" si="292"/>
        <v>160.78725</v>
      </c>
      <c r="I2797" s="565"/>
    </row>
    <row r="2798" outlineLevel="2">
      <c r="A2798" s="422" t="str">
        <f>'Master List'!A38</f>
        <v>M-BRK-025</v>
      </c>
      <c r="B2798" s="472"/>
      <c r="C2798" s="505"/>
      <c r="D2798" s="462" t="str">
        <f>VLOOKUP(A2798,'Master List'!$A$1:$C$1192,2,FALSE)</f>
        <v>Цемент</v>
      </c>
      <c r="E2798" s="463" t="str">
        <f>VLOOKUP(A2798,'Master List'!$A$1:$C$1192,3,FALSE)</f>
        <v>т</v>
      </c>
      <c r="F2798" s="464">
        <f>F2795*0.1*0.42</f>
        <v>1.89</v>
      </c>
      <c r="G2798" s="463">
        <f>VLOOKUP(A2798,'Master List'!$A$4:$F5523,5,FALSE)</f>
        <v>189.1032</v>
      </c>
      <c r="H2798" s="206">
        <f t="shared" si="292"/>
        <v>357.405048</v>
      </c>
      <c r="I2798" s="565"/>
    </row>
    <row r="2799" outlineLevel="2">
      <c r="A2799" s="422" t="str">
        <f>'Master List'!A39</f>
        <v>M-BRK-026</v>
      </c>
      <c r="B2799" s="472"/>
      <c r="C2799" s="505"/>
      <c r="D2799" s="462" t="str">
        <f>VLOOKUP(A2799,'Master List'!$A$1:$C$1192,2,FALSE)</f>
        <v>Песок</v>
      </c>
      <c r="E2799" s="463" t="str">
        <f>VLOOKUP(A2799,'Master List'!$A$1:$C$1192,3,FALSE)</f>
        <v>м3</v>
      </c>
      <c r="F2799" s="464">
        <f>F2795*0.1*1.15</f>
        <v>5.175</v>
      </c>
      <c r="G2799" s="463">
        <f>VLOOKUP(A2799,'Master List'!$A$4:$F5524,5,FALSE)</f>
        <v>56.875</v>
      </c>
      <c r="H2799" s="206">
        <f t="shared" si="292"/>
        <v>294.328125</v>
      </c>
      <c r="I2799" s="565"/>
    </row>
    <row r="2800" outlineLevel="2">
      <c r="A2800" s="422" t="str">
        <f>'Master List'!A117</f>
        <v>M-LAN-008</v>
      </c>
      <c r="B2800" s="472"/>
      <c r="C2800" s="505"/>
      <c r="D2800" s="462" t="str">
        <f>VLOOKUP(A2800,'Master List'!$A$1:$C$1192,2,FALSE)</f>
        <v>Термооброблений настил TOSCCA з рейками 140x28мм</v>
      </c>
      <c r="E2800" s="463" t="str">
        <f>VLOOKUP(A2800,'Master List'!$A$1:$C$1192,3,FALSE)</f>
        <v>м2</v>
      </c>
      <c r="F2800" s="464">
        <f>F2796*1.05</f>
        <v>47.25</v>
      </c>
      <c r="G2800" s="463">
        <f>VLOOKUP(A2800,'Master List'!$A$4:$F5525,5,FALSE)</f>
        <v>24.57</v>
      </c>
      <c r="H2800" s="206">
        <f t="shared" si="292"/>
        <v>1160.9325</v>
      </c>
      <c r="I2800" s="565"/>
    </row>
    <row r="2801" outlineLevel="2">
      <c r="A2801" s="422"/>
      <c r="B2801" s="428"/>
      <c r="C2801" s="559"/>
      <c r="D2801" s="428"/>
      <c r="E2801" s="431"/>
      <c r="F2801" s="432"/>
      <c r="G2801" s="434"/>
      <c r="H2801" s="434"/>
      <c r="I2801" s="240"/>
    </row>
    <row r="2802" outlineLevel="2">
      <c r="A2802" s="422"/>
      <c r="B2802" s="472" t="s">
        <v>1609</v>
      </c>
      <c r="C2802" s="503">
        <v>19.5</v>
      </c>
      <c r="D2802" s="561" t="s">
        <v>1610</v>
      </c>
      <c r="E2802" s="431"/>
      <c r="F2802" s="432"/>
      <c r="G2802" s="434"/>
      <c r="H2802" s="434"/>
      <c r="I2802" s="240"/>
    </row>
    <row r="2803" outlineLevel="2">
      <c r="A2803" s="422"/>
      <c r="B2803" s="428"/>
      <c r="C2803" s="559"/>
      <c r="D2803" s="428"/>
      <c r="E2803" s="431"/>
      <c r="F2803" s="432"/>
      <c r="G2803" s="434"/>
      <c r="H2803" s="434"/>
      <c r="I2803" s="240"/>
    </row>
    <row r="2804" outlineLevel="2">
      <c r="A2804" s="422"/>
      <c r="B2804" s="472" t="s">
        <v>1611</v>
      </c>
      <c r="C2804" s="513" t="s">
        <v>3418</v>
      </c>
      <c r="D2804" s="369" t="s">
        <v>1612</v>
      </c>
      <c r="E2804" s="444" t="s">
        <v>40</v>
      </c>
      <c r="F2804" s="361">
        <v>140.0</v>
      </c>
      <c r="G2804" s="362"/>
      <c r="H2804" s="206"/>
      <c r="I2804" s="370" t="s">
        <v>5660</v>
      </c>
    </row>
    <row r="2805" outlineLevel="2">
      <c r="A2805" s="422"/>
      <c r="B2805" s="472"/>
      <c r="C2805" s="514"/>
      <c r="D2805" s="564"/>
      <c r="E2805" s="437"/>
      <c r="F2805" s="562"/>
      <c r="G2805" s="563"/>
      <c r="H2805" s="239"/>
      <c r="I2805" s="565"/>
    </row>
    <row r="2806" outlineLevel="2">
      <c r="A2806" s="422" t="str">
        <f>'Master List'!A542</f>
        <v>W-IMP-007</v>
      </c>
      <c r="B2806" s="472"/>
      <c r="C2806" s="505"/>
      <c r="D2806" s="462" t="str">
        <f>VLOOKUP(A2806,'Master List'!$A$1:$C$1192,2,FALSE)</f>
        <v>Укладка геотекстиля</v>
      </c>
      <c r="E2806" s="463" t="str">
        <f>VLOOKUP(A2806,'Master List'!$A$1:$C$1192,3,FALSE)</f>
        <v>м2</v>
      </c>
      <c r="F2806" s="464">
        <f>F2804</f>
        <v>140</v>
      </c>
      <c r="G2806" s="463">
        <f>VLOOKUP(A2806,'Master List'!$A$4:$F5531,5,FALSE)</f>
        <v>2.73</v>
      </c>
      <c r="H2806" s="206">
        <f t="shared" ref="H2806:H2812" si="293">G2806*F2806</f>
        <v>382.2</v>
      </c>
      <c r="I2806" s="565"/>
    </row>
    <row r="2807" outlineLevel="2">
      <c r="A2807" s="422" t="str">
        <f>'Master List'!A494</f>
        <v>W-CON-001</v>
      </c>
      <c r="B2807" s="472"/>
      <c r="C2807" s="505"/>
      <c r="D2807" s="462" t="str">
        <f>VLOOKUP(A2807,'Master List'!$A$1:$C$1192,2,FALSE)</f>
        <v>Устройство щебеночного основания</v>
      </c>
      <c r="E2807" s="463" t="str">
        <f>VLOOKUP(A2807,'Master List'!$A$1:$C$1192,3,FALSE)</f>
        <v>м3</v>
      </c>
      <c r="F2807" s="464">
        <f>F2804*0.1</f>
        <v>14</v>
      </c>
      <c r="G2807" s="463">
        <f>VLOOKUP(A2807,'Master List'!$A$4:$F5532,5,FALSE)</f>
        <v>7.15</v>
      </c>
      <c r="H2807" s="206">
        <f t="shared" si="293"/>
        <v>100.1</v>
      </c>
      <c r="I2807" s="565"/>
    </row>
    <row r="2808" outlineLevel="2">
      <c r="A2808" s="422" t="str">
        <f>'Master List'!A587</f>
        <v>W-LAN-011</v>
      </c>
      <c r="B2808" s="472"/>
      <c r="C2808" s="505"/>
      <c r="D2808" s="462" t="str">
        <f>VLOOKUP(A2808,'Master List'!$A$1:$C$1192,2,FALSE)</f>
        <v>Влаштування покриття з декоративного бетону товщиною 12см</v>
      </c>
      <c r="E2808" s="463" t="str">
        <f>VLOOKUP(A2808,'Master List'!$A$1:$C$1192,3,FALSE)</f>
        <v>м2</v>
      </c>
      <c r="F2808" s="464">
        <f>F2804</f>
        <v>140</v>
      </c>
      <c r="G2808" s="463">
        <f>VLOOKUP(A2808,'Master List'!$A$4:$F5533,5,FALSE)</f>
        <v>31.46</v>
      </c>
      <c r="H2808" s="206">
        <f t="shared" si="293"/>
        <v>4404.4</v>
      </c>
      <c r="I2808" s="565"/>
    </row>
    <row r="2809" outlineLevel="2">
      <c r="A2809" s="422" t="str">
        <f>'Master List'!A48</f>
        <v>M-ROF-0010</v>
      </c>
      <c r="B2809" s="472"/>
      <c r="C2809" s="505"/>
      <c r="D2809" s="462" t="str">
        <f>VLOOKUP(A2809,'Master List'!$A$1:$C$1192,2,FALSE)</f>
        <v>Геотекстиль IMPERSEP 150</v>
      </c>
      <c r="E2809" s="463" t="str">
        <f>VLOOKUP(A2809,'Master List'!$A$1:$C$1192,3,FALSE)</f>
        <v>м2</v>
      </c>
      <c r="F2809" s="464">
        <f>F2804*1.1</f>
        <v>154</v>
      </c>
      <c r="G2809" s="463">
        <f>VLOOKUP(A2809,'Master List'!$A$4:$F5534,5,FALSE)</f>
        <v>0.91</v>
      </c>
      <c r="H2809" s="206">
        <f t="shared" si="293"/>
        <v>140.14</v>
      </c>
      <c r="I2809" s="565"/>
    </row>
    <row r="2810" outlineLevel="2">
      <c r="A2810" s="422" t="str">
        <f>'Master List'!A59</f>
        <v>M-IMP-015</v>
      </c>
      <c r="B2810" s="472"/>
      <c r="C2810" s="505"/>
      <c r="D2810" s="462" t="str">
        <f>VLOOKUP(A2810,'Master List'!$A$1:$C$1192,2,FALSE)</f>
        <v>Щебень №2</v>
      </c>
      <c r="E2810" s="463" t="str">
        <f>VLOOKUP(A2810,'Master List'!$A$1:$C$1192,3,FALSE)</f>
        <v>м3</v>
      </c>
      <c r="F2810" s="464">
        <f>F2807*1.15</f>
        <v>16.1</v>
      </c>
      <c r="G2810" s="463">
        <f>VLOOKUP(A2810,'Master List'!$A$4:$F5535,5,FALSE)</f>
        <v>31.07</v>
      </c>
      <c r="H2810" s="206">
        <f t="shared" si="293"/>
        <v>500.227</v>
      </c>
      <c r="I2810" s="565"/>
    </row>
    <row r="2811" outlineLevel="2">
      <c r="A2811" s="422" t="str">
        <f>'Master List'!A10</f>
        <v>M-CON-008</v>
      </c>
      <c r="B2811" s="472"/>
      <c r="C2811" s="505"/>
      <c r="D2811" s="462" t="str">
        <f>VLOOKUP(A2811,'Master List'!$A$1:$C$1192,2,FALSE)</f>
        <v>Поліпропіленовий шнур для швів</v>
      </c>
      <c r="E2811" s="463" t="str">
        <f>VLOOKUP(A2811,'Master List'!$A$1:$C$1192,3,FALSE)</f>
        <v>м</v>
      </c>
      <c r="F2811" s="464">
        <f>72*1.1</f>
        <v>79.2</v>
      </c>
      <c r="G2811" s="463">
        <f>VLOOKUP(A2811,'Master List'!$A$4:$F5536,5,FALSE)</f>
        <v>0.51545</v>
      </c>
      <c r="H2811" s="206">
        <f t="shared" si="293"/>
        <v>40.82364</v>
      </c>
      <c r="I2811" s="565"/>
    </row>
    <row r="2812" outlineLevel="2">
      <c r="A2812" s="422" t="str">
        <f>'Master List'!A9</f>
        <v>M-CON-007</v>
      </c>
      <c r="B2812" s="472"/>
      <c r="C2812" s="505"/>
      <c r="D2812" s="462" t="str">
        <f>VLOOKUP(A2812,'Master List'!$A$1:$C$1192,2,FALSE)</f>
        <v>Бетон декоративний SECIL Argamassas Unidecor natural</v>
      </c>
      <c r="E2812" s="463" t="str">
        <f>VLOOKUP(A2812,'Master List'!$A$1:$C$1192,3,FALSE)</f>
        <v>м3</v>
      </c>
      <c r="F2812" s="464">
        <f>F2808*0.12*1.02</f>
        <v>17.136</v>
      </c>
      <c r="G2812" s="463">
        <f>VLOOKUP(A2812,'Master List'!$A$4:$F5533,5,FALSE)</f>
        <v>116.493</v>
      </c>
      <c r="H2812" s="206">
        <f t="shared" si="293"/>
        <v>1996.224048</v>
      </c>
      <c r="I2812" s="565"/>
    </row>
    <row r="2813" outlineLevel="2">
      <c r="A2813" s="422"/>
      <c r="B2813" s="428"/>
      <c r="C2813" s="559"/>
      <c r="D2813" s="428"/>
      <c r="E2813" s="431"/>
      <c r="F2813" s="432"/>
      <c r="G2813" s="434"/>
      <c r="H2813" s="434"/>
      <c r="I2813" s="240"/>
    </row>
    <row r="2814" outlineLevel="2">
      <c r="A2814" s="422"/>
      <c r="B2814" s="472" t="s">
        <v>1613</v>
      </c>
      <c r="C2814" s="503">
        <v>19.6</v>
      </c>
      <c r="D2814" s="561" t="s">
        <v>1614</v>
      </c>
      <c r="E2814" s="431"/>
      <c r="F2814" s="432"/>
      <c r="G2814" s="434"/>
      <c r="H2814" s="434"/>
      <c r="I2814" s="240"/>
    </row>
    <row r="2815" outlineLevel="2">
      <c r="A2815" s="422"/>
      <c r="B2815" s="428"/>
      <c r="C2815" s="559"/>
      <c r="D2815" s="428"/>
      <c r="E2815" s="431"/>
      <c r="F2815" s="432"/>
      <c r="G2815" s="434"/>
      <c r="H2815" s="434"/>
      <c r="I2815" s="240"/>
    </row>
    <row r="2816" outlineLevel="2">
      <c r="A2816" s="422" t="str">
        <f>'Master List'!A588</f>
        <v>W-LAN-012</v>
      </c>
      <c r="B2816" s="472" t="s">
        <v>1615</v>
      </c>
      <c r="C2816" s="513" t="s">
        <v>3421</v>
      </c>
      <c r="D2816" s="369" t="s">
        <v>1616</v>
      </c>
      <c r="E2816" s="444" t="s">
        <v>161</v>
      </c>
      <c r="F2816" s="361">
        <v>32.0</v>
      </c>
      <c r="G2816" s="463">
        <f>VLOOKUP(A2816,'Master List'!$A$4:$F5537,5,FALSE)</f>
        <v>182.065</v>
      </c>
      <c r="H2816" s="206">
        <f>G2816*F2816</f>
        <v>5826.08</v>
      </c>
      <c r="I2816" s="370" t="s">
        <v>5660</v>
      </c>
    </row>
    <row r="2817" outlineLevel="2">
      <c r="A2817" s="422"/>
      <c r="B2817" s="472"/>
      <c r="C2817" s="514"/>
      <c r="D2817" s="564"/>
      <c r="E2817" s="437"/>
      <c r="F2817" s="562"/>
      <c r="G2817" s="563"/>
      <c r="H2817" s="239"/>
      <c r="I2817" s="565"/>
    </row>
    <row r="2818" outlineLevel="1">
      <c r="A2818" s="422"/>
      <c r="B2818" s="472"/>
      <c r="C2818" s="559"/>
      <c r="D2818" s="525"/>
      <c r="E2818" s="526"/>
      <c r="F2818" s="527"/>
      <c r="G2818" s="439"/>
      <c r="H2818" s="239"/>
      <c r="I2818" s="240"/>
    </row>
    <row r="2819">
      <c r="A2819" s="422"/>
      <c r="B2819" s="471"/>
      <c r="C2819" s="500">
        <v>20.0</v>
      </c>
      <c r="D2819" s="516" t="s">
        <v>1617</v>
      </c>
      <c r="E2819" s="493"/>
      <c r="F2819" s="214"/>
      <c r="G2819" s="205"/>
      <c r="H2819" s="426">
        <f>SUM(H2825:H2838)</f>
        <v>0</v>
      </c>
      <c r="I2819" s="427">
        <f>H2819</f>
        <v>0</v>
      </c>
    </row>
    <row r="2820" outlineLevel="1">
      <c r="A2820" s="422"/>
      <c r="B2820" s="472"/>
      <c r="C2820" s="559"/>
      <c r="D2820" s="428"/>
      <c r="E2820" s="431"/>
      <c r="F2820" s="432"/>
      <c r="G2820" s="434"/>
      <c r="H2820" s="434"/>
      <c r="I2820" s="240"/>
    </row>
    <row r="2821" outlineLevel="1">
      <c r="A2821" s="422"/>
      <c r="B2821" s="472"/>
      <c r="C2821" s="559"/>
      <c r="D2821" s="525" t="s">
        <v>1618</v>
      </c>
      <c r="E2821" s="431"/>
      <c r="F2821" s="432"/>
      <c r="G2821" s="434"/>
      <c r="H2821" s="434"/>
      <c r="I2821" s="240"/>
    </row>
    <row r="2822" outlineLevel="1">
      <c r="A2822" s="422"/>
      <c r="B2822" s="472"/>
      <c r="C2822" s="559"/>
      <c r="D2822" s="428"/>
      <c r="E2822" s="431"/>
      <c r="F2822" s="432"/>
      <c r="G2822" s="434"/>
      <c r="H2822" s="434"/>
      <c r="I2822" s="240"/>
    </row>
    <row r="2823" outlineLevel="1">
      <c r="A2823" s="422"/>
      <c r="B2823" s="472" t="s">
        <v>781</v>
      </c>
      <c r="C2823" s="559"/>
      <c r="D2823" s="566" t="s">
        <v>1619</v>
      </c>
      <c r="E2823" s="431"/>
      <c r="F2823" s="432"/>
      <c r="G2823" s="434"/>
      <c r="H2823" s="434"/>
      <c r="I2823" s="240"/>
    </row>
    <row r="2824" outlineLevel="2">
      <c r="A2824" s="422"/>
      <c r="B2824" s="428"/>
      <c r="C2824" s="559"/>
      <c r="D2824" s="428"/>
      <c r="E2824" s="431"/>
      <c r="F2824" s="432"/>
      <c r="G2824" s="434"/>
      <c r="H2824" s="434"/>
      <c r="I2824" s="240"/>
    </row>
    <row r="2825" outlineLevel="2">
      <c r="A2825" s="422"/>
      <c r="B2825" s="472" t="s">
        <v>1620</v>
      </c>
      <c r="C2825" s="513" t="s">
        <v>3426</v>
      </c>
      <c r="D2825" s="369" t="s">
        <v>1621</v>
      </c>
      <c r="E2825" s="444" t="s">
        <v>75</v>
      </c>
      <c r="F2825" s="361">
        <v>8.0</v>
      </c>
      <c r="G2825" s="362">
        <v>0.0</v>
      </c>
      <c r="H2825" s="372">
        <f>G2825*F2825</f>
        <v>0</v>
      </c>
      <c r="I2825" s="370" t="s">
        <v>619</v>
      </c>
    </row>
    <row r="2826" outlineLevel="2">
      <c r="A2826" s="422"/>
      <c r="B2826" s="428"/>
      <c r="C2826" s="559"/>
      <c r="D2826" s="428"/>
      <c r="E2826" s="431"/>
      <c r="F2826" s="432"/>
      <c r="G2826" s="434"/>
      <c r="H2826" s="434"/>
      <c r="I2826" s="240"/>
    </row>
    <row r="2827" outlineLevel="2">
      <c r="A2827" s="422"/>
      <c r="B2827" s="472" t="s">
        <v>1622</v>
      </c>
      <c r="C2827" s="513" t="s">
        <v>3428</v>
      </c>
      <c r="D2827" s="369" t="s">
        <v>1623</v>
      </c>
      <c r="E2827" s="444" t="s">
        <v>75</v>
      </c>
      <c r="F2827" s="361">
        <v>10.0</v>
      </c>
      <c r="G2827" s="362">
        <v>0.0</v>
      </c>
      <c r="H2827" s="372">
        <f>G2827*F2827</f>
        <v>0</v>
      </c>
      <c r="I2827" s="370" t="s">
        <v>619</v>
      </c>
    </row>
    <row r="2828" outlineLevel="2">
      <c r="A2828" s="422"/>
      <c r="B2828" s="428"/>
      <c r="C2828" s="559"/>
      <c r="D2828" s="428"/>
      <c r="E2828" s="431"/>
      <c r="F2828" s="432"/>
      <c r="G2828" s="434"/>
      <c r="H2828" s="434"/>
      <c r="I2828" s="240"/>
    </row>
    <row r="2829" outlineLevel="1">
      <c r="A2829" s="422"/>
      <c r="B2829" s="472" t="s">
        <v>1624</v>
      </c>
      <c r="C2829" s="559"/>
      <c r="D2829" s="566" t="s">
        <v>1625</v>
      </c>
      <c r="E2829" s="431"/>
      <c r="F2829" s="432"/>
      <c r="G2829" s="434"/>
      <c r="H2829" s="434"/>
      <c r="I2829" s="240"/>
    </row>
    <row r="2830" outlineLevel="2">
      <c r="A2830" s="422"/>
      <c r="B2830" s="428"/>
      <c r="C2830" s="559"/>
      <c r="D2830" s="428"/>
      <c r="E2830" s="431"/>
      <c r="F2830" s="432"/>
      <c r="G2830" s="434"/>
      <c r="H2830" s="434"/>
      <c r="I2830" s="240"/>
    </row>
    <row r="2831" outlineLevel="2">
      <c r="A2831" s="422"/>
      <c r="B2831" s="472" t="s">
        <v>1626</v>
      </c>
      <c r="C2831" s="513" t="s">
        <v>3431</v>
      </c>
      <c r="D2831" s="369" t="s">
        <v>1627</v>
      </c>
      <c r="E2831" s="444" t="s">
        <v>75</v>
      </c>
      <c r="F2831" s="361">
        <v>4.0</v>
      </c>
      <c r="G2831" s="362">
        <v>0.0</v>
      </c>
      <c r="H2831" s="372">
        <f>G2831*F2831</f>
        <v>0</v>
      </c>
      <c r="I2831" s="370" t="s">
        <v>619</v>
      </c>
    </row>
    <row r="2832" outlineLevel="2">
      <c r="A2832" s="422"/>
      <c r="B2832" s="428"/>
      <c r="C2832" s="559"/>
      <c r="D2832" s="428"/>
      <c r="E2832" s="431"/>
      <c r="F2832" s="432"/>
      <c r="G2832" s="434"/>
      <c r="H2832" s="434"/>
      <c r="I2832" s="240"/>
    </row>
    <row r="2833" outlineLevel="1">
      <c r="A2833" s="422"/>
      <c r="B2833" s="472" t="s">
        <v>1628</v>
      </c>
      <c r="C2833" s="559"/>
      <c r="D2833" s="566" t="s">
        <v>1629</v>
      </c>
      <c r="E2833" s="431"/>
      <c r="F2833" s="432"/>
      <c r="G2833" s="434"/>
      <c r="H2833" s="434"/>
      <c r="I2833" s="240"/>
    </row>
    <row r="2834" outlineLevel="2">
      <c r="A2834" s="422"/>
      <c r="B2834" s="428"/>
      <c r="C2834" s="559"/>
      <c r="D2834" s="428"/>
      <c r="E2834" s="431"/>
      <c r="F2834" s="432"/>
      <c r="G2834" s="434"/>
      <c r="H2834" s="434"/>
      <c r="I2834" s="240"/>
    </row>
    <row r="2835" outlineLevel="2">
      <c r="A2835" s="422"/>
      <c r="B2835" s="472" t="s">
        <v>1630</v>
      </c>
      <c r="C2835" s="513" t="s">
        <v>3434</v>
      </c>
      <c r="D2835" s="369" t="s">
        <v>1631</v>
      </c>
      <c r="E2835" s="444"/>
      <c r="F2835" s="361"/>
      <c r="G2835" s="362">
        <v>0.0</v>
      </c>
      <c r="H2835" s="372">
        <f>G2835*F2835</f>
        <v>0</v>
      </c>
      <c r="I2835" s="370" t="s">
        <v>619</v>
      </c>
    </row>
    <row r="2836" outlineLevel="2">
      <c r="A2836" s="422"/>
      <c r="B2836" s="428"/>
      <c r="C2836" s="559"/>
      <c r="D2836" s="428"/>
      <c r="E2836" s="431"/>
      <c r="F2836" s="432"/>
      <c r="G2836" s="434"/>
      <c r="H2836" s="434"/>
      <c r="I2836" s="240"/>
    </row>
    <row r="2837" outlineLevel="2">
      <c r="A2837" s="422"/>
      <c r="B2837" s="472" t="s">
        <v>1632</v>
      </c>
      <c r="C2837" s="513" t="s">
        <v>3436</v>
      </c>
      <c r="D2837" s="369" t="s">
        <v>1633</v>
      </c>
      <c r="E2837" s="444" t="s">
        <v>75</v>
      </c>
      <c r="F2837" s="361">
        <v>4.0</v>
      </c>
      <c r="G2837" s="362">
        <v>0.0</v>
      </c>
      <c r="H2837" s="372">
        <f t="shared" ref="H2837:H2838" si="294">G2837*F2837</f>
        <v>0</v>
      </c>
      <c r="I2837" s="370" t="s">
        <v>619</v>
      </c>
    </row>
    <row r="2838" outlineLevel="2">
      <c r="A2838" s="422"/>
      <c r="B2838" s="472" t="s">
        <v>1634</v>
      </c>
      <c r="C2838" s="513" t="s">
        <v>3438</v>
      </c>
      <c r="D2838" s="369" t="s">
        <v>1635</v>
      </c>
      <c r="E2838" s="444" t="s">
        <v>75</v>
      </c>
      <c r="F2838" s="361">
        <v>2.0</v>
      </c>
      <c r="G2838" s="362">
        <v>0.0</v>
      </c>
      <c r="H2838" s="372">
        <f t="shared" si="294"/>
        <v>0</v>
      </c>
      <c r="I2838" s="370" t="s">
        <v>619</v>
      </c>
    </row>
    <row r="2839" outlineLevel="1">
      <c r="A2839" s="422"/>
      <c r="B2839" s="472"/>
      <c r="C2839" s="528"/>
      <c r="D2839" s="525"/>
      <c r="E2839" s="526"/>
      <c r="F2839" s="527"/>
      <c r="G2839" s="434"/>
      <c r="H2839" s="567"/>
      <c r="I2839" s="240"/>
    </row>
    <row r="2840">
      <c r="A2840" s="422"/>
      <c r="B2840" s="471"/>
      <c r="C2840" s="500">
        <v>21.0</v>
      </c>
      <c r="D2840" s="516" t="s">
        <v>592</v>
      </c>
      <c r="E2840" s="493"/>
      <c r="F2840" s="214"/>
      <c r="G2840" s="205"/>
      <c r="H2840" s="426">
        <f>SUM(H2844:H2850)</f>
        <v>1396.226</v>
      </c>
      <c r="I2840" s="427">
        <f>H2840-'Orcamento RU'!C2283</f>
        <v>-9151.774</v>
      </c>
    </row>
    <row r="2841" outlineLevel="1">
      <c r="A2841" s="422"/>
      <c r="B2841" s="472"/>
      <c r="C2841" s="568"/>
      <c r="D2841" s="525"/>
      <c r="E2841" s="431"/>
      <c r="F2841" s="432"/>
      <c r="G2841" s="434"/>
      <c r="H2841" s="434"/>
      <c r="I2841" s="240"/>
    </row>
    <row r="2842" outlineLevel="1">
      <c r="A2842" s="422"/>
      <c r="B2842" s="472" t="s">
        <v>1636</v>
      </c>
      <c r="C2842" s="429"/>
      <c r="D2842" s="476" t="s">
        <v>1637</v>
      </c>
      <c r="E2842" s="431"/>
      <c r="F2842" s="432"/>
      <c r="G2842" s="436">
        <f>SUM(H2844:H2850)</f>
        <v>1396.226</v>
      </c>
      <c r="H2842" s="434"/>
      <c r="I2842" s="240"/>
    </row>
    <row r="2843" outlineLevel="2">
      <c r="A2843" s="422"/>
      <c r="B2843" s="428"/>
      <c r="C2843" s="429"/>
      <c r="D2843" s="428"/>
      <c r="E2843" s="431"/>
      <c r="F2843" s="432"/>
      <c r="G2843" s="434"/>
      <c r="H2843" s="434"/>
      <c r="I2843" s="240"/>
    </row>
    <row r="2844" outlineLevel="2">
      <c r="A2844" s="422" t="str">
        <f>'Master List'!A589</f>
        <v>W-LAN-013</v>
      </c>
      <c r="B2844" s="472" t="s">
        <v>1638</v>
      </c>
      <c r="C2844" s="301" t="s">
        <v>3441</v>
      </c>
      <c r="D2844" s="369" t="s">
        <v>1639</v>
      </c>
      <c r="E2844" s="444" t="s">
        <v>75</v>
      </c>
      <c r="F2844" s="361">
        <v>1.0</v>
      </c>
      <c r="G2844" s="463">
        <f>VLOOKUP(A2844,'Master List'!$A$4:$F5578,5,FALSE)</f>
        <v>156.026</v>
      </c>
      <c r="H2844" s="206">
        <f>G2844*F2844</f>
        <v>156.026</v>
      </c>
      <c r="I2844" s="370"/>
    </row>
    <row r="2845" outlineLevel="2">
      <c r="A2845" s="422"/>
      <c r="B2845" s="428"/>
      <c r="C2845" s="429"/>
      <c r="D2845" s="428"/>
      <c r="E2845" s="431"/>
      <c r="F2845" s="432"/>
      <c r="G2845" s="434"/>
      <c r="H2845" s="434"/>
      <c r="I2845" s="240"/>
    </row>
    <row r="2846" outlineLevel="2">
      <c r="A2846" s="422" t="str">
        <f>'Master List'!A590</f>
        <v>W-LAN-014</v>
      </c>
      <c r="B2846" s="472" t="s">
        <v>1640</v>
      </c>
      <c r="C2846" s="301" t="s">
        <v>3443</v>
      </c>
      <c r="D2846" s="369" t="s">
        <v>1641</v>
      </c>
      <c r="E2846" s="444" t="s">
        <v>75</v>
      </c>
      <c r="F2846" s="361">
        <v>1.0</v>
      </c>
      <c r="G2846" s="463">
        <f>VLOOKUP(A2846,'Master List'!$A$4:$F5580,5,FALSE)</f>
        <v>317.2</v>
      </c>
      <c r="H2846" s="372">
        <f>F2846*G2846</f>
        <v>317.2</v>
      </c>
      <c r="I2846" s="370"/>
    </row>
    <row r="2847" outlineLevel="2">
      <c r="A2847" s="422"/>
      <c r="B2847" s="428"/>
      <c r="C2847" s="429"/>
      <c r="D2847" s="428"/>
      <c r="E2847" s="431"/>
      <c r="F2847" s="432"/>
      <c r="G2847" s="434"/>
      <c r="H2847" s="434"/>
      <c r="I2847" s="240"/>
    </row>
    <row r="2848" outlineLevel="2">
      <c r="A2848" s="422" t="str">
        <f>'Master List'!A591</f>
        <v>W-LAN-015</v>
      </c>
      <c r="B2848" s="472" t="s">
        <v>1642</v>
      </c>
      <c r="C2848" s="301" t="s">
        <v>3445</v>
      </c>
      <c r="D2848" s="369" t="s">
        <v>1643</v>
      </c>
      <c r="E2848" s="444" t="s">
        <v>75</v>
      </c>
      <c r="F2848" s="361">
        <v>1.0</v>
      </c>
      <c r="G2848" s="463">
        <f>VLOOKUP(A2848,'Master List'!$A$4:$F5582,5,FALSE)</f>
        <v>455</v>
      </c>
      <c r="H2848" s="206">
        <f>G2848*F2848</f>
        <v>455</v>
      </c>
      <c r="I2848" s="370"/>
    </row>
    <row r="2849" outlineLevel="2">
      <c r="A2849" s="422"/>
      <c r="B2849" s="428"/>
      <c r="C2849" s="429"/>
      <c r="D2849" s="428"/>
      <c r="E2849" s="431"/>
      <c r="F2849" s="432"/>
      <c r="G2849" s="434"/>
      <c r="H2849" s="434"/>
      <c r="I2849" s="240"/>
    </row>
    <row r="2850" outlineLevel="2">
      <c r="A2850" s="422" t="str">
        <f>'Master List'!A592</f>
        <v>W-LAN-016</v>
      </c>
      <c r="B2850" s="472" t="s">
        <v>1644</v>
      </c>
      <c r="C2850" s="301" t="s">
        <v>3447</v>
      </c>
      <c r="D2850" s="369" t="s">
        <v>1645</v>
      </c>
      <c r="E2850" s="444" t="s">
        <v>75</v>
      </c>
      <c r="F2850" s="361">
        <v>1.0</v>
      </c>
      <c r="G2850" s="463">
        <f>VLOOKUP(A2850,'Master List'!$A$4:$F5584,5,FALSE)</f>
        <v>468</v>
      </c>
      <c r="H2850" s="206">
        <f>G2850*F2850</f>
        <v>468</v>
      </c>
      <c r="I2850" s="370"/>
    </row>
    <row r="2851" outlineLevel="1">
      <c r="A2851" s="422"/>
      <c r="B2851" s="472"/>
      <c r="C2851" s="568"/>
      <c r="D2851" s="525"/>
      <c r="E2851" s="526"/>
      <c r="F2851" s="527"/>
      <c r="G2851" s="434"/>
      <c r="H2851" s="567"/>
      <c r="I2851" s="240"/>
    </row>
    <row r="2852">
      <c r="A2852" s="422"/>
      <c r="B2852" s="184"/>
      <c r="C2852" s="184">
        <v>22.0</v>
      </c>
      <c r="D2852" s="184" t="s">
        <v>5661</v>
      </c>
      <c r="E2852" s="425"/>
      <c r="F2852" s="425"/>
      <c r="G2852" s="425"/>
      <c r="H2852" s="426">
        <f>SUM(H2858:H2941)</f>
        <v>0</v>
      </c>
      <c r="I2852" s="427">
        <f>H2852-Resumo!J52</f>
        <v>-73360.69</v>
      </c>
    </row>
    <row r="2853" outlineLevel="1">
      <c r="A2853" s="422"/>
      <c r="B2853" s="448"/>
      <c r="C2853" s="569"/>
      <c r="D2853" s="570"/>
      <c r="E2853" s="431"/>
      <c r="F2853" s="432"/>
      <c r="G2853" s="434"/>
      <c r="H2853" s="434"/>
      <c r="I2853" s="240"/>
    </row>
    <row r="2854" outlineLevel="1">
      <c r="A2854" s="422"/>
      <c r="B2854" s="448" t="s">
        <v>1648</v>
      </c>
      <c r="C2854" s="485"/>
      <c r="D2854" s="435" t="s">
        <v>5662</v>
      </c>
      <c r="E2854" s="431"/>
      <c r="F2854" s="432"/>
      <c r="G2854" s="436">
        <f>SUM(H2858:H2875)</f>
        <v>0</v>
      </c>
      <c r="H2854" s="434"/>
      <c r="I2854" s="240"/>
    </row>
    <row r="2855" outlineLevel="2">
      <c r="A2855" s="422"/>
      <c r="B2855" s="571"/>
      <c r="C2855" s="485"/>
      <c r="D2855" s="571"/>
      <c r="E2855" s="431"/>
      <c r="F2855" s="432"/>
      <c r="G2855" s="434"/>
      <c r="H2855" s="434"/>
      <c r="I2855" s="240"/>
    </row>
    <row r="2856" outlineLevel="2">
      <c r="A2856" s="422"/>
      <c r="B2856" s="448" t="s">
        <v>1650</v>
      </c>
      <c r="C2856" s="572">
        <v>22.1</v>
      </c>
      <c r="D2856" s="323" t="s">
        <v>1651</v>
      </c>
      <c r="E2856" s="431"/>
      <c r="F2856" s="432"/>
      <c r="G2856" s="434"/>
      <c r="H2856" s="434"/>
      <c r="I2856" s="240"/>
    </row>
    <row r="2857" outlineLevel="2">
      <c r="A2857" s="422"/>
      <c r="B2857" s="571"/>
      <c r="C2857" s="485"/>
      <c r="D2857" s="571"/>
      <c r="E2857" s="431"/>
      <c r="F2857" s="432"/>
      <c r="G2857" s="434"/>
      <c r="H2857" s="434"/>
      <c r="I2857" s="240"/>
    </row>
    <row r="2858" outlineLevel="2">
      <c r="A2858" s="422"/>
      <c r="B2858" s="448" t="s">
        <v>1652</v>
      </c>
      <c r="C2858" s="284" t="s">
        <v>3452</v>
      </c>
      <c r="D2858" s="573" t="s">
        <v>1653</v>
      </c>
      <c r="E2858" s="444" t="s">
        <v>40</v>
      </c>
      <c r="F2858" s="361">
        <v>2000.0</v>
      </c>
      <c r="G2858" s="362">
        <v>0.0</v>
      </c>
      <c r="H2858" s="206">
        <f>G2858*F2858</f>
        <v>0</v>
      </c>
      <c r="I2858" s="370"/>
    </row>
    <row r="2859" outlineLevel="2">
      <c r="A2859" s="422"/>
      <c r="B2859" s="571"/>
      <c r="C2859" s="485"/>
      <c r="D2859" s="571"/>
      <c r="E2859" s="431"/>
      <c r="F2859" s="432"/>
      <c r="G2859" s="434"/>
      <c r="H2859" s="434"/>
      <c r="I2859" s="240"/>
    </row>
    <row r="2860" outlineLevel="2">
      <c r="A2860" s="422"/>
      <c r="B2860" s="448" t="s">
        <v>1654</v>
      </c>
      <c r="C2860" s="572">
        <v>22.2</v>
      </c>
      <c r="D2860" s="323" t="s">
        <v>1655</v>
      </c>
      <c r="E2860" s="431"/>
      <c r="F2860" s="432"/>
      <c r="G2860" s="434"/>
      <c r="H2860" s="434"/>
      <c r="I2860" s="240"/>
    </row>
    <row r="2861" outlineLevel="2">
      <c r="A2861" s="422"/>
      <c r="B2861" s="571"/>
      <c r="C2861" s="485"/>
      <c r="D2861" s="571"/>
      <c r="E2861" s="431"/>
      <c r="F2861" s="432"/>
      <c r="G2861" s="434"/>
      <c r="H2861" s="434"/>
      <c r="I2861" s="240"/>
    </row>
    <row r="2862" outlineLevel="2">
      <c r="A2862" s="422"/>
      <c r="B2862" s="448" t="s">
        <v>1656</v>
      </c>
      <c r="C2862" s="284" t="s">
        <v>3455</v>
      </c>
      <c r="D2862" s="573" t="s">
        <v>1657</v>
      </c>
      <c r="E2862" s="444" t="s">
        <v>933</v>
      </c>
      <c r="F2862" s="361">
        <v>70.0</v>
      </c>
      <c r="G2862" s="362">
        <v>0.0</v>
      </c>
      <c r="H2862" s="206">
        <f>G2862*F2862</f>
        <v>0</v>
      </c>
      <c r="I2862" s="370"/>
    </row>
    <row r="2863" outlineLevel="2">
      <c r="A2863" s="422"/>
      <c r="B2863" s="571"/>
      <c r="C2863" s="485"/>
      <c r="D2863" s="571"/>
      <c r="E2863" s="431"/>
      <c r="F2863" s="432"/>
      <c r="G2863" s="434"/>
      <c r="H2863" s="434"/>
      <c r="I2863" s="240"/>
    </row>
    <row r="2864" outlineLevel="2">
      <c r="A2864" s="422"/>
      <c r="B2864" s="448" t="s">
        <v>1658</v>
      </c>
      <c r="C2864" s="284" t="s">
        <v>3457</v>
      </c>
      <c r="D2864" s="573" t="s">
        <v>1659</v>
      </c>
      <c r="E2864" s="444" t="s">
        <v>933</v>
      </c>
      <c r="F2864" s="361">
        <v>177.0</v>
      </c>
      <c r="G2864" s="362">
        <v>0.0</v>
      </c>
      <c r="H2864" s="206">
        <f>G2864*F2864</f>
        <v>0</v>
      </c>
      <c r="I2864" s="370"/>
    </row>
    <row r="2865" outlineLevel="2">
      <c r="A2865" s="422"/>
      <c r="B2865" s="571"/>
      <c r="C2865" s="485"/>
      <c r="D2865" s="571"/>
      <c r="E2865" s="431"/>
      <c r="F2865" s="432"/>
      <c r="G2865" s="434"/>
      <c r="H2865" s="434"/>
      <c r="I2865" s="240"/>
    </row>
    <row r="2866" outlineLevel="2">
      <c r="A2866" s="422"/>
      <c r="B2866" s="448" t="s">
        <v>1660</v>
      </c>
      <c r="C2866" s="284" t="s">
        <v>3459</v>
      </c>
      <c r="D2866" s="573" t="s">
        <v>1661</v>
      </c>
      <c r="E2866" s="444" t="s">
        <v>933</v>
      </c>
      <c r="F2866" s="361">
        <v>134.0</v>
      </c>
      <c r="G2866" s="362">
        <v>0.0</v>
      </c>
      <c r="H2866" s="206">
        <f>G2866*F2866</f>
        <v>0</v>
      </c>
      <c r="I2866" s="370"/>
    </row>
    <row r="2867" outlineLevel="2">
      <c r="A2867" s="422"/>
      <c r="B2867" s="571"/>
      <c r="C2867" s="485"/>
      <c r="D2867" s="571"/>
      <c r="E2867" s="431"/>
      <c r="F2867" s="432"/>
      <c r="G2867" s="434"/>
      <c r="H2867" s="434"/>
      <c r="I2867" s="240"/>
    </row>
    <row r="2868" outlineLevel="2">
      <c r="A2868" s="422"/>
      <c r="B2868" s="448" t="s">
        <v>1662</v>
      </c>
      <c r="C2868" s="572"/>
      <c r="D2868" s="323" t="s">
        <v>1663</v>
      </c>
      <c r="E2868" s="431"/>
      <c r="F2868" s="432"/>
      <c r="G2868" s="434"/>
      <c r="H2868" s="434"/>
      <c r="I2868" s="240"/>
    </row>
    <row r="2869" outlineLevel="2">
      <c r="A2869" s="422"/>
      <c r="B2869" s="571"/>
      <c r="C2869" s="485"/>
      <c r="D2869" s="571"/>
      <c r="E2869" s="431"/>
      <c r="F2869" s="432"/>
      <c r="G2869" s="434"/>
      <c r="H2869" s="434"/>
      <c r="I2869" s="240"/>
    </row>
    <row r="2870" outlineLevel="2">
      <c r="A2870" s="422"/>
      <c r="B2870" s="448" t="s">
        <v>1664</v>
      </c>
      <c r="C2870" s="574">
        <v>22.3</v>
      </c>
      <c r="D2870" s="326" t="s">
        <v>1665</v>
      </c>
      <c r="E2870" s="431"/>
      <c r="F2870" s="432"/>
      <c r="G2870" s="434"/>
      <c r="H2870" s="434"/>
      <c r="I2870" s="240"/>
    </row>
    <row r="2871" outlineLevel="2">
      <c r="A2871" s="422"/>
      <c r="B2871" s="571"/>
      <c r="C2871" s="485"/>
      <c r="D2871" s="571"/>
      <c r="E2871" s="431"/>
      <c r="F2871" s="432"/>
      <c r="G2871" s="434"/>
      <c r="H2871" s="434"/>
      <c r="I2871" s="240"/>
    </row>
    <row r="2872" outlineLevel="2">
      <c r="A2872" s="422"/>
      <c r="B2872" s="448" t="s">
        <v>1666</v>
      </c>
      <c r="C2872" s="284" t="s">
        <v>3463</v>
      </c>
      <c r="D2872" s="573" t="s">
        <v>1667</v>
      </c>
      <c r="E2872" s="444" t="s">
        <v>933</v>
      </c>
      <c r="F2872" s="361">
        <v>72.5</v>
      </c>
      <c r="G2872" s="362">
        <v>0.0</v>
      </c>
      <c r="H2872" s="206">
        <f t="shared" ref="H2872:H2875" si="295">G2872*F2872</f>
        <v>0</v>
      </c>
      <c r="I2872" s="370"/>
    </row>
    <row r="2873" outlineLevel="2">
      <c r="A2873" s="422"/>
      <c r="B2873" s="448" t="s">
        <v>1668</v>
      </c>
      <c r="C2873" s="284" t="s">
        <v>3465</v>
      </c>
      <c r="D2873" s="573" t="s">
        <v>1669</v>
      </c>
      <c r="E2873" s="444" t="s">
        <v>933</v>
      </c>
      <c r="F2873" s="361">
        <v>177.0</v>
      </c>
      <c r="G2873" s="362">
        <v>0.0</v>
      </c>
      <c r="H2873" s="206">
        <f t="shared" si="295"/>
        <v>0</v>
      </c>
      <c r="I2873" s="370"/>
    </row>
    <row r="2874" outlineLevel="2">
      <c r="A2874" s="422"/>
      <c r="B2874" s="448" t="s">
        <v>1670</v>
      </c>
      <c r="C2874" s="284" t="s">
        <v>3467</v>
      </c>
      <c r="D2874" s="573" t="s">
        <v>1671</v>
      </c>
      <c r="E2874" s="444" t="s">
        <v>933</v>
      </c>
      <c r="F2874" s="361">
        <v>134.0</v>
      </c>
      <c r="G2874" s="362">
        <v>0.0</v>
      </c>
      <c r="H2874" s="206">
        <f t="shared" si="295"/>
        <v>0</v>
      </c>
      <c r="I2874" s="370"/>
    </row>
    <row r="2875" outlineLevel="2">
      <c r="A2875" s="422"/>
      <c r="B2875" s="448" t="s">
        <v>1672</v>
      </c>
      <c r="C2875" s="284" t="s">
        <v>3469</v>
      </c>
      <c r="D2875" s="573" t="s">
        <v>1673</v>
      </c>
      <c r="E2875" s="444" t="s">
        <v>933</v>
      </c>
      <c r="F2875" s="361">
        <v>70.0</v>
      </c>
      <c r="G2875" s="362">
        <v>0.0</v>
      </c>
      <c r="H2875" s="206">
        <f t="shared" si="295"/>
        <v>0</v>
      </c>
      <c r="I2875" s="370"/>
    </row>
    <row r="2876" outlineLevel="2">
      <c r="A2876" s="422"/>
      <c r="B2876" s="448"/>
      <c r="C2876" s="485"/>
      <c r="D2876" s="571"/>
      <c r="E2876" s="431"/>
      <c r="F2876" s="432"/>
      <c r="G2876" s="434"/>
      <c r="H2876" s="434"/>
      <c r="I2876" s="240"/>
    </row>
    <row r="2877" outlineLevel="1">
      <c r="A2877" s="422"/>
      <c r="B2877" s="448" t="s">
        <v>1674</v>
      </c>
      <c r="C2877" s="485"/>
      <c r="D2877" s="435" t="s">
        <v>5663</v>
      </c>
      <c r="E2877" s="431"/>
      <c r="F2877" s="432"/>
      <c r="G2877" s="436">
        <f>SUM(H2881:H2941)</f>
        <v>0</v>
      </c>
      <c r="H2877" s="434"/>
      <c r="I2877" s="240"/>
    </row>
    <row r="2878" outlineLevel="2">
      <c r="A2878" s="422"/>
      <c r="B2878" s="571"/>
      <c r="C2878" s="485"/>
      <c r="D2878" s="571"/>
      <c r="E2878" s="431"/>
      <c r="F2878" s="432"/>
      <c r="G2878" s="434"/>
      <c r="H2878" s="434"/>
      <c r="I2878" s="240"/>
    </row>
    <row r="2879" outlineLevel="2">
      <c r="A2879" s="422"/>
      <c r="B2879" s="448" t="s">
        <v>1676</v>
      </c>
      <c r="C2879" s="574">
        <v>22.4</v>
      </c>
      <c r="D2879" s="326" t="s">
        <v>5664</v>
      </c>
      <c r="E2879" s="431"/>
      <c r="F2879" s="432"/>
      <c r="G2879" s="434"/>
      <c r="H2879" s="434"/>
      <c r="I2879" s="240"/>
    </row>
    <row r="2880" outlineLevel="2">
      <c r="A2880" s="422"/>
      <c r="B2880" s="571"/>
      <c r="C2880" s="485"/>
      <c r="D2880" s="571"/>
      <c r="E2880" s="431"/>
      <c r="F2880" s="432"/>
      <c r="G2880" s="434"/>
      <c r="H2880" s="434"/>
      <c r="I2880" s="240"/>
    </row>
    <row r="2881" outlineLevel="2">
      <c r="A2881" s="422"/>
      <c r="B2881" s="448" t="s">
        <v>1680</v>
      </c>
      <c r="C2881" s="284" t="s">
        <v>3473</v>
      </c>
      <c r="D2881" s="573" t="s">
        <v>1681</v>
      </c>
      <c r="E2881" s="444" t="s">
        <v>75</v>
      </c>
      <c r="F2881" s="361">
        <v>3.0</v>
      </c>
      <c r="G2881" s="362">
        <v>0.0</v>
      </c>
      <c r="H2881" s="206">
        <f t="shared" ref="H2881:H2890" si="296">G2881*F2881</f>
        <v>0</v>
      </c>
      <c r="I2881" s="370"/>
    </row>
    <row r="2882" outlineLevel="2">
      <c r="A2882" s="422"/>
      <c r="B2882" s="448" t="s">
        <v>1682</v>
      </c>
      <c r="C2882" s="284" t="s">
        <v>3475</v>
      </c>
      <c r="D2882" s="573" t="s">
        <v>1683</v>
      </c>
      <c r="E2882" s="444" t="s">
        <v>75</v>
      </c>
      <c r="F2882" s="361">
        <v>3.0</v>
      </c>
      <c r="G2882" s="362">
        <v>0.0</v>
      </c>
      <c r="H2882" s="206">
        <f t="shared" si="296"/>
        <v>0</v>
      </c>
      <c r="I2882" s="370"/>
    </row>
    <row r="2883" outlineLevel="2">
      <c r="A2883" s="422"/>
      <c r="B2883" s="448" t="s">
        <v>1684</v>
      </c>
      <c r="C2883" s="284" t="s">
        <v>3477</v>
      </c>
      <c r="D2883" s="573" t="s">
        <v>1685</v>
      </c>
      <c r="E2883" s="444" t="s">
        <v>75</v>
      </c>
      <c r="F2883" s="361">
        <v>5.0</v>
      </c>
      <c r="G2883" s="362">
        <v>0.0</v>
      </c>
      <c r="H2883" s="206">
        <f t="shared" si="296"/>
        <v>0</v>
      </c>
      <c r="I2883" s="370"/>
    </row>
    <row r="2884" outlineLevel="2">
      <c r="A2884" s="422"/>
      <c r="B2884" s="448" t="s">
        <v>1686</v>
      </c>
      <c r="C2884" s="284" t="s">
        <v>3479</v>
      </c>
      <c r="D2884" s="573" t="s">
        <v>1687</v>
      </c>
      <c r="E2884" s="444" t="s">
        <v>75</v>
      </c>
      <c r="F2884" s="361">
        <v>6.0</v>
      </c>
      <c r="G2884" s="362">
        <v>0.0</v>
      </c>
      <c r="H2884" s="206">
        <f t="shared" si="296"/>
        <v>0</v>
      </c>
      <c r="I2884" s="370"/>
    </row>
    <row r="2885" outlineLevel="2">
      <c r="A2885" s="422"/>
      <c r="B2885" s="448" t="s">
        <v>1688</v>
      </c>
      <c r="C2885" s="284" t="s">
        <v>3481</v>
      </c>
      <c r="D2885" s="573" t="s">
        <v>1689</v>
      </c>
      <c r="E2885" s="444" t="s">
        <v>75</v>
      </c>
      <c r="F2885" s="361">
        <v>6.0</v>
      </c>
      <c r="G2885" s="362">
        <v>0.0</v>
      </c>
      <c r="H2885" s="206">
        <f t="shared" si="296"/>
        <v>0</v>
      </c>
      <c r="I2885" s="370"/>
    </row>
    <row r="2886" outlineLevel="2">
      <c r="A2886" s="422"/>
      <c r="B2886" s="448" t="s">
        <v>1690</v>
      </c>
      <c r="C2886" s="284" t="s">
        <v>3483</v>
      </c>
      <c r="D2886" s="573" t="s">
        <v>1691</v>
      </c>
      <c r="E2886" s="444" t="s">
        <v>75</v>
      </c>
      <c r="F2886" s="361">
        <v>2.0</v>
      </c>
      <c r="G2886" s="362">
        <v>0.0</v>
      </c>
      <c r="H2886" s="206">
        <f t="shared" si="296"/>
        <v>0</v>
      </c>
      <c r="I2886" s="370"/>
    </row>
    <row r="2887" outlineLevel="2">
      <c r="A2887" s="422"/>
      <c r="B2887" s="448" t="s">
        <v>1692</v>
      </c>
      <c r="C2887" s="284" t="s">
        <v>3485</v>
      </c>
      <c r="D2887" s="573" t="s">
        <v>1693</v>
      </c>
      <c r="E2887" s="444" t="s">
        <v>75</v>
      </c>
      <c r="F2887" s="361">
        <v>4.0</v>
      </c>
      <c r="G2887" s="362">
        <v>0.0</v>
      </c>
      <c r="H2887" s="206">
        <f t="shared" si="296"/>
        <v>0</v>
      </c>
      <c r="I2887" s="370"/>
    </row>
    <row r="2888" outlineLevel="2">
      <c r="A2888" s="422"/>
      <c r="B2888" s="448" t="s">
        <v>1694</v>
      </c>
      <c r="C2888" s="284" t="s">
        <v>3487</v>
      </c>
      <c r="D2888" s="573" t="s">
        <v>1695</v>
      </c>
      <c r="E2888" s="444" t="s">
        <v>75</v>
      </c>
      <c r="F2888" s="361">
        <v>5.0</v>
      </c>
      <c r="G2888" s="362">
        <v>0.0</v>
      </c>
      <c r="H2888" s="206">
        <f t="shared" si="296"/>
        <v>0</v>
      </c>
      <c r="I2888" s="370"/>
    </row>
    <row r="2889" outlineLevel="2">
      <c r="A2889" s="422"/>
      <c r="B2889" s="448" t="s">
        <v>1696</v>
      </c>
      <c r="C2889" s="284" t="s">
        <v>3489</v>
      </c>
      <c r="D2889" s="573" t="s">
        <v>1697</v>
      </c>
      <c r="E2889" s="444" t="s">
        <v>75</v>
      </c>
      <c r="F2889" s="361">
        <v>6.0</v>
      </c>
      <c r="G2889" s="362">
        <v>0.0</v>
      </c>
      <c r="H2889" s="206">
        <f t="shared" si="296"/>
        <v>0</v>
      </c>
      <c r="I2889" s="370"/>
    </row>
    <row r="2890" outlineLevel="2">
      <c r="A2890" s="422"/>
      <c r="B2890" s="448" t="s">
        <v>1698</v>
      </c>
      <c r="C2890" s="284" t="s">
        <v>3491</v>
      </c>
      <c r="D2890" s="573" t="s">
        <v>1699</v>
      </c>
      <c r="E2890" s="444" t="s">
        <v>75</v>
      </c>
      <c r="F2890" s="361">
        <v>12.0</v>
      </c>
      <c r="G2890" s="362">
        <v>0.0</v>
      </c>
      <c r="H2890" s="206">
        <f t="shared" si="296"/>
        <v>0</v>
      </c>
      <c r="I2890" s="370"/>
    </row>
    <row r="2891" outlineLevel="2">
      <c r="A2891" s="422"/>
      <c r="B2891" s="571"/>
      <c r="C2891" s="485"/>
      <c r="D2891" s="571"/>
      <c r="E2891" s="431"/>
      <c r="F2891" s="432"/>
      <c r="G2891" s="434"/>
      <c r="H2891" s="434"/>
      <c r="I2891" s="240"/>
    </row>
    <row r="2892" outlineLevel="2">
      <c r="A2892" s="422"/>
      <c r="B2892" s="448" t="s">
        <v>1702</v>
      </c>
      <c r="C2892" s="574">
        <v>22.5</v>
      </c>
      <c r="D2892" s="323" t="s">
        <v>1703</v>
      </c>
      <c r="E2892" s="431"/>
      <c r="F2892" s="432"/>
      <c r="G2892" s="434"/>
      <c r="H2892" s="434"/>
      <c r="I2892" s="240"/>
    </row>
    <row r="2893" outlineLevel="2">
      <c r="A2893" s="422"/>
      <c r="B2893" s="571"/>
      <c r="C2893" s="485"/>
      <c r="D2893" s="571"/>
      <c r="E2893" s="431"/>
      <c r="F2893" s="432"/>
      <c r="G2893" s="434"/>
      <c r="H2893" s="434"/>
      <c r="I2893" s="240"/>
    </row>
    <row r="2894" outlineLevel="2">
      <c r="A2894" s="422"/>
      <c r="B2894" s="448" t="s">
        <v>1704</v>
      </c>
      <c r="C2894" s="284" t="s">
        <v>3494</v>
      </c>
      <c r="D2894" s="573" t="s">
        <v>1705</v>
      </c>
      <c r="E2894" s="444" t="s">
        <v>75</v>
      </c>
      <c r="F2894" s="361">
        <v>9.0</v>
      </c>
      <c r="G2894" s="362">
        <v>0.0</v>
      </c>
      <c r="H2894" s="206">
        <f t="shared" ref="H2894:H2903" si="297">G2894*F2894</f>
        <v>0</v>
      </c>
      <c r="I2894" s="370"/>
    </row>
    <row r="2895" outlineLevel="2">
      <c r="A2895" s="422"/>
      <c r="B2895" s="448" t="s">
        <v>1706</v>
      </c>
      <c r="C2895" s="284" t="s">
        <v>3496</v>
      </c>
      <c r="D2895" s="573" t="s">
        <v>1707</v>
      </c>
      <c r="E2895" s="444" t="s">
        <v>75</v>
      </c>
      <c r="F2895" s="361">
        <v>8.0</v>
      </c>
      <c r="G2895" s="362">
        <v>0.0</v>
      </c>
      <c r="H2895" s="206">
        <f t="shared" si="297"/>
        <v>0</v>
      </c>
      <c r="I2895" s="370"/>
    </row>
    <row r="2896" outlineLevel="2">
      <c r="A2896" s="422"/>
      <c r="B2896" s="448" t="s">
        <v>1708</v>
      </c>
      <c r="C2896" s="284" t="s">
        <v>3498</v>
      </c>
      <c r="D2896" s="573" t="s">
        <v>1709</v>
      </c>
      <c r="E2896" s="444" t="s">
        <v>75</v>
      </c>
      <c r="F2896" s="361">
        <v>42.0</v>
      </c>
      <c r="G2896" s="362">
        <v>0.0</v>
      </c>
      <c r="H2896" s="206">
        <f t="shared" si="297"/>
        <v>0</v>
      </c>
      <c r="I2896" s="370"/>
    </row>
    <row r="2897" outlineLevel="2">
      <c r="A2897" s="422"/>
      <c r="B2897" s="448" t="s">
        <v>1710</v>
      </c>
      <c r="C2897" s="284" t="s">
        <v>3500</v>
      </c>
      <c r="D2897" s="573" t="s">
        <v>1711</v>
      </c>
      <c r="E2897" s="444" t="s">
        <v>75</v>
      </c>
      <c r="F2897" s="361">
        <v>76.0</v>
      </c>
      <c r="G2897" s="362">
        <v>0.0</v>
      </c>
      <c r="H2897" s="206">
        <f t="shared" si="297"/>
        <v>0</v>
      </c>
      <c r="I2897" s="370"/>
    </row>
    <row r="2898" outlineLevel="2">
      <c r="A2898" s="422"/>
      <c r="B2898" s="448" t="s">
        <v>1712</v>
      </c>
      <c r="C2898" s="284" t="s">
        <v>3502</v>
      </c>
      <c r="D2898" s="573" t="s">
        <v>1713</v>
      </c>
      <c r="E2898" s="444" t="s">
        <v>75</v>
      </c>
      <c r="F2898" s="361">
        <v>62.0</v>
      </c>
      <c r="G2898" s="362">
        <v>0.0</v>
      </c>
      <c r="H2898" s="206">
        <f t="shared" si="297"/>
        <v>0</v>
      </c>
      <c r="I2898" s="370"/>
    </row>
    <row r="2899" outlineLevel="2">
      <c r="A2899" s="422"/>
      <c r="B2899" s="448" t="s">
        <v>1714</v>
      </c>
      <c r="C2899" s="284" t="s">
        <v>3504</v>
      </c>
      <c r="D2899" s="573" t="s">
        <v>1715</v>
      </c>
      <c r="E2899" s="444" t="s">
        <v>75</v>
      </c>
      <c r="F2899" s="361">
        <v>20.0</v>
      </c>
      <c r="G2899" s="362">
        <v>0.0</v>
      </c>
      <c r="H2899" s="206">
        <f t="shared" si="297"/>
        <v>0</v>
      </c>
      <c r="I2899" s="370"/>
    </row>
    <row r="2900" outlineLevel="2">
      <c r="A2900" s="422"/>
      <c r="B2900" s="448" t="s">
        <v>1716</v>
      </c>
      <c r="C2900" s="284" t="s">
        <v>3506</v>
      </c>
      <c r="D2900" s="573" t="s">
        <v>1717</v>
      </c>
      <c r="E2900" s="444" t="s">
        <v>75</v>
      </c>
      <c r="F2900" s="361">
        <v>118.0</v>
      </c>
      <c r="G2900" s="362">
        <v>0.0</v>
      </c>
      <c r="H2900" s="206">
        <f t="shared" si="297"/>
        <v>0</v>
      </c>
      <c r="I2900" s="370"/>
    </row>
    <row r="2901" outlineLevel="2">
      <c r="A2901" s="422"/>
      <c r="B2901" s="448" t="s">
        <v>1718</v>
      </c>
      <c r="C2901" s="284" t="s">
        <v>3508</v>
      </c>
      <c r="D2901" s="573" t="s">
        <v>1719</v>
      </c>
      <c r="E2901" s="444" t="s">
        <v>75</v>
      </c>
      <c r="F2901" s="361">
        <v>14.0</v>
      </c>
      <c r="G2901" s="362">
        <v>0.0</v>
      </c>
      <c r="H2901" s="206">
        <f t="shared" si="297"/>
        <v>0</v>
      </c>
      <c r="I2901" s="370"/>
    </row>
    <row r="2902" outlineLevel="2">
      <c r="A2902" s="422"/>
      <c r="B2902" s="448" t="s">
        <v>1720</v>
      </c>
      <c r="C2902" s="284" t="s">
        <v>3510</v>
      </c>
      <c r="D2902" s="573" t="s">
        <v>1721</v>
      </c>
      <c r="E2902" s="444" t="s">
        <v>75</v>
      </c>
      <c r="F2902" s="361">
        <v>17.0</v>
      </c>
      <c r="G2902" s="362">
        <v>0.0</v>
      </c>
      <c r="H2902" s="206">
        <f t="shared" si="297"/>
        <v>0</v>
      </c>
      <c r="I2902" s="370"/>
    </row>
    <row r="2903" outlineLevel="2">
      <c r="A2903" s="422"/>
      <c r="B2903" s="448" t="s">
        <v>1722</v>
      </c>
      <c r="C2903" s="284" t="s">
        <v>3512</v>
      </c>
      <c r="D2903" s="573" t="s">
        <v>1723</v>
      </c>
      <c r="E2903" s="444" t="s">
        <v>75</v>
      </c>
      <c r="F2903" s="361">
        <v>40.0</v>
      </c>
      <c r="G2903" s="362">
        <v>0.0</v>
      </c>
      <c r="H2903" s="206">
        <f t="shared" si="297"/>
        <v>0</v>
      </c>
      <c r="I2903" s="370"/>
    </row>
    <row r="2904" outlineLevel="2">
      <c r="A2904" s="422"/>
      <c r="B2904" s="571"/>
      <c r="C2904" s="485"/>
      <c r="D2904" s="571"/>
      <c r="E2904" s="431"/>
      <c r="F2904" s="432"/>
      <c r="G2904" s="434"/>
      <c r="H2904" s="434"/>
      <c r="I2904" s="240"/>
    </row>
    <row r="2905" outlineLevel="2">
      <c r="A2905" s="422"/>
      <c r="B2905" s="448" t="s">
        <v>1724</v>
      </c>
      <c r="C2905" s="485"/>
      <c r="D2905" s="575" t="s">
        <v>1725</v>
      </c>
      <c r="E2905" s="431"/>
      <c r="F2905" s="432"/>
      <c r="G2905" s="434"/>
      <c r="H2905" s="434"/>
      <c r="I2905" s="240"/>
    </row>
    <row r="2906" outlineLevel="2">
      <c r="A2906" s="422"/>
      <c r="B2906" s="571"/>
      <c r="C2906" s="485"/>
      <c r="D2906" s="571"/>
      <c r="E2906" s="431"/>
      <c r="F2906" s="432"/>
      <c r="G2906" s="434"/>
      <c r="H2906" s="434"/>
      <c r="I2906" s="240"/>
    </row>
    <row r="2907" outlineLevel="2">
      <c r="A2907" s="422"/>
      <c r="B2907" s="448" t="s">
        <v>1726</v>
      </c>
      <c r="C2907" s="574">
        <v>22.6</v>
      </c>
      <c r="D2907" s="326" t="s">
        <v>1727</v>
      </c>
      <c r="E2907" s="431"/>
      <c r="F2907" s="432"/>
      <c r="G2907" s="434"/>
      <c r="H2907" s="434"/>
      <c r="I2907" s="240"/>
    </row>
    <row r="2908" outlineLevel="2">
      <c r="A2908" s="422"/>
      <c r="B2908" s="571"/>
      <c r="C2908" s="485"/>
      <c r="D2908" s="571"/>
      <c r="E2908" s="431"/>
      <c r="F2908" s="432"/>
      <c r="G2908" s="434"/>
      <c r="H2908" s="434"/>
      <c r="I2908" s="240"/>
    </row>
    <row r="2909" outlineLevel="2">
      <c r="A2909" s="422"/>
      <c r="B2909" s="448" t="s">
        <v>1728</v>
      </c>
      <c r="C2909" s="574" t="s">
        <v>3516</v>
      </c>
      <c r="D2909" s="573" t="s">
        <v>1729</v>
      </c>
      <c r="E2909" s="444" t="s">
        <v>75</v>
      </c>
      <c r="F2909" s="361">
        <v>5.0</v>
      </c>
      <c r="G2909" s="362">
        <v>0.0</v>
      </c>
      <c r="H2909" s="206">
        <f t="shared" ref="H2909:H2910" si="298">G2909*F2909</f>
        <v>0</v>
      </c>
      <c r="I2909" s="370"/>
    </row>
    <row r="2910" outlineLevel="2">
      <c r="A2910" s="422"/>
      <c r="B2910" s="448" t="s">
        <v>1730</v>
      </c>
      <c r="C2910" s="574" t="s">
        <v>3518</v>
      </c>
      <c r="D2910" s="573" t="s">
        <v>1731</v>
      </c>
      <c r="E2910" s="444" t="s">
        <v>75</v>
      </c>
      <c r="F2910" s="361">
        <v>3.0</v>
      </c>
      <c r="G2910" s="362">
        <v>0.0</v>
      </c>
      <c r="H2910" s="206">
        <f t="shared" si="298"/>
        <v>0</v>
      </c>
      <c r="I2910" s="370"/>
    </row>
    <row r="2911" outlineLevel="2">
      <c r="A2911" s="422"/>
      <c r="B2911" s="571"/>
      <c r="C2911" s="485"/>
      <c r="D2911" s="571"/>
      <c r="E2911" s="431"/>
      <c r="F2911" s="432"/>
      <c r="G2911" s="434"/>
      <c r="H2911" s="434"/>
      <c r="I2911" s="240"/>
    </row>
    <row r="2912" outlineLevel="2">
      <c r="A2912" s="422"/>
      <c r="B2912" s="448" t="s">
        <v>1732</v>
      </c>
      <c r="C2912" s="485"/>
      <c r="D2912" s="575" t="s">
        <v>1733</v>
      </c>
      <c r="E2912" s="431"/>
      <c r="F2912" s="432"/>
      <c r="G2912" s="434"/>
      <c r="H2912" s="434"/>
      <c r="I2912" s="240"/>
    </row>
    <row r="2913" outlineLevel="2">
      <c r="A2913" s="422"/>
      <c r="B2913" s="571"/>
      <c r="C2913" s="485"/>
      <c r="D2913" s="571"/>
      <c r="E2913" s="431"/>
      <c r="F2913" s="432"/>
      <c r="G2913" s="434"/>
      <c r="H2913" s="434"/>
      <c r="I2913" s="240"/>
    </row>
    <row r="2914" outlineLevel="2">
      <c r="A2914" s="422"/>
      <c r="B2914" s="448" t="s">
        <v>1734</v>
      </c>
      <c r="C2914" s="574">
        <v>22.7</v>
      </c>
      <c r="D2914" s="326" t="s">
        <v>1735</v>
      </c>
      <c r="E2914" s="431"/>
      <c r="F2914" s="432"/>
      <c r="G2914" s="434"/>
      <c r="H2914" s="434"/>
      <c r="I2914" s="240"/>
    </row>
    <row r="2915" outlineLevel="2">
      <c r="A2915" s="422"/>
      <c r="B2915" s="571"/>
      <c r="C2915" s="485"/>
      <c r="D2915" s="571"/>
      <c r="E2915" s="431"/>
      <c r="F2915" s="432"/>
      <c r="G2915" s="434"/>
      <c r="H2915" s="434"/>
      <c r="I2915" s="240"/>
    </row>
    <row r="2916" outlineLevel="2">
      <c r="A2916" s="422"/>
      <c r="B2916" s="448" t="s">
        <v>1736</v>
      </c>
      <c r="C2916" s="284" t="s">
        <v>3522</v>
      </c>
      <c r="D2916" s="573" t="s">
        <v>1737</v>
      </c>
      <c r="E2916" s="444" t="s">
        <v>75</v>
      </c>
      <c r="F2916" s="361">
        <v>170.0</v>
      </c>
      <c r="G2916" s="362">
        <v>0.0</v>
      </c>
      <c r="H2916" s="206">
        <f t="shared" ref="H2916:H2922" si="299">G2916*F2916</f>
        <v>0</v>
      </c>
      <c r="I2916" s="370"/>
    </row>
    <row r="2917" outlineLevel="2">
      <c r="A2917" s="422"/>
      <c r="B2917" s="448" t="s">
        <v>1738</v>
      </c>
      <c r="C2917" s="284" t="s">
        <v>3524</v>
      </c>
      <c r="D2917" s="573" t="s">
        <v>1739</v>
      </c>
      <c r="E2917" s="444" t="s">
        <v>75</v>
      </c>
      <c r="F2917" s="361">
        <v>250.0</v>
      </c>
      <c r="G2917" s="362">
        <v>0.0</v>
      </c>
      <c r="H2917" s="206">
        <f t="shared" si="299"/>
        <v>0</v>
      </c>
      <c r="I2917" s="370"/>
    </row>
    <row r="2918" outlineLevel="2">
      <c r="A2918" s="422"/>
      <c r="B2918" s="448" t="s">
        <v>1740</v>
      </c>
      <c r="C2918" s="284" t="s">
        <v>3526</v>
      </c>
      <c r="D2918" s="573" t="s">
        <v>1741</v>
      </c>
      <c r="E2918" s="444" t="s">
        <v>75</v>
      </c>
      <c r="F2918" s="361">
        <v>250.0</v>
      </c>
      <c r="G2918" s="362">
        <v>0.0</v>
      </c>
      <c r="H2918" s="206">
        <f t="shared" si="299"/>
        <v>0</v>
      </c>
      <c r="I2918" s="370"/>
    </row>
    <row r="2919" outlineLevel="2">
      <c r="A2919" s="422"/>
      <c r="B2919" s="448" t="s">
        <v>1742</v>
      </c>
      <c r="C2919" s="284" t="s">
        <v>3528</v>
      </c>
      <c r="D2919" s="573" t="s">
        <v>1743</v>
      </c>
      <c r="E2919" s="444" t="s">
        <v>75</v>
      </c>
      <c r="F2919" s="361">
        <v>250.0</v>
      </c>
      <c r="G2919" s="362">
        <v>0.0</v>
      </c>
      <c r="H2919" s="206">
        <f t="shared" si="299"/>
        <v>0</v>
      </c>
      <c r="I2919" s="370"/>
    </row>
    <row r="2920" outlineLevel="2">
      <c r="A2920" s="422"/>
      <c r="B2920" s="448" t="s">
        <v>1744</v>
      </c>
      <c r="C2920" s="284" t="s">
        <v>3530</v>
      </c>
      <c r="D2920" s="573" t="s">
        <v>1745</v>
      </c>
      <c r="E2920" s="444" t="s">
        <v>75</v>
      </c>
      <c r="F2920" s="361">
        <v>250.0</v>
      </c>
      <c r="G2920" s="362">
        <v>0.0</v>
      </c>
      <c r="H2920" s="206">
        <f t="shared" si="299"/>
        <v>0</v>
      </c>
      <c r="I2920" s="370"/>
    </row>
    <row r="2921" outlineLevel="2">
      <c r="A2921" s="422"/>
      <c r="B2921" s="448" t="s">
        <v>1746</v>
      </c>
      <c r="C2921" s="284" t="s">
        <v>3532</v>
      </c>
      <c r="D2921" s="573" t="s">
        <v>1747</v>
      </c>
      <c r="E2921" s="444" t="s">
        <v>75</v>
      </c>
      <c r="F2921" s="361">
        <v>300.0</v>
      </c>
      <c r="G2921" s="362">
        <v>0.0</v>
      </c>
      <c r="H2921" s="206">
        <f t="shared" si="299"/>
        <v>0</v>
      </c>
      <c r="I2921" s="370"/>
    </row>
    <row r="2922" outlineLevel="2">
      <c r="A2922" s="422"/>
      <c r="B2922" s="448" t="s">
        <v>1748</v>
      </c>
      <c r="C2922" s="284" t="s">
        <v>3534</v>
      </c>
      <c r="D2922" s="573" t="s">
        <v>1749</v>
      </c>
      <c r="E2922" s="444" t="s">
        <v>75</v>
      </c>
      <c r="F2922" s="361">
        <v>150.0</v>
      </c>
      <c r="G2922" s="362">
        <v>0.0</v>
      </c>
      <c r="H2922" s="206">
        <f t="shared" si="299"/>
        <v>0</v>
      </c>
      <c r="I2922" s="370"/>
    </row>
    <row r="2923" outlineLevel="2">
      <c r="A2923" s="422"/>
      <c r="B2923" s="571"/>
      <c r="C2923" s="485"/>
      <c r="D2923" s="571"/>
      <c r="E2923" s="431"/>
      <c r="F2923" s="432"/>
      <c r="G2923" s="434"/>
      <c r="H2923" s="434"/>
      <c r="I2923" s="240"/>
    </row>
    <row r="2924" outlineLevel="2">
      <c r="A2924" s="422"/>
      <c r="B2924" s="448" t="s">
        <v>1750</v>
      </c>
      <c r="C2924" s="485"/>
      <c r="D2924" s="575" t="s">
        <v>1751</v>
      </c>
      <c r="E2924" s="431"/>
      <c r="F2924" s="432"/>
      <c r="G2924" s="434"/>
      <c r="H2924" s="434"/>
      <c r="I2924" s="240"/>
    </row>
    <row r="2925" outlineLevel="2">
      <c r="A2925" s="422"/>
      <c r="B2925" s="571"/>
      <c r="C2925" s="485"/>
      <c r="D2925" s="571"/>
      <c r="E2925" s="431"/>
      <c r="F2925" s="432"/>
      <c r="G2925" s="434"/>
      <c r="H2925" s="434"/>
      <c r="I2925" s="240"/>
    </row>
    <row r="2926" outlineLevel="2">
      <c r="A2926" s="422"/>
      <c r="B2926" s="448" t="s">
        <v>1752</v>
      </c>
      <c r="C2926" s="284" t="s">
        <v>3537</v>
      </c>
      <c r="D2926" s="573" t="s">
        <v>1753</v>
      </c>
      <c r="E2926" s="444" t="s">
        <v>40</v>
      </c>
      <c r="F2926" s="361">
        <v>725.0</v>
      </c>
      <c r="G2926" s="362">
        <v>0.0</v>
      </c>
      <c r="H2926" s="206">
        <f>G2926*F2926</f>
        <v>0</v>
      </c>
      <c r="I2926" s="370"/>
    </row>
    <row r="2927" outlineLevel="2">
      <c r="A2927" s="422"/>
      <c r="B2927" s="571"/>
      <c r="C2927" s="485"/>
      <c r="D2927" s="571"/>
      <c r="E2927" s="431"/>
      <c r="F2927" s="432"/>
      <c r="G2927" s="434"/>
      <c r="H2927" s="434"/>
      <c r="I2927" s="240"/>
    </row>
    <row r="2928" outlineLevel="2">
      <c r="A2928" s="422"/>
      <c r="B2928" s="571"/>
      <c r="C2928" s="485"/>
      <c r="D2928" s="571"/>
      <c r="E2928" s="431"/>
      <c r="F2928" s="432"/>
      <c r="G2928" s="434"/>
      <c r="H2928" s="434"/>
      <c r="I2928" s="240"/>
    </row>
    <row r="2929" outlineLevel="2">
      <c r="A2929" s="422"/>
      <c r="B2929" s="448" t="s">
        <v>1755</v>
      </c>
      <c r="C2929" s="485"/>
      <c r="D2929" s="575" t="s">
        <v>1756</v>
      </c>
      <c r="E2929" s="431"/>
      <c r="F2929" s="432"/>
      <c r="G2929" s="434"/>
      <c r="H2929" s="434"/>
      <c r="I2929" s="240"/>
    </row>
    <row r="2930" outlineLevel="2">
      <c r="A2930" s="422"/>
      <c r="B2930" s="571"/>
      <c r="C2930" s="485"/>
      <c r="D2930" s="571"/>
      <c r="E2930" s="431"/>
      <c r="F2930" s="432"/>
      <c r="G2930" s="434"/>
      <c r="H2930" s="434"/>
      <c r="I2930" s="240"/>
    </row>
    <row r="2931" outlineLevel="2">
      <c r="A2931" s="422"/>
      <c r="B2931" s="448" t="s">
        <v>1757</v>
      </c>
      <c r="C2931" s="284" t="s">
        <v>3540</v>
      </c>
      <c r="D2931" s="573" t="s">
        <v>1758</v>
      </c>
      <c r="E2931" s="444" t="s">
        <v>40</v>
      </c>
      <c r="F2931" s="361">
        <v>886.0</v>
      </c>
      <c r="G2931" s="362">
        <v>0.0</v>
      </c>
      <c r="H2931" s="206">
        <f>G2931*F2931</f>
        <v>0</v>
      </c>
      <c r="I2931" s="370"/>
    </row>
    <row r="2932" outlineLevel="2">
      <c r="A2932" s="422"/>
      <c r="B2932" s="571"/>
      <c r="C2932" s="485"/>
      <c r="D2932" s="571"/>
      <c r="E2932" s="431"/>
      <c r="F2932" s="432"/>
      <c r="G2932" s="434"/>
      <c r="H2932" s="434"/>
      <c r="I2932" s="240"/>
    </row>
    <row r="2933" outlineLevel="2">
      <c r="A2933" s="422"/>
      <c r="B2933" s="571"/>
      <c r="C2933" s="485"/>
      <c r="D2933" s="570"/>
      <c r="E2933" s="431"/>
      <c r="F2933" s="432"/>
      <c r="G2933" s="434"/>
      <c r="H2933" s="434"/>
      <c r="I2933" s="240"/>
    </row>
    <row r="2934" outlineLevel="2">
      <c r="A2934" s="422"/>
      <c r="B2934" s="571"/>
      <c r="C2934" s="485"/>
      <c r="D2934" s="571"/>
      <c r="E2934" s="431"/>
      <c r="F2934" s="432"/>
      <c r="G2934" s="434"/>
      <c r="H2934" s="434"/>
      <c r="I2934" s="240"/>
    </row>
    <row r="2935" outlineLevel="2">
      <c r="A2935" s="422"/>
      <c r="B2935" s="448" t="s">
        <v>1760</v>
      </c>
      <c r="C2935" s="576"/>
      <c r="D2935" s="575" t="s">
        <v>1761</v>
      </c>
      <c r="E2935" s="431"/>
      <c r="F2935" s="432"/>
      <c r="G2935" s="434"/>
      <c r="H2935" s="434"/>
      <c r="I2935" s="240"/>
    </row>
    <row r="2936" outlineLevel="2">
      <c r="A2936" s="422"/>
      <c r="B2936" s="571"/>
      <c r="C2936" s="485"/>
      <c r="D2936" s="571"/>
      <c r="E2936" s="431"/>
      <c r="F2936" s="432"/>
      <c r="G2936" s="434"/>
      <c r="H2936" s="434"/>
      <c r="I2936" s="240"/>
    </row>
    <row r="2937" outlineLevel="2">
      <c r="A2937" s="422"/>
      <c r="B2937" s="448" t="s">
        <v>1762</v>
      </c>
      <c r="C2937" s="284" t="s">
        <v>3543</v>
      </c>
      <c r="D2937" s="573" t="s">
        <v>1763</v>
      </c>
      <c r="E2937" s="444" t="s">
        <v>75</v>
      </c>
      <c r="F2937" s="361">
        <v>52.0</v>
      </c>
      <c r="G2937" s="362">
        <v>0.0</v>
      </c>
      <c r="H2937" s="206">
        <f>G2937*F2937</f>
        <v>0</v>
      </c>
      <c r="I2937" s="370"/>
    </row>
    <row r="2938" outlineLevel="2">
      <c r="A2938" s="422"/>
      <c r="B2938" s="571"/>
      <c r="C2938" s="485"/>
      <c r="D2938" s="571"/>
      <c r="E2938" s="431"/>
      <c r="F2938" s="432"/>
      <c r="G2938" s="434"/>
      <c r="H2938" s="434"/>
      <c r="I2938" s="240"/>
    </row>
    <row r="2939" outlineLevel="2">
      <c r="A2939" s="422"/>
      <c r="B2939" s="448" t="s">
        <v>1764</v>
      </c>
      <c r="C2939" s="485"/>
      <c r="D2939" s="575" t="s">
        <v>1765</v>
      </c>
      <c r="E2939" s="431"/>
      <c r="F2939" s="432"/>
      <c r="G2939" s="434"/>
      <c r="H2939" s="434"/>
      <c r="I2939" s="240"/>
    </row>
    <row r="2940" outlineLevel="2">
      <c r="A2940" s="422"/>
      <c r="B2940" s="571"/>
      <c r="C2940" s="485"/>
      <c r="D2940" s="571"/>
      <c r="E2940" s="431"/>
      <c r="F2940" s="432"/>
      <c r="G2940" s="434"/>
      <c r="H2940" s="434"/>
      <c r="I2940" s="240"/>
    </row>
    <row r="2941" outlineLevel="2">
      <c r="A2941" s="422"/>
      <c r="B2941" s="448" t="s">
        <v>1766</v>
      </c>
      <c r="C2941" s="284" t="s">
        <v>3546</v>
      </c>
      <c r="D2941" s="573" t="s">
        <v>1767</v>
      </c>
      <c r="E2941" s="444" t="s">
        <v>40</v>
      </c>
      <c r="F2941" s="361">
        <v>335.0</v>
      </c>
      <c r="G2941" s="362">
        <v>0.0</v>
      </c>
      <c r="H2941" s="206">
        <f>G2941*F2941</f>
        <v>0</v>
      </c>
      <c r="I2941" s="370"/>
    </row>
    <row r="2942" outlineLevel="1">
      <c r="A2942" s="422"/>
      <c r="B2942" s="448"/>
      <c r="C2942" s="485"/>
      <c r="D2942" s="570"/>
      <c r="E2942" s="526"/>
      <c r="F2942" s="527"/>
      <c r="G2942" s="439"/>
      <c r="H2942" s="439"/>
      <c r="I2942" s="240"/>
    </row>
    <row r="2943">
      <c r="A2943" s="422"/>
      <c r="B2943" s="184"/>
      <c r="C2943" s="184">
        <v>23.0</v>
      </c>
      <c r="D2943" s="184" t="s">
        <v>5665</v>
      </c>
      <c r="E2943" s="425"/>
      <c r="F2943" s="425"/>
      <c r="G2943" s="425"/>
      <c r="H2943" s="426">
        <f>SUM(H2948:H3012)</f>
        <v>0</v>
      </c>
      <c r="I2943" s="427">
        <f>H2943-Resumo!J53</f>
        <v>-33665.94</v>
      </c>
    </row>
    <row r="2944" outlineLevel="1">
      <c r="A2944" s="422"/>
      <c r="B2944" s="448"/>
      <c r="C2944" s="569"/>
      <c r="D2944" s="570"/>
      <c r="E2944" s="431"/>
      <c r="F2944" s="432"/>
      <c r="G2944" s="434"/>
      <c r="H2944" s="434"/>
      <c r="I2944" s="240"/>
    </row>
    <row r="2945" outlineLevel="1">
      <c r="A2945" s="422"/>
      <c r="B2945" s="448"/>
      <c r="C2945" s="451"/>
      <c r="D2945" s="571"/>
      <c r="E2945" s="431"/>
      <c r="F2945" s="432"/>
      <c r="G2945" s="434"/>
      <c r="H2945" s="434"/>
      <c r="I2945" s="240"/>
    </row>
    <row r="2946" outlineLevel="1">
      <c r="A2946" s="422"/>
      <c r="B2946" s="448" t="s">
        <v>1773</v>
      </c>
      <c r="C2946" s="451"/>
      <c r="D2946" s="435" t="s">
        <v>1774</v>
      </c>
      <c r="E2946" s="431"/>
      <c r="F2946" s="432"/>
      <c r="G2946" s="436">
        <f>SUM(H2948:H2952)</f>
        <v>0</v>
      </c>
      <c r="H2946" s="434"/>
      <c r="I2946" s="240"/>
    </row>
    <row r="2947" outlineLevel="2">
      <c r="A2947" s="422"/>
      <c r="B2947" s="571"/>
      <c r="C2947" s="451"/>
      <c r="D2947" s="571"/>
      <c r="E2947" s="431"/>
      <c r="F2947" s="432"/>
      <c r="G2947" s="434"/>
      <c r="H2947" s="434"/>
      <c r="I2947" s="240"/>
    </row>
    <row r="2948" outlineLevel="2">
      <c r="A2948" s="422"/>
      <c r="B2948" s="448" t="s">
        <v>1775</v>
      </c>
      <c r="C2948" s="284" t="s">
        <v>3550</v>
      </c>
      <c r="D2948" s="573" t="s">
        <v>1776</v>
      </c>
      <c r="E2948" s="444" t="s">
        <v>933</v>
      </c>
      <c r="F2948" s="361">
        <v>232.0</v>
      </c>
      <c r="G2948" s="362">
        <v>0.0</v>
      </c>
      <c r="H2948" s="206">
        <f>G2948*F2948</f>
        <v>0</v>
      </c>
      <c r="I2948" s="370"/>
    </row>
    <row r="2949" outlineLevel="2">
      <c r="A2949" s="422"/>
      <c r="B2949" s="571"/>
      <c r="C2949" s="485"/>
      <c r="D2949" s="571"/>
      <c r="E2949" s="431"/>
      <c r="F2949" s="432"/>
      <c r="G2949" s="434"/>
      <c r="H2949" s="434"/>
      <c r="I2949" s="240"/>
    </row>
    <row r="2950" outlineLevel="2">
      <c r="A2950" s="422"/>
      <c r="B2950" s="448" t="s">
        <v>1777</v>
      </c>
      <c r="C2950" s="284" t="s">
        <v>3552</v>
      </c>
      <c r="D2950" s="573" t="s">
        <v>1778</v>
      </c>
      <c r="E2950" s="444" t="s">
        <v>933</v>
      </c>
      <c r="F2950" s="361">
        <v>92.8</v>
      </c>
      <c r="G2950" s="362">
        <v>0.0</v>
      </c>
      <c r="H2950" s="206">
        <f>G2950*F2950</f>
        <v>0</v>
      </c>
      <c r="I2950" s="370"/>
    </row>
    <row r="2951" outlineLevel="2">
      <c r="A2951" s="422"/>
      <c r="B2951" s="571"/>
      <c r="C2951" s="485"/>
      <c r="D2951" s="571"/>
      <c r="E2951" s="431"/>
      <c r="F2951" s="432"/>
      <c r="G2951" s="434"/>
      <c r="H2951" s="434"/>
      <c r="I2951" s="240"/>
    </row>
    <row r="2952" outlineLevel="2">
      <c r="A2952" s="422"/>
      <c r="B2952" s="448" t="s">
        <v>1779</v>
      </c>
      <c r="C2952" s="284" t="s">
        <v>3554</v>
      </c>
      <c r="D2952" s="573" t="s">
        <v>1780</v>
      </c>
      <c r="E2952" s="444" t="s">
        <v>933</v>
      </c>
      <c r="F2952" s="361">
        <v>111.36</v>
      </c>
      <c r="G2952" s="362">
        <v>0.0</v>
      </c>
      <c r="H2952" s="206">
        <f>G2952*F2952</f>
        <v>0</v>
      </c>
      <c r="I2952" s="370"/>
    </row>
    <row r="2953" outlineLevel="2">
      <c r="A2953" s="422"/>
      <c r="B2953" s="448"/>
      <c r="C2953" s="485"/>
      <c r="D2953" s="571"/>
      <c r="E2953" s="431"/>
      <c r="F2953" s="432"/>
      <c r="G2953" s="434"/>
      <c r="H2953" s="434"/>
      <c r="I2953" s="240"/>
    </row>
    <row r="2954" outlineLevel="1">
      <c r="A2954" s="422"/>
      <c r="B2954" s="448" t="s">
        <v>1781</v>
      </c>
      <c r="C2954" s="485"/>
      <c r="D2954" s="435" t="s">
        <v>1782</v>
      </c>
      <c r="E2954" s="431"/>
      <c r="F2954" s="432"/>
      <c r="G2954" s="436">
        <f>SUM(H2957:H2964)</f>
        <v>0</v>
      </c>
      <c r="H2954" s="434"/>
      <c r="I2954" s="240"/>
    </row>
    <row r="2955" outlineLevel="2">
      <c r="A2955" s="422"/>
      <c r="B2955" s="571"/>
      <c r="C2955" s="485"/>
      <c r="D2955" s="571"/>
      <c r="E2955" s="431"/>
      <c r="F2955" s="432"/>
      <c r="G2955" s="434"/>
      <c r="H2955" s="434"/>
      <c r="I2955" s="240"/>
    </row>
    <row r="2956" outlineLevel="2">
      <c r="A2956" s="422"/>
      <c r="B2956" s="448" t="s">
        <v>1783</v>
      </c>
      <c r="C2956" s="574">
        <v>23.4</v>
      </c>
      <c r="D2956" s="326" t="s">
        <v>1784</v>
      </c>
      <c r="E2956" s="431"/>
      <c r="F2956" s="432"/>
      <c r="G2956" s="434"/>
      <c r="H2956" s="434"/>
      <c r="I2956" s="240"/>
    </row>
    <row r="2957" outlineLevel="2">
      <c r="A2957" s="422"/>
      <c r="B2957" s="571"/>
      <c r="C2957" s="485"/>
      <c r="D2957" s="571"/>
      <c r="E2957" s="431"/>
      <c r="F2957" s="432"/>
      <c r="G2957" s="434"/>
      <c r="H2957" s="434"/>
      <c r="I2957" s="240"/>
    </row>
    <row r="2958" outlineLevel="2">
      <c r="A2958" s="422"/>
      <c r="B2958" s="448" t="s">
        <v>1785</v>
      </c>
      <c r="C2958" s="284" t="s">
        <v>3558</v>
      </c>
      <c r="D2958" s="573" t="s">
        <v>1786</v>
      </c>
      <c r="E2958" s="444" t="s">
        <v>877</v>
      </c>
      <c r="F2958" s="361">
        <v>380.0</v>
      </c>
      <c r="G2958" s="362">
        <v>0.0</v>
      </c>
      <c r="H2958" s="206">
        <f t="shared" ref="H2958:H2960" si="300">G2958*F2958</f>
        <v>0</v>
      </c>
      <c r="I2958" s="370"/>
    </row>
    <row r="2959" outlineLevel="2">
      <c r="A2959" s="422"/>
      <c r="B2959" s="448" t="s">
        <v>1787</v>
      </c>
      <c r="C2959" s="284" t="s">
        <v>3560</v>
      </c>
      <c r="D2959" s="573" t="s">
        <v>1788</v>
      </c>
      <c r="E2959" s="444" t="s">
        <v>877</v>
      </c>
      <c r="F2959" s="361">
        <v>65.0</v>
      </c>
      <c r="G2959" s="362">
        <v>0.0</v>
      </c>
      <c r="H2959" s="206">
        <f t="shared" si="300"/>
        <v>0</v>
      </c>
      <c r="I2959" s="370"/>
    </row>
    <row r="2960" outlineLevel="2">
      <c r="A2960" s="422"/>
      <c r="B2960" s="448" t="s">
        <v>1789</v>
      </c>
      <c r="C2960" s="284" t="s">
        <v>3562</v>
      </c>
      <c r="D2960" s="573" t="s">
        <v>1790</v>
      </c>
      <c r="E2960" s="444" t="s">
        <v>877</v>
      </c>
      <c r="F2960" s="361">
        <v>80.0</v>
      </c>
      <c r="G2960" s="362">
        <v>0.0</v>
      </c>
      <c r="H2960" s="206">
        <f t="shared" si="300"/>
        <v>0</v>
      </c>
      <c r="I2960" s="370"/>
    </row>
    <row r="2961" outlineLevel="2">
      <c r="A2961" s="422"/>
      <c r="B2961" s="571"/>
      <c r="C2961" s="485"/>
      <c r="D2961" s="571"/>
      <c r="E2961" s="431"/>
      <c r="F2961" s="432"/>
      <c r="G2961" s="434"/>
      <c r="H2961" s="434"/>
      <c r="I2961" s="240"/>
    </row>
    <row r="2962" outlineLevel="2">
      <c r="A2962" s="422"/>
      <c r="B2962" s="448" t="s">
        <v>1791</v>
      </c>
      <c r="C2962" s="574">
        <v>23.5</v>
      </c>
      <c r="D2962" s="326" t="s">
        <v>1792</v>
      </c>
      <c r="E2962" s="431"/>
      <c r="F2962" s="432"/>
      <c r="G2962" s="434"/>
      <c r="H2962" s="434"/>
      <c r="I2962" s="240"/>
    </row>
    <row r="2963" outlineLevel="2">
      <c r="A2963" s="422"/>
      <c r="B2963" s="571"/>
      <c r="C2963" s="485"/>
      <c r="D2963" s="571"/>
      <c r="E2963" s="431"/>
      <c r="F2963" s="432"/>
      <c r="G2963" s="434"/>
      <c r="H2963" s="434"/>
      <c r="I2963" s="240"/>
    </row>
    <row r="2964" outlineLevel="2">
      <c r="A2964" s="422"/>
      <c r="B2964" s="448" t="s">
        <v>1793</v>
      </c>
      <c r="C2964" s="284" t="s">
        <v>3565</v>
      </c>
      <c r="D2964" s="573" t="s">
        <v>1794</v>
      </c>
      <c r="E2964" s="444" t="s">
        <v>877</v>
      </c>
      <c r="F2964" s="361">
        <v>20.0</v>
      </c>
      <c r="G2964" s="362">
        <v>0.0</v>
      </c>
      <c r="H2964" s="206">
        <f>G2964*F2964</f>
        <v>0</v>
      </c>
      <c r="I2964" s="370"/>
    </row>
    <row r="2965" outlineLevel="2">
      <c r="A2965" s="422"/>
      <c r="B2965" s="571"/>
      <c r="C2965" s="485"/>
      <c r="D2965" s="571"/>
      <c r="E2965" s="431"/>
      <c r="F2965" s="432"/>
      <c r="G2965" s="434"/>
      <c r="H2965" s="434"/>
      <c r="I2965" s="240"/>
    </row>
    <row r="2966" outlineLevel="1">
      <c r="A2966" s="422"/>
      <c r="B2966" s="448" t="s">
        <v>1795</v>
      </c>
      <c r="C2966" s="485"/>
      <c r="D2966" s="435" t="s">
        <v>1796</v>
      </c>
      <c r="E2966" s="431"/>
      <c r="F2966" s="432"/>
      <c r="G2966" s="436">
        <f>SUM(H2968:H2974)</f>
        <v>0</v>
      </c>
      <c r="H2966" s="434"/>
      <c r="I2966" s="240"/>
    </row>
    <row r="2967" outlineLevel="2">
      <c r="A2967" s="422"/>
      <c r="B2967" s="571"/>
      <c r="C2967" s="485"/>
      <c r="D2967" s="571"/>
      <c r="E2967" s="431"/>
      <c r="F2967" s="432"/>
      <c r="G2967" s="434"/>
      <c r="H2967" s="434"/>
      <c r="I2967" s="240"/>
    </row>
    <row r="2968" outlineLevel="2">
      <c r="A2968" s="422"/>
      <c r="B2968" s="448" t="s">
        <v>1797</v>
      </c>
      <c r="C2968" s="284" t="s">
        <v>3568</v>
      </c>
      <c r="D2968" s="573" t="s">
        <v>1798</v>
      </c>
      <c r="E2968" s="444" t="s">
        <v>40</v>
      </c>
      <c r="F2968" s="361">
        <v>335.0</v>
      </c>
      <c r="G2968" s="362">
        <v>0.0</v>
      </c>
      <c r="H2968" s="206">
        <f>G2968*F2968</f>
        <v>0</v>
      </c>
      <c r="I2968" s="370"/>
    </row>
    <row r="2969" outlineLevel="2">
      <c r="A2969" s="422"/>
      <c r="B2969" s="571"/>
      <c r="C2969" s="485"/>
      <c r="D2969" s="571"/>
      <c r="E2969" s="431"/>
      <c r="F2969" s="432"/>
      <c r="G2969" s="434"/>
      <c r="H2969" s="434"/>
      <c r="I2969" s="240"/>
    </row>
    <row r="2970" outlineLevel="2">
      <c r="A2970" s="422"/>
      <c r="B2970" s="448" t="s">
        <v>1799</v>
      </c>
      <c r="C2970" s="574">
        <v>23.7</v>
      </c>
      <c r="D2970" s="326" t="s">
        <v>1800</v>
      </c>
      <c r="E2970" s="431"/>
      <c r="F2970" s="432"/>
      <c r="G2970" s="434"/>
      <c r="H2970" s="434"/>
      <c r="I2970" s="240"/>
    </row>
    <row r="2971" outlineLevel="2">
      <c r="A2971" s="422"/>
      <c r="B2971" s="571"/>
      <c r="C2971" s="485"/>
      <c r="D2971" s="571"/>
      <c r="E2971" s="431"/>
      <c r="F2971" s="432"/>
      <c r="G2971" s="434"/>
      <c r="H2971" s="434"/>
      <c r="I2971" s="240"/>
    </row>
    <row r="2972" outlineLevel="2">
      <c r="A2972" s="422"/>
      <c r="B2972" s="448" t="s">
        <v>1801</v>
      </c>
      <c r="C2972" s="284" t="s">
        <v>3571</v>
      </c>
      <c r="D2972" s="573" t="s">
        <v>5666</v>
      </c>
      <c r="E2972" s="444" t="s">
        <v>75</v>
      </c>
      <c r="F2972" s="361">
        <v>56.0</v>
      </c>
      <c r="G2972" s="362">
        <v>0.0</v>
      </c>
      <c r="H2972" s="206">
        <f>G2972*F2972</f>
        <v>0</v>
      </c>
      <c r="I2972" s="370"/>
    </row>
    <row r="2973" outlineLevel="2">
      <c r="A2973" s="422"/>
      <c r="B2973" s="571"/>
      <c r="C2973" s="485"/>
      <c r="D2973" s="571"/>
      <c r="E2973" s="431"/>
      <c r="F2973" s="432"/>
      <c r="G2973" s="434"/>
      <c r="H2973" s="434"/>
      <c r="I2973" s="240"/>
    </row>
    <row r="2974" outlineLevel="2">
      <c r="A2974" s="422"/>
      <c r="B2974" s="448" t="s">
        <v>1799</v>
      </c>
      <c r="C2974" s="284" t="s">
        <v>3573</v>
      </c>
      <c r="D2974" s="573" t="s">
        <v>1803</v>
      </c>
      <c r="E2974" s="444" t="s">
        <v>75</v>
      </c>
      <c r="F2974" s="361">
        <v>2.0</v>
      </c>
      <c r="G2974" s="362">
        <v>0.0</v>
      </c>
      <c r="H2974" s="206">
        <f>G2974*F2974</f>
        <v>0</v>
      </c>
      <c r="I2974" s="370"/>
    </row>
    <row r="2975" outlineLevel="2">
      <c r="A2975" s="422"/>
      <c r="B2975" s="571"/>
      <c r="C2975" s="485"/>
      <c r="D2975" s="571"/>
      <c r="E2975" s="431"/>
      <c r="F2975" s="432"/>
      <c r="G2975" s="434"/>
      <c r="H2975" s="434"/>
      <c r="I2975" s="240"/>
    </row>
    <row r="2976" outlineLevel="1">
      <c r="A2976" s="422"/>
      <c r="B2976" s="448" t="s">
        <v>1804</v>
      </c>
      <c r="C2976" s="485"/>
      <c r="D2976" s="435" t="s">
        <v>1805</v>
      </c>
      <c r="E2976" s="431"/>
      <c r="F2976" s="432"/>
      <c r="G2976" s="436">
        <f>SUM(H2980:H2982)</f>
        <v>0</v>
      </c>
      <c r="H2976" s="434"/>
      <c r="I2976" s="240"/>
    </row>
    <row r="2977" outlineLevel="2">
      <c r="A2977" s="422"/>
      <c r="B2977" s="571"/>
      <c r="C2977" s="485"/>
      <c r="D2977" s="571"/>
      <c r="E2977" s="431"/>
      <c r="F2977" s="432"/>
      <c r="G2977" s="434"/>
      <c r="H2977" s="434"/>
      <c r="I2977" s="240"/>
    </row>
    <row r="2978" outlineLevel="2">
      <c r="A2978" s="422"/>
      <c r="B2978" s="448" t="s">
        <v>1806</v>
      </c>
      <c r="C2978" s="574">
        <v>23.9</v>
      </c>
      <c r="D2978" s="326" t="s">
        <v>1807</v>
      </c>
      <c r="E2978" s="431"/>
      <c r="F2978" s="432"/>
      <c r="G2978" s="434"/>
      <c r="H2978" s="434"/>
      <c r="I2978" s="240"/>
    </row>
    <row r="2979" outlineLevel="2">
      <c r="A2979" s="422"/>
      <c r="B2979" s="571"/>
      <c r="C2979" s="485"/>
      <c r="D2979" s="571"/>
      <c r="E2979" s="431"/>
      <c r="F2979" s="432"/>
      <c r="G2979" s="434"/>
      <c r="H2979" s="434"/>
      <c r="I2979" s="240"/>
    </row>
    <row r="2980" outlineLevel="2">
      <c r="A2980" s="422"/>
      <c r="B2980" s="448" t="s">
        <v>1808</v>
      </c>
      <c r="C2980" s="284" t="s">
        <v>3577</v>
      </c>
      <c r="D2980" s="573" t="s">
        <v>1809</v>
      </c>
      <c r="E2980" s="444" t="s">
        <v>75</v>
      </c>
      <c r="F2980" s="361">
        <v>8.0</v>
      </c>
      <c r="G2980" s="362">
        <v>0.0</v>
      </c>
      <c r="H2980" s="206">
        <f>G2980*F2980</f>
        <v>0</v>
      </c>
      <c r="I2980" s="370"/>
    </row>
    <row r="2981" outlineLevel="2">
      <c r="A2981" s="422"/>
      <c r="B2981" s="571"/>
      <c r="C2981" s="485"/>
      <c r="D2981" s="571"/>
      <c r="E2981" s="431"/>
      <c r="F2981" s="432"/>
      <c r="G2981" s="434"/>
      <c r="H2981" s="434"/>
      <c r="I2981" s="240"/>
    </row>
    <row r="2982" outlineLevel="2">
      <c r="A2982" s="422"/>
      <c r="B2982" s="448" t="s">
        <v>1810</v>
      </c>
      <c r="C2982" s="284" t="s">
        <v>3578</v>
      </c>
      <c r="D2982" s="573" t="s">
        <v>1811</v>
      </c>
      <c r="E2982" s="444" t="s">
        <v>75</v>
      </c>
      <c r="F2982" s="361">
        <v>8.0</v>
      </c>
      <c r="G2982" s="362">
        <v>0.0</v>
      </c>
      <c r="H2982" s="206">
        <f>G2982*F2982</f>
        <v>0</v>
      </c>
      <c r="I2982" s="370"/>
    </row>
    <row r="2983" outlineLevel="2">
      <c r="A2983" s="422"/>
      <c r="B2983" s="571"/>
      <c r="C2983" s="485"/>
      <c r="D2983" s="571"/>
      <c r="E2983" s="431"/>
      <c r="F2983" s="432"/>
      <c r="G2983" s="434"/>
      <c r="H2983" s="434"/>
      <c r="I2983" s="240"/>
    </row>
    <row r="2984" outlineLevel="1">
      <c r="A2984" s="422"/>
      <c r="B2984" s="448" t="s">
        <v>1812</v>
      </c>
      <c r="C2984" s="485"/>
      <c r="D2984" s="435" t="s">
        <v>1813</v>
      </c>
      <c r="E2984" s="431"/>
      <c r="F2984" s="432"/>
      <c r="G2984" s="436">
        <f>SUM(H2986:H2990)</f>
        <v>0</v>
      </c>
      <c r="H2984" s="434"/>
      <c r="I2984" s="240"/>
    </row>
    <row r="2985" outlineLevel="2">
      <c r="A2985" s="422"/>
      <c r="B2985" s="571"/>
      <c r="C2985" s="485"/>
      <c r="D2985" s="571"/>
      <c r="E2985" s="431"/>
      <c r="F2985" s="432"/>
      <c r="G2985" s="434"/>
      <c r="H2985" s="434"/>
      <c r="I2985" s="240"/>
    </row>
    <row r="2986" outlineLevel="2">
      <c r="A2986" s="422"/>
      <c r="B2986" s="448" t="s">
        <v>1814</v>
      </c>
      <c r="C2986" s="284" t="s">
        <v>3581</v>
      </c>
      <c r="D2986" s="573" t="s">
        <v>1815</v>
      </c>
      <c r="E2986" s="444" t="s">
        <v>75</v>
      </c>
      <c r="F2986" s="361">
        <v>1.0</v>
      </c>
      <c r="G2986" s="362">
        <v>0.0</v>
      </c>
      <c r="H2986" s="206">
        <f>G2986*F2986</f>
        <v>0</v>
      </c>
      <c r="I2986" s="370"/>
    </row>
    <row r="2987" outlineLevel="2">
      <c r="A2987" s="422"/>
      <c r="B2987" s="571"/>
      <c r="C2987" s="485"/>
      <c r="D2987" s="571"/>
      <c r="E2987" s="431"/>
      <c r="F2987" s="432"/>
      <c r="G2987" s="434"/>
      <c r="H2987" s="434"/>
      <c r="I2987" s="240"/>
    </row>
    <row r="2988" outlineLevel="2">
      <c r="A2988" s="422"/>
      <c r="B2988" s="448" t="s">
        <v>1816</v>
      </c>
      <c r="C2988" s="574">
        <v>23.12</v>
      </c>
      <c r="D2988" s="326" t="s">
        <v>1817</v>
      </c>
      <c r="E2988" s="431"/>
      <c r="F2988" s="432"/>
      <c r="G2988" s="434"/>
      <c r="H2988" s="434"/>
      <c r="I2988" s="240"/>
    </row>
    <row r="2989" outlineLevel="2">
      <c r="A2989" s="422"/>
      <c r="B2989" s="571"/>
      <c r="C2989" s="485"/>
      <c r="D2989" s="571"/>
      <c r="E2989" s="431"/>
      <c r="F2989" s="432"/>
      <c r="G2989" s="434"/>
      <c r="H2989" s="434"/>
      <c r="I2989" s="240"/>
    </row>
    <row r="2990" outlineLevel="2">
      <c r="A2990" s="422"/>
      <c r="B2990" s="448" t="s">
        <v>1818</v>
      </c>
      <c r="C2990" s="284" t="s">
        <v>3584</v>
      </c>
      <c r="D2990" s="573" t="s">
        <v>1819</v>
      </c>
      <c r="E2990" s="444" t="s">
        <v>161</v>
      </c>
      <c r="F2990" s="361">
        <v>100.0</v>
      </c>
      <c r="G2990" s="362">
        <v>0.0</v>
      </c>
      <c r="H2990" s="206">
        <f>G2990*F2990</f>
        <v>0</v>
      </c>
      <c r="I2990" s="370"/>
    </row>
    <row r="2991" outlineLevel="2">
      <c r="A2991" s="422"/>
      <c r="B2991" s="571"/>
      <c r="C2991" s="485"/>
      <c r="D2991" s="571"/>
      <c r="E2991" s="431"/>
      <c r="F2991" s="432"/>
      <c r="G2991" s="434"/>
      <c r="H2991" s="434"/>
      <c r="I2991" s="240"/>
    </row>
    <row r="2992" outlineLevel="1">
      <c r="A2992" s="422"/>
      <c r="B2992" s="448" t="s">
        <v>1820</v>
      </c>
      <c r="C2992" s="485"/>
      <c r="D2992" s="435" t="s">
        <v>1821</v>
      </c>
      <c r="E2992" s="431"/>
      <c r="F2992" s="432"/>
      <c r="G2992" s="436">
        <f>SUM(H2994:H3004)</f>
        <v>0</v>
      </c>
      <c r="H2992" s="434"/>
      <c r="I2992" s="240"/>
    </row>
    <row r="2993" outlineLevel="2">
      <c r="A2993" s="422"/>
      <c r="B2993" s="571"/>
      <c r="C2993" s="485"/>
      <c r="D2993" s="571"/>
      <c r="E2993" s="431"/>
      <c r="F2993" s="432"/>
      <c r="G2993" s="434"/>
      <c r="H2993" s="434"/>
      <c r="I2993" s="240"/>
    </row>
    <row r="2994" outlineLevel="2">
      <c r="A2994" s="422"/>
      <c r="B2994" s="448" t="s">
        <v>1822</v>
      </c>
      <c r="C2994" s="284" t="s">
        <v>3587</v>
      </c>
      <c r="D2994" s="573" t="s">
        <v>1823</v>
      </c>
      <c r="E2994" s="444" t="s">
        <v>75</v>
      </c>
      <c r="F2994" s="361">
        <v>1.0</v>
      </c>
      <c r="G2994" s="362">
        <v>0.0</v>
      </c>
      <c r="H2994" s="206">
        <f>G2994*F2994</f>
        <v>0</v>
      </c>
      <c r="I2994" s="370"/>
    </row>
    <row r="2995" outlineLevel="2">
      <c r="A2995" s="422"/>
      <c r="B2995" s="571"/>
      <c r="C2995" s="485"/>
      <c r="D2995" s="571"/>
      <c r="E2995" s="431"/>
      <c r="F2995" s="432"/>
      <c r="G2995" s="434"/>
      <c r="H2995" s="434"/>
      <c r="I2995" s="240"/>
    </row>
    <row r="2996" outlineLevel="2">
      <c r="A2996" s="422"/>
      <c r="B2996" s="448" t="s">
        <v>1824</v>
      </c>
      <c r="C2996" s="574">
        <v>23.14</v>
      </c>
      <c r="D2996" s="326" t="s">
        <v>1825</v>
      </c>
      <c r="E2996" s="431"/>
      <c r="F2996" s="432"/>
      <c r="G2996" s="434"/>
      <c r="H2996" s="434"/>
      <c r="I2996" s="240"/>
    </row>
    <row r="2997" outlineLevel="2">
      <c r="A2997" s="422"/>
      <c r="B2997" s="571"/>
      <c r="C2997" s="485"/>
      <c r="D2997" s="571"/>
      <c r="E2997" s="431"/>
      <c r="F2997" s="432"/>
      <c r="G2997" s="434"/>
      <c r="H2997" s="434"/>
      <c r="I2997" s="240"/>
    </row>
    <row r="2998" outlineLevel="2">
      <c r="A2998" s="422"/>
      <c r="B2998" s="448" t="s">
        <v>1826</v>
      </c>
      <c r="C2998" s="284" t="s">
        <v>3590</v>
      </c>
      <c r="D2998" s="573" t="s">
        <v>1827</v>
      </c>
      <c r="E2998" s="444" t="s">
        <v>75</v>
      </c>
      <c r="F2998" s="361">
        <v>8.0</v>
      </c>
      <c r="G2998" s="362">
        <v>0.0</v>
      </c>
      <c r="H2998" s="206">
        <f>G2998*F2998</f>
        <v>0</v>
      </c>
      <c r="I2998" s="370"/>
    </row>
    <row r="2999" outlineLevel="2">
      <c r="A2999" s="422"/>
      <c r="B2999" s="571"/>
      <c r="C2999" s="485"/>
      <c r="D2999" s="571"/>
      <c r="E2999" s="431"/>
      <c r="F2999" s="432"/>
      <c r="G2999" s="434"/>
      <c r="H2999" s="434"/>
      <c r="I2999" s="240"/>
    </row>
    <row r="3000" outlineLevel="2">
      <c r="A3000" s="422"/>
      <c r="B3000" s="448" t="s">
        <v>1828</v>
      </c>
      <c r="C3000" s="284" t="s">
        <v>3592</v>
      </c>
      <c r="D3000" s="573" t="s">
        <v>1829</v>
      </c>
      <c r="E3000" s="444" t="s">
        <v>75</v>
      </c>
      <c r="F3000" s="361">
        <v>2.0</v>
      </c>
      <c r="G3000" s="362">
        <v>0.0</v>
      </c>
      <c r="H3000" s="206">
        <f>G3000*F3000</f>
        <v>0</v>
      </c>
      <c r="I3000" s="370"/>
    </row>
    <row r="3001" outlineLevel="2">
      <c r="A3001" s="422"/>
      <c r="B3001" s="571"/>
      <c r="C3001" s="485"/>
      <c r="D3001" s="571"/>
      <c r="E3001" s="431"/>
      <c r="F3001" s="432"/>
      <c r="G3001" s="434"/>
      <c r="H3001" s="434"/>
      <c r="I3001" s="240"/>
    </row>
    <row r="3002" outlineLevel="2">
      <c r="A3002" s="422"/>
      <c r="B3002" s="448" t="s">
        <v>1830</v>
      </c>
      <c r="C3002" s="574">
        <v>23.15</v>
      </c>
      <c r="D3002" s="326" t="s">
        <v>1831</v>
      </c>
      <c r="E3002" s="431"/>
      <c r="F3002" s="432"/>
      <c r="G3002" s="434"/>
      <c r="H3002" s="434"/>
      <c r="I3002" s="240"/>
    </row>
    <row r="3003" outlineLevel="2">
      <c r="A3003" s="422"/>
      <c r="B3003" s="571"/>
      <c r="C3003" s="485"/>
      <c r="D3003" s="571"/>
      <c r="E3003" s="431"/>
      <c r="F3003" s="432"/>
      <c r="G3003" s="434"/>
      <c r="H3003" s="434"/>
      <c r="I3003" s="240"/>
    </row>
    <row r="3004" outlineLevel="2">
      <c r="A3004" s="422"/>
      <c r="B3004" s="448" t="s">
        <v>1832</v>
      </c>
      <c r="C3004" s="284" t="s">
        <v>3595</v>
      </c>
      <c r="D3004" s="573" t="s">
        <v>5667</v>
      </c>
      <c r="E3004" s="444" t="s">
        <v>75</v>
      </c>
      <c r="F3004" s="361">
        <v>1.0</v>
      </c>
      <c r="G3004" s="362">
        <v>0.0</v>
      </c>
      <c r="H3004" s="206">
        <f>G3004*F3004</f>
        <v>0</v>
      </c>
      <c r="I3004" s="370"/>
    </row>
    <row r="3005" outlineLevel="2">
      <c r="A3005" s="422"/>
      <c r="B3005" s="571"/>
      <c r="C3005" s="485"/>
      <c r="D3005" s="571"/>
      <c r="E3005" s="431"/>
      <c r="F3005" s="432"/>
      <c r="G3005" s="434"/>
      <c r="H3005" s="434"/>
      <c r="I3005" s="240"/>
    </row>
    <row r="3006" outlineLevel="1">
      <c r="A3006" s="422"/>
      <c r="B3006" s="448" t="s">
        <v>1834</v>
      </c>
      <c r="C3006" s="485"/>
      <c r="D3006" s="435" t="s">
        <v>1835</v>
      </c>
      <c r="E3006" s="431"/>
      <c r="F3006" s="432"/>
      <c r="G3006" s="436">
        <f>SUM(H3008)</f>
        <v>0</v>
      </c>
      <c r="H3006" s="434"/>
      <c r="I3006" s="240"/>
    </row>
    <row r="3007" outlineLevel="2">
      <c r="A3007" s="422"/>
      <c r="B3007" s="571"/>
      <c r="C3007" s="485"/>
      <c r="D3007" s="571"/>
      <c r="E3007" s="431"/>
      <c r="F3007" s="432"/>
      <c r="G3007" s="434"/>
      <c r="H3007" s="434"/>
      <c r="I3007" s="240"/>
    </row>
    <row r="3008" outlineLevel="2">
      <c r="A3008" s="422"/>
      <c r="B3008" s="448" t="s">
        <v>1836</v>
      </c>
      <c r="C3008" s="284" t="s">
        <v>3598</v>
      </c>
      <c r="D3008" s="573" t="s">
        <v>1837</v>
      </c>
      <c r="E3008" s="444" t="s">
        <v>75</v>
      </c>
      <c r="F3008" s="361">
        <v>1.0</v>
      </c>
      <c r="G3008" s="362">
        <v>0.0</v>
      </c>
      <c r="H3008" s="206">
        <f>G3008*F3008</f>
        <v>0</v>
      </c>
      <c r="I3008" s="370"/>
    </row>
    <row r="3009" outlineLevel="2">
      <c r="A3009" s="422"/>
      <c r="B3009" s="571"/>
      <c r="C3009" s="485"/>
      <c r="D3009" s="571"/>
      <c r="E3009" s="431"/>
      <c r="F3009" s="432"/>
      <c r="G3009" s="434"/>
      <c r="H3009" s="434"/>
      <c r="I3009" s="240"/>
    </row>
    <row r="3010" outlineLevel="1">
      <c r="A3010" s="422"/>
      <c r="B3010" s="448" t="s">
        <v>1838</v>
      </c>
      <c r="C3010" s="485"/>
      <c r="D3010" s="435" t="s">
        <v>1839</v>
      </c>
      <c r="E3010" s="431"/>
      <c r="F3010" s="432"/>
      <c r="G3010" s="436">
        <f>SUM(H3012)</f>
        <v>0</v>
      </c>
      <c r="H3010" s="434"/>
      <c r="I3010" s="240"/>
    </row>
    <row r="3011" outlineLevel="2">
      <c r="A3011" s="422"/>
      <c r="B3011" s="571"/>
      <c r="C3011" s="485"/>
      <c r="D3011" s="571"/>
      <c r="E3011" s="431"/>
      <c r="F3011" s="432"/>
      <c r="G3011" s="434"/>
      <c r="H3011" s="434"/>
      <c r="I3011" s="240"/>
    </row>
    <row r="3012" outlineLevel="2">
      <c r="A3012" s="422"/>
      <c r="B3012" s="448" t="s">
        <v>1840</v>
      </c>
      <c r="C3012" s="284" t="s">
        <v>3601</v>
      </c>
      <c r="D3012" s="573" t="s">
        <v>1841</v>
      </c>
      <c r="E3012" s="444" t="s">
        <v>75</v>
      </c>
      <c r="F3012" s="361">
        <v>1.0</v>
      </c>
      <c r="G3012" s="362">
        <v>0.0</v>
      </c>
      <c r="H3012" s="206">
        <f>G3012*F3012</f>
        <v>0</v>
      </c>
      <c r="I3012" s="370"/>
    </row>
    <row r="3013" outlineLevel="1">
      <c r="A3013" s="422"/>
      <c r="B3013" s="448"/>
      <c r="C3013" s="569"/>
      <c r="D3013" s="570"/>
      <c r="E3013" s="526"/>
      <c r="F3013" s="527"/>
      <c r="G3013" s="439"/>
      <c r="H3013" s="439"/>
      <c r="I3013" s="240"/>
    </row>
    <row r="3014">
      <c r="A3014" s="422"/>
      <c r="B3014" s="184"/>
      <c r="C3014" s="184">
        <v>24.0</v>
      </c>
      <c r="D3014" s="184" t="s">
        <v>5668</v>
      </c>
      <c r="E3014" s="425"/>
      <c r="F3014" s="425"/>
      <c r="G3014" s="425"/>
      <c r="H3014" s="426">
        <f>H3016</f>
        <v>0</v>
      </c>
      <c r="I3014" s="427">
        <f>H3014-Resumo!J54</f>
        <v>-9600</v>
      </c>
    </row>
    <row r="3015" outlineLevel="1">
      <c r="A3015" s="422"/>
      <c r="B3015" s="472"/>
      <c r="C3015" s="429"/>
      <c r="D3015" s="428"/>
      <c r="E3015" s="431"/>
      <c r="F3015" s="432"/>
      <c r="G3015" s="434"/>
      <c r="H3015" s="434"/>
      <c r="I3015" s="240"/>
    </row>
    <row r="3016" outlineLevel="1">
      <c r="A3016" s="422"/>
      <c r="B3016" s="472" t="s">
        <v>1844</v>
      </c>
      <c r="C3016" s="301" t="s">
        <v>3604</v>
      </c>
      <c r="D3016" s="369" t="s">
        <v>1845</v>
      </c>
      <c r="E3016" s="444" t="s">
        <v>1846</v>
      </c>
      <c r="F3016" s="361">
        <v>12.0</v>
      </c>
      <c r="G3016" s="362">
        <v>0.0</v>
      </c>
      <c r="H3016" s="206">
        <f>G3016*F3016</f>
        <v>0</v>
      </c>
      <c r="I3016" s="370" t="s">
        <v>619</v>
      </c>
    </row>
    <row r="3017" outlineLevel="1">
      <c r="A3017" s="422"/>
      <c r="B3017" s="472"/>
      <c r="C3017" s="568"/>
      <c r="D3017" s="525"/>
      <c r="E3017" s="526"/>
      <c r="F3017" s="527"/>
      <c r="G3017" s="439"/>
      <c r="H3017" s="439"/>
      <c r="I3017" s="240"/>
    </row>
    <row r="3018">
      <c r="A3018" s="422"/>
      <c r="B3018" s="471"/>
      <c r="C3018" s="492">
        <v>25.0</v>
      </c>
      <c r="D3018" s="516" t="s">
        <v>725</v>
      </c>
      <c r="E3018" s="493"/>
      <c r="F3018" s="214"/>
      <c r="G3018" s="205"/>
      <c r="H3018" s="426">
        <f>SUM(H3022:H3121)</f>
        <v>44572.63071</v>
      </c>
      <c r="I3018" s="427">
        <f>H3018-'Orcamento RU'!C698</f>
        <v>-31263.27929</v>
      </c>
    </row>
    <row r="3019" outlineLevel="1">
      <c r="A3019" s="422"/>
      <c r="B3019" s="472"/>
      <c r="C3019" s="568"/>
      <c r="D3019" s="525"/>
      <c r="E3019" s="526"/>
      <c r="F3019" s="527"/>
      <c r="G3019" s="439"/>
      <c r="H3019" s="439"/>
      <c r="I3019" s="240"/>
    </row>
    <row r="3020" outlineLevel="1">
      <c r="A3020" s="422"/>
      <c r="B3020" s="472" t="s">
        <v>726</v>
      </c>
      <c r="C3020" s="429"/>
      <c r="D3020" s="516" t="s">
        <v>727</v>
      </c>
      <c r="E3020" s="431"/>
      <c r="F3020" s="432"/>
      <c r="G3020" s="436">
        <f>SUM(H3022:H3051)</f>
        <v>31952.08575</v>
      </c>
      <c r="H3020" s="434"/>
      <c r="I3020" s="240"/>
    </row>
    <row r="3021" outlineLevel="2">
      <c r="A3021" s="422"/>
      <c r="B3021" s="428"/>
      <c r="C3021" s="429"/>
      <c r="D3021" s="428"/>
      <c r="E3021" s="431"/>
      <c r="F3021" s="432"/>
      <c r="G3021" s="434"/>
      <c r="H3021" s="434"/>
      <c r="I3021" s="240"/>
    </row>
    <row r="3022" outlineLevel="2">
      <c r="A3022" s="422"/>
      <c r="B3022" s="472" t="s">
        <v>728</v>
      </c>
      <c r="C3022" s="198">
        <v>25.1</v>
      </c>
      <c r="D3022" s="202" t="s">
        <v>729</v>
      </c>
      <c r="E3022" s="444" t="s">
        <v>40</v>
      </c>
      <c r="F3022" s="214">
        <v>77.14</v>
      </c>
      <c r="G3022" s="206"/>
      <c r="H3022" s="206"/>
      <c r="I3022" s="219"/>
    </row>
    <row r="3023" outlineLevel="2">
      <c r="A3023" s="422"/>
      <c r="B3023" s="472"/>
      <c r="C3023" s="230"/>
      <c r="D3023" s="246"/>
      <c r="E3023" s="437"/>
      <c r="F3023" s="170"/>
      <c r="G3023" s="170"/>
      <c r="H3023" s="239"/>
      <c r="I3023" s="240"/>
    </row>
    <row r="3024" outlineLevel="2">
      <c r="A3024" s="422" t="str">
        <f>'Master List'!A519</f>
        <v>W-BRK-009</v>
      </c>
      <c r="B3024" s="472"/>
      <c r="C3024" s="198"/>
      <c r="D3024" s="462" t="str">
        <f>VLOOKUP(A3024,'Master List'!$A$1:$C$1192,2,FALSE)</f>
        <v>Мурування огорожі з бетонних блоків товщиною 25см</v>
      </c>
      <c r="E3024" s="463" t="str">
        <f>VLOOKUP(A3024,'Master List'!$A$1:$C$1192,3,FALSE)</f>
        <v>м2</v>
      </c>
      <c r="F3024" s="464">
        <f>F3022</f>
        <v>77.14</v>
      </c>
      <c r="G3024" s="463">
        <f>VLOOKUP(A3024,'Master List'!$A$4:$F5758,5,FALSE)</f>
        <v>32.5</v>
      </c>
      <c r="H3024" s="206">
        <f t="shared" ref="H3024:H3035" si="301">G3024*F3024</f>
        <v>2507.05</v>
      </c>
      <c r="I3024" s="240"/>
    </row>
    <row r="3025" outlineLevel="2">
      <c r="A3025" s="422" t="str">
        <f>'Master List'!A497</f>
        <v>W-CON-003</v>
      </c>
      <c r="B3025" s="472"/>
      <c r="C3025" s="198"/>
      <c r="D3025" s="462" t="str">
        <f>VLOOKUP(A3025,'Master List'!$A$1:$C$1192,2,FALSE)</f>
        <v>Сборка и разборка опалубки</v>
      </c>
      <c r="E3025" s="463" t="str">
        <f>VLOOKUP(A3025,'Master List'!$A$1:$C$1192,3,FALSE)</f>
        <v>м2</v>
      </c>
      <c r="F3025" s="464">
        <f>74+13</f>
        <v>87</v>
      </c>
      <c r="G3025" s="463">
        <f>VLOOKUP(A3025,'Master List'!$A$4:$F5759,5,FALSE)</f>
        <v>45.5</v>
      </c>
      <c r="H3025" s="206">
        <f t="shared" si="301"/>
        <v>3958.5</v>
      </c>
      <c r="I3025" s="240"/>
    </row>
    <row r="3026" outlineLevel="2">
      <c r="A3026" s="422" t="str">
        <f>'Master List'!A498</f>
        <v>W-CON-004</v>
      </c>
      <c r="B3026" s="472"/>
      <c r="C3026" s="198"/>
      <c r="D3026" s="462" t="str">
        <f>VLOOKUP(A3026,'Master List'!$A$1:$C$1192,2,FALSE)</f>
        <v>Изготовление и установка арматурных каркасов</v>
      </c>
      <c r="E3026" s="463" t="str">
        <f>VLOOKUP(A3026,'Master List'!$A$1:$C$1192,3,FALSE)</f>
        <v>кг</v>
      </c>
      <c r="F3026" s="464">
        <f>8.2*95</f>
        <v>779</v>
      </c>
      <c r="G3026" s="463">
        <f>VLOOKUP(A3026,'Master List'!$A$4:$F5760,5,FALSE)</f>
        <v>0.975</v>
      </c>
      <c r="H3026" s="206">
        <f t="shared" si="301"/>
        <v>759.525</v>
      </c>
      <c r="I3026" s="240"/>
    </row>
    <row r="3027" outlineLevel="2">
      <c r="A3027" s="422" t="str">
        <f>'Master List'!A499</f>
        <v>W-CON-005</v>
      </c>
      <c r="B3027" s="472"/>
      <c r="C3027" s="198"/>
      <c r="D3027" s="462" t="str">
        <f>VLOOKUP(A3027,'Master List'!$A$1:$C$1192,2,FALSE)</f>
        <v>Укладка чистового бетона в опалубку</v>
      </c>
      <c r="E3027" s="463" t="str">
        <f>VLOOKUP(A3027,'Master List'!$A$1:$C$1192,3,FALSE)</f>
        <v>м3</v>
      </c>
      <c r="F3027" s="464">
        <v>8.2</v>
      </c>
      <c r="G3027" s="463">
        <f>VLOOKUP(A3027,'Master List'!$A$4:$F5761,5,FALSE)</f>
        <v>16.25</v>
      </c>
      <c r="H3027" s="206">
        <f t="shared" si="301"/>
        <v>133.25</v>
      </c>
      <c r="I3027" s="240"/>
    </row>
    <row r="3028" outlineLevel="2">
      <c r="A3028" s="422" t="str">
        <f>'Master List'!A35</f>
        <v>M-BRK-009</v>
      </c>
      <c r="B3028" s="472"/>
      <c r="C3028" s="198"/>
      <c r="D3028" s="462" t="str">
        <f>VLOOKUP(A3028,'Master List'!$A$1:$C$1192,2,FALSE)</f>
        <v>Блоки бетонні розміром 50x20x25см</v>
      </c>
      <c r="E3028" s="463" t="str">
        <f>VLOOKUP(A3028,'Master List'!$A$1:$C$1192,3,FALSE)</f>
        <v>шт</v>
      </c>
      <c r="F3028" s="464">
        <f>F3024*10+0.6</f>
        <v>772</v>
      </c>
      <c r="G3028" s="463">
        <f>VLOOKUP(A3028,'Master List'!$A$4:$F5759,5,FALSE)</f>
        <v>1.989</v>
      </c>
      <c r="H3028" s="206">
        <f t="shared" si="301"/>
        <v>1535.508</v>
      </c>
      <c r="I3028" s="240"/>
    </row>
    <row r="3029" outlineLevel="2">
      <c r="A3029" s="422" t="str">
        <f>'Master List'!A38</f>
        <v>M-BRK-025</v>
      </c>
      <c r="B3029" s="472"/>
      <c r="C3029" s="198"/>
      <c r="D3029" s="462" t="str">
        <f>VLOOKUP(A3029,'Master List'!$A$1:$C$1192,2,FALSE)</f>
        <v>Цемент</v>
      </c>
      <c r="E3029" s="463" t="str">
        <f>VLOOKUP(A3029,'Master List'!$A$1:$C$1192,3,FALSE)</f>
        <v>т</v>
      </c>
      <c r="F3029" s="469">
        <f>F3024*0.02*0.3</f>
        <v>0.46284</v>
      </c>
      <c r="G3029" s="463">
        <f>VLOOKUP(A3029,'Master List'!$A$4:$F5760,5,FALSE)</f>
        <v>189.1032</v>
      </c>
      <c r="H3029" s="206">
        <f t="shared" si="301"/>
        <v>87.52452509</v>
      </c>
      <c r="I3029" s="240"/>
    </row>
    <row r="3030" outlineLevel="2">
      <c r="A3030" s="422" t="str">
        <f>'Master List'!A39</f>
        <v>M-BRK-026</v>
      </c>
      <c r="B3030" s="472"/>
      <c r="C3030" s="198"/>
      <c r="D3030" s="462" t="str">
        <f>VLOOKUP(A3030,'Master List'!$A$1:$C$1192,2,FALSE)</f>
        <v>Песок</v>
      </c>
      <c r="E3030" s="463" t="str">
        <f>VLOOKUP(A3030,'Master List'!$A$1:$C$1192,3,FALSE)</f>
        <v>м3</v>
      </c>
      <c r="F3030" s="464">
        <f>F3024*0.02*1.15</f>
        <v>1.77422</v>
      </c>
      <c r="G3030" s="463">
        <f>VLOOKUP(A3030,'Master List'!$A$4:$F5761,5,FALSE)</f>
        <v>56.875</v>
      </c>
      <c r="H3030" s="206">
        <f t="shared" si="301"/>
        <v>100.9087625</v>
      </c>
      <c r="I3030" s="240"/>
    </row>
    <row r="3031" outlineLevel="2">
      <c r="A3031" s="422" t="str">
        <f>'Master List'!A18</f>
        <v>M-CON-030</v>
      </c>
      <c r="B3031" s="472"/>
      <c r="C3031" s="198"/>
      <c r="D3031" s="462" t="str">
        <f>VLOOKUP(A3031,'Master List'!$A$1:$C$1192,2,FALSE)</f>
        <v>Деревянные щиты опалубки</v>
      </c>
      <c r="E3031" s="463" t="str">
        <f>VLOOKUP(A3031,'Master List'!$A$1:$C$1192,3,FALSE)</f>
        <v>м2</v>
      </c>
      <c r="F3031" s="464">
        <f>F3025</f>
        <v>87</v>
      </c>
      <c r="G3031" s="463">
        <f>VLOOKUP(A3031,'Master List'!$A$4:$F5762,5,FALSE)</f>
        <v>0</v>
      </c>
      <c r="H3031" s="206">
        <f t="shared" si="301"/>
        <v>0</v>
      </c>
      <c r="I3031" s="240"/>
    </row>
    <row r="3032" outlineLevel="2">
      <c r="A3032" s="422" t="str">
        <f>'Master List'!A12</f>
        <v>M-CON-013</v>
      </c>
      <c r="B3032" s="472"/>
      <c r="C3032" s="198"/>
      <c r="D3032" s="462" t="str">
        <f>VLOOKUP(A3032,'Master List'!$A$1:$C$1192,2,FALSE)</f>
        <v>Арматура диаметром 10 мм A500NR SD</v>
      </c>
      <c r="E3032" s="463" t="str">
        <f>VLOOKUP(A3032,'Master List'!$A$1:$C$1192,3,FALSE)</f>
        <v>кг</v>
      </c>
      <c r="F3032" s="464">
        <f>F3026*1.05</f>
        <v>817.95</v>
      </c>
      <c r="G3032" s="463">
        <f>VLOOKUP(A3032,'Master List'!$A$4:$F5763,5,FALSE)</f>
        <v>0.58305</v>
      </c>
      <c r="H3032" s="206">
        <f t="shared" si="301"/>
        <v>476.9057475</v>
      </c>
      <c r="I3032" s="240"/>
    </row>
    <row r="3033" outlineLevel="2">
      <c r="A3033" s="422" t="str">
        <f>'Master List'!A15</f>
        <v>M-CON-020</v>
      </c>
      <c r="B3033" s="472"/>
      <c r="C3033" s="198"/>
      <c r="D3033" s="462" t="str">
        <f>VLOOKUP(A3033,'Master List'!$A$1:$C$1192,2,FALSE)</f>
        <v>Вязальная проволока</v>
      </c>
      <c r="E3033" s="463" t="str">
        <f>VLOOKUP(A3033,'Master List'!$A$1:$C$1192,3,FALSE)</f>
        <v>кг</v>
      </c>
      <c r="F3033" s="464">
        <f>F3026*15/1000</f>
        <v>11.685</v>
      </c>
      <c r="G3033" s="463">
        <f>VLOOKUP(A3033,'Master List'!$A$4:$F5764,5,FALSE)</f>
        <v>2.054</v>
      </c>
      <c r="H3033" s="206">
        <f t="shared" si="301"/>
        <v>24.00099</v>
      </c>
      <c r="I3033" s="240"/>
    </row>
    <row r="3034" outlineLevel="2">
      <c r="A3034" s="422" t="str">
        <f>'Master List'!A16</f>
        <v>M-CON-022</v>
      </c>
      <c r="B3034" s="472"/>
      <c r="C3034" s="198"/>
      <c r="D3034" s="462" t="str">
        <f>VLOOKUP(A3034,'Master List'!$A$1:$C$1192,2,FALSE)</f>
        <v>Круги отрезные по металлу диаметром 230мм</v>
      </c>
      <c r="E3034" s="463" t="str">
        <f>VLOOKUP(A3034,'Master List'!$A$1:$C$1192,3,FALSE)</f>
        <v>шт</v>
      </c>
      <c r="F3034" s="464">
        <f>F3026*3/1000</f>
        <v>2.337</v>
      </c>
      <c r="G3034" s="463">
        <f>VLOOKUP(A3034,'Master List'!$A$4:$F5765,5,FALSE)</f>
        <v>0</v>
      </c>
      <c r="H3034" s="206">
        <f t="shared" si="301"/>
        <v>0</v>
      </c>
      <c r="I3034" s="240"/>
    </row>
    <row r="3035" outlineLevel="2">
      <c r="A3035" s="422" t="str">
        <f>'Master List'!A5</f>
        <v>M-CON-002</v>
      </c>
      <c r="B3035" s="472"/>
      <c r="C3035" s="198"/>
      <c r="D3035" s="462" t="str">
        <f>VLOOKUP(A3035,'Master List'!$A$1:$C$1192,2,FALSE)</f>
        <v>Бетон C16/20 X0(P) Cl0.40 Dmáx 15mm S2</v>
      </c>
      <c r="E3035" s="463" t="str">
        <f>VLOOKUP(A3035,'Master List'!$A$1:$C$1192,3,FALSE)</f>
        <v>м3</v>
      </c>
      <c r="F3035" s="464">
        <f>F3027*1.02</f>
        <v>8.364</v>
      </c>
      <c r="G3035" s="463">
        <f>VLOOKUP(A3035,'Master List'!$A$4:$F5763,5,FALSE)</f>
        <v>114.218</v>
      </c>
      <c r="H3035" s="206">
        <f t="shared" si="301"/>
        <v>955.319352</v>
      </c>
      <c r="I3035" s="240"/>
    </row>
    <row r="3036" outlineLevel="2">
      <c r="A3036" s="422"/>
      <c r="B3036" s="428"/>
      <c r="C3036" s="429"/>
      <c r="D3036" s="428"/>
      <c r="E3036" s="431"/>
      <c r="F3036" s="432"/>
      <c r="G3036" s="434"/>
      <c r="H3036" s="434"/>
      <c r="I3036" s="240"/>
    </row>
    <row r="3037" outlineLevel="2">
      <c r="A3037" s="422"/>
      <c r="B3037" s="472" t="s">
        <v>730</v>
      </c>
      <c r="C3037" s="198">
        <v>25.2</v>
      </c>
      <c r="D3037" s="202" t="s">
        <v>731</v>
      </c>
      <c r="E3037" s="444" t="s">
        <v>40</v>
      </c>
      <c r="F3037" s="214">
        <v>168.06</v>
      </c>
      <c r="G3037" s="206"/>
      <c r="H3037" s="206"/>
      <c r="I3037" s="219"/>
    </row>
    <row r="3038" outlineLevel="2">
      <c r="A3038" s="422"/>
      <c r="B3038" s="472"/>
      <c r="C3038" s="230"/>
      <c r="D3038" s="246"/>
      <c r="E3038" s="437"/>
      <c r="F3038" s="170"/>
      <c r="G3038" s="170"/>
      <c r="H3038" s="239"/>
      <c r="I3038" s="240"/>
    </row>
    <row r="3039" outlineLevel="2">
      <c r="A3039" s="422" t="str">
        <f>'Master List'!A561</f>
        <v>W-FIN-030</v>
      </c>
      <c r="B3039" s="472"/>
      <c r="C3039" s="198"/>
      <c r="D3039" s="462" t="str">
        <f>VLOOKUP(A3039,'Master List'!$A$1:$C$1192,2,FALSE)</f>
        <v>Оштукатуривание стен толщиной 2см</v>
      </c>
      <c r="E3039" s="463" t="str">
        <f>VLOOKUP(A3039,'Master List'!$A$1:$C$1192,3,FALSE)</f>
        <v>м2</v>
      </c>
      <c r="F3039" s="464">
        <f>F3037</f>
        <v>168.06</v>
      </c>
      <c r="G3039" s="463">
        <f>VLOOKUP(A3039,'Master List'!$A$4:$F5768,5,FALSE)</f>
        <v>15.73</v>
      </c>
      <c r="H3039" s="206">
        <f t="shared" ref="H3039:H3040" si="302">G3039*F3039</f>
        <v>2643.5838</v>
      </c>
      <c r="I3039" s="240"/>
    </row>
    <row r="3040" outlineLevel="2">
      <c r="A3040" s="422" t="str">
        <f>'Master List'!A99</f>
        <v>M-FIN-060</v>
      </c>
      <c r="B3040" s="472"/>
      <c r="C3040" s="198"/>
      <c r="D3040" s="462" t="str">
        <f>VLOOKUP(A3040,'Master List'!$A$1:$C$1192,2,FALSE)</f>
        <v>Смесь для штукатурки 25кг</v>
      </c>
      <c r="E3040" s="463" t="str">
        <f>VLOOKUP(A3040,'Master List'!$A$1:$C$1192,3,FALSE)</f>
        <v>шт</v>
      </c>
      <c r="F3040" s="464">
        <f>F3039*34/25</f>
        <v>228.5616</v>
      </c>
      <c r="G3040" s="463">
        <f>VLOOKUP(A3040,'Master List'!$A$4:$F5769,5,FALSE)</f>
        <v>2.977</v>
      </c>
      <c r="H3040" s="206">
        <f t="shared" si="302"/>
        <v>680.4278832</v>
      </c>
      <c r="I3040" s="240"/>
    </row>
    <row r="3041" outlineLevel="2">
      <c r="A3041" s="422"/>
      <c r="B3041" s="428"/>
      <c r="C3041" s="429"/>
      <c r="D3041" s="428"/>
      <c r="E3041" s="431"/>
      <c r="F3041" s="432"/>
      <c r="G3041" s="434"/>
      <c r="H3041" s="434"/>
      <c r="I3041" s="240"/>
    </row>
    <row r="3042" outlineLevel="2">
      <c r="A3042" s="422"/>
      <c r="B3042" s="472" t="s">
        <v>732</v>
      </c>
      <c r="C3042" s="198">
        <v>25.3</v>
      </c>
      <c r="D3042" s="202" t="s">
        <v>733</v>
      </c>
      <c r="E3042" s="444" t="s">
        <v>40</v>
      </c>
      <c r="F3042" s="214">
        <v>168.06</v>
      </c>
      <c r="G3042" s="206"/>
      <c r="H3042" s="206"/>
      <c r="I3042" s="219"/>
    </row>
    <row r="3043" outlineLevel="2">
      <c r="A3043" s="422"/>
      <c r="B3043" s="472"/>
      <c r="C3043" s="230"/>
      <c r="D3043" s="246"/>
      <c r="E3043" s="437"/>
      <c r="F3043" s="170"/>
      <c r="G3043" s="170"/>
      <c r="H3043" s="239"/>
      <c r="I3043" s="240"/>
    </row>
    <row r="3044" outlineLevel="2">
      <c r="A3044" s="422" t="str">
        <f>'Master List'!A570</f>
        <v>W-FIN-035</v>
      </c>
      <c r="B3044" s="472"/>
      <c r="C3044" s="198"/>
      <c r="D3044" s="462" t="str">
        <f>VLOOKUP(A3044,'Master List'!$A$1:$C$1192,2,FALSE)</f>
        <v>Окраска стен</v>
      </c>
      <c r="E3044" s="463" t="str">
        <f>VLOOKUP(A3044,'Master List'!$A$1:$C$1192,3,FALSE)</f>
        <v>м2</v>
      </c>
      <c r="F3044" s="464">
        <f>F3042</f>
        <v>168.06</v>
      </c>
      <c r="G3044" s="463">
        <f>VLOOKUP(A3044,'Master List'!$A$4:$F5773,5,FALSE)</f>
        <v>7.8</v>
      </c>
      <c r="H3044" s="206">
        <f t="shared" ref="H3044:H3046" si="303">G3044*F3044</f>
        <v>1310.868</v>
      </c>
      <c r="I3044" s="240"/>
    </row>
    <row r="3045" outlineLevel="2">
      <c r="A3045" s="422" t="str">
        <f>'Master List'!A106</f>
        <v>M-FIN-062</v>
      </c>
      <c r="B3045" s="472"/>
      <c r="C3045" s="198"/>
      <c r="D3045" s="462" t="str">
        <f>VLOOKUP(A3045,'Master List'!$A$1:$C$1192,2,FALSE)</f>
        <v>Грунтовка для краски Cin</v>
      </c>
      <c r="E3045" s="463" t="str">
        <f>VLOOKUP(A3045,'Master List'!$A$1:$C$1192,3,FALSE)</f>
        <v>л</v>
      </c>
      <c r="F3045" s="464">
        <f>F3044*0.2</f>
        <v>33.612</v>
      </c>
      <c r="G3045" s="463">
        <f>VLOOKUP(A3045,'Master List'!$A$4:$F5773,5,FALSE)</f>
        <v>10.387</v>
      </c>
      <c r="H3045" s="206">
        <f t="shared" si="303"/>
        <v>349.127844</v>
      </c>
      <c r="I3045" s="240"/>
    </row>
    <row r="3046" outlineLevel="2">
      <c r="A3046" s="422" t="str">
        <f>'Master List'!A108</f>
        <v>M-FIN-064</v>
      </c>
      <c r="B3046" s="472"/>
      <c r="C3046" s="198"/>
      <c r="D3046" s="462" t="str">
        <f>VLOOKUP(A3046,'Master List'!$A$1:$C$1192,2,FALSE)</f>
        <v>Краска фасадная Cin</v>
      </c>
      <c r="E3046" s="463" t="str">
        <f>VLOOKUP(A3046,'Master List'!$A$1:$C$1192,3,FALSE)</f>
        <v>л</v>
      </c>
      <c r="F3046" s="464">
        <f>F3044*0.4</f>
        <v>67.224</v>
      </c>
      <c r="G3046" s="463">
        <f>VLOOKUP(A3046,'Master List'!$A$4:$F5774,5,FALSE)</f>
        <v>12.727</v>
      </c>
      <c r="H3046" s="206">
        <f t="shared" si="303"/>
        <v>855.559848</v>
      </c>
      <c r="I3046" s="240"/>
    </row>
    <row r="3047" outlineLevel="2">
      <c r="A3047" s="422"/>
      <c r="B3047" s="428"/>
      <c r="C3047" s="429"/>
      <c r="D3047" s="428"/>
      <c r="E3047" s="431"/>
      <c r="F3047" s="432"/>
      <c r="G3047" s="434"/>
      <c r="H3047" s="434"/>
      <c r="I3047" s="240"/>
    </row>
    <row r="3048" outlineLevel="2">
      <c r="A3048" s="422"/>
      <c r="B3048" s="472" t="s">
        <v>734</v>
      </c>
      <c r="C3048" s="198">
        <v>25.4</v>
      </c>
      <c r="D3048" s="202" t="s">
        <v>735</v>
      </c>
      <c r="E3048" s="444" t="s">
        <v>161</v>
      </c>
      <c r="F3048" s="214">
        <v>153.59</v>
      </c>
      <c r="G3048" s="206"/>
      <c r="H3048" s="206"/>
      <c r="I3048" s="219"/>
    </row>
    <row r="3049" outlineLevel="2">
      <c r="A3049" s="422"/>
      <c r="B3049" s="472"/>
      <c r="C3049" s="230"/>
      <c r="D3049" s="246"/>
      <c r="E3049" s="437"/>
      <c r="F3049" s="170"/>
      <c r="G3049" s="170"/>
      <c r="H3049" s="239"/>
      <c r="I3049" s="240"/>
    </row>
    <row r="3050" outlineLevel="2">
      <c r="A3050" s="422" t="str">
        <f>'Master List'!A593</f>
        <v>W-LAN-017</v>
      </c>
      <c r="B3050" s="472"/>
      <c r="C3050" s="198"/>
      <c r="D3050" s="462" t="str">
        <f>VLOOKUP(A3050,'Master List'!$A$1:$C$1192,2,FALSE)</f>
        <v>Встановлення металевої огорожі висотою 1,4м </v>
      </c>
      <c r="E3050" s="463" t="str">
        <f>VLOOKUP(A3050,'Master List'!$A$1:$C$1192,3,FALSE)</f>
        <v>м</v>
      </c>
      <c r="F3050" s="464">
        <f>F3048</f>
        <v>153.59</v>
      </c>
      <c r="G3050" s="463">
        <f>VLOOKUP(A3050,'Master List'!$A$4:$F5778,5,FALSE)</f>
        <v>101.4</v>
      </c>
      <c r="H3050" s="206">
        <f t="shared" ref="H3050:H3051" si="304">G3050*F3050</f>
        <v>15574.026</v>
      </c>
      <c r="I3050" s="240"/>
    </row>
    <row r="3051" outlineLevel="2">
      <c r="A3051" s="422" t="str">
        <f>'Master List'!A118</f>
        <v>M-LAN-009</v>
      </c>
      <c r="B3051" s="472"/>
      <c r="C3051" s="198"/>
      <c r="D3051" s="462" t="str">
        <f>VLOOKUP(A3051,'Master List'!$A$1:$C$1192,2,FALSE)</f>
        <v>Металева огорожа висотою 1,4м з труб розміром 50х50мм</v>
      </c>
      <c r="E3051" s="463" t="str">
        <f>VLOOKUP(A3051,'Master List'!$A$1:$C$1192,3,FALSE)</f>
        <v>м</v>
      </c>
      <c r="F3051" s="464">
        <f>F3050</f>
        <v>153.59</v>
      </c>
      <c r="G3051" s="463">
        <f>VLOOKUP(A3051,'Master List'!$A$4:$F5779,5,FALSE)</f>
        <v>0</v>
      </c>
      <c r="H3051" s="206">
        <f t="shared" si="304"/>
        <v>0</v>
      </c>
      <c r="I3051" s="240"/>
    </row>
    <row r="3052" outlineLevel="2">
      <c r="A3052" s="422"/>
      <c r="B3052" s="428"/>
      <c r="C3052" s="429"/>
      <c r="D3052" s="428"/>
      <c r="E3052" s="431"/>
      <c r="F3052" s="432"/>
      <c r="G3052" s="434"/>
      <c r="H3052" s="434"/>
      <c r="I3052" s="240"/>
    </row>
    <row r="3053" outlineLevel="1">
      <c r="A3053" s="422"/>
      <c r="B3053" s="472" t="s">
        <v>736</v>
      </c>
      <c r="C3053" s="429"/>
      <c r="D3053" s="516" t="s">
        <v>737</v>
      </c>
      <c r="E3053" s="431"/>
      <c r="F3053" s="432"/>
      <c r="G3053" s="436">
        <f>SUM(H3060:H3062)</f>
        <v>4834.318171</v>
      </c>
      <c r="H3053" s="434"/>
      <c r="I3053" s="240"/>
    </row>
    <row r="3054" outlineLevel="2">
      <c r="A3054" s="422"/>
      <c r="B3054" s="428"/>
      <c r="C3054" s="429"/>
      <c r="D3054" s="428"/>
      <c r="E3054" s="431"/>
      <c r="F3054" s="432"/>
      <c r="G3054" s="434"/>
      <c r="H3054" s="434"/>
      <c r="I3054" s="240"/>
    </row>
    <row r="3055" outlineLevel="2">
      <c r="A3055" s="422"/>
      <c r="B3055" s="472" t="s">
        <v>738</v>
      </c>
      <c r="C3055" s="198">
        <v>25.5</v>
      </c>
      <c r="D3055" s="577" t="s">
        <v>739</v>
      </c>
      <c r="E3055" s="431"/>
      <c r="F3055" s="432"/>
      <c r="G3055" s="428"/>
      <c r="H3055" s="434"/>
      <c r="I3055" s="240"/>
    </row>
    <row r="3056" outlineLevel="2">
      <c r="A3056" s="422"/>
      <c r="B3056" s="428"/>
      <c r="C3056" s="429"/>
      <c r="D3056" s="428"/>
      <c r="E3056" s="431"/>
      <c r="F3056" s="432"/>
      <c r="G3056" s="434"/>
      <c r="H3056" s="434"/>
      <c r="I3056" s="240"/>
    </row>
    <row r="3057" outlineLevel="2">
      <c r="A3057" s="422"/>
      <c r="B3057" s="472" t="s">
        <v>740</v>
      </c>
      <c r="C3057" s="198" t="s">
        <v>3614</v>
      </c>
      <c r="D3057" s="202" t="s">
        <v>741</v>
      </c>
      <c r="E3057" s="299" t="s">
        <v>5669</v>
      </c>
      <c r="F3057" s="214">
        <v>90.98</v>
      </c>
      <c r="G3057" s="206"/>
      <c r="H3057" s="206"/>
      <c r="I3057" s="240"/>
    </row>
    <row r="3058" outlineLevel="2">
      <c r="A3058" s="422"/>
      <c r="B3058" s="472" t="s">
        <v>743</v>
      </c>
      <c r="C3058" s="198" t="s">
        <v>3616</v>
      </c>
      <c r="D3058" s="202" t="s">
        <v>744</v>
      </c>
      <c r="E3058" s="299" t="s">
        <v>5669</v>
      </c>
      <c r="F3058" s="214">
        <v>27.29</v>
      </c>
      <c r="G3058" s="206"/>
      <c r="H3058" s="206"/>
      <c r="I3058" s="240"/>
    </row>
    <row r="3059" outlineLevel="2">
      <c r="A3059" s="422"/>
      <c r="B3059" s="472"/>
      <c r="C3059" s="230"/>
      <c r="D3059" s="246"/>
      <c r="E3059" s="230"/>
      <c r="F3059" s="170"/>
      <c r="G3059" s="170"/>
      <c r="H3059" s="170"/>
      <c r="I3059" s="240"/>
    </row>
    <row r="3060" outlineLevel="2">
      <c r="A3060" s="422" t="str">
        <f>'Master List'!A594</f>
        <v>W-LAN-018</v>
      </c>
      <c r="B3060" s="472"/>
      <c r="C3060" s="198"/>
      <c r="D3060" s="462" t="str">
        <f>VLOOKUP(A3060,'Master List'!$A$1:$C$1192,2,FALSE)</f>
        <v>Встановлення кутника з нержавіючої сталі</v>
      </c>
      <c r="E3060" s="463" t="str">
        <f>VLOOKUP(A3060,'Master List'!$A$1:$C$1192,3,FALSE)</f>
        <v>м</v>
      </c>
      <c r="F3060" s="464">
        <f>F3057+F3058</f>
        <v>118.27</v>
      </c>
      <c r="G3060" s="463">
        <f>VLOOKUP(A3060,'Master List'!$A$4:$F5794,5,FALSE)</f>
        <v>23.66</v>
      </c>
      <c r="H3060" s="206">
        <f t="shared" ref="H3060:H3062" si="305">G3060*F3060</f>
        <v>2798.2682</v>
      </c>
      <c r="I3060" s="240"/>
    </row>
    <row r="3061" outlineLevel="2">
      <c r="A3061" s="422" t="str">
        <f>'Master List'!A81</f>
        <v>M-FIN-009</v>
      </c>
      <c r="B3061" s="472"/>
      <c r="C3061" s="198"/>
      <c r="D3061" s="462" t="str">
        <f>VLOOKUP(A3061,'Master List'!$A$1:$C$1192,2,FALSE)</f>
        <v>Кутник з нержавіючої сталі розміром 15х15см</v>
      </c>
      <c r="E3061" s="463" t="str">
        <f>VLOOKUP(A3061,'Master List'!$A$1:$C$1192,3,FALSE)</f>
        <v>м</v>
      </c>
      <c r="F3061" s="464">
        <f t="shared" ref="F3061:F3062" si="306">F3057*1.05</f>
        <v>95.529</v>
      </c>
      <c r="G3061" s="463">
        <f>VLOOKUP(A3061,'Master List'!$A$4:$F5795,5,FALSE)</f>
        <v>20.787</v>
      </c>
      <c r="H3061" s="206">
        <f t="shared" si="305"/>
        <v>1985.761323</v>
      </c>
      <c r="I3061" s="240"/>
    </row>
    <row r="3062" outlineLevel="2">
      <c r="A3062" s="422" t="str">
        <f>'Master List'!A119</f>
        <v>M-LAN-011</v>
      </c>
      <c r="B3062" s="472"/>
      <c r="C3062" s="198"/>
      <c r="D3062" s="462" t="str">
        <f>VLOOKUP(A3062,'Master List'!$A$1:$C$1192,2,FALSE)</f>
        <v>Кутник з нержавіючої сталі розміром 10х10см</v>
      </c>
      <c r="E3062" s="463" t="str">
        <f>VLOOKUP(A3062,'Master List'!$A$1:$C$1192,3,FALSE)</f>
        <v>м</v>
      </c>
      <c r="F3062" s="464">
        <f t="shared" si="306"/>
        <v>28.6545</v>
      </c>
      <c r="G3062" s="463">
        <f>VLOOKUP(A3062,'Master List'!$A$4:$F5796,5,FALSE)</f>
        <v>1.755</v>
      </c>
      <c r="H3062" s="206">
        <f t="shared" si="305"/>
        <v>50.2886475</v>
      </c>
      <c r="I3062" s="240"/>
    </row>
    <row r="3063" outlineLevel="2">
      <c r="A3063" s="422"/>
      <c r="B3063" s="428"/>
      <c r="C3063" s="429"/>
      <c r="D3063" s="428"/>
      <c r="E3063" s="431"/>
      <c r="F3063" s="432"/>
      <c r="G3063" s="432"/>
      <c r="H3063" s="432"/>
      <c r="I3063" s="240"/>
    </row>
    <row r="3064" outlineLevel="1">
      <c r="A3064" s="422"/>
      <c r="B3064" s="472" t="s">
        <v>745</v>
      </c>
      <c r="C3064" s="429"/>
      <c r="D3064" s="516" t="s">
        <v>5670</v>
      </c>
      <c r="E3064" s="431"/>
      <c r="F3064" s="432"/>
      <c r="G3064" s="436">
        <f>SUM(H3066:H3121)</f>
        <v>7786.226791</v>
      </c>
      <c r="H3064" s="434"/>
      <c r="I3064" s="240"/>
    </row>
    <row r="3065" outlineLevel="2">
      <c r="A3065" s="422"/>
      <c r="B3065" s="428"/>
      <c r="C3065" s="429"/>
      <c r="D3065" s="428"/>
      <c r="E3065" s="431"/>
      <c r="F3065" s="432"/>
      <c r="G3065" s="434"/>
      <c r="H3065" s="434"/>
      <c r="I3065" s="240"/>
    </row>
    <row r="3066" outlineLevel="2">
      <c r="A3066" s="422"/>
      <c r="B3066" s="472" t="s">
        <v>747</v>
      </c>
      <c r="C3066" s="198">
        <v>25.6</v>
      </c>
      <c r="D3066" s="202" t="s">
        <v>748</v>
      </c>
      <c r="E3066" s="444" t="s">
        <v>40</v>
      </c>
      <c r="F3066" s="214">
        <v>31.0</v>
      </c>
      <c r="G3066" s="206"/>
      <c r="H3066" s="206"/>
      <c r="I3066" s="219"/>
    </row>
    <row r="3067" outlineLevel="2">
      <c r="A3067" s="422"/>
      <c r="B3067" s="472"/>
      <c r="C3067" s="230"/>
      <c r="D3067" s="246"/>
      <c r="E3067" s="437"/>
      <c r="F3067" s="170"/>
      <c r="G3067" s="170"/>
      <c r="H3067" s="239"/>
      <c r="I3067" s="240"/>
    </row>
    <row r="3068" outlineLevel="2">
      <c r="A3068" s="422" t="str">
        <f>'Master List'!A516</f>
        <v>W-BRK-007</v>
      </c>
      <c r="B3068" s="472"/>
      <c r="C3068" s="198"/>
      <c r="D3068" s="462" t="str">
        <f>VLOOKUP(A3068,'Master List'!$A$1:$C$1192,2,FALSE)</f>
        <v>Кладка кирпичных перегородок толщиной 15см</v>
      </c>
      <c r="E3068" s="463" t="str">
        <f>VLOOKUP(A3068,'Master List'!$A$1:$C$1192,3,FALSE)</f>
        <v>м2</v>
      </c>
      <c r="F3068" s="464">
        <f>F3066</f>
        <v>31</v>
      </c>
      <c r="G3068" s="463">
        <f>VLOOKUP(A3068,'Master List'!$A$4:$F5802,5,FALSE)</f>
        <v>20.8</v>
      </c>
      <c r="H3068" s="206">
        <f t="shared" ref="H3068:H3072" si="307">G3068*F3068</f>
        <v>644.8</v>
      </c>
      <c r="I3068" s="240"/>
    </row>
    <row r="3069" outlineLevel="2">
      <c r="A3069" s="422" t="str">
        <f>'Master List'!A32</f>
        <v>M-BRK-002</v>
      </c>
      <c r="B3069" s="472"/>
      <c r="C3069" s="198"/>
      <c r="D3069" s="462" t="str">
        <f>VLOOKUP(A3069,'Master List'!$A$1:$C$1192,2,FALSE)</f>
        <v>Кирпич размером 30х20х15см</v>
      </c>
      <c r="E3069" s="463" t="str">
        <f>VLOOKUP(A3069,'Master List'!$A$1:$C$1192,3,FALSE)</f>
        <v>шт</v>
      </c>
      <c r="F3069" s="464">
        <f>F3068*16</f>
        <v>496</v>
      </c>
      <c r="G3069" s="463">
        <f>VLOOKUP(A3069,'Master List'!$A$4:$F5803,5,FALSE)</f>
        <v>0.728</v>
      </c>
      <c r="H3069" s="206">
        <f t="shared" si="307"/>
        <v>361.088</v>
      </c>
      <c r="I3069" s="240"/>
    </row>
    <row r="3070" outlineLevel="2">
      <c r="A3070" s="422" t="str">
        <f>'Master List'!A38</f>
        <v>M-BRK-025</v>
      </c>
      <c r="B3070" s="472"/>
      <c r="C3070" s="198"/>
      <c r="D3070" s="462" t="str">
        <f>VLOOKUP(A3070,'Master List'!$A$1:$C$1192,2,FALSE)</f>
        <v>Цемент</v>
      </c>
      <c r="E3070" s="463" t="str">
        <f>VLOOKUP(A3070,'Master List'!$A$1:$C$1192,3,FALSE)</f>
        <v>т</v>
      </c>
      <c r="F3070" s="469">
        <f>F3068*0.015*0.3</f>
        <v>0.1395</v>
      </c>
      <c r="G3070" s="463">
        <f>VLOOKUP(A3070,'Master List'!$A$4:$F5804,5,FALSE)</f>
        <v>189.1032</v>
      </c>
      <c r="H3070" s="206">
        <f t="shared" si="307"/>
        <v>26.3798964</v>
      </c>
      <c r="I3070" s="240"/>
    </row>
    <row r="3071" outlineLevel="2">
      <c r="A3071" s="422" t="str">
        <f>'Master List'!A39</f>
        <v>M-BRK-026</v>
      </c>
      <c r="B3071" s="472"/>
      <c r="C3071" s="198"/>
      <c r="D3071" s="462" t="str">
        <f>VLOOKUP(A3071,'Master List'!$A$1:$C$1192,2,FALSE)</f>
        <v>Песок</v>
      </c>
      <c r="E3071" s="463" t="str">
        <f>VLOOKUP(A3071,'Master List'!$A$1:$C$1192,3,FALSE)</f>
        <v>м3</v>
      </c>
      <c r="F3071" s="464">
        <f>F3068*0.015*1.15</f>
        <v>0.53475</v>
      </c>
      <c r="G3071" s="463">
        <f>VLOOKUP(A3071,'Master List'!$A$4:$F5803,5,FALSE)</f>
        <v>56.875</v>
      </c>
      <c r="H3071" s="206">
        <f t="shared" si="307"/>
        <v>30.41390625</v>
      </c>
      <c r="I3071" s="240"/>
    </row>
    <row r="3072" outlineLevel="2">
      <c r="A3072" s="422" t="str">
        <f>'Master List'!A11</f>
        <v>M-CON-012</v>
      </c>
      <c r="B3072" s="472"/>
      <c r="C3072" s="198"/>
      <c r="D3072" s="462" t="str">
        <f>VLOOKUP(A3072,'Master List'!$A$1:$C$1192,2,FALSE)</f>
        <v>Арматура диаметром 12 мм A500NR SD</v>
      </c>
      <c r="E3072" s="463" t="str">
        <f>VLOOKUP(A3072,'Master List'!$A$1:$C$1192,3,FALSE)</f>
        <v>кг</v>
      </c>
      <c r="F3072" s="464">
        <v>15.0</v>
      </c>
      <c r="G3072" s="463">
        <f>VLOOKUP(A3072,'Master List'!$A$4:$F5804,5,FALSE)</f>
        <v>0.5746</v>
      </c>
      <c r="H3072" s="206">
        <f t="shared" si="307"/>
        <v>8.619</v>
      </c>
      <c r="I3072" s="240"/>
    </row>
    <row r="3073" outlineLevel="2">
      <c r="A3073" s="422"/>
      <c r="B3073" s="428"/>
      <c r="C3073" s="437"/>
      <c r="D3073" s="428"/>
      <c r="E3073" s="431"/>
      <c r="F3073" s="432"/>
      <c r="G3073" s="434"/>
      <c r="H3073" s="434"/>
      <c r="I3073" s="240"/>
    </row>
    <row r="3074" outlineLevel="2">
      <c r="A3074" s="422"/>
      <c r="B3074" s="472" t="s">
        <v>749</v>
      </c>
      <c r="C3074" s="198">
        <v>25.7</v>
      </c>
      <c r="D3074" s="202" t="s">
        <v>731</v>
      </c>
      <c r="E3074" s="444" t="s">
        <v>40</v>
      </c>
      <c r="F3074" s="214">
        <v>62.0</v>
      </c>
      <c r="G3074" s="206"/>
      <c r="H3074" s="206"/>
      <c r="I3074" s="219"/>
    </row>
    <row r="3075" outlineLevel="2">
      <c r="A3075" s="422"/>
      <c r="B3075" s="472"/>
      <c r="C3075" s="230"/>
      <c r="D3075" s="246"/>
      <c r="E3075" s="437"/>
      <c r="F3075" s="170"/>
      <c r="G3075" s="170"/>
      <c r="H3075" s="239"/>
      <c r="I3075" s="240"/>
    </row>
    <row r="3076" outlineLevel="2">
      <c r="A3076" s="422" t="str">
        <f>'Master List'!A561</f>
        <v>W-FIN-030</v>
      </c>
      <c r="B3076" s="472"/>
      <c r="C3076" s="198"/>
      <c r="D3076" s="462" t="str">
        <f>VLOOKUP(A3076,'Master List'!$A$1:$C$1192,2,FALSE)</f>
        <v>Оштукатуривание стен толщиной 2см</v>
      </c>
      <c r="E3076" s="463" t="str">
        <f>VLOOKUP(A3076,'Master List'!$A$1:$C$1192,3,FALSE)</f>
        <v>м2</v>
      </c>
      <c r="F3076" s="464">
        <f>F3074</f>
        <v>62</v>
      </c>
      <c r="G3076" s="463">
        <f>VLOOKUP(A3076,'Master List'!$A$4:$F5810,5,FALSE)</f>
        <v>15.73</v>
      </c>
      <c r="H3076" s="206">
        <f t="shared" ref="H3076:H3077" si="308">G3076*F3076</f>
        <v>975.26</v>
      </c>
      <c r="I3076" s="240"/>
    </row>
    <row r="3077" outlineLevel="2">
      <c r="A3077" s="422" t="str">
        <f>'Master List'!A99</f>
        <v>M-FIN-060</v>
      </c>
      <c r="B3077" s="472"/>
      <c r="C3077" s="198"/>
      <c r="D3077" s="462" t="str">
        <f>VLOOKUP(A3077,'Master List'!$A$1:$C$1192,2,FALSE)</f>
        <v>Смесь для штукатурки 25кг</v>
      </c>
      <c r="E3077" s="463" t="str">
        <f>VLOOKUP(A3077,'Master List'!$A$1:$C$1192,3,FALSE)</f>
        <v>шт</v>
      </c>
      <c r="F3077" s="464">
        <f>F3076*34/25</f>
        <v>84.32</v>
      </c>
      <c r="G3077" s="463">
        <f>VLOOKUP(A3077,'Master List'!$A$4:$F5811,5,FALSE)</f>
        <v>2.977</v>
      </c>
      <c r="H3077" s="206">
        <f t="shared" si="308"/>
        <v>251.02064</v>
      </c>
      <c r="I3077" s="240"/>
    </row>
    <row r="3078" outlineLevel="2">
      <c r="A3078" s="422"/>
      <c r="B3078" s="428"/>
      <c r="C3078" s="437"/>
      <c r="D3078" s="428"/>
      <c r="E3078" s="431"/>
      <c r="F3078" s="432"/>
      <c r="G3078" s="434"/>
      <c r="H3078" s="434"/>
      <c r="I3078" s="240"/>
    </row>
    <row r="3079" outlineLevel="2">
      <c r="A3079" s="422"/>
      <c r="B3079" s="472" t="s">
        <v>750</v>
      </c>
      <c r="C3079" s="198">
        <v>25.8</v>
      </c>
      <c r="D3079" s="202" t="s">
        <v>733</v>
      </c>
      <c r="E3079" s="444" t="s">
        <v>40</v>
      </c>
      <c r="F3079" s="214">
        <v>62.0</v>
      </c>
      <c r="G3079" s="206"/>
      <c r="H3079" s="206"/>
      <c r="I3079" s="219"/>
    </row>
    <row r="3080" outlineLevel="2">
      <c r="A3080" s="422"/>
      <c r="B3080" s="472"/>
      <c r="C3080" s="230"/>
      <c r="D3080" s="246"/>
      <c r="E3080" s="437"/>
      <c r="F3080" s="170"/>
      <c r="G3080" s="170"/>
      <c r="H3080" s="239"/>
      <c r="I3080" s="240"/>
    </row>
    <row r="3081" outlineLevel="2">
      <c r="A3081" s="422" t="str">
        <f>'Master List'!A570</f>
        <v>W-FIN-035</v>
      </c>
      <c r="B3081" s="472"/>
      <c r="C3081" s="198"/>
      <c r="D3081" s="462" t="str">
        <f>VLOOKUP(A3081,'Master List'!$A$1:$C$1192,2,FALSE)</f>
        <v>Окраска стен</v>
      </c>
      <c r="E3081" s="463" t="str">
        <f>VLOOKUP(A3081,'Master List'!$A$1:$C$1192,3,FALSE)</f>
        <v>м2</v>
      </c>
      <c r="F3081" s="464">
        <f>F3079</f>
        <v>62</v>
      </c>
      <c r="G3081" s="463">
        <f>VLOOKUP(A3081,'Master List'!$A$4:$F5815,5,FALSE)</f>
        <v>7.8</v>
      </c>
      <c r="H3081" s="206">
        <f t="shared" ref="H3081:H3083" si="309">G3081*F3081</f>
        <v>483.6</v>
      </c>
      <c r="I3081" s="240"/>
    </row>
    <row r="3082" outlineLevel="2">
      <c r="A3082" s="422" t="str">
        <f>'Master List'!A106</f>
        <v>M-FIN-062</v>
      </c>
      <c r="B3082" s="472"/>
      <c r="C3082" s="198"/>
      <c r="D3082" s="462" t="str">
        <f>VLOOKUP(A3082,'Master List'!$A$1:$C$1192,2,FALSE)</f>
        <v>Грунтовка для краски Cin</v>
      </c>
      <c r="E3082" s="463" t="str">
        <f>VLOOKUP(A3082,'Master List'!$A$1:$C$1192,3,FALSE)</f>
        <v>л</v>
      </c>
      <c r="F3082" s="464">
        <f>F3081*0.2</f>
        <v>12.4</v>
      </c>
      <c r="G3082" s="463">
        <f>VLOOKUP(A3082,'Master List'!$A$4:$F5816,5,FALSE)</f>
        <v>10.387</v>
      </c>
      <c r="H3082" s="206">
        <f t="shared" si="309"/>
        <v>128.7988</v>
      </c>
      <c r="I3082" s="240"/>
    </row>
    <row r="3083" outlineLevel="2">
      <c r="A3083" s="422" t="str">
        <f>'Master List'!A108</f>
        <v>M-FIN-064</v>
      </c>
      <c r="B3083" s="472"/>
      <c r="C3083" s="198"/>
      <c r="D3083" s="462" t="str">
        <f>VLOOKUP(A3083,'Master List'!$A$1:$C$1192,2,FALSE)</f>
        <v>Краска фасадная Cin</v>
      </c>
      <c r="E3083" s="463" t="str">
        <f>VLOOKUP(A3083,'Master List'!$A$1:$C$1192,3,FALSE)</f>
        <v>л</v>
      </c>
      <c r="F3083" s="464">
        <f>F3081*0.4</f>
        <v>24.8</v>
      </c>
      <c r="G3083" s="463">
        <f>VLOOKUP(A3083,'Master List'!$A$4:$F5817,5,FALSE)</f>
        <v>12.727</v>
      </c>
      <c r="H3083" s="206">
        <f t="shared" si="309"/>
        <v>315.6296</v>
      </c>
      <c r="I3083" s="240"/>
    </row>
    <row r="3084" outlineLevel="2">
      <c r="A3084" s="422"/>
      <c r="B3084" s="428"/>
      <c r="C3084" s="437"/>
      <c r="D3084" s="428"/>
      <c r="E3084" s="431"/>
      <c r="F3084" s="432"/>
      <c r="G3084" s="434"/>
      <c r="H3084" s="434"/>
      <c r="I3084" s="240"/>
    </row>
    <row r="3085" outlineLevel="2">
      <c r="A3085" s="422"/>
      <c r="B3085" s="472" t="s">
        <v>751</v>
      </c>
      <c r="C3085" s="198">
        <v>25.9</v>
      </c>
      <c r="D3085" s="202" t="s">
        <v>752</v>
      </c>
      <c r="E3085" s="444" t="s">
        <v>40</v>
      </c>
      <c r="F3085" s="214">
        <v>17.11</v>
      </c>
      <c r="G3085" s="206"/>
      <c r="H3085" s="206"/>
      <c r="I3085" s="219"/>
    </row>
    <row r="3086" outlineLevel="2">
      <c r="A3086" s="422"/>
      <c r="B3086" s="472"/>
      <c r="C3086" s="230"/>
      <c r="D3086" s="246"/>
      <c r="E3086" s="437"/>
      <c r="F3086" s="170"/>
      <c r="G3086" s="170"/>
      <c r="H3086" s="239"/>
      <c r="I3086" s="240"/>
    </row>
    <row r="3087" outlineLevel="2">
      <c r="A3087" s="422" t="str">
        <f>'Master List'!A574</f>
        <v>W-FIN-052</v>
      </c>
      <c r="B3087" s="472"/>
      <c r="C3087" s="198"/>
      <c r="D3087" s="462" t="str">
        <f>VLOOKUP(A3087,'Master List'!$A$1:$C$1192,2,FALSE)</f>
        <v>Устройство чистовой стяжки толщиной 50 мм</v>
      </c>
      <c r="E3087" s="463" t="str">
        <f>VLOOKUP(A3087,'Master List'!$A$1:$C$1192,3,FALSE)</f>
        <v>м2</v>
      </c>
      <c r="F3087" s="464">
        <f>F3085</f>
        <v>17.11</v>
      </c>
      <c r="G3087" s="463">
        <f>VLOOKUP(A3087,'Master List'!$A$4:$F5821,5,FALSE)</f>
        <v>10.4</v>
      </c>
      <c r="H3087" s="206">
        <f t="shared" ref="H3087:H3092" si="310">G3087*F3087</f>
        <v>177.944</v>
      </c>
      <c r="I3087" s="240"/>
    </row>
    <row r="3088" outlineLevel="2">
      <c r="A3088" s="422" t="str">
        <f>'Master List'!A575</f>
        <v>W-FIN-053</v>
      </c>
      <c r="B3088" s="472"/>
      <c r="C3088" s="198"/>
      <c r="D3088" s="462" t="str">
        <f>VLOOKUP(A3088,'Master List'!$A$1:$C$1192,2,FALSE)</f>
        <v>Шліфування покриття підлоги</v>
      </c>
      <c r="E3088" s="463" t="str">
        <f>VLOOKUP(A3088,'Master List'!$A$1:$C$1192,3,FALSE)</f>
        <v>м2</v>
      </c>
      <c r="F3088" s="464">
        <f>F3087</f>
        <v>17.11</v>
      </c>
      <c r="G3088" s="463">
        <f>VLOOKUP(A3088,'Master List'!$A$4:$F5822,5,FALSE)</f>
        <v>11.05</v>
      </c>
      <c r="H3088" s="206">
        <f t="shared" si="310"/>
        <v>189.0655</v>
      </c>
      <c r="I3088" s="240"/>
    </row>
    <row r="3089" outlineLevel="2">
      <c r="A3089" s="422" t="str">
        <f>'Master List'!A566</f>
        <v>W-FIN-060</v>
      </c>
      <c r="B3089" s="472"/>
      <c r="C3089" s="198"/>
      <c r="D3089" s="462" t="str">
        <f>VLOOKUP(A3089,'Master List'!$A$1:$C$1192,2,FALSE)</f>
        <v>Нанесення захисного покриття на бетонні поверхні</v>
      </c>
      <c r="E3089" s="463" t="str">
        <f>VLOOKUP(A3089,'Master List'!$A$1:$C$1192,3,FALSE)</f>
        <v>м2</v>
      </c>
      <c r="F3089" s="464">
        <f>F3087</f>
        <v>17.11</v>
      </c>
      <c r="G3089" s="463">
        <f>VLOOKUP(A3089,'Master List'!$A$4:$F5823,5,FALSE)</f>
        <v>9.1</v>
      </c>
      <c r="H3089" s="206">
        <f t="shared" si="310"/>
        <v>155.701</v>
      </c>
      <c r="I3089" s="240"/>
    </row>
    <row r="3090" outlineLevel="2">
      <c r="A3090" s="422" t="str">
        <f>'Master List'!A38</f>
        <v>M-BRK-025</v>
      </c>
      <c r="B3090" s="472"/>
      <c r="C3090" s="198"/>
      <c r="D3090" s="462" t="str">
        <f>VLOOKUP(A3090,'Master List'!$A$1:$C$1192,2,FALSE)</f>
        <v>Цемент</v>
      </c>
      <c r="E3090" s="463" t="str">
        <f>VLOOKUP(A3090,'Master List'!$A$1:$C$1192,3,FALSE)</f>
        <v>т</v>
      </c>
      <c r="F3090" s="469">
        <f>F3087*0.05*0.42</f>
        <v>0.35931</v>
      </c>
      <c r="G3090" s="463">
        <f>VLOOKUP(A3090,'Master List'!$A$4:$F5824,5,FALSE)</f>
        <v>189.1032</v>
      </c>
      <c r="H3090" s="206">
        <f t="shared" si="310"/>
        <v>67.94667079</v>
      </c>
      <c r="I3090" s="240"/>
    </row>
    <row r="3091" outlineLevel="2">
      <c r="A3091" s="422" t="str">
        <f>'Master List'!A39</f>
        <v>M-BRK-026</v>
      </c>
      <c r="B3091" s="472"/>
      <c r="C3091" s="198"/>
      <c r="D3091" s="462" t="str">
        <f>VLOOKUP(A3091,'Master List'!$A$1:$C$1192,2,FALSE)</f>
        <v>Песок</v>
      </c>
      <c r="E3091" s="463" t="str">
        <f>VLOOKUP(A3091,'Master List'!$A$1:$C$1192,3,FALSE)</f>
        <v>м3</v>
      </c>
      <c r="F3091" s="464">
        <f>F3087*0.05*1.15</f>
        <v>0.983825</v>
      </c>
      <c r="G3091" s="463">
        <f>VLOOKUP(A3091,'Master List'!$A$4:$F5825,5,FALSE)</f>
        <v>56.875</v>
      </c>
      <c r="H3091" s="206">
        <f t="shared" si="310"/>
        <v>55.95504688</v>
      </c>
      <c r="I3091" s="240"/>
    </row>
    <row r="3092" outlineLevel="2">
      <c r="A3092" s="422" t="str">
        <f>'Master List'!A102</f>
        <v>M-FIN-070</v>
      </c>
      <c r="B3092" s="472"/>
      <c r="C3092" s="198"/>
      <c r="D3092" s="462" t="str">
        <f>VLOOKUP(A3092,'Master List'!$A$1:$C$1192,2,FALSE)</f>
        <v>Захисне покриття для бетону SIKAGARD 680-S PT</v>
      </c>
      <c r="E3092" s="463" t="str">
        <f>VLOOKUP(A3092,'Master List'!$A$1:$C$1192,3,FALSE)</f>
        <v>кг</v>
      </c>
      <c r="F3092" s="464">
        <f>F3089*0.3</f>
        <v>5.133</v>
      </c>
      <c r="G3092" s="463">
        <f>VLOOKUP(A3092,'Master List'!$A$4:$F5822,5,FALSE)</f>
        <v>12.207</v>
      </c>
      <c r="H3092" s="206">
        <f t="shared" si="310"/>
        <v>62.658531</v>
      </c>
      <c r="I3092" s="240"/>
    </row>
    <row r="3093" outlineLevel="2">
      <c r="A3093" s="422"/>
      <c r="B3093" s="428"/>
      <c r="C3093" s="437"/>
      <c r="D3093" s="428"/>
      <c r="E3093" s="431"/>
      <c r="F3093" s="432"/>
      <c r="G3093" s="434"/>
      <c r="H3093" s="434"/>
      <c r="I3093" s="240"/>
    </row>
    <row r="3094" outlineLevel="2">
      <c r="A3094" s="422"/>
      <c r="B3094" s="472" t="s">
        <v>753</v>
      </c>
      <c r="C3094" s="282">
        <v>25.1</v>
      </c>
      <c r="D3094" s="202" t="s">
        <v>754</v>
      </c>
      <c r="E3094" s="444" t="s">
        <v>40</v>
      </c>
      <c r="F3094" s="214">
        <v>7.38</v>
      </c>
      <c r="G3094" s="206"/>
      <c r="H3094" s="206"/>
      <c r="I3094" s="219"/>
    </row>
    <row r="3095" outlineLevel="2">
      <c r="A3095" s="422"/>
      <c r="B3095" s="472"/>
      <c r="C3095" s="289"/>
      <c r="D3095" s="246"/>
      <c r="E3095" s="437"/>
      <c r="F3095" s="170"/>
      <c r="G3095" s="170"/>
      <c r="H3095" s="239"/>
      <c r="I3095" s="240"/>
    </row>
    <row r="3096" outlineLevel="2">
      <c r="A3096" s="422" t="str">
        <f>'Master List'!A595</f>
        <v>W-LAN-019</v>
      </c>
      <c r="B3096" s="472"/>
      <c r="C3096" s="198"/>
      <c r="D3096" s="462" t="str">
        <f>VLOOKUP(A3096,'Master List'!$A$1:$C$1192,2,FALSE)</f>
        <v>Влаштування покриття з конструкцій типу "facar"</v>
      </c>
      <c r="E3096" s="463" t="str">
        <f>VLOOKUP(A3096,'Master List'!$A$1:$C$1192,3,FALSE)</f>
        <v>м2</v>
      </c>
      <c r="F3096" s="464">
        <f>F3094</f>
        <v>7.38</v>
      </c>
      <c r="G3096" s="463">
        <f>VLOOKUP(A3096,'Master List'!$A$4:$F5827,5,FALSE)</f>
        <v>113.1</v>
      </c>
      <c r="H3096" s="206">
        <f t="shared" ref="H3096:H3097" si="311">G3096*F3096</f>
        <v>834.678</v>
      </c>
      <c r="I3096" s="240"/>
    </row>
    <row r="3097" outlineLevel="2">
      <c r="A3097" s="422" t="str">
        <f>'Master List'!A120</f>
        <v>M-LAN-012</v>
      </c>
      <c r="B3097" s="472"/>
      <c r="C3097" s="198"/>
      <c r="D3097" s="462" t="str">
        <f>VLOOKUP(A3097,'Master List'!$A$1:$C$1192,2,FALSE)</f>
        <v>Покриття з конструкцій типу "facar"</v>
      </c>
      <c r="E3097" s="463" t="str">
        <f>VLOOKUP(A3097,'Master List'!$A$1:$C$1192,3,FALSE)</f>
        <v>м2</v>
      </c>
      <c r="F3097" s="464">
        <f>F3096</f>
        <v>7.38</v>
      </c>
      <c r="G3097" s="463">
        <f>VLOOKUP(A3097,'Master List'!$A$4:$F5828,5,FALSE)</f>
        <v>0</v>
      </c>
      <c r="H3097" s="206">
        <f t="shared" si="311"/>
        <v>0</v>
      </c>
      <c r="I3097" s="240"/>
    </row>
    <row r="3098" outlineLevel="2">
      <c r="A3098" s="422"/>
      <c r="B3098" s="428"/>
      <c r="C3098" s="437"/>
      <c r="D3098" s="428"/>
      <c r="E3098" s="431"/>
      <c r="F3098" s="432"/>
      <c r="G3098" s="432"/>
      <c r="H3098" s="434"/>
      <c r="I3098" s="240"/>
    </row>
    <row r="3099" outlineLevel="2">
      <c r="A3099" s="422"/>
      <c r="B3099" s="472" t="s">
        <v>755</v>
      </c>
      <c r="C3099" s="477">
        <v>25.11</v>
      </c>
      <c r="D3099" s="577" t="s">
        <v>756</v>
      </c>
      <c r="E3099" s="431"/>
      <c r="F3099" s="432"/>
      <c r="G3099" s="434"/>
      <c r="H3099" s="434"/>
      <c r="I3099" s="240"/>
    </row>
    <row r="3100" outlineLevel="2">
      <c r="A3100" s="422"/>
      <c r="B3100" s="428"/>
      <c r="C3100" s="437"/>
      <c r="D3100" s="428"/>
      <c r="E3100" s="431"/>
      <c r="F3100" s="432"/>
      <c r="G3100" s="434"/>
      <c r="H3100" s="434"/>
      <c r="I3100" s="240"/>
    </row>
    <row r="3101" outlineLevel="2">
      <c r="A3101" s="422"/>
      <c r="B3101" s="472" t="s">
        <v>757</v>
      </c>
      <c r="C3101" s="198" t="s">
        <v>3623</v>
      </c>
      <c r="D3101" s="202" t="s">
        <v>758</v>
      </c>
      <c r="E3101" s="444" t="s">
        <v>75</v>
      </c>
      <c r="F3101" s="214">
        <v>1.0</v>
      </c>
      <c r="G3101" s="206"/>
      <c r="H3101" s="206"/>
      <c r="I3101" s="240"/>
    </row>
    <row r="3102" outlineLevel="2">
      <c r="A3102" s="422"/>
      <c r="B3102" s="472"/>
      <c r="C3102" s="230"/>
      <c r="D3102" s="246"/>
      <c r="E3102" s="437"/>
      <c r="F3102" s="170"/>
      <c r="G3102" s="170"/>
      <c r="H3102" s="239"/>
      <c r="I3102" s="240"/>
    </row>
    <row r="3103" outlineLevel="2">
      <c r="A3103" s="422" t="str">
        <f>'Master List'!A596</f>
        <v>W-LAN-020</v>
      </c>
      <c r="B3103" s="472"/>
      <c r="C3103" s="198"/>
      <c r="D3103" s="462" t="str">
        <f>VLOOKUP(A3103,'Master List'!$A$1:$C$1192,2,FALSE)</f>
        <v>Монтаж воріт пішоходних розміром 1,41x2,00м</v>
      </c>
      <c r="E3103" s="463" t="str">
        <f>VLOOKUP(A3103,'Master List'!$A$1:$C$1192,3,FALSE)</f>
        <v>шт</v>
      </c>
      <c r="F3103" s="464">
        <v>1.0</v>
      </c>
      <c r="G3103" s="463">
        <f>VLOOKUP(A3103,'Master List'!$A$4:$F5836,5,FALSE)</f>
        <v>442</v>
      </c>
      <c r="H3103" s="206">
        <f t="shared" ref="H3103:H3104" si="312">G3103*F3103</f>
        <v>442</v>
      </c>
      <c r="I3103" s="240"/>
    </row>
    <row r="3104" outlineLevel="2">
      <c r="A3104" s="422" t="str">
        <f>'Master List'!A121</f>
        <v>M-LAN-013</v>
      </c>
      <c r="B3104" s="472"/>
      <c r="C3104" s="198"/>
      <c r="D3104" s="462" t="str">
        <f>VLOOKUP(A3104,'Master List'!$A$1:$C$1192,2,FALSE)</f>
        <v>Ворота пішоходні розміром 1,41x2,00м</v>
      </c>
      <c r="E3104" s="463" t="str">
        <f>VLOOKUP(A3104,'Master List'!$A$1:$C$1192,3,FALSE)</f>
        <v>шт</v>
      </c>
      <c r="F3104" s="464">
        <v>1.0</v>
      </c>
      <c r="G3104" s="463">
        <f>VLOOKUP(A3104,'Master List'!$A$4:$F5837,5,FALSE)</f>
        <v>0</v>
      </c>
      <c r="H3104" s="206">
        <f t="shared" si="312"/>
        <v>0</v>
      </c>
      <c r="I3104" s="240"/>
    </row>
    <row r="3105" outlineLevel="2">
      <c r="A3105" s="422"/>
      <c r="B3105" s="428"/>
      <c r="C3105" s="437"/>
      <c r="D3105" s="428"/>
      <c r="E3105" s="431"/>
      <c r="F3105" s="432"/>
      <c r="G3105" s="434"/>
      <c r="H3105" s="434"/>
      <c r="I3105" s="240"/>
    </row>
    <row r="3106" outlineLevel="2">
      <c r="A3106" s="422"/>
      <c r="B3106" s="472" t="s">
        <v>759</v>
      </c>
      <c r="C3106" s="477">
        <v>25.12</v>
      </c>
      <c r="D3106" s="577" t="s">
        <v>760</v>
      </c>
      <c r="E3106" s="431"/>
      <c r="F3106" s="432"/>
      <c r="G3106" s="434"/>
      <c r="H3106" s="434"/>
      <c r="I3106" s="240"/>
    </row>
    <row r="3107" outlineLevel="2">
      <c r="A3107" s="422"/>
      <c r="B3107" s="428"/>
      <c r="C3107" s="437"/>
      <c r="D3107" s="428"/>
      <c r="E3107" s="431"/>
      <c r="F3107" s="432"/>
      <c r="G3107" s="434"/>
      <c r="H3107" s="434"/>
      <c r="I3107" s="240"/>
    </row>
    <row r="3108" outlineLevel="2">
      <c r="A3108" s="422"/>
      <c r="B3108" s="472" t="s">
        <v>761</v>
      </c>
      <c r="C3108" s="198" t="s">
        <v>3626</v>
      </c>
      <c r="D3108" s="202" t="s">
        <v>762</v>
      </c>
      <c r="E3108" s="444" t="s">
        <v>75</v>
      </c>
      <c r="F3108" s="214">
        <v>1.0</v>
      </c>
      <c r="G3108" s="206"/>
      <c r="H3108" s="206"/>
      <c r="I3108" s="240"/>
    </row>
    <row r="3109" outlineLevel="2">
      <c r="A3109" s="422"/>
      <c r="B3109" s="472"/>
      <c r="C3109" s="230"/>
      <c r="D3109" s="246"/>
      <c r="E3109" s="437"/>
      <c r="F3109" s="170"/>
      <c r="G3109" s="170"/>
      <c r="H3109" s="239"/>
      <c r="I3109" s="240"/>
    </row>
    <row r="3110" outlineLevel="2">
      <c r="A3110" s="422" t="str">
        <f>'Master List'!A597</f>
        <v>W-LAN-021</v>
      </c>
      <c r="B3110" s="472"/>
      <c r="C3110" s="198"/>
      <c r="D3110" s="462" t="str">
        <f>VLOOKUP(A3110,'Master List'!$A$1:$C$1192,2,FALSE)</f>
        <v>Монтаж воріт автомобільних розміром 3,63x1,40м</v>
      </c>
      <c r="E3110" s="463" t="str">
        <f>VLOOKUP(A3110,'Master List'!$A$1:$C$1192,3,FALSE)</f>
        <v>шт</v>
      </c>
      <c r="F3110" s="464">
        <v>1.0</v>
      </c>
      <c r="G3110" s="463">
        <f>VLOOKUP(A3110,'Master List'!$A$4:$F5843,5,FALSE)</f>
        <v>1105</v>
      </c>
      <c r="H3110" s="206">
        <f t="shared" ref="H3110:H3111" si="313">G3110*F3110</f>
        <v>1105</v>
      </c>
      <c r="I3110" s="240"/>
    </row>
    <row r="3111" outlineLevel="2">
      <c r="A3111" s="422" t="str">
        <f>'Master List'!A122</f>
        <v>M-LAN-014</v>
      </c>
      <c r="B3111" s="472"/>
      <c r="C3111" s="198"/>
      <c r="D3111" s="462" t="str">
        <f>VLOOKUP(A3111,'Master List'!$A$1:$C$1192,2,FALSE)</f>
        <v>Ворота автомобільні розміром 3,63x1,40м</v>
      </c>
      <c r="E3111" s="463" t="str">
        <f>VLOOKUP(A3111,'Master List'!$A$1:$C$1192,3,FALSE)</f>
        <v>шт</v>
      </c>
      <c r="F3111" s="464">
        <v>1.0</v>
      </c>
      <c r="G3111" s="463">
        <f>VLOOKUP(A3111,'Master List'!$A$4:$F5844,5,FALSE)</f>
        <v>0</v>
      </c>
      <c r="H3111" s="206">
        <f t="shared" si="313"/>
        <v>0</v>
      </c>
      <c r="I3111" s="240"/>
    </row>
    <row r="3112" outlineLevel="2">
      <c r="A3112" s="422"/>
      <c r="B3112" s="428"/>
      <c r="C3112" s="437"/>
      <c r="D3112" s="428"/>
      <c r="E3112" s="431"/>
      <c r="F3112" s="432"/>
      <c r="G3112" s="434"/>
      <c r="H3112" s="434"/>
      <c r="I3112" s="240"/>
    </row>
    <row r="3113" outlineLevel="2">
      <c r="A3113" s="422"/>
      <c r="B3113" s="472" t="s">
        <v>763</v>
      </c>
      <c r="C3113" s="477">
        <v>25.13</v>
      </c>
      <c r="D3113" s="577" t="s">
        <v>764</v>
      </c>
      <c r="E3113" s="431"/>
      <c r="F3113" s="432"/>
      <c r="G3113" s="434"/>
      <c r="H3113" s="434"/>
      <c r="I3113" s="240"/>
    </row>
    <row r="3114" outlineLevel="2">
      <c r="A3114" s="422"/>
      <c r="B3114" s="428"/>
      <c r="C3114" s="437"/>
      <c r="D3114" s="428"/>
      <c r="E3114" s="431"/>
      <c r="F3114" s="432"/>
      <c r="G3114" s="434"/>
      <c r="H3114" s="434"/>
      <c r="I3114" s="240"/>
    </row>
    <row r="3115" outlineLevel="2">
      <c r="A3115" s="422" t="str">
        <f>'Master List'!A598</f>
        <v>W-LAN-022</v>
      </c>
      <c r="B3115" s="472" t="s">
        <v>765</v>
      </c>
      <c r="C3115" s="477" t="s">
        <v>3629</v>
      </c>
      <c r="D3115" s="202" t="s">
        <v>766</v>
      </c>
      <c r="E3115" s="444" t="s">
        <v>75</v>
      </c>
      <c r="F3115" s="214">
        <v>1.0</v>
      </c>
      <c r="G3115" s="463">
        <f>VLOOKUP(A3115,'Master List'!$A$4:$F5854,5,FALSE)</f>
        <v>546</v>
      </c>
      <c r="H3115" s="206">
        <f t="shared" ref="H3115:H3116" si="314">G3115*F3115</f>
        <v>546</v>
      </c>
      <c r="I3115" s="240"/>
    </row>
    <row r="3116" outlineLevel="2">
      <c r="A3116" s="422" t="str">
        <f>'Master List'!A599</f>
        <v>W-LAN-023</v>
      </c>
      <c r="B3116" s="472" t="s">
        <v>767</v>
      </c>
      <c r="C3116" s="477" t="s">
        <v>3631</v>
      </c>
      <c r="D3116" s="202" t="s">
        <v>768</v>
      </c>
      <c r="E3116" s="444" t="s">
        <v>75</v>
      </c>
      <c r="F3116" s="214">
        <v>1.0</v>
      </c>
      <c r="G3116" s="463">
        <f>VLOOKUP(A3116,'Master List'!$A$4:$F5855,5,FALSE)</f>
        <v>546</v>
      </c>
      <c r="H3116" s="206">
        <f t="shared" si="314"/>
        <v>546</v>
      </c>
      <c r="I3116" s="240"/>
    </row>
    <row r="3117" outlineLevel="2">
      <c r="A3117" s="422"/>
      <c r="B3117" s="428"/>
      <c r="C3117" s="437"/>
      <c r="D3117" s="428"/>
      <c r="E3117" s="431"/>
      <c r="F3117" s="432"/>
      <c r="G3117" s="434"/>
      <c r="H3117" s="434"/>
      <c r="I3117" s="240"/>
    </row>
    <row r="3118" outlineLevel="2">
      <c r="A3118" s="422"/>
      <c r="B3118" s="472" t="s">
        <v>769</v>
      </c>
      <c r="C3118" s="477">
        <v>25.14</v>
      </c>
      <c r="D3118" s="202" t="s">
        <v>770</v>
      </c>
      <c r="E3118" s="444" t="s">
        <v>161</v>
      </c>
      <c r="F3118" s="214">
        <v>2.1</v>
      </c>
      <c r="G3118" s="206"/>
      <c r="H3118" s="206"/>
      <c r="I3118" s="219"/>
    </row>
    <row r="3119" outlineLevel="2">
      <c r="A3119" s="422"/>
      <c r="B3119" s="472"/>
      <c r="C3119" s="437"/>
      <c r="D3119" s="246"/>
      <c r="E3119" s="437"/>
      <c r="F3119" s="170"/>
      <c r="G3119" s="170"/>
      <c r="H3119" s="239"/>
      <c r="I3119" s="240"/>
    </row>
    <row r="3120" outlineLevel="2">
      <c r="A3120" s="422" t="str">
        <f>'Master List'!A600</f>
        <v>W-LAN-024</v>
      </c>
      <c r="B3120" s="472"/>
      <c r="C3120" s="198"/>
      <c r="D3120" s="462" t="str">
        <f>VLOOKUP(A3120,'Master List'!$A$1:$C$1192,2,FALSE)</f>
        <v>Встановлення бетонного лотка шириною 150мм з металевою решіткою</v>
      </c>
      <c r="E3120" s="463" t="str">
        <f>VLOOKUP(A3120,'Master List'!$A$1:$C$1192,3,FALSE)</f>
        <v>м</v>
      </c>
      <c r="F3120" s="464">
        <f>F3118</f>
        <v>2.1</v>
      </c>
      <c r="G3120" s="463">
        <f>VLOOKUP(A3120,'Master List'!$A$4:$F5859,5,FALSE)</f>
        <v>123.5</v>
      </c>
      <c r="H3120" s="206">
        <f t="shared" ref="H3120:H3121" si="315">G3120*F3120</f>
        <v>259.35</v>
      </c>
      <c r="I3120" s="240"/>
    </row>
    <row r="3121" outlineLevel="2">
      <c r="A3121" s="422" t="str">
        <f>'Master List'!A123</f>
        <v>M-LAN-015</v>
      </c>
      <c r="B3121" s="472"/>
      <c r="C3121" s="198"/>
      <c r="D3121" s="462" t="str">
        <f>VLOOKUP(A3121,'Master List'!$A$1:$C$1192,2,FALSE)</f>
        <v>Лоток бетонний шириною 150мм з металевою оцинкованою решіткою</v>
      </c>
      <c r="E3121" s="463" t="str">
        <f>VLOOKUP(A3121,'Master List'!$A$1:$C$1192,3,FALSE)</f>
        <v>м</v>
      </c>
      <c r="F3121" s="464">
        <f>F3120</f>
        <v>2.1</v>
      </c>
      <c r="G3121" s="463">
        <f>VLOOKUP(A3121,'Master List'!$A$4:$F5860,5,FALSE)</f>
        <v>56.342</v>
      </c>
      <c r="H3121" s="206">
        <f t="shared" si="315"/>
        <v>118.3182</v>
      </c>
      <c r="I3121" s="240"/>
    </row>
    <row r="3122" outlineLevel="1">
      <c r="A3122" s="422"/>
      <c r="B3122" s="472"/>
      <c r="C3122" s="568"/>
      <c r="D3122" s="525"/>
      <c r="E3122" s="526"/>
      <c r="F3122" s="527"/>
      <c r="G3122" s="439"/>
      <c r="H3122" s="439"/>
      <c r="I3122" s="240"/>
    </row>
    <row r="3123">
      <c r="A3123" s="422"/>
      <c r="B3123" s="471"/>
      <c r="C3123" s="492">
        <v>26.0</v>
      </c>
      <c r="D3123" s="516" t="s">
        <v>665</v>
      </c>
      <c r="E3123" s="493"/>
      <c r="F3123" s="214"/>
      <c r="G3123" s="205"/>
      <c r="H3123" s="426">
        <f>SUM(H3127:H3165)</f>
        <v>12030.2</v>
      </c>
      <c r="I3123" s="427">
        <f>H3123-'Orcamento RU'!C638</f>
        <v>-22038.49</v>
      </c>
    </row>
    <row r="3124" outlineLevel="1">
      <c r="A3124" s="422"/>
      <c r="B3124" s="472"/>
      <c r="C3124" s="568"/>
      <c r="D3124" s="525"/>
      <c r="E3124" s="526"/>
      <c r="F3124" s="527"/>
      <c r="G3124" s="439"/>
      <c r="H3124" s="439"/>
      <c r="I3124" s="240"/>
    </row>
    <row r="3125" outlineLevel="1">
      <c r="A3125" s="422"/>
      <c r="B3125" s="472" t="s">
        <v>666</v>
      </c>
      <c r="C3125" s="429"/>
      <c r="D3125" s="516" t="s">
        <v>5671</v>
      </c>
      <c r="E3125" s="431"/>
      <c r="F3125" s="432"/>
      <c r="G3125" s="436">
        <f>SUM(H3127:H3129)</f>
        <v>1332.5</v>
      </c>
      <c r="H3125" s="434"/>
      <c r="I3125" s="240"/>
    </row>
    <row r="3126" outlineLevel="2">
      <c r="A3126" s="422"/>
      <c r="B3126" s="428"/>
      <c r="C3126" s="429"/>
      <c r="D3126" s="428"/>
      <c r="E3126" s="431"/>
      <c r="F3126" s="432"/>
      <c r="G3126" s="434"/>
      <c r="H3126" s="434"/>
      <c r="I3126" s="240"/>
    </row>
    <row r="3127" outlineLevel="2">
      <c r="A3127" s="422" t="str">
        <f>'Master List'!A601</f>
        <v>W-LAN-025</v>
      </c>
      <c r="B3127" s="472" t="s">
        <v>667</v>
      </c>
      <c r="C3127" s="477">
        <v>26.1</v>
      </c>
      <c r="D3127" s="202" t="s">
        <v>668</v>
      </c>
      <c r="E3127" s="444" t="s">
        <v>75</v>
      </c>
      <c r="F3127" s="214">
        <v>1.0</v>
      </c>
      <c r="G3127" s="463">
        <f>VLOOKUP(A3127,'Master List'!$A$4:$F5861,5,FALSE)</f>
        <v>58.5</v>
      </c>
      <c r="H3127" s="206">
        <f>G3127*F3127</f>
        <v>58.5</v>
      </c>
      <c r="I3127" s="219"/>
    </row>
    <row r="3128" outlineLevel="2">
      <c r="A3128" s="422"/>
      <c r="B3128" s="428"/>
      <c r="C3128" s="429"/>
      <c r="D3128" s="428"/>
      <c r="E3128" s="431"/>
      <c r="F3128" s="432"/>
      <c r="G3128" s="434"/>
      <c r="H3128" s="434"/>
      <c r="I3128" s="240"/>
    </row>
    <row r="3129" outlineLevel="2">
      <c r="A3129" s="422" t="str">
        <f>'Master List'!A602</f>
        <v>W-LAN-026</v>
      </c>
      <c r="B3129" s="472" t="s">
        <v>670</v>
      </c>
      <c r="C3129" s="477">
        <v>26.2</v>
      </c>
      <c r="D3129" s="202" t="s">
        <v>671</v>
      </c>
      <c r="E3129" s="444" t="s">
        <v>75</v>
      </c>
      <c r="F3129" s="214">
        <v>1.0</v>
      </c>
      <c r="G3129" s="463">
        <f>VLOOKUP(A3129,'Master List'!$A$4:$F5863,5,FALSE)</f>
        <v>1274</v>
      </c>
      <c r="H3129" s="206">
        <f>G3129*F3129</f>
        <v>1274</v>
      </c>
      <c r="I3129" s="219"/>
    </row>
    <row r="3130" outlineLevel="2">
      <c r="A3130" s="422"/>
      <c r="B3130" s="428"/>
      <c r="C3130" s="429"/>
      <c r="D3130" s="428"/>
      <c r="E3130" s="431"/>
      <c r="F3130" s="432"/>
      <c r="G3130" s="434"/>
      <c r="H3130" s="434"/>
      <c r="I3130" s="240"/>
    </row>
    <row r="3131" outlineLevel="1">
      <c r="A3131" s="422"/>
      <c r="B3131" s="472" t="s">
        <v>673</v>
      </c>
      <c r="C3131" s="429"/>
      <c r="D3131" s="516" t="s">
        <v>674</v>
      </c>
      <c r="E3131" s="431"/>
      <c r="F3131" s="432"/>
      <c r="G3131" s="436">
        <f>SUM(H3135:H3151)</f>
        <v>4782.7</v>
      </c>
      <c r="H3131" s="116"/>
      <c r="I3131" s="240"/>
    </row>
    <row r="3132" outlineLevel="2">
      <c r="A3132" s="422"/>
      <c r="B3132" s="428"/>
      <c r="C3132" s="429"/>
      <c r="D3132" s="428"/>
      <c r="E3132" s="431"/>
      <c r="F3132" s="432"/>
      <c r="G3132" s="434"/>
      <c r="H3132" s="434"/>
      <c r="I3132" s="240"/>
    </row>
    <row r="3133" outlineLevel="2">
      <c r="A3133" s="422"/>
      <c r="B3133" s="472" t="s">
        <v>675</v>
      </c>
      <c r="C3133" s="477">
        <v>26.3</v>
      </c>
      <c r="D3133" s="577" t="s">
        <v>5672</v>
      </c>
      <c r="E3133" s="431"/>
      <c r="F3133" s="432"/>
      <c r="G3133" s="428"/>
      <c r="H3133" s="434"/>
      <c r="I3133" s="240"/>
    </row>
    <row r="3134" outlineLevel="2">
      <c r="A3134" s="422"/>
      <c r="B3134" s="428"/>
      <c r="C3134" s="429"/>
      <c r="D3134" s="428"/>
      <c r="E3134" s="431"/>
      <c r="F3134" s="432"/>
      <c r="G3134" s="434"/>
      <c r="H3134" s="434"/>
      <c r="I3134" s="240"/>
    </row>
    <row r="3135" outlineLevel="2">
      <c r="A3135" s="422" t="str">
        <f>'Master List'!A656</f>
        <v>W-WIN-050</v>
      </c>
      <c r="B3135" s="472" t="s">
        <v>677</v>
      </c>
      <c r="C3135" s="477" t="s">
        <v>3639</v>
      </c>
      <c r="D3135" s="202" t="s">
        <v>678</v>
      </c>
      <c r="E3135" s="444" t="s">
        <v>75</v>
      </c>
      <c r="F3135" s="214">
        <v>1.0</v>
      </c>
      <c r="G3135" s="463">
        <f>VLOOKUP(A3135,'Master List'!$A$4:$F5869,5,FALSE)</f>
        <v>169</v>
      </c>
      <c r="H3135" s="206">
        <f t="shared" ref="H3135:H3151" si="316">G3135*F3135</f>
        <v>169</v>
      </c>
      <c r="I3135" s="240"/>
    </row>
    <row r="3136" outlineLevel="2">
      <c r="A3136" s="422" t="str">
        <f>'Master List'!A657</f>
        <v>W-WIN-051</v>
      </c>
      <c r="B3136" s="472" t="s">
        <v>679</v>
      </c>
      <c r="C3136" s="477" t="s">
        <v>3641</v>
      </c>
      <c r="D3136" s="202" t="s">
        <v>680</v>
      </c>
      <c r="E3136" s="444" t="s">
        <v>75</v>
      </c>
      <c r="F3136" s="214">
        <v>1.0</v>
      </c>
      <c r="G3136" s="463">
        <f>VLOOKUP(A3136,'Master List'!$A$4:$F5870,5,FALSE)</f>
        <v>266.5</v>
      </c>
      <c r="H3136" s="206">
        <f t="shared" si="316"/>
        <v>266.5</v>
      </c>
      <c r="I3136" s="240"/>
    </row>
    <row r="3137" outlineLevel="2">
      <c r="A3137" s="422" t="str">
        <f>'Master List'!A658</f>
        <v>W-WIN-052</v>
      </c>
      <c r="B3137" s="472" t="s">
        <v>681</v>
      </c>
      <c r="C3137" s="477" t="s">
        <v>3643</v>
      </c>
      <c r="D3137" s="202" t="s">
        <v>682</v>
      </c>
      <c r="E3137" s="444" t="s">
        <v>75</v>
      </c>
      <c r="F3137" s="214">
        <v>1.0</v>
      </c>
      <c r="G3137" s="463">
        <f>VLOOKUP(A3137,'Master List'!$A$4:$F5871,5,FALSE)</f>
        <v>265.2</v>
      </c>
      <c r="H3137" s="206">
        <f t="shared" si="316"/>
        <v>265.2</v>
      </c>
      <c r="I3137" s="240"/>
    </row>
    <row r="3138" outlineLevel="2">
      <c r="A3138" s="422" t="str">
        <f>'Master List'!A659</f>
        <v>W-WIN-053</v>
      </c>
      <c r="B3138" s="472" t="s">
        <v>683</v>
      </c>
      <c r="C3138" s="477" t="s">
        <v>3645</v>
      </c>
      <c r="D3138" s="202" t="s">
        <v>684</v>
      </c>
      <c r="E3138" s="444" t="s">
        <v>75</v>
      </c>
      <c r="F3138" s="214">
        <v>1.0</v>
      </c>
      <c r="G3138" s="463">
        <f>VLOOKUP(A3138,'Master List'!$A$4:$F5872,5,FALSE)</f>
        <v>234</v>
      </c>
      <c r="H3138" s="206">
        <f t="shared" si="316"/>
        <v>234</v>
      </c>
      <c r="I3138" s="240"/>
    </row>
    <row r="3139" outlineLevel="2">
      <c r="A3139" s="422" t="str">
        <f>'Master List'!A660</f>
        <v>W-WIN-054</v>
      </c>
      <c r="B3139" s="472" t="s">
        <v>685</v>
      </c>
      <c r="C3139" s="477" t="s">
        <v>3647</v>
      </c>
      <c r="D3139" s="202" t="s">
        <v>686</v>
      </c>
      <c r="E3139" s="444" t="s">
        <v>75</v>
      </c>
      <c r="F3139" s="214">
        <v>1.0</v>
      </c>
      <c r="G3139" s="463">
        <f>VLOOKUP(A3139,'Master List'!$A$4:$F5873,5,FALSE)</f>
        <v>312</v>
      </c>
      <c r="H3139" s="206">
        <f t="shared" si="316"/>
        <v>312</v>
      </c>
      <c r="I3139" s="240"/>
    </row>
    <row r="3140" outlineLevel="2">
      <c r="A3140" s="422" t="str">
        <f>'Master List'!A661</f>
        <v>W-WIN-055</v>
      </c>
      <c r="B3140" s="472" t="s">
        <v>687</v>
      </c>
      <c r="C3140" s="477" t="s">
        <v>3649</v>
      </c>
      <c r="D3140" s="202" t="s">
        <v>688</v>
      </c>
      <c r="E3140" s="444" t="s">
        <v>75</v>
      </c>
      <c r="F3140" s="214">
        <v>1.0</v>
      </c>
      <c r="G3140" s="463">
        <f>VLOOKUP(A3140,'Master List'!$A$4:$F5874,5,FALSE)</f>
        <v>318.5</v>
      </c>
      <c r="H3140" s="206">
        <f t="shared" si="316"/>
        <v>318.5</v>
      </c>
      <c r="I3140" s="240"/>
    </row>
    <row r="3141" outlineLevel="2">
      <c r="A3141" s="422" t="str">
        <f>'Master List'!A662</f>
        <v>W-WIN-056</v>
      </c>
      <c r="B3141" s="472" t="s">
        <v>689</v>
      </c>
      <c r="C3141" s="477" t="s">
        <v>3651</v>
      </c>
      <c r="D3141" s="202" t="s">
        <v>690</v>
      </c>
      <c r="E3141" s="444" t="s">
        <v>75</v>
      </c>
      <c r="F3141" s="214">
        <v>1.0</v>
      </c>
      <c r="G3141" s="463">
        <f>VLOOKUP(A3141,'Master List'!$A$4:$F5875,5,FALSE)</f>
        <v>286</v>
      </c>
      <c r="H3141" s="206">
        <f t="shared" si="316"/>
        <v>286</v>
      </c>
      <c r="I3141" s="240"/>
    </row>
    <row r="3142" outlineLevel="2">
      <c r="A3142" s="422" t="str">
        <f>'Master List'!A663</f>
        <v>W-WIN-057</v>
      </c>
      <c r="B3142" s="472" t="s">
        <v>691</v>
      </c>
      <c r="C3142" s="477" t="s">
        <v>3653</v>
      </c>
      <c r="D3142" s="202" t="s">
        <v>692</v>
      </c>
      <c r="E3142" s="444" t="s">
        <v>75</v>
      </c>
      <c r="F3142" s="214">
        <v>1.0</v>
      </c>
      <c r="G3142" s="463">
        <f>VLOOKUP(A3142,'Master List'!$A$4:$F5876,5,FALSE)</f>
        <v>344.5</v>
      </c>
      <c r="H3142" s="206">
        <f t="shared" si="316"/>
        <v>344.5</v>
      </c>
      <c r="I3142" s="240"/>
    </row>
    <row r="3143" outlineLevel="2">
      <c r="A3143" s="422" t="str">
        <f>'Master List'!A664</f>
        <v>W-WIN-058</v>
      </c>
      <c r="B3143" s="472" t="s">
        <v>693</v>
      </c>
      <c r="C3143" s="477" t="s">
        <v>3655</v>
      </c>
      <c r="D3143" s="202" t="s">
        <v>694</v>
      </c>
      <c r="E3143" s="444" t="s">
        <v>75</v>
      </c>
      <c r="F3143" s="214">
        <v>1.0</v>
      </c>
      <c r="G3143" s="463">
        <f>VLOOKUP(A3143,'Master List'!$A$4:$F5877,5,FALSE)</f>
        <v>351</v>
      </c>
      <c r="H3143" s="206">
        <f t="shared" si="316"/>
        <v>351</v>
      </c>
      <c r="I3143" s="240"/>
    </row>
    <row r="3144" outlineLevel="2">
      <c r="A3144" s="422" t="str">
        <f>'Master List'!A665</f>
        <v>W-WIN-059</v>
      </c>
      <c r="B3144" s="472" t="s">
        <v>695</v>
      </c>
      <c r="C3144" s="477" t="s">
        <v>3657</v>
      </c>
      <c r="D3144" s="202" t="s">
        <v>696</v>
      </c>
      <c r="E3144" s="444" t="s">
        <v>75</v>
      </c>
      <c r="F3144" s="214">
        <v>1.0</v>
      </c>
      <c r="G3144" s="463">
        <f>VLOOKUP(A3144,'Master List'!$A$4:$F5878,5,FALSE)</f>
        <v>221</v>
      </c>
      <c r="H3144" s="206">
        <f t="shared" si="316"/>
        <v>221</v>
      </c>
      <c r="I3144" s="240"/>
    </row>
    <row r="3145" outlineLevel="2">
      <c r="A3145" s="422" t="str">
        <f>'Master List'!A666</f>
        <v>W-WIN-060</v>
      </c>
      <c r="B3145" s="472" t="s">
        <v>697</v>
      </c>
      <c r="C3145" s="477" t="s">
        <v>3659</v>
      </c>
      <c r="D3145" s="202" t="s">
        <v>698</v>
      </c>
      <c r="E3145" s="444" t="s">
        <v>75</v>
      </c>
      <c r="F3145" s="214">
        <v>1.0</v>
      </c>
      <c r="G3145" s="463">
        <f>VLOOKUP(A3145,'Master List'!$A$4:$F5879,5,FALSE)</f>
        <v>617.5</v>
      </c>
      <c r="H3145" s="206">
        <f t="shared" si="316"/>
        <v>617.5</v>
      </c>
      <c r="I3145" s="240"/>
    </row>
    <row r="3146" outlineLevel="2">
      <c r="A3146" s="422" t="str">
        <f>'Master List'!A667</f>
        <v>W-WIN-061</v>
      </c>
      <c r="B3146" s="472" t="s">
        <v>699</v>
      </c>
      <c r="C3146" s="477" t="s">
        <v>3661</v>
      </c>
      <c r="D3146" s="202" t="s">
        <v>700</v>
      </c>
      <c r="E3146" s="444" t="s">
        <v>75</v>
      </c>
      <c r="F3146" s="214">
        <v>1.0</v>
      </c>
      <c r="G3146" s="463">
        <f>VLOOKUP(A3146,'Master List'!$A$4:$F5880,5,FALSE)</f>
        <v>279.5</v>
      </c>
      <c r="H3146" s="206">
        <f t="shared" si="316"/>
        <v>279.5</v>
      </c>
      <c r="I3146" s="240"/>
    </row>
    <row r="3147" outlineLevel="2">
      <c r="A3147" s="422" t="str">
        <f>'Master List'!A668</f>
        <v>W-WIN-062</v>
      </c>
      <c r="B3147" s="472" t="s">
        <v>701</v>
      </c>
      <c r="C3147" s="477" t="s">
        <v>3663</v>
      </c>
      <c r="D3147" s="202" t="s">
        <v>702</v>
      </c>
      <c r="E3147" s="444" t="s">
        <v>75</v>
      </c>
      <c r="F3147" s="214">
        <v>1.0</v>
      </c>
      <c r="G3147" s="463">
        <f>VLOOKUP(A3147,'Master List'!$A$4:$F5881,5,FALSE)</f>
        <v>208</v>
      </c>
      <c r="H3147" s="206">
        <f t="shared" si="316"/>
        <v>208</v>
      </c>
      <c r="I3147" s="240"/>
    </row>
    <row r="3148" outlineLevel="2">
      <c r="A3148" s="422" t="str">
        <f>'Master List'!A669</f>
        <v>W-WIN-063</v>
      </c>
      <c r="B3148" s="472" t="s">
        <v>703</v>
      </c>
      <c r="C3148" s="477" t="s">
        <v>3665</v>
      </c>
      <c r="D3148" s="202" t="s">
        <v>704</v>
      </c>
      <c r="E3148" s="444" t="s">
        <v>75</v>
      </c>
      <c r="F3148" s="214">
        <v>1.0</v>
      </c>
      <c r="G3148" s="463">
        <f>VLOOKUP(A3148,'Master List'!$A$4:$F5882,5,FALSE)</f>
        <v>221</v>
      </c>
      <c r="H3148" s="206">
        <f t="shared" si="316"/>
        <v>221</v>
      </c>
      <c r="I3148" s="240"/>
    </row>
    <row r="3149" outlineLevel="2">
      <c r="A3149" s="422" t="str">
        <f>'Master List'!A670</f>
        <v>W-WIN-064</v>
      </c>
      <c r="B3149" s="472" t="s">
        <v>705</v>
      </c>
      <c r="C3149" s="477" t="s">
        <v>3667</v>
      </c>
      <c r="D3149" s="202" t="s">
        <v>706</v>
      </c>
      <c r="E3149" s="444" t="s">
        <v>75</v>
      </c>
      <c r="F3149" s="214">
        <v>1.0</v>
      </c>
      <c r="G3149" s="463">
        <f>VLOOKUP(A3149,'Master List'!$A$4:$F5883,5,FALSE)</f>
        <v>240.5</v>
      </c>
      <c r="H3149" s="206">
        <f t="shared" si="316"/>
        <v>240.5</v>
      </c>
      <c r="I3149" s="240"/>
    </row>
    <row r="3150" outlineLevel="2">
      <c r="A3150" s="422" t="str">
        <f>'Master List'!A671</f>
        <v>W-WIN-065</v>
      </c>
      <c r="B3150" s="472" t="s">
        <v>707</v>
      </c>
      <c r="C3150" s="477" t="s">
        <v>3669</v>
      </c>
      <c r="D3150" s="202" t="s">
        <v>708</v>
      </c>
      <c r="E3150" s="444" t="s">
        <v>75</v>
      </c>
      <c r="F3150" s="214">
        <v>1.0</v>
      </c>
      <c r="G3150" s="463">
        <f>VLOOKUP(A3150,'Master List'!$A$4:$F5884,5,FALSE)</f>
        <v>247</v>
      </c>
      <c r="H3150" s="206">
        <f t="shared" si="316"/>
        <v>247</v>
      </c>
      <c r="I3150" s="240"/>
    </row>
    <row r="3151" outlineLevel="2">
      <c r="A3151" s="422" t="str">
        <f>'Master List'!A672</f>
        <v>W-WIN-066</v>
      </c>
      <c r="B3151" s="472" t="s">
        <v>709</v>
      </c>
      <c r="C3151" s="477" t="s">
        <v>3671</v>
      </c>
      <c r="D3151" s="202" t="s">
        <v>710</v>
      </c>
      <c r="E3151" s="444" t="s">
        <v>75</v>
      </c>
      <c r="F3151" s="214">
        <v>1.0</v>
      </c>
      <c r="G3151" s="463">
        <f>VLOOKUP(A3151,'Master List'!$A$4:$F5885,5,FALSE)</f>
        <v>201.5</v>
      </c>
      <c r="H3151" s="206">
        <f t="shared" si="316"/>
        <v>201.5</v>
      </c>
      <c r="I3151" s="240"/>
    </row>
    <row r="3152" outlineLevel="2">
      <c r="A3152" s="422"/>
      <c r="B3152" s="428"/>
      <c r="C3152" s="429"/>
      <c r="D3152" s="428"/>
      <c r="E3152" s="431"/>
      <c r="F3152" s="432"/>
      <c r="G3152" s="434"/>
      <c r="H3152" s="434"/>
      <c r="I3152" s="240"/>
    </row>
    <row r="3153" outlineLevel="1">
      <c r="A3153" s="422"/>
      <c r="B3153" s="472" t="s">
        <v>711</v>
      </c>
      <c r="C3153" s="429"/>
      <c r="D3153" s="516" t="s">
        <v>712</v>
      </c>
      <c r="E3153" s="431"/>
      <c r="F3153" s="432"/>
      <c r="G3153" s="436">
        <f>SUM(H3157:H3161)</f>
        <v>3250</v>
      </c>
      <c r="H3153" s="434"/>
      <c r="I3153" s="240"/>
    </row>
    <row r="3154" outlineLevel="2">
      <c r="A3154" s="422"/>
      <c r="B3154" s="428"/>
      <c r="C3154" s="429"/>
      <c r="D3154" s="428"/>
      <c r="E3154" s="431"/>
      <c r="F3154" s="432"/>
      <c r="G3154" s="434"/>
      <c r="H3154" s="434"/>
      <c r="I3154" s="240"/>
    </row>
    <row r="3155" outlineLevel="2">
      <c r="A3155" s="422"/>
      <c r="B3155" s="448" t="s">
        <v>713</v>
      </c>
      <c r="C3155" s="477">
        <v>26.4</v>
      </c>
      <c r="D3155" s="578" t="s">
        <v>714</v>
      </c>
      <c r="E3155" s="431"/>
      <c r="F3155" s="453"/>
      <c r="G3155" s="498"/>
      <c r="H3155" s="498"/>
      <c r="I3155" s="240" t="s">
        <v>5673</v>
      </c>
    </row>
    <row r="3156" outlineLevel="2">
      <c r="A3156" s="422"/>
      <c r="B3156" s="450"/>
      <c r="C3156" s="451"/>
      <c r="D3156" s="450"/>
      <c r="E3156" s="431"/>
      <c r="F3156" s="453"/>
      <c r="G3156" s="498"/>
      <c r="H3156" s="498"/>
      <c r="I3156" s="240"/>
    </row>
    <row r="3157" outlineLevel="2">
      <c r="A3157" s="422" t="str">
        <f>'Master List'!A603</f>
        <v>W-LAN-027</v>
      </c>
      <c r="B3157" s="448" t="s">
        <v>715</v>
      </c>
      <c r="C3157" s="579" t="s">
        <v>3675</v>
      </c>
      <c r="D3157" s="202" t="s">
        <v>716</v>
      </c>
      <c r="E3157" s="444" t="s">
        <v>75</v>
      </c>
      <c r="F3157" s="214">
        <v>1.0</v>
      </c>
      <c r="G3157" s="463">
        <f>VLOOKUP(A3157,'Master List'!$A$4:$F5891,5,FALSE)</f>
        <v>2145</v>
      </c>
      <c r="H3157" s="206">
        <f>G3157*F3157</f>
        <v>2145</v>
      </c>
      <c r="I3157" s="240"/>
    </row>
    <row r="3158" outlineLevel="2">
      <c r="A3158" s="422"/>
      <c r="B3158" s="450"/>
      <c r="C3158" s="451"/>
      <c r="D3158" s="450"/>
      <c r="E3158" s="431"/>
      <c r="F3158" s="453"/>
      <c r="G3158" s="498"/>
      <c r="H3158" s="498"/>
      <c r="I3158" s="240"/>
    </row>
    <row r="3159" outlineLevel="2">
      <c r="A3159" s="422"/>
      <c r="B3159" s="448" t="s">
        <v>717</v>
      </c>
      <c r="C3159" s="451"/>
      <c r="D3159" s="516" t="s">
        <v>718</v>
      </c>
      <c r="E3159" s="431"/>
      <c r="F3159" s="453"/>
      <c r="G3159" s="498"/>
      <c r="H3159" s="498"/>
      <c r="I3159" s="240"/>
    </row>
    <row r="3160" outlineLevel="2">
      <c r="A3160" s="422"/>
      <c r="B3160" s="450"/>
      <c r="C3160" s="451"/>
      <c r="D3160" s="450"/>
      <c r="E3160" s="431"/>
      <c r="F3160" s="453"/>
      <c r="G3160" s="498"/>
      <c r="H3160" s="498"/>
      <c r="I3160" s="240"/>
    </row>
    <row r="3161" outlineLevel="2">
      <c r="A3161" s="422" t="str">
        <f>'Master List'!A604</f>
        <v>W-LAN-028</v>
      </c>
      <c r="B3161" s="448" t="s">
        <v>719</v>
      </c>
      <c r="C3161" s="477">
        <v>26.5</v>
      </c>
      <c r="D3161" s="202" t="s">
        <v>720</v>
      </c>
      <c r="E3161" s="444" t="s">
        <v>161</v>
      </c>
      <c r="F3161" s="214">
        <v>1.0</v>
      </c>
      <c r="G3161" s="463">
        <f>VLOOKUP(A3161,'Master List'!$A$4:$F5895,5,FALSE)</f>
        <v>1105</v>
      </c>
      <c r="H3161" s="205">
        <f>G3161*F3161</f>
        <v>1105</v>
      </c>
      <c r="I3161" s="242"/>
    </row>
    <row r="3162" outlineLevel="2">
      <c r="A3162" s="422"/>
      <c r="B3162" s="580"/>
      <c r="C3162" s="429"/>
      <c r="D3162" s="580"/>
      <c r="E3162" s="581"/>
      <c r="F3162" s="582"/>
      <c r="G3162" s="583"/>
      <c r="H3162" s="583"/>
      <c r="I3162" s="240"/>
    </row>
    <row r="3163" outlineLevel="1">
      <c r="A3163" s="422"/>
      <c r="B3163" s="448" t="s">
        <v>721</v>
      </c>
      <c r="C3163" s="429"/>
      <c r="D3163" s="516" t="s">
        <v>5674</v>
      </c>
      <c r="E3163" s="581"/>
      <c r="F3163" s="582"/>
      <c r="G3163" s="436">
        <f>SUM(H3165)</f>
        <v>2665</v>
      </c>
      <c r="H3163" s="583"/>
      <c r="I3163" s="240"/>
    </row>
    <row r="3164" outlineLevel="2">
      <c r="A3164" s="422"/>
      <c r="B3164" s="450"/>
      <c r="C3164" s="429"/>
      <c r="D3164" s="580"/>
      <c r="E3164" s="581"/>
      <c r="F3164" s="582"/>
      <c r="G3164" s="583"/>
      <c r="H3164" s="583"/>
      <c r="I3164" s="240"/>
    </row>
    <row r="3165" outlineLevel="2">
      <c r="A3165" s="422" t="str">
        <f>'Master List'!A605</f>
        <v>W-LAN-029</v>
      </c>
      <c r="B3165" s="448" t="s">
        <v>723</v>
      </c>
      <c r="C3165" s="477">
        <v>26.6</v>
      </c>
      <c r="D3165" s="202" t="s">
        <v>724</v>
      </c>
      <c r="E3165" s="444" t="s">
        <v>75</v>
      </c>
      <c r="F3165" s="214">
        <v>1.0</v>
      </c>
      <c r="G3165" s="463">
        <f>VLOOKUP(A3165,'Master List'!$A$4:$F5899,5,FALSE)</f>
        <v>2665</v>
      </c>
      <c r="H3165" s="206">
        <f>G3165*F3165</f>
        <v>2665</v>
      </c>
      <c r="I3165" s="219"/>
    </row>
    <row r="3166" outlineLevel="1">
      <c r="A3166" s="422"/>
      <c r="B3166" s="472"/>
      <c r="C3166" s="568"/>
      <c r="D3166" s="525"/>
      <c r="E3166" s="526"/>
      <c r="F3166" s="527"/>
      <c r="G3166" s="439"/>
      <c r="H3166" s="439"/>
      <c r="I3166" s="240"/>
    </row>
    <row r="3167">
      <c r="A3167" s="422"/>
      <c r="B3167" s="471"/>
      <c r="C3167" s="500">
        <v>27.0</v>
      </c>
      <c r="D3167" s="516" t="s">
        <v>1035</v>
      </c>
      <c r="E3167" s="493"/>
      <c r="F3167" s="214"/>
      <c r="G3167" s="205"/>
      <c r="H3167" s="426">
        <f>SUM(H3171:H3368)</f>
        <v>47244.96368</v>
      </c>
      <c r="I3167" s="427">
        <f>H3167-Resumo!J42</f>
        <v>-26975.78632</v>
      </c>
    </row>
    <row r="3168" outlineLevel="1">
      <c r="A3168" s="422"/>
      <c r="B3168" s="89"/>
      <c r="C3168" s="312"/>
      <c r="D3168" s="90"/>
      <c r="E3168" s="584"/>
      <c r="F3168" s="91"/>
      <c r="G3168" s="92"/>
      <c r="H3168" s="92"/>
      <c r="I3168" s="240"/>
    </row>
    <row r="3169" outlineLevel="1">
      <c r="A3169" s="422"/>
      <c r="B3169" s="89"/>
      <c r="C3169" s="230"/>
      <c r="D3169" s="585" t="s">
        <v>5675</v>
      </c>
      <c r="E3169" s="422"/>
      <c r="F3169" s="79"/>
      <c r="G3169" s="586">
        <f>SUM(H3175:H3238)</f>
        <v>12987.228</v>
      </c>
      <c r="H3169" s="80"/>
      <c r="I3169" s="240"/>
    </row>
    <row r="3170" outlineLevel="2">
      <c r="A3170" s="422"/>
      <c r="B3170" s="89"/>
      <c r="C3170" s="230"/>
      <c r="D3170" s="90"/>
      <c r="E3170" s="422"/>
      <c r="F3170" s="79"/>
      <c r="G3170" s="80"/>
      <c r="H3170" s="80"/>
      <c r="I3170" s="240"/>
    </row>
    <row r="3171" outlineLevel="2">
      <c r="A3171" s="422"/>
      <c r="B3171" s="89">
        <v>4.1</v>
      </c>
      <c r="C3171" s="198">
        <v>27.1</v>
      </c>
      <c r="D3171" s="368" t="s">
        <v>1036</v>
      </c>
      <c r="E3171" s="422"/>
      <c r="F3171" s="79"/>
      <c r="G3171" s="80"/>
      <c r="H3171" s="80"/>
      <c r="I3171" s="240"/>
    </row>
    <row r="3172" outlineLevel="2">
      <c r="A3172" s="422"/>
      <c r="E3172" s="422"/>
      <c r="F3172" s="79"/>
      <c r="G3172" s="80"/>
      <c r="H3172" s="80"/>
      <c r="I3172" s="240"/>
    </row>
    <row r="3173" outlineLevel="2">
      <c r="A3173" s="422"/>
      <c r="B3173" s="89" t="s">
        <v>1037</v>
      </c>
      <c r="C3173" s="198" t="s">
        <v>5676</v>
      </c>
      <c r="D3173" s="368" t="s">
        <v>1038</v>
      </c>
      <c r="E3173" s="422"/>
      <c r="F3173" s="79"/>
      <c r="G3173" s="80"/>
      <c r="H3173" s="80"/>
      <c r="I3173" s="240"/>
    </row>
    <row r="3174" outlineLevel="2">
      <c r="A3174" s="422"/>
      <c r="E3174" s="422"/>
      <c r="F3174" s="79"/>
      <c r="G3174" s="80"/>
      <c r="H3174" s="80"/>
      <c r="I3174" s="240"/>
    </row>
    <row r="3175" outlineLevel="2">
      <c r="A3175" s="422" t="str">
        <f>'Master List'!A697</f>
        <v>W-PLB-044</v>
      </c>
      <c r="C3175" s="198"/>
      <c r="D3175" s="587" t="str">
        <f>VLOOKUP(A3175,'Master List'!$A$1:$C$1192,2,FALSE)</f>
        <v>Прокладання труб з ПВХ діаметром 110мм</v>
      </c>
      <c r="E3175" s="588" t="str">
        <f>VLOOKUP(A3175,'Master List'!$A$1:$C$1192,3,FALSE)</f>
        <v>м</v>
      </c>
      <c r="F3175" s="589">
        <v>45.73</v>
      </c>
      <c r="G3175" s="588">
        <f>VLOOKUP(A3175,'Master List'!$A$4:$F5909,5,FALSE)</f>
        <v>13</v>
      </c>
      <c r="H3175" s="206">
        <f>G3175*F3175</f>
        <v>594.49</v>
      </c>
      <c r="I3175" s="240"/>
    </row>
    <row r="3176" outlineLevel="2">
      <c r="A3176" s="422"/>
      <c r="E3176" s="422"/>
      <c r="F3176" s="79"/>
      <c r="G3176" s="80"/>
      <c r="H3176" s="80"/>
      <c r="I3176" s="240"/>
    </row>
    <row r="3177" outlineLevel="2">
      <c r="A3177" s="422" t="str">
        <f>'Master List'!A252</f>
        <v>M-PLB-049</v>
      </c>
      <c r="B3177" s="89" t="s">
        <v>1039</v>
      </c>
      <c r="C3177" s="198" t="s">
        <v>5677</v>
      </c>
      <c r="D3177" s="202" t="s">
        <v>1040</v>
      </c>
      <c r="E3177" s="203" t="s">
        <v>161</v>
      </c>
      <c r="F3177" s="214">
        <f>45.73*1.02</f>
        <v>46.6446</v>
      </c>
      <c r="G3177" s="588">
        <f>VLOOKUP(A3177,'Master List'!$A$4:$F5911,5,FALSE)</f>
        <v>21.697</v>
      </c>
      <c r="H3177" s="206">
        <f>F3177*G3177</f>
        <v>1012.047886</v>
      </c>
      <c r="I3177" s="219"/>
    </row>
    <row r="3178" outlineLevel="2">
      <c r="A3178" s="422"/>
      <c r="E3178" s="422"/>
      <c r="F3178" s="79"/>
      <c r="G3178" s="80"/>
      <c r="H3178" s="80"/>
      <c r="I3178" s="240"/>
    </row>
    <row r="3179" outlineLevel="2">
      <c r="A3179" s="422"/>
      <c r="B3179" s="89" t="s">
        <v>1041</v>
      </c>
      <c r="C3179" s="198" t="s">
        <v>5678</v>
      </c>
      <c r="D3179" s="368" t="s">
        <v>1042</v>
      </c>
      <c r="E3179" s="422"/>
      <c r="F3179" s="79"/>
      <c r="G3179" s="80"/>
      <c r="H3179" s="80"/>
      <c r="I3179" s="240"/>
    </row>
    <row r="3180" outlineLevel="2">
      <c r="A3180" s="422"/>
      <c r="B3180" s="89"/>
      <c r="C3180" s="230"/>
      <c r="D3180" s="90"/>
      <c r="E3180" s="422"/>
      <c r="F3180" s="79"/>
      <c r="G3180" s="80"/>
      <c r="H3180" s="80"/>
      <c r="I3180" s="240"/>
    </row>
    <row r="3181" outlineLevel="2">
      <c r="A3181" s="422" t="str">
        <f>'Master List'!A700</f>
        <v>W-PLB-047</v>
      </c>
      <c r="B3181" s="89"/>
      <c r="C3181" s="198"/>
      <c r="D3181" s="587" t="str">
        <f>VLOOKUP(A3181,'Master List'!$A$1:$C$1192,2,FALSE)</f>
        <v>Прокладання труб з ПВХ діаметром 40мм</v>
      </c>
      <c r="E3181" s="588" t="str">
        <f>VLOOKUP(A3181,'Master List'!$A$1:$C$1192,3,FALSE)</f>
        <v>м</v>
      </c>
      <c r="F3181" s="589">
        <v>15.56</v>
      </c>
      <c r="G3181" s="588">
        <f>VLOOKUP(A3181,'Master List'!$A$4:$F5915,5,FALSE)</f>
        <v>7.8</v>
      </c>
      <c r="H3181" s="206">
        <f t="shared" ref="H3181:H3188" si="317">G3181*F3181</f>
        <v>121.368</v>
      </c>
      <c r="I3181" s="240"/>
    </row>
    <row r="3182" outlineLevel="2">
      <c r="A3182" s="422" t="str">
        <f>'Master List'!A701</f>
        <v>W-PLB-048</v>
      </c>
      <c r="B3182" s="89"/>
      <c r="C3182" s="198"/>
      <c r="D3182" s="587" t="str">
        <f>VLOOKUP(A3182,'Master List'!$A$1:$C$1192,2,FALSE)</f>
        <v>Прокладання труб з ПВХ діаметром 50мм</v>
      </c>
      <c r="E3182" s="588" t="str">
        <f>VLOOKUP(A3182,'Master List'!$A$1:$C$1192,3,FALSE)</f>
        <v>м</v>
      </c>
      <c r="F3182" s="589">
        <v>14.62</v>
      </c>
      <c r="G3182" s="588">
        <f>VLOOKUP(A3182,'Master List'!$A$4:$F5916,5,FALSE)</f>
        <v>9.1</v>
      </c>
      <c r="H3182" s="206">
        <f t="shared" si="317"/>
        <v>133.042</v>
      </c>
      <c r="I3182" s="240"/>
    </row>
    <row r="3183" outlineLevel="2">
      <c r="A3183" s="422" t="str">
        <f>'Master List'!A702</f>
        <v>W-PLB-049</v>
      </c>
      <c r="B3183" s="89"/>
      <c r="C3183" s="198"/>
      <c r="D3183" s="587" t="str">
        <f>VLOOKUP(A3183,'Master List'!$A$1:$C$1192,2,FALSE)</f>
        <v>Прокладання труб з ПВХ діаметром 75мм</v>
      </c>
      <c r="E3183" s="588" t="str">
        <f>VLOOKUP(A3183,'Master List'!$A$1:$C$1192,3,FALSE)</f>
        <v>м</v>
      </c>
      <c r="F3183" s="589">
        <v>18.36</v>
      </c>
      <c r="G3183" s="588">
        <f>VLOOKUP(A3183,'Master List'!$A$4:$F5917,5,FALSE)</f>
        <v>11.05</v>
      </c>
      <c r="H3183" s="206">
        <f t="shared" si="317"/>
        <v>202.878</v>
      </c>
      <c r="I3183" s="240"/>
    </row>
    <row r="3184" outlineLevel="2">
      <c r="A3184" s="422" t="str">
        <f>'Master List'!A703</f>
        <v>W-PLB-050</v>
      </c>
      <c r="B3184" s="89"/>
      <c r="C3184" s="198"/>
      <c r="D3184" s="587" t="str">
        <f>VLOOKUP(A3184,'Master List'!$A$1:$C$1192,2,FALSE)</f>
        <v>Прокладання труб з ПВХ діаметром 90мм</v>
      </c>
      <c r="E3184" s="588" t="str">
        <f>VLOOKUP(A3184,'Master List'!$A$1:$C$1192,3,FALSE)</f>
        <v>м</v>
      </c>
      <c r="F3184" s="589">
        <v>68.48</v>
      </c>
      <c r="G3184" s="588">
        <f>VLOOKUP(A3184,'Master List'!$A$4:$F5918,5,FALSE)</f>
        <v>12.35</v>
      </c>
      <c r="H3184" s="206">
        <f t="shared" si="317"/>
        <v>845.728</v>
      </c>
      <c r="I3184" s="240"/>
    </row>
    <row r="3185" outlineLevel="2">
      <c r="A3185" s="422" t="str">
        <f>'Master List'!A737</f>
        <v>W-PLB-0127</v>
      </c>
      <c r="B3185" s="89"/>
      <c r="C3185" s="198"/>
      <c r="D3185" s="587" t="str">
        <f>VLOOKUP(A3185,'Master List'!$A$1:$C$1192,2,FALSE)</f>
        <v>Влаштування теплоізоляції для труб діаметром до 40мм</v>
      </c>
      <c r="E3185" s="588" t="str">
        <f>VLOOKUP(A3185,'Master List'!$A$1:$C$1192,3,FALSE)</f>
        <v>м</v>
      </c>
      <c r="F3185" s="589">
        <f t="shared" ref="F3185:F3188" si="318">F3181</f>
        <v>15.56</v>
      </c>
      <c r="G3185" s="588">
        <f>VLOOKUP(A3185,'Master List'!$A$4:$F5919,5,FALSE)</f>
        <v>3.9</v>
      </c>
      <c r="H3185" s="206">
        <f t="shared" si="317"/>
        <v>60.684</v>
      </c>
      <c r="I3185" s="240"/>
    </row>
    <row r="3186" outlineLevel="2">
      <c r="A3186" s="422" t="str">
        <f>'Master List'!A738</f>
        <v>W-PLB-0128</v>
      </c>
      <c r="B3186" s="89"/>
      <c r="C3186" s="198"/>
      <c r="D3186" s="587" t="str">
        <f>VLOOKUP(A3186,'Master List'!$A$1:$C$1192,2,FALSE)</f>
        <v>Влаштування теплоізоляції для труб діаметром до 50мм</v>
      </c>
      <c r="E3186" s="588" t="str">
        <f>VLOOKUP(A3186,'Master List'!$A$1:$C$1192,3,FALSE)</f>
        <v>м</v>
      </c>
      <c r="F3186" s="589">
        <f t="shared" si="318"/>
        <v>14.62</v>
      </c>
      <c r="G3186" s="588">
        <f>VLOOKUP(A3186,'Master List'!$A$4:$F5920,5,FALSE)</f>
        <v>4.55</v>
      </c>
      <c r="H3186" s="206">
        <f t="shared" si="317"/>
        <v>66.521</v>
      </c>
      <c r="I3186" s="240"/>
    </row>
    <row r="3187" outlineLevel="2">
      <c r="A3187" s="422" t="str">
        <f>'Master List'!A739</f>
        <v>W-PLB-0129</v>
      </c>
      <c r="B3187" s="89"/>
      <c r="C3187" s="198"/>
      <c r="D3187" s="587" t="str">
        <f>VLOOKUP(A3187,'Master List'!$A$1:$C$1192,2,FALSE)</f>
        <v>Влаштування теплоізоляції для труб діаметром до 75мм</v>
      </c>
      <c r="E3187" s="588" t="str">
        <f>VLOOKUP(A3187,'Master List'!$A$1:$C$1192,3,FALSE)</f>
        <v>м</v>
      </c>
      <c r="F3187" s="589">
        <f t="shared" si="318"/>
        <v>18.36</v>
      </c>
      <c r="G3187" s="588">
        <f>VLOOKUP(A3187,'Master List'!$A$4:$F5921,5,FALSE)</f>
        <v>5.85</v>
      </c>
      <c r="H3187" s="206">
        <f t="shared" si="317"/>
        <v>107.406</v>
      </c>
      <c r="I3187" s="240"/>
    </row>
    <row r="3188" outlineLevel="2">
      <c r="A3188" s="422" t="str">
        <f>'Master List'!A740</f>
        <v>W-PLB-0130</v>
      </c>
      <c r="B3188" s="89"/>
      <c r="C3188" s="198"/>
      <c r="D3188" s="587" t="str">
        <f>VLOOKUP(A3188,'Master List'!$A$1:$C$1192,2,FALSE)</f>
        <v>Влаштування теплоізоляції для труб діаметром до 90мм</v>
      </c>
      <c r="E3188" s="588" t="str">
        <f>VLOOKUP(A3188,'Master List'!$A$1:$C$1192,3,FALSE)</f>
        <v>м</v>
      </c>
      <c r="F3188" s="589">
        <f t="shared" si="318"/>
        <v>68.48</v>
      </c>
      <c r="G3188" s="588">
        <f>VLOOKUP(A3188,'Master List'!$A$4:$F5922,5,FALSE)</f>
        <v>6.5</v>
      </c>
      <c r="H3188" s="206">
        <f t="shared" si="317"/>
        <v>445.12</v>
      </c>
      <c r="I3188" s="240"/>
    </row>
    <row r="3189" outlineLevel="2">
      <c r="A3189" s="422"/>
      <c r="E3189" s="422"/>
      <c r="F3189" s="79"/>
      <c r="G3189" s="80"/>
      <c r="H3189" s="80"/>
      <c r="I3189" s="240"/>
    </row>
    <row r="3190" outlineLevel="2">
      <c r="A3190" s="422" t="str">
        <f>'Master List'!A255</f>
        <v>M-PLB-052</v>
      </c>
      <c r="B3190" s="89" t="s">
        <v>1043</v>
      </c>
      <c r="C3190" s="198" t="s">
        <v>5679</v>
      </c>
      <c r="D3190" s="202" t="s">
        <v>1044</v>
      </c>
      <c r="E3190" s="203" t="s">
        <v>161</v>
      </c>
      <c r="F3190" s="214">
        <f>15.56*1.02</f>
        <v>15.8712</v>
      </c>
      <c r="G3190" s="588">
        <f>VLOOKUP(A3190,'Master List'!$A$4:$F5924,5,FALSE)</f>
        <v>4.433</v>
      </c>
      <c r="H3190" s="206">
        <f t="shared" ref="H3190:H3194" si="319">F3190*G3190</f>
        <v>70.3570296</v>
      </c>
      <c r="I3190" s="219"/>
    </row>
    <row r="3191" outlineLevel="2">
      <c r="A3191" s="422" t="str">
        <f>'Master List'!A256</f>
        <v>M-PLB-053</v>
      </c>
      <c r="B3191" s="89" t="s">
        <v>1045</v>
      </c>
      <c r="C3191" s="198" t="s">
        <v>5680</v>
      </c>
      <c r="D3191" s="202" t="s">
        <v>1046</v>
      </c>
      <c r="E3191" s="203" t="s">
        <v>161</v>
      </c>
      <c r="F3191" s="214">
        <f>14.62*1.02</f>
        <v>14.9124</v>
      </c>
      <c r="G3191" s="588">
        <f>VLOOKUP(A3191,'Master List'!$A$4:$F5925,5,FALSE)</f>
        <v>4.433</v>
      </c>
      <c r="H3191" s="206">
        <f t="shared" si="319"/>
        <v>66.1066692</v>
      </c>
      <c r="I3191" s="219"/>
    </row>
    <row r="3192" outlineLevel="2">
      <c r="A3192" s="422" t="str">
        <f>'Master List'!A257</f>
        <v>M-PLB-054</v>
      </c>
      <c r="B3192" s="89" t="s">
        <v>1047</v>
      </c>
      <c r="C3192" s="198" t="s">
        <v>5681</v>
      </c>
      <c r="D3192" s="202" t="s">
        <v>1048</v>
      </c>
      <c r="E3192" s="203" t="s">
        <v>161</v>
      </c>
      <c r="F3192" s="214">
        <f>18.36*1.02</f>
        <v>18.7272</v>
      </c>
      <c r="G3192" s="588">
        <f>VLOOKUP(A3192,'Master List'!$A$4:$F5926,5,FALSE)</f>
        <v>10.998</v>
      </c>
      <c r="H3192" s="206">
        <f t="shared" si="319"/>
        <v>205.9617456</v>
      </c>
      <c r="I3192" s="219"/>
    </row>
    <row r="3193" outlineLevel="2">
      <c r="A3193" s="422" t="str">
        <f>'Master List'!A258</f>
        <v>M-PLB-055</v>
      </c>
      <c r="B3193" s="89" t="s">
        <v>1049</v>
      </c>
      <c r="C3193" s="198" t="s">
        <v>5682</v>
      </c>
      <c r="D3193" s="202" t="s">
        <v>1050</v>
      </c>
      <c r="E3193" s="203" t="s">
        <v>161</v>
      </c>
      <c r="F3193" s="214">
        <f>68.48*1.02</f>
        <v>69.8496</v>
      </c>
      <c r="G3193" s="588">
        <f>VLOOKUP(A3193,'Master List'!$A$4:$F5927,5,FALSE)</f>
        <v>17.875</v>
      </c>
      <c r="H3193" s="206">
        <f t="shared" si="319"/>
        <v>1248.5616</v>
      </c>
      <c r="I3193" s="219"/>
    </row>
    <row r="3194" outlineLevel="2">
      <c r="A3194" s="422" t="str">
        <f>'Master List'!A260</f>
        <v>M-PLB-057</v>
      </c>
      <c r="B3194" s="89"/>
      <c r="C3194" s="198"/>
      <c r="D3194" s="587" t="str">
        <f>VLOOKUP(A3194,'Master List'!$A$1:$C$1192,2,FALSE)</f>
        <v>Термоізоляція труб діаметром 40мм</v>
      </c>
      <c r="E3194" s="588" t="str">
        <f>VLOOKUP(A3194,'Master List'!$A$1:$C$1192,3,FALSE)</f>
        <v>м</v>
      </c>
      <c r="F3194" s="589">
        <f t="shared" ref="F3194:F3197" si="320">F3190</f>
        <v>15.8712</v>
      </c>
      <c r="G3194" s="588">
        <f>VLOOKUP(A3194,'Master List'!$A$4:$F5928,5,FALSE)</f>
        <v>20.54</v>
      </c>
      <c r="H3194" s="206">
        <f t="shared" si="319"/>
        <v>325.994448</v>
      </c>
      <c r="I3194" s="240"/>
    </row>
    <row r="3195" outlineLevel="2">
      <c r="A3195" s="422" t="str">
        <f>'Master List'!A261</f>
        <v>M-PLB-058</v>
      </c>
      <c r="B3195" s="89"/>
      <c r="C3195" s="198"/>
      <c r="D3195" s="587" t="str">
        <f>VLOOKUP(A3195,'Master List'!$A$1:$C$1192,2,FALSE)</f>
        <v>Термоізоляція труб діаметром 50мм</v>
      </c>
      <c r="E3195" s="588" t="str">
        <f>VLOOKUP(A3195,'Master List'!$A$1:$C$1192,3,FALSE)</f>
        <v>м</v>
      </c>
      <c r="F3195" s="589">
        <f t="shared" si="320"/>
        <v>14.9124</v>
      </c>
      <c r="G3195" s="588">
        <f>VLOOKUP(A3195,'Master List'!$A$4:$F5929,5,FALSE)</f>
        <v>7.54</v>
      </c>
      <c r="H3195" s="206">
        <f t="shared" ref="H3195:H3197" si="321">G3195*F3195</f>
        <v>112.439496</v>
      </c>
      <c r="I3195" s="240"/>
    </row>
    <row r="3196" outlineLevel="2">
      <c r="A3196" s="422" t="str">
        <f>'Master List'!A262</f>
        <v>M-PLB-059</v>
      </c>
      <c r="B3196" s="89"/>
      <c r="C3196" s="198"/>
      <c r="D3196" s="587" t="str">
        <f>VLOOKUP(A3196,'Master List'!$A$1:$C$1192,2,FALSE)</f>
        <v>Термоізоляція труб діаметром 75мм</v>
      </c>
      <c r="E3196" s="588" t="str">
        <f>VLOOKUP(A3196,'Master List'!$A$1:$C$1192,3,FALSE)</f>
        <v>м</v>
      </c>
      <c r="F3196" s="589">
        <f t="shared" si="320"/>
        <v>18.7272</v>
      </c>
      <c r="G3196" s="588">
        <f>VLOOKUP(A3196,'Master List'!$A$4:$F5930,5,FALSE)</f>
        <v>4.94</v>
      </c>
      <c r="H3196" s="206">
        <f t="shared" si="321"/>
        <v>92.512368</v>
      </c>
      <c r="I3196" s="240"/>
    </row>
    <row r="3197" outlineLevel="2">
      <c r="A3197" s="422" t="str">
        <f>'Master List'!A263</f>
        <v>M-PLB-060</v>
      </c>
      <c r="B3197" s="89"/>
      <c r="C3197" s="198"/>
      <c r="D3197" s="587" t="str">
        <f>VLOOKUP(A3197,'Master List'!$A$1:$C$1192,2,FALSE)</f>
        <v>Термоізоляція труб діаметром 90мм</v>
      </c>
      <c r="E3197" s="588" t="str">
        <f>VLOOKUP(A3197,'Master List'!$A$1:$C$1192,3,FALSE)</f>
        <v>м</v>
      </c>
      <c r="F3197" s="589">
        <f t="shared" si="320"/>
        <v>69.8496</v>
      </c>
      <c r="G3197" s="588">
        <f>VLOOKUP(A3197,'Master List'!$A$4:$F5931,5,FALSE)</f>
        <v>16.562</v>
      </c>
      <c r="H3197" s="206">
        <f t="shared" si="321"/>
        <v>1156.849075</v>
      </c>
      <c r="I3197" s="240"/>
    </row>
    <row r="3198" outlineLevel="2">
      <c r="A3198" s="422"/>
      <c r="E3198" s="422"/>
      <c r="F3198" s="79"/>
      <c r="G3198" s="80"/>
      <c r="H3198" s="80"/>
      <c r="I3198" s="240"/>
    </row>
    <row r="3199" outlineLevel="2">
      <c r="A3199" s="422"/>
      <c r="B3199" s="89" t="s">
        <v>1051</v>
      </c>
      <c r="C3199" s="322" t="s">
        <v>5683</v>
      </c>
      <c r="D3199" s="368" t="s">
        <v>1052</v>
      </c>
      <c r="E3199" s="422"/>
      <c r="F3199" s="79"/>
      <c r="G3199" s="80"/>
      <c r="H3199" s="80"/>
      <c r="I3199" s="240"/>
    </row>
    <row r="3200" outlineLevel="2">
      <c r="A3200" s="422"/>
      <c r="E3200" s="422"/>
      <c r="F3200" s="79"/>
      <c r="G3200" s="80"/>
      <c r="H3200" s="80"/>
      <c r="I3200" s="240"/>
    </row>
    <row r="3201" outlineLevel="2">
      <c r="A3201" s="422" t="str">
        <f>'Master List'!A702</f>
        <v>W-PLB-049</v>
      </c>
      <c r="C3201" s="198"/>
      <c r="D3201" s="587" t="str">
        <f>VLOOKUP(A3201,'Master List'!$A$1:$C$1192,2,FALSE)</f>
        <v>Прокладання труб з ПВХ діаметром 75мм</v>
      </c>
      <c r="E3201" s="588" t="str">
        <f>VLOOKUP(A3201,'Master List'!$A$1:$C$1192,3,FALSE)</f>
        <v>м</v>
      </c>
      <c r="F3201" s="589">
        <v>6.58</v>
      </c>
      <c r="G3201" s="588">
        <f>VLOOKUP(A3201,'Master List'!$A$4:$F5927,5,FALSE)</f>
        <v>11.05</v>
      </c>
      <c r="H3201" s="206">
        <f t="shared" ref="H3201:H3204" si="322">G3201*F3201</f>
        <v>72.709</v>
      </c>
      <c r="I3201" s="240"/>
    </row>
    <row r="3202" outlineLevel="2">
      <c r="A3202" s="422" t="str">
        <f>'Master List'!A703</f>
        <v>W-PLB-050</v>
      </c>
      <c r="C3202" s="198"/>
      <c r="D3202" s="587" t="str">
        <f>VLOOKUP(A3202,'Master List'!$A$1:$C$1192,2,FALSE)</f>
        <v>Прокладання труб з ПВХ діаметром 90мм</v>
      </c>
      <c r="E3202" s="588" t="str">
        <f>VLOOKUP(A3202,'Master List'!$A$1:$C$1192,3,FALSE)</f>
        <v>м</v>
      </c>
      <c r="F3202" s="589">
        <v>17.65</v>
      </c>
      <c r="G3202" s="588">
        <f>VLOOKUP(A3202,'Master List'!$A$4:$F5928,5,FALSE)</f>
        <v>12.35</v>
      </c>
      <c r="H3202" s="206">
        <f t="shared" si="322"/>
        <v>217.9775</v>
      </c>
      <c r="I3202" s="240"/>
    </row>
    <row r="3203" outlineLevel="2">
      <c r="A3203" s="422" t="str">
        <f>'Master List'!A739</f>
        <v>W-PLB-0129</v>
      </c>
      <c r="C3203" s="198"/>
      <c r="D3203" s="587" t="str">
        <f>VLOOKUP(A3203,'Master List'!$A$1:$C$1192,2,FALSE)</f>
        <v>Влаштування теплоізоляції для труб діаметром до 75мм</v>
      </c>
      <c r="E3203" s="588" t="str">
        <f>VLOOKUP(A3203,'Master List'!$A$1:$C$1192,3,FALSE)</f>
        <v>м</v>
      </c>
      <c r="F3203" s="589">
        <f t="shared" ref="F3203:F3204" si="323">F3201</f>
        <v>6.58</v>
      </c>
      <c r="G3203" s="588">
        <f>VLOOKUP(A3203,'Master List'!$A$4:$F5929,5,FALSE)</f>
        <v>5.85</v>
      </c>
      <c r="H3203" s="206">
        <f t="shared" si="322"/>
        <v>38.493</v>
      </c>
      <c r="I3203" s="240"/>
    </row>
    <row r="3204" outlineLevel="2">
      <c r="A3204" s="422" t="str">
        <f>'Master List'!A740</f>
        <v>W-PLB-0130</v>
      </c>
      <c r="C3204" s="198"/>
      <c r="D3204" s="587" t="str">
        <f>VLOOKUP(A3204,'Master List'!$A$1:$C$1192,2,FALSE)</f>
        <v>Влаштування теплоізоляції для труб діаметром до 90мм</v>
      </c>
      <c r="E3204" s="588" t="str">
        <f>VLOOKUP(A3204,'Master List'!$A$1:$C$1192,3,FALSE)</f>
        <v>м</v>
      </c>
      <c r="F3204" s="589">
        <f t="shared" si="323"/>
        <v>17.65</v>
      </c>
      <c r="G3204" s="588">
        <f>VLOOKUP(A3204,'Master List'!$A$4:$F5930,5,FALSE)</f>
        <v>6.5</v>
      </c>
      <c r="H3204" s="206">
        <f t="shared" si="322"/>
        <v>114.725</v>
      </c>
      <c r="I3204" s="240"/>
    </row>
    <row r="3205" outlineLevel="2">
      <c r="A3205" s="422"/>
      <c r="E3205" s="422"/>
      <c r="F3205" s="79"/>
      <c r="G3205" s="80"/>
      <c r="H3205" s="80"/>
      <c r="I3205" s="240"/>
    </row>
    <row r="3206" outlineLevel="2">
      <c r="A3206" s="422" t="str">
        <f>'Master List'!A257</f>
        <v>M-PLB-054</v>
      </c>
      <c r="B3206" s="89" t="s">
        <v>1053</v>
      </c>
      <c r="C3206" s="198" t="s">
        <v>5684</v>
      </c>
      <c r="D3206" s="202" t="s">
        <v>1048</v>
      </c>
      <c r="E3206" s="203" t="s">
        <v>161</v>
      </c>
      <c r="F3206" s="214">
        <f>6.58*1.02</f>
        <v>6.7116</v>
      </c>
      <c r="G3206" s="588">
        <f>VLOOKUP(A3206,'Master List'!$A$4:$F5932,5,FALSE)</f>
        <v>10.998</v>
      </c>
      <c r="H3206" s="206">
        <f t="shared" ref="H3206:H3209" si="324">G3206*F3206</f>
        <v>73.8141768</v>
      </c>
      <c r="I3206" s="219"/>
    </row>
    <row r="3207" outlineLevel="2">
      <c r="A3207" s="422" t="str">
        <f>'Master List'!A258</f>
        <v>M-PLB-055</v>
      </c>
      <c r="B3207" s="89" t="s">
        <v>1054</v>
      </c>
      <c r="C3207" s="198" t="s">
        <v>5685</v>
      </c>
      <c r="D3207" s="202" t="s">
        <v>1050</v>
      </c>
      <c r="E3207" s="203" t="s">
        <v>161</v>
      </c>
      <c r="F3207" s="214">
        <f>17.65*1.02</f>
        <v>18.003</v>
      </c>
      <c r="G3207" s="588">
        <f>VLOOKUP(A3207,'Master List'!$A$4:$F5933,5,FALSE)</f>
        <v>17.875</v>
      </c>
      <c r="H3207" s="206">
        <f t="shared" si="324"/>
        <v>321.803625</v>
      </c>
      <c r="I3207" s="219"/>
    </row>
    <row r="3208" outlineLevel="2">
      <c r="A3208" s="422" t="str">
        <f>'Master List'!A262</f>
        <v>M-PLB-059</v>
      </c>
      <c r="B3208" s="89"/>
      <c r="C3208" s="198"/>
      <c r="D3208" s="587" t="str">
        <f>VLOOKUP(A3208,'Master List'!$A$1:$C$1192,2,FALSE)</f>
        <v>Термоізоляція труб діаметром 75мм</v>
      </c>
      <c r="E3208" s="588" t="str">
        <f>VLOOKUP(A3208,'Master List'!$A$1:$C$1192,3,FALSE)</f>
        <v>м</v>
      </c>
      <c r="F3208" s="589">
        <f t="shared" ref="F3208:F3209" si="325">F3206</f>
        <v>6.7116</v>
      </c>
      <c r="G3208" s="588">
        <f>VLOOKUP(A3208,'Master List'!$A$4:$F5934,5,FALSE)</f>
        <v>4.94</v>
      </c>
      <c r="H3208" s="206">
        <f t="shared" si="324"/>
        <v>33.155304</v>
      </c>
      <c r="I3208" s="240"/>
    </row>
    <row r="3209" outlineLevel="2">
      <c r="A3209" s="422" t="str">
        <f>'Master List'!A263</f>
        <v>M-PLB-060</v>
      </c>
      <c r="B3209" s="89"/>
      <c r="C3209" s="198"/>
      <c r="D3209" s="587" t="str">
        <f>VLOOKUP(A3209,'Master List'!$A$1:$C$1192,2,FALSE)</f>
        <v>Термоізоляція труб діаметром 90мм</v>
      </c>
      <c r="E3209" s="588" t="str">
        <f>VLOOKUP(A3209,'Master List'!$A$1:$C$1192,3,FALSE)</f>
        <v>м</v>
      </c>
      <c r="F3209" s="589">
        <f t="shared" si="325"/>
        <v>18.003</v>
      </c>
      <c r="G3209" s="588">
        <f>VLOOKUP(A3209,'Master List'!$A$4:$F5935,5,FALSE)</f>
        <v>16.562</v>
      </c>
      <c r="H3209" s="206">
        <f t="shared" si="324"/>
        <v>298.165686</v>
      </c>
      <c r="I3209" s="240"/>
    </row>
    <row r="3210" outlineLevel="2">
      <c r="A3210" s="422"/>
      <c r="E3210" s="422"/>
      <c r="F3210" s="79"/>
      <c r="G3210" s="80"/>
      <c r="H3210" s="80"/>
      <c r="I3210" s="240"/>
    </row>
    <row r="3211" outlineLevel="2">
      <c r="A3211" s="422"/>
      <c r="B3211" s="89" t="s">
        <v>1055</v>
      </c>
      <c r="C3211" s="198" t="s">
        <v>5686</v>
      </c>
      <c r="D3211" s="202" t="s">
        <v>1056</v>
      </c>
      <c r="E3211" s="203" t="s">
        <v>161</v>
      </c>
      <c r="F3211" s="214">
        <v>17.62</v>
      </c>
      <c r="G3211" s="205"/>
      <c r="H3211" s="206"/>
      <c r="I3211" s="219"/>
    </row>
    <row r="3212" outlineLevel="2">
      <c r="A3212" s="422"/>
      <c r="B3212" s="89"/>
      <c r="C3212" s="230"/>
      <c r="D3212" s="246"/>
      <c r="E3212" s="130"/>
      <c r="F3212" s="170"/>
      <c r="G3212" s="239"/>
      <c r="H3212" s="239"/>
      <c r="I3212" s="240"/>
    </row>
    <row r="3213" outlineLevel="2">
      <c r="A3213" s="422" t="str">
        <f>'Master List'!A704</f>
        <v>W-PLB-051</v>
      </c>
      <c r="B3213" s="89"/>
      <c r="C3213" s="198"/>
      <c r="D3213" s="587" t="str">
        <f>VLOOKUP(A3213,'Master List'!$A$1:$C$1192,2,FALSE)</f>
        <v>Прокладання пластикових труб діаметром до 75мм</v>
      </c>
      <c r="E3213" s="588" t="str">
        <f>VLOOKUP(A3213,'Master List'!$A$1:$C$1192,3,FALSE)</f>
        <v>м</v>
      </c>
      <c r="F3213" s="589">
        <f>F3211</f>
        <v>17.62</v>
      </c>
      <c r="G3213" s="588">
        <f>VLOOKUP(A3213,'Master List'!$A$4:$F5936,5,FALSE)</f>
        <v>11.05</v>
      </c>
      <c r="H3213" s="206">
        <f t="shared" ref="H3213:H3214" si="326">G3213*F3213</f>
        <v>194.701</v>
      </c>
      <c r="I3213" s="240"/>
    </row>
    <row r="3214" outlineLevel="2">
      <c r="A3214" s="422" t="str">
        <f>'Master List'!A259</f>
        <v>M-PLB-056</v>
      </c>
      <c r="B3214" s="89"/>
      <c r="C3214" s="198"/>
      <c r="D3214" s="587" t="str">
        <f>VLOOKUP(A3214,'Master List'!$A$1:$C$1192,2,FALSE)</f>
        <v>Труба поліетиленова SDR 13,6 діаметром 75мм</v>
      </c>
      <c r="E3214" s="588" t="str">
        <f>VLOOKUP(A3214,'Master List'!$A$1:$C$1192,3,FALSE)</f>
        <v>м</v>
      </c>
      <c r="F3214" s="589">
        <f>F3213*1.02</f>
        <v>17.9724</v>
      </c>
      <c r="G3214" s="588">
        <f>VLOOKUP(A3214,'Master List'!$A$4:$F5937,5,FALSE)</f>
        <v>13.754</v>
      </c>
      <c r="H3214" s="206">
        <f t="shared" si="326"/>
        <v>247.1923896</v>
      </c>
      <c r="I3214" s="240"/>
    </row>
    <row r="3215" outlineLevel="2">
      <c r="A3215" s="422"/>
      <c r="E3215" s="422"/>
      <c r="F3215" s="79"/>
      <c r="G3215" s="80"/>
      <c r="H3215" s="80"/>
      <c r="I3215" s="240"/>
    </row>
    <row r="3216" outlineLevel="2">
      <c r="A3216" s="422" t="str">
        <f>'Master List'!A771</f>
        <v>W-PLB-0179</v>
      </c>
      <c r="B3216" s="89">
        <v>4.2</v>
      </c>
      <c r="C3216" s="198">
        <v>27.2</v>
      </c>
      <c r="D3216" s="202" t="s">
        <v>1057</v>
      </c>
      <c r="E3216" s="203" t="s">
        <v>161</v>
      </c>
      <c r="F3216" s="214">
        <v>3.84</v>
      </c>
      <c r="G3216" s="588">
        <f>VLOOKUP(A3216,'Master List'!$A$4:$F5939,5,FALSE)</f>
        <v>28.6</v>
      </c>
      <c r="H3216" s="206">
        <f>F3216*G3216</f>
        <v>109.824</v>
      </c>
      <c r="I3216" s="219"/>
    </row>
    <row r="3217" outlineLevel="2">
      <c r="A3217" s="422"/>
      <c r="E3217" s="422"/>
      <c r="F3217" s="79"/>
      <c r="G3217" s="80"/>
      <c r="H3217" s="80"/>
      <c r="I3217" s="240"/>
    </row>
    <row r="3218" outlineLevel="2">
      <c r="A3218" s="422"/>
      <c r="B3218" s="89">
        <v>4.3</v>
      </c>
      <c r="D3218" s="90"/>
      <c r="E3218" s="422"/>
      <c r="F3218" s="79"/>
      <c r="G3218" s="80"/>
      <c r="H3218" s="80"/>
      <c r="I3218" s="240"/>
    </row>
    <row r="3219" outlineLevel="2">
      <c r="A3219" s="422"/>
      <c r="E3219" s="422"/>
      <c r="F3219" s="79"/>
      <c r="G3219" s="80"/>
      <c r="H3219" s="80"/>
      <c r="I3219" s="240"/>
    </row>
    <row r="3220" outlineLevel="2">
      <c r="A3220" s="422"/>
      <c r="B3220" s="89" t="s">
        <v>1059</v>
      </c>
      <c r="C3220" s="322" t="s">
        <v>5687</v>
      </c>
      <c r="D3220" s="368" t="s">
        <v>1060</v>
      </c>
      <c r="E3220" s="422"/>
      <c r="F3220" s="79"/>
      <c r="G3220" s="80"/>
      <c r="H3220" s="80"/>
      <c r="I3220" s="240"/>
    </row>
    <row r="3221" outlineLevel="2">
      <c r="A3221" s="422"/>
      <c r="E3221" s="422"/>
      <c r="F3221" s="79"/>
      <c r="G3221" s="80"/>
      <c r="H3221" s="80"/>
      <c r="I3221" s="240"/>
    </row>
    <row r="3222" outlineLevel="2">
      <c r="A3222" s="422" t="str">
        <f>'Master List'!A772</f>
        <v>W-PLB-0180</v>
      </c>
      <c r="B3222" s="89" t="s">
        <v>1061</v>
      </c>
      <c r="C3222" s="198" t="s">
        <v>5688</v>
      </c>
      <c r="D3222" s="202" t="s">
        <v>1062</v>
      </c>
      <c r="E3222" s="203" t="s">
        <v>75</v>
      </c>
      <c r="F3222" s="214">
        <v>1.0</v>
      </c>
      <c r="G3222" s="588">
        <f>VLOOKUP(A3222,'Master List'!$A$4:$F5945,5,FALSE)</f>
        <v>156</v>
      </c>
      <c r="H3222" s="206">
        <f>F3222*G3222</f>
        <v>156</v>
      </c>
      <c r="I3222" s="219"/>
    </row>
    <row r="3223" outlineLevel="2">
      <c r="A3223" s="422"/>
      <c r="E3223" s="422"/>
      <c r="F3223" s="79"/>
      <c r="G3223" s="80"/>
      <c r="H3223" s="80"/>
      <c r="I3223" s="240"/>
    </row>
    <row r="3224" outlineLevel="2">
      <c r="A3224" s="422" t="str">
        <f>'Master List'!A773</f>
        <v>W-PLB-0181</v>
      </c>
      <c r="B3224" s="89" t="s">
        <v>1063</v>
      </c>
      <c r="C3224" s="198" t="s">
        <v>5689</v>
      </c>
      <c r="D3224" s="202" t="s">
        <v>1064</v>
      </c>
      <c r="E3224" s="203" t="s">
        <v>75</v>
      </c>
      <c r="F3224" s="214">
        <v>1.0</v>
      </c>
      <c r="G3224" s="588">
        <f>VLOOKUP(A3224,'Master List'!$A$4:$F5947,5,FALSE)</f>
        <v>234</v>
      </c>
      <c r="H3224" s="206">
        <f>F3224*G3224</f>
        <v>234</v>
      </c>
      <c r="I3224" s="219"/>
    </row>
    <row r="3225" outlineLevel="2">
      <c r="A3225" s="422"/>
      <c r="E3225" s="422"/>
      <c r="F3225" s="79"/>
      <c r="G3225" s="80"/>
      <c r="H3225" s="80"/>
      <c r="I3225" s="240"/>
    </row>
    <row r="3226" outlineLevel="2">
      <c r="A3226" s="422" t="str">
        <f>'Master List'!A774</f>
        <v>W-PLB-0182</v>
      </c>
      <c r="B3226" s="89" t="s">
        <v>1065</v>
      </c>
      <c r="C3226" s="198" t="s">
        <v>5690</v>
      </c>
      <c r="D3226" s="202" t="s">
        <v>1066</v>
      </c>
      <c r="E3226" s="203" t="s">
        <v>75</v>
      </c>
      <c r="F3226" s="214">
        <v>1.0</v>
      </c>
      <c r="G3226" s="588">
        <f>VLOOKUP(A3226,'Master List'!$A$4:$F5949,5,FALSE)</f>
        <v>273</v>
      </c>
      <c r="H3226" s="206">
        <f>F3226*G3226</f>
        <v>273</v>
      </c>
      <c r="I3226" s="219"/>
    </row>
    <row r="3227" outlineLevel="2">
      <c r="A3227" s="422"/>
      <c r="E3227" s="422"/>
      <c r="F3227" s="79"/>
      <c r="G3227" s="80"/>
      <c r="H3227" s="80"/>
      <c r="I3227" s="240"/>
    </row>
    <row r="3228" outlineLevel="2">
      <c r="A3228" s="422" t="str">
        <f>'Master List'!A775</f>
        <v>W-PLB-0183</v>
      </c>
      <c r="B3228" s="89" t="s">
        <v>1067</v>
      </c>
      <c r="C3228" s="198" t="s">
        <v>5691</v>
      </c>
      <c r="D3228" s="202" t="s">
        <v>1068</v>
      </c>
      <c r="E3228" s="203" t="s">
        <v>75</v>
      </c>
      <c r="F3228" s="214">
        <v>2.0</v>
      </c>
      <c r="G3228" s="588">
        <f>VLOOKUP(A3228,'Master List'!$A$4:$F5951,5,FALSE)</f>
        <v>455</v>
      </c>
      <c r="H3228" s="206">
        <f>F3228*G3228</f>
        <v>910</v>
      </c>
      <c r="I3228" s="219"/>
    </row>
    <row r="3229" outlineLevel="2">
      <c r="A3229" s="422"/>
      <c r="E3229" s="422"/>
      <c r="F3229" s="79"/>
      <c r="G3229" s="80"/>
      <c r="H3229" s="80"/>
      <c r="I3229" s="240"/>
    </row>
    <row r="3230" outlineLevel="2">
      <c r="A3230" s="422" t="str">
        <f>'Master List'!A776</f>
        <v>W-PLB-0184</v>
      </c>
      <c r="B3230" s="89" t="s">
        <v>1069</v>
      </c>
      <c r="C3230" s="198" t="s">
        <v>5692</v>
      </c>
      <c r="D3230" s="202" t="s">
        <v>1070</v>
      </c>
      <c r="E3230" s="203" t="s">
        <v>75</v>
      </c>
      <c r="F3230" s="214">
        <v>1.0</v>
      </c>
      <c r="G3230" s="588">
        <f>VLOOKUP(A3230,'Master List'!$A$4:$F5953,5,FALSE)</f>
        <v>507</v>
      </c>
      <c r="H3230" s="206">
        <f>F3230*G3230</f>
        <v>507</v>
      </c>
      <c r="I3230" s="219"/>
    </row>
    <row r="3231" outlineLevel="2">
      <c r="A3231" s="422"/>
      <c r="E3231" s="422"/>
      <c r="F3231" s="79"/>
      <c r="G3231" s="80"/>
      <c r="H3231" s="80"/>
      <c r="I3231" s="240"/>
    </row>
    <row r="3232" outlineLevel="2">
      <c r="A3232" s="422" t="str">
        <f>'Master List'!A777</f>
        <v>W-PLB-0185</v>
      </c>
      <c r="B3232" s="89">
        <v>4.4</v>
      </c>
      <c r="C3232" s="198">
        <v>27.4</v>
      </c>
      <c r="D3232" s="202" t="s">
        <v>1071</v>
      </c>
      <c r="E3232" s="203" t="s">
        <v>75</v>
      </c>
      <c r="F3232" s="214">
        <v>1.0</v>
      </c>
      <c r="G3232" s="588">
        <f>VLOOKUP(A3232,'Master List'!$A$4:$F5955,5,FALSE)</f>
        <v>41.6</v>
      </c>
      <c r="H3232" s="206">
        <f>F3232*G3232</f>
        <v>41.6</v>
      </c>
      <c r="I3232" s="219"/>
    </row>
    <row r="3233" outlineLevel="2">
      <c r="A3233" s="422"/>
      <c r="E3233" s="422"/>
      <c r="F3233" s="79"/>
      <c r="G3233" s="80"/>
      <c r="H3233" s="80"/>
      <c r="I3233" s="240"/>
    </row>
    <row r="3234" outlineLevel="2">
      <c r="A3234" s="422" t="str">
        <f>'Master List'!A778</f>
        <v>W-PLB-0186</v>
      </c>
      <c r="B3234" s="89">
        <v>4.5</v>
      </c>
      <c r="C3234" s="198">
        <v>27.5</v>
      </c>
      <c r="D3234" s="202" t="s">
        <v>1072</v>
      </c>
      <c r="E3234" s="203" t="s">
        <v>75</v>
      </c>
      <c r="F3234" s="214">
        <v>1.0</v>
      </c>
      <c r="G3234" s="588">
        <f>VLOOKUP(A3234,'Master List'!$A$4:$F5957,5,FALSE)</f>
        <v>1495</v>
      </c>
      <c r="H3234" s="206">
        <f>F3234*G3234</f>
        <v>1495</v>
      </c>
      <c r="I3234" s="219"/>
    </row>
    <row r="3235" outlineLevel="2">
      <c r="A3235" s="422"/>
      <c r="E3235" s="422"/>
      <c r="F3235" s="79"/>
      <c r="G3235" s="80"/>
      <c r="H3235" s="80"/>
      <c r="I3235" s="240"/>
    </row>
    <row r="3236" outlineLevel="2">
      <c r="A3236" s="422" t="str">
        <f>'Master List'!A779</f>
        <v>W-PLB-0187</v>
      </c>
      <c r="B3236" s="89">
        <v>4.6</v>
      </c>
      <c r="C3236" s="198">
        <v>27.6</v>
      </c>
      <c r="D3236" s="202" t="s">
        <v>980</v>
      </c>
      <c r="E3236" s="203" t="s">
        <v>75</v>
      </c>
      <c r="F3236" s="214">
        <v>1.0</v>
      </c>
      <c r="G3236" s="588">
        <f>VLOOKUP(A3236,'Master List'!$A$4:$F5959,5,FALSE)</f>
        <v>390</v>
      </c>
      <c r="H3236" s="206">
        <f>F3236*G3236</f>
        <v>390</v>
      </c>
      <c r="I3236" s="219"/>
    </row>
    <row r="3237" outlineLevel="2">
      <c r="A3237" s="422"/>
      <c r="E3237" s="422"/>
      <c r="F3237" s="79"/>
      <c r="G3237" s="80"/>
      <c r="H3237" s="80"/>
      <c r="I3237" s="240"/>
    </row>
    <row r="3238" outlineLevel="2">
      <c r="A3238" s="422" t="str">
        <f>'Master List'!A780</f>
        <v>W-PLB-0188</v>
      </c>
      <c r="B3238" s="89">
        <v>4.7</v>
      </c>
      <c r="C3238" s="198">
        <v>27.7</v>
      </c>
      <c r="D3238" s="202" t="s">
        <v>1073</v>
      </c>
      <c r="E3238" s="203" t="s">
        <v>33</v>
      </c>
      <c r="F3238" s="214">
        <v>1.0</v>
      </c>
      <c r="G3238" s="588">
        <f>VLOOKUP(A3238,'Master List'!$A$4:$F5961,5,FALSE)</f>
        <v>390</v>
      </c>
      <c r="H3238" s="206">
        <f>F3238*G3238</f>
        <v>390</v>
      </c>
      <c r="I3238" s="219"/>
    </row>
    <row r="3239" outlineLevel="2">
      <c r="A3239" s="422"/>
      <c r="B3239" s="89"/>
      <c r="C3239" s="230"/>
      <c r="D3239" s="202"/>
      <c r="E3239" s="130"/>
      <c r="F3239" s="170"/>
      <c r="G3239" s="205"/>
      <c r="H3239" s="239"/>
      <c r="I3239" s="240"/>
    </row>
    <row r="3240" outlineLevel="1">
      <c r="A3240" s="422"/>
      <c r="D3240" s="585" t="s">
        <v>5693</v>
      </c>
      <c r="E3240" s="422"/>
      <c r="F3240" s="79"/>
      <c r="G3240" s="586">
        <f>SUM(H3246:H3368)</f>
        <v>34257.73568</v>
      </c>
      <c r="H3240" s="80"/>
      <c r="I3240" s="240" t="s">
        <v>5694</v>
      </c>
    </row>
    <row r="3241" outlineLevel="2">
      <c r="A3241" s="422"/>
      <c r="E3241" s="422"/>
      <c r="F3241" s="79"/>
      <c r="G3241" s="80"/>
      <c r="H3241" s="80"/>
      <c r="I3241" s="240"/>
    </row>
    <row r="3242" outlineLevel="2">
      <c r="A3242" s="422"/>
      <c r="B3242" s="89">
        <v>4.8</v>
      </c>
      <c r="C3242" s="322">
        <v>27.8</v>
      </c>
      <c r="D3242" s="368" t="s">
        <v>1074</v>
      </c>
      <c r="E3242" s="422"/>
      <c r="F3242" s="79"/>
      <c r="G3242" s="80"/>
      <c r="H3242" s="80"/>
      <c r="I3242" s="240"/>
    </row>
    <row r="3243" outlineLevel="2">
      <c r="A3243" s="422"/>
      <c r="C3243" s="189"/>
      <c r="E3243" s="422"/>
      <c r="F3243" s="79"/>
      <c r="G3243" s="80"/>
      <c r="H3243" s="80"/>
      <c r="I3243" s="240"/>
    </row>
    <row r="3244" outlineLevel="2">
      <c r="A3244" s="422"/>
      <c r="B3244" s="89" t="s">
        <v>1075</v>
      </c>
      <c r="C3244" s="322" t="s">
        <v>5695</v>
      </c>
      <c r="D3244" s="368" t="s">
        <v>1038</v>
      </c>
      <c r="E3244" s="422"/>
      <c r="F3244" s="79"/>
      <c r="G3244" s="80"/>
      <c r="H3244" s="80"/>
      <c r="I3244" s="240"/>
    </row>
    <row r="3245" outlineLevel="2">
      <c r="A3245" s="422"/>
      <c r="B3245" s="89"/>
      <c r="C3245" s="189"/>
      <c r="D3245" s="90"/>
      <c r="E3245" s="422"/>
      <c r="F3245" s="79"/>
      <c r="G3245" s="80"/>
      <c r="H3245" s="80"/>
      <c r="I3245" s="240"/>
    </row>
    <row r="3246" outlineLevel="2">
      <c r="A3246" s="422" t="str">
        <f>'Master List'!A697</f>
        <v>W-PLB-044</v>
      </c>
      <c r="B3246" s="89"/>
      <c r="C3246" s="198"/>
      <c r="D3246" s="587" t="str">
        <f>VLOOKUP(A3246,'Master List'!$A$1:$C$1192,2,FALSE)</f>
        <v>Прокладання труб з ПВХ діаметром 110мм</v>
      </c>
      <c r="E3246" s="588" t="str">
        <f>VLOOKUP(A3246,'Master List'!$A$1:$C$1192,3,FALSE)</f>
        <v>м</v>
      </c>
      <c r="F3246" s="589">
        <v>80.05</v>
      </c>
      <c r="G3246" s="588">
        <f>VLOOKUP(A3246,'Master List'!$A$4:$F5980,5,FALSE)</f>
        <v>13</v>
      </c>
      <c r="H3246" s="206">
        <f t="shared" ref="H3246:H3247" si="327">G3246*F3246</f>
        <v>1040.65</v>
      </c>
      <c r="I3246" s="240"/>
    </row>
    <row r="3247" outlineLevel="2">
      <c r="A3247" s="422" t="str">
        <f>'Master List'!A705</f>
        <v>W-PLB-052</v>
      </c>
      <c r="B3247" s="89"/>
      <c r="C3247" s="198"/>
      <c r="D3247" s="587" t="str">
        <f>VLOOKUP(A3247,'Master List'!$A$1:$C$1192,2,FALSE)</f>
        <v>Прокладання труб з ПВХ діаметром 125мм</v>
      </c>
      <c r="E3247" s="588" t="str">
        <f>VLOOKUP(A3247,'Master List'!$A$1:$C$1192,3,FALSE)</f>
        <v>м</v>
      </c>
      <c r="F3247" s="589">
        <v>12.6</v>
      </c>
      <c r="G3247" s="588">
        <f>VLOOKUP(A3247,'Master List'!$A$4:$F5981,5,FALSE)</f>
        <v>14.3</v>
      </c>
      <c r="H3247" s="206">
        <f t="shared" si="327"/>
        <v>180.18</v>
      </c>
      <c r="I3247" s="240"/>
    </row>
    <row r="3248" outlineLevel="2">
      <c r="A3248" s="422"/>
      <c r="C3248" s="189"/>
      <c r="E3248" s="422"/>
      <c r="F3248" s="79"/>
      <c r="G3248" s="80"/>
      <c r="H3248" s="80"/>
      <c r="I3248" s="240"/>
    </row>
    <row r="3249" outlineLevel="2">
      <c r="A3249" s="422" t="str">
        <f>'Master List'!A252</f>
        <v>M-PLB-049</v>
      </c>
      <c r="B3249" s="89" t="s">
        <v>1076</v>
      </c>
      <c r="C3249" s="198" t="s">
        <v>5696</v>
      </c>
      <c r="D3249" s="202" t="s">
        <v>1040</v>
      </c>
      <c r="E3249" s="203" t="s">
        <v>161</v>
      </c>
      <c r="F3249" s="214">
        <f>80.05*1.02</f>
        <v>81.651</v>
      </c>
      <c r="G3249" s="588">
        <f>VLOOKUP(A3249,'Master List'!$A$4:$F5983,5,FALSE)</f>
        <v>21.697</v>
      </c>
      <c r="H3249" s="206">
        <f t="shared" ref="H3249:H3250" si="328">F3249*G3249</f>
        <v>1771.581747</v>
      </c>
      <c r="I3249" s="219"/>
    </row>
    <row r="3250" outlineLevel="2">
      <c r="A3250" s="422" t="str">
        <f>'Master List'!A264</f>
        <v>M-PLB-061</v>
      </c>
      <c r="B3250" s="89" t="s">
        <v>1077</v>
      </c>
      <c r="C3250" s="198" t="s">
        <v>5697</v>
      </c>
      <c r="D3250" s="202" t="s">
        <v>1078</v>
      </c>
      <c r="E3250" s="203" t="s">
        <v>161</v>
      </c>
      <c r="F3250" s="214">
        <f>12.6*1.02</f>
        <v>12.852</v>
      </c>
      <c r="G3250" s="588">
        <f>VLOOKUP(A3250,'Master List'!$A$4:$F5984,5,FALSE)</f>
        <v>19.435</v>
      </c>
      <c r="H3250" s="206">
        <f t="shared" si="328"/>
        <v>249.77862</v>
      </c>
      <c r="I3250" s="219"/>
    </row>
    <row r="3251" outlineLevel="2">
      <c r="A3251" s="422"/>
      <c r="C3251" s="189"/>
      <c r="E3251" s="422"/>
      <c r="F3251" s="79"/>
      <c r="G3251" s="80"/>
      <c r="H3251" s="80"/>
      <c r="I3251" s="240"/>
    </row>
    <row r="3252" outlineLevel="2">
      <c r="A3252" s="422"/>
      <c r="B3252" s="89" t="s">
        <v>1079</v>
      </c>
      <c r="C3252" s="322" t="s">
        <v>5698</v>
      </c>
      <c r="D3252" s="368" t="s">
        <v>1080</v>
      </c>
      <c r="E3252" s="422"/>
      <c r="F3252" s="79"/>
      <c r="G3252" s="80"/>
      <c r="H3252" s="80"/>
      <c r="I3252" s="240"/>
    </row>
    <row r="3253" outlineLevel="2">
      <c r="A3253" s="422"/>
      <c r="C3253" s="189"/>
      <c r="E3253" s="422"/>
      <c r="F3253" s="79"/>
      <c r="G3253" s="80"/>
      <c r="H3253" s="80"/>
      <c r="I3253" s="240"/>
    </row>
    <row r="3254" outlineLevel="2">
      <c r="A3254" s="422" t="str">
        <f>'Master List'!A701</f>
        <v>W-PLB-048</v>
      </c>
      <c r="C3254" s="198"/>
      <c r="D3254" s="587" t="str">
        <f>VLOOKUP(A3254,'Master List'!$A$1:$C$1192,2,FALSE)</f>
        <v>Прокладання труб з ПВХ діаметром 50мм</v>
      </c>
      <c r="E3254" s="588" t="str">
        <f>VLOOKUP(A3254,'Master List'!$A$1:$C$1192,3,FALSE)</f>
        <v>м</v>
      </c>
      <c r="F3254" s="589">
        <v>37.36</v>
      </c>
      <c r="G3254" s="588">
        <f>VLOOKUP(A3254,'Master List'!$A$4:$F5988,5,FALSE)</f>
        <v>9.1</v>
      </c>
      <c r="H3254" s="206">
        <f t="shared" ref="H3254:H3261" si="329">G3254*F3254</f>
        <v>339.976</v>
      </c>
      <c r="I3254" s="240"/>
    </row>
    <row r="3255" outlineLevel="2">
      <c r="A3255" s="422" t="str">
        <f>'Master List'!A702</f>
        <v>W-PLB-049</v>
      </c>
      <c r="C3255" s="198"/>
      <c r="D3255" s="587" t="str">
        <f>VLOOKUP(A3255,'Master List'!$A$1:$C$1192,2,FALSE)</f>
        <v>Прокладання труб з ПВХ діаметром 75мм</v>
      </c>
      <c r="E3255" s="588" t="str">
        <f>VLOOKUP(A3255,'Master List'!$A$1:$C$1192,3,FALSE)</f>
        <v>м</v>
      </c>
      <c r="F3255" s="589">
        <v>11.41</v>
      </c>
      <c r="G3255" s="588">
        <f>VLOOKUP(A3255,'Master List'!$A$4:$F5989,5,FALSE)</f>
        <v>11.05</v>
      </c>
      <c r="H3255" s="206">
        <f t="shared" si="329"/>
        <v>126.0805</v>
      </c>
      <c r="I3255" s="240"/>
    </row>
    <row r="3256" outlineLevel="2">
      <c r="A3256" s="422" t="str">
        <f>'Master List'!A703</f>
        <v>W-PLB-050</v>
      </c>
      <c r="C3256" s="198"/>
      <c r="D3256" s="587" t="str">
        <f>VLOOKUP(A3256,'Master List'!$A$1:$C$1192,2,FALSE)</f>
        <v>Прокладання труб з ПВХ діаметром 90мм</v>
      </c>
      <c r="E3256" s="588" t="str">
        <f>VLOOKUP(A3256,'Master List'!$A$1:$C$1192,3,FALSE)</f>
        <v>м</v>
      </c>
      <c r="F3256" s="589">
        <v>23.75</v>
      </c>
      <c r="G3256" s="588">
        <f>VLOOKUP(A3256,'Master List'!$A$4:$F5990,5,FALSE)</f>
        <v>12.35</v>
      </c>
      <c r="H3256" s="206">
        <f t="shared" si="329"/>
        <v>293.3125</v>
      </c>
      <c r="I3256" s="240"/>
    </row>
    <row r="3257" outlineLevel="2">
      <c r="A3257" s="422" t="str">
        <f>'Master List'!A697</f>
        <v>W-PLB-044</v>
      </c>
      <c r="C3257" s="198"/>
      <c r="D3257" s="587" t="str">
        <f>VLOOKUP(A3257,'Master List'!$A$1:$C$1192,2,FALSE)</f>
        <v>Прокладання труб з ПВХ діаметром 110мм</v>
      </c>
      <c r="E3257" s="588" t="str">
        <f>VLOOKUP(A3257,'Master List'!$A$1:$C$1192,3,FALSE)</f>
        <v>м</v>
      </c>
      <c r="F3257" s="589">
        <v>3.22</v>
      </c>
      <c r="G3257" s="588">
        <f>VLOOKUP(A3257,'Master List'!$A$4:$F5991,5,FALSE)</f>
        <v>13</v>
      </c>
      <c r="H3257" s="206">
        <f t="shared" si="329"/>
        <v>41.86</v>
      </c>
      <c r="I3257" s="240"/>
    </row>
    <row r="3258" outlineLevel="2">
      <c r="A3258" s="422" t="str">
        <f>'Master List'!A738</f>
        <v>W-PLB-0128</v>
      </c>
      <c r="C3258" s="198"/>
      <c r="D3258" s="587" t="str">
        <f>VLOOKUP(A3258,'Master List'!$A$1:$C$1192,2,FALSE)</f>
        <v>Влаштування теплоізоляції для труб діаметром до 50мм</v>
      </c>
      <c r="E3258" s="588" t="str">
        <f>VLOOKUP(A3258,'Master List'!$A$1:$C$1192,3,FALSE)</f>
        <v>м</v>
      </c>
      <c r="F3258" s="589">
        <f t="shared" ref="F3258:F3261" si="330">F3254</f>
        <v>37.36</v>
      </c>
      <c r="G3258" s="588">
        <f>VLOOKUP(A3258,'Master List'!$A$4:$F5992,5,FALSE)</f>
        <v>4.55</v>
      </c>
      <c r="H3258" s="206">
        <f t="shared" si="329"/>
        <v>169.988</v>
      </c>
      <c r="I3258" s="240"/>
    </row>
    <row r="3259" outlineLevel="2">
      <c r="A3259" s="422" t="str">
        <f>'Master List'!A739</f>
        <v>W-PLB-0129</v>
      </c>
      <c r="C3259" s="198"/>
      <c r="D3259" s="587" t="str">
        <f>VLOOKUP(A3259,'Master List'!$A$1:$C$1192,2,FALSE)</f>
        <v>Влаштування теплоізоляції для труб діаметром до 75мм</v>
      </c>
      <c r="E3259" s="588" t="str">
        <f>VLOOKUP(A3259,'Master List'!$A$1:$C$1192,3,FALSE)</f>
        <v>м</v>
      </c>
      <c r="F3259" s="589">
        <f t="shared" si="330"/>
        <v>11.41</v>
      </c>
      <c r="G3259" s="588">
        <f>VLOOKUP(A3259,'Master List'!$A$4:$F5993,5,FALSE)</f>
        <v>5.85</v>
      </c>
      <c r="H3259" s="206">
        <f t="shared" si="329"/>
        <v>66.7485</v>
      </c>
      <c r="I3259" s="240"/>
    </row>
    <row r="3260" outlineLevel="2">
      <c r="A3260" s="422" t="str">
        <f>'Master List'!A740</f>
        <v>W-PLB-0130</v>
      </c>
      <c r="C3260" s="198"/>
      <c r="D3260" s="587" t="str">
        <f>VLOOKUP(A3260,'Master List'!$A$1:$C$1192,2,FALSE)</f>
        <v>Влаштування теплоізоляції для труб діаметром до 90мм</v>
      </c>
      <c r="E3260" s="588" t="str">
        <f>VLOOKUP(A3260,'Master List'!$A$1:$C$1192,3,FALSE)</f>
        <v>м</v>
      </c>
      <c r="F3260" s="589">
        <f t="shared" si="330"/>
        <v>23.75</v>
      </c>
      <c r="G3260" s="588">
        <f>VLOOKUP(A3260,'Master List'!$A$4:$F5994,5,FALSE)</f>
        <v>6.5</v>
      </c>
      <c r="H3260" s="206">
        <f t="shared" si="329"/>
        <v>154.375</v>
      </c>
      <c r="I3260" s="240"/>
    </row>
    <row r="3261" outlineLevel="2">
      <c r="A3261" s="422" t="str">
        <f>'Master List'!A741</f>
        <v>W-PLB-0131</v>
      </c>
      <c r="C3261" s="198"/>
      <c r="D3261" s="587" t="str">
        <f>VLOOKUP(A3261,'Master List'!$A$1:$C$1192,2,FALSE)</f>
        <v>Влаштування теплоізоляції для труб діаметром до 110мм</v>
      </c>
      <c r="E3261" s="588" t="str">
        <f>VLOOKUP(A3261,'Master List'!$A$1:$C$1192,3,FALSE)</f>
        <v>м</v>
      </c>
      <c r="F3261" s="589">
        <f t="shared" si="330"/>
        <v>3.22</v>
      </c>
      <c r="G3261" s="588">
        <f>VLOOKUP(A3261,'Master List'!$A$4:$F5995,5,FALSE)</f>
        <v>7.8</v>
      </c>
      <c r="H3261" s="206">
        <f t="shared" si="329"/>
        <v>25.116</v>
      </c>
      <c r="I3261" s="240"/>
    </row>
    <row r="3262" outlineLevel="2">
      <c r="A3262" s="422"/>
      <c r="C3262" s="189"/>
      <c r="E3262" s="422"/>
      <c r="F3262" s="79"/>
      <c r="G3262" s="80"/>
      <c r="H3262" s="80"/>
      <c r="I3262" s="240"/>
    </row>
    <row r="3263" outlineLevel="2">
      <c r="A3263" s="422" t="str">
        <f>'Master List'!A256</f>
        <v>M-PLB-053</v>
      </c>
      <c r="B3263" s="89" t="s">
        <v>1081</v>
      </c>
      <c r="C3263" s="198" t="s">
        <v>5699</v>
      </c>
      <c r="D3263" s="202" t="s">
        <v>1046</v>
      </c>
      <c r="E3263" s="203" t="s">
        <v>161</v>
      </c>
      <c r="F3263" s="214">
        <f>37.36*1.02</f>
        <v>38.1072</v>
      </c>
      <c r="G3263" s="588">
        <f>VLOOKUP(A3263,'Master List'!$A$4:$F5997,5,FALSE)</f>
        <v>4.433</v>
      </c>
      <c r="H3263" s="206">
        <f t="shared" ref="H3263:H3266" si="331">F3263*G3263</f>
        <v>168.9292176</v>
      </c>
      <c r="I3263" s="219"/>
    </row>
    <row r="3264" outlineLevel="2">
      <c r="A3264" s="422" t="str">
        <f>'Master List'!A257</f>
        <v>M-PLB-054</v>
      </c>
      <c r="B3264" s="89" t="s">
        <v>1082</v>
      </c>
      <c r="C3264" s="198" t="s">
        <v>5700</v>
      </c>
      <c r="D3264" s="202" t="s">
        <v>1048</v>
      </c>
      <c r="E3264" s="203" t="s">
        <v>161</v>
      </c>
      <c r="F3264" s="214">
        <f>11.41*1.02</f>
        <v>11.6382</v>
      </c>
      <c r="G3264" s="588">
        <f>VLOOKUP(A3264,'Master List'!$A$4:$F5998,5,FALSE)</f>
        <v>10.998</v>
      </c>
      <c r="H3264" s="206">
        <f t="shared" si="331"/>
        <v>127.9969236</v>
      </c>
      <c r="I3264" s="219"/>
    </row>
    <row r="3265" outlineLevel="2">
      <c r="A3265" s="422" t="str">
        <f>'Master List'!A258</f>
        <v>M-PLB-055</v>
      </c>
      <c r="B3265" s="89" t="s">
        <v>1083</v>
      </c>
      <c r="C3265" s="198" t="s">
        <v>5701</v>
      </c>
      <c r="D3265" s="202" t="s">
        <v>1050</v>
      </c>
      <c r="E3265" s="203" t="s">
        <v>161</v>
      </c>
      <c r="F3265" s="214">
        <f>23.75*1.02</f>
        <v>24.225</v>
      </c>
      <c r="G3265" s="588">
        <f>VLOOKUP(A3265,'Master List'!$A$4:$F5999,5,FALSE)</f>
        <v>17.875</v>
      </c>
      <c r="H3265" s="206">
        <f t="shared" si="331"/>
        <v>433.021875</v>
      </c>
      <c r="I3265" s="219"/>
    </row>
    <row r="3266" outlineLevel="2">
      <c r="A3266" s="422" t="str">
        <f>'Master List'!A252</f>
        <v>M-PLB-049</v>
      </c>
      <c r="B3266" s="89" t="s">
        <v>1084</v>
      </c>
      <c r="C3266" s="198" t="s">
        <v>5702</v>
      </c>
      <c r="D3266" s="202" t="s">
        <v>1040</v>
      </c>
      <c r="E3266" s="203" t="s">
        <v>161</v>
      </c>
      <c r="F3266" s="214">
        <f>3.22*1.02</f>
        <v>3.2844</v>
      </c>
      <c r="G3266" s="588">
        <f>VLOOKUP(A3266,'Master List'!$A$4:$F6000,5,FALSE)</f>
        <v>21.697</v>
      </c>
      <c r="H3266" s="206">
        <f t="shared" si="331"/>
        <v>71.2616268</v>
      </c>
      <c r="I3266" s="219"/>
    </row>
    <row r="3267" outlineLevel="2">
      <c r="A3267" s="422" t="str">
        <f>'Master List'!A261</f>
        <v>M-PLB-058</v>
      </c>
      <c r="B3267" s="89"/>
      <c r="C3267" s="198"/>
      <c r="D3267" s="587" t="str">
        <f>VLOOKUP(A3267,'Master List'!$A$1:$C$1192,2,FALSE)</f>
        <v>Термоізоляція труб діаметром 50мм</v>
      </c>
      <c r="E3267" s="588" t="str">
        <f>VLOOKUP(A3267,'Master List'!$A$1:$C$1192,3,FALSE)</f>
        <v>м</v>
      </c>
      <c r="F3267" s="589">
        <f t="shared" ref="F3267:F3270" si="332">F3263</f>
        <v>38.1072</v>
      </c>
      <c r="G3267" s="588">
        <f>VLOOKUP(A3267,'Master List'!$A$4:$F6001,5,FALSE)</f>
        <v>7.54</v>
      </c>
      <c r="H3267" s="206">
        <f t="shared" ref="H3267:H3270" si="333">G3267*F3267</f>
        <v>287.328288</v>
      </c>
      <c r="I3267" s="240"/>
    </row>
    <row r="3268" outlineLevel="2">
      <c r="A3268" s="422" t="str">
        <f>'Master List'!A262</f>
        <v>M-PLB-059</v>
      </c>
      <c r="B3268" s="89"/>
      <c r="C3268" s="198"/>
      <c r="D3268" s="587" t="str">
        <f>VLOOKUP(A3268,'Master List'!$A$1:$C$1192,2,FALSE)</f>
        <v>Термоізоляція труб діаметром 75мм</v>
      </c>
      <c r="E3268" s="588" t="str">
        <f>VLOOKUP(A3268,'Master List'!$A$1:$C$1192,3,FALSE)</f>
        <v>м</v>
      </c>
      <c r="F3268" s="589">
        <f t="shared" si="332"/>
        <v>11.6382</v>
      </c>
      <c r="G3268" s="588">
        <f>VLOOKUP(A3268,'Master List'!$A$4:$F6002,5,FALSE)</f>
        <v>4.94</v>
      </c>
      <c r="H3268" s="206">
        <f t="shared" si="333"/>
        <v>57.492708</v>
      </c>
      <c r="I3268" s="240"/>
    </row>
    <row r="3269" outlineLevel="2">
      <c r="A3269" s="422" t="str">
        <f>'Master List'!A263</f>
        <v>M-PLB-060</v>
      </c>
      <c r="B3269" s="89"/>
      <c r="C3269" s="198"/>
      <c r="D3269" s="587" t="str">
        <f>VLOOKUP(A3269,'Master List'!$A$1:$C$1192,2,FALSE)</f>
        <v>Термоізоляція труб діаметром 90мм</v>
      </c>
      <c r="E3269" s="588" t="str">
        <f>VLOOKUP(A3269,'Master List'!$A$1:$C$1192,3,FALSE)</f>
        <v>м</v>
      </c>
      <c r="F3269" s="589">
        <f t="shared" si="332"/>
        <v>24.225</v>
      </c>
      <c r="G3269" s="588">
        <f>VLOOKUP(A3269,'Master List'!$A$4:$F6003,5,FALSE)</f>
        <v>16.562</v>
      </c>
      <c r="H3269" s="206">
        <f t="shared" si="333"/>
        <v>401.21445</v>
      </c>
      <c r="I3269" s="240"/>
    </row>
    <row r="3270" outlineLevel="2">
      <c r="A3270" s="422" t="str">
        <f>'Master List'!A265</f>
        <v>M-PLB-062</v>
      </c>
      <c r="B3270" s="89"/>
      <c r="C3270" s="198"/>
      <c r="D3270" s="587" t="str">
        <f>VLOOKUP(A3270,'Master List'!$A$1:$C$1192,2,FALSE)</f>
        <v>Термоізоляція труб діаметром 110мм</v>
      </c>
      <c r="E3270" s="588" t="str">
        <f>VLOOKUP(A3270,'Master List'!$A$1:$C$1192,3,FALSE)</f>
        <v>м</v>
      </c>
      <c r="F3270" s="589">
        <f t="shared" si="332"/>
        <v>3.2844</v>
      </c>
      <c r="G3270" s="588">
        <f>VLOOKUP(A3270,'Master List'!$A$4:$F6004,5,FALSE)</f>
        <v>3.978</v>
      </c>
      <c r="H3270" s="206">
        <f t="shared" si="333"/>
        <v>13.0653432</v>
      </c>
      <c r="I3270" s="240"/>
    </row>
    <row r="3271" outlineLevel="2">
      <c r="A3271" s="422"/>
      <c r="B3271" s="89"/>
      <c r="C3271" s="230"/>
      <c r="D3271" s="246"/>
      <c r="E3271" s="130"/>
      <c r="F3271" s="170"/>
      <c r="G3271" s="239"/>
      <c r="H3271" s="239"/>
      <c r="I3271" s="240"/>
    </row>
    <row r="3272" outlineLevel="2">
      <c r="A3272" s="422"/>
      <c r="B3272" s="89"/>
      <c r="C3272" s="230"/>
      <c r="D3272" s="246"/>
      <c r="E3272" s="130"/>
      <c r="F3272" s="170"/>
      <c r="G3272" s="239"/>
      <c r="H3272" s="239"/>
      <c r="I3272" s="240"/>
    </row>
    <row r="3273" outlineLevel="2">
      <c r="A3273" s="422"/>
      <c r="B3273" s="89"/>
      <c r="C3273" s="230"/>
      <c r="D3273" s="246"/>
      <c r="E3273" s="130"/>
      <c r="F3273" s="170"/>
      <c r="G3273" s="239"/>
      <c r="H3273" s="239"/>
      <c r="I3273" s="240"/>
    </row>
    <row r="3274" outlineLevel="2">
      <c r="A3274" s="422"/>
      <c r="C3274" s="189"/>
      <c r="E3274" s="422"/>
      <c r="F3274" s="79"/>
      <c r="G3274" s="80"/>
      <c r="H3274" s="80"/>
      <c r="I3274" s="240"/>
    </row>
    <row r="3275" outlineLevel="2">
      <c r="A3275" s="422"/>
      <c r="B3275" s="89" t="s">
        <v>1085</v>
      </c>
      <c r="C3275" s="322" t="s">
        <v>5703</v>
      </c>
      <c r="D3275" s="368" t="s">
        <v>1052</v>
      </c>
      <c r="E3275" s="422"/>
      <c r="F3275" s="79"/>
      <c r="G3275" s="80"/>
      <c r="H3275" s="80"/>
      <c r="I3275" s="240"/>
    </row>
    <row r="3276" outlineLevel="2">
      <c r="A3276" s="422"/>
      <c r="B3276" s="89"/>
      <c r="C3276" s="189"/>
      <c r="D3276" s="90"/>
      <c r="E3276" s="422"/>
      <c r="F3276" s="79"/>
      <c r="G3276" s="80"/>
      <c r="H3276" s="80"/>
      <c r="I3276" s="240"/>
    </row>
    <row r="3277" outlineLevel="2">
      <c r="A3277" s="422" t="str">
        <f>'Master List'!A703</f>
        <v>W-PLB-050</v>
      </c>
      <c r="B3277" s="89"/>
      <c r="C3277" s="198"/>
      <c r="D3277" s="587" t="str">
        <f>VLOOKUP(A3277,'Master List'!$A$1:$C$1192,2,FALSE)</f>
        <v>Прокладання труб з ПВХ діаметром 90мм</v>
      </c>
      <c r="E3277" s="588" t="str">
        <f>VLOOKUP(A3277,'Master List'!$A$1:$C$1192,3,FALSE)</f>
        <v>м</v>
      </c>
      <c r="F3277" s="589">
        <v>54.39</v>
      </c>
      <c r="G3277" s="588">
        <f>VLOOKUP(A3277,'Master List'!$A$4:$F6011,5,FALSE)</f>
        <v>12.35</v>
      </c>
      <c r="H3277" s="206">
        <f t="shared" ref="H3277:H3280" si="334">G3277*F3277</f>
        <v>671.7165</v>
      </c>
      <c r="I3277" s="240"/>
    </row>
    <row r="3278" outlineLevel="2">
      <c r="A3278" s="422" t="str">
        <f>'Master List'!A697</f>
        <v>W-PLB-044</v>
      </c>
      <c r="B3278" s="89"/>
      <c r="C3278" s="198"/>
      <c r="D3278" s="587" t="str">
        <f>VLOOKUP(A3278,'Master List'!$A$1:$C$1192,2,FALSE)</f>
        <v>Прокладання труб з ПВХ діаметром 110мм</v>
      </c>
      <c r="E3278" s="588" t="str">
        <f>VLOOKUP(A3278,'Master List'!$A$1:$C$1192,3,FALSE)</f>
        <v>м</v>
      </c>
      <c r="F3278" s="589">
        <v>5.52</v>
      </c>
      <c r="G3278" s="588">
        <f>VLOOKUP(A3278,'Master List'!$A$4:$F6012,5,FALSE)</f>
        <v>13</v>
      </c>
      <c r="H3278" s="206">
        <f t="shared" si="334"/>
        <v>71.76</v>
      </c>
      <c r="I3278" s="240"/>
    </row>
    <row r="3279" outlineLevel="2">
      <c r="A3279" s="422" t="str">
        <f>'Master List'!A740</f>
        <v>W-PLB-0130</v>
      </c>
      <c r="B3279" s="89"/>
      <c r="C3279" s="198"/>
      <c r="D3279" s="587" t="str">
        <f>VLOOKUP(A3279,'Master List'!$A$1:$C$1192,2,FALSE)</f>
        <v>Влаштування теплоізоляції для труб діаметром до 90мм</v>
      </c>
      <c r="E3279" s="588" t="str">
        <f>VLOOKUP(A3279,'Master List'!$A$1:$C$1192,3,FALSE)</f>
        <v>м</v>
      </c>
      <c r="F3279" s="589">
        <f t="shared" ref="F3279:F3280" si="335">F3277</f>
        <v>54.39</v>
      </c>
      <c r="G3279" s="588">
        <f>VLOOKUP(A3279,'Master List'!$A$4:$F6013,5,FALSE)</f>
        <v>6.5</v>
      </c>
      <c r="H3279" s="206">
        <f t="shared" si="334"/>
        <v>353.535</v>
      </c>
      <c r="I3279" s="240"/>
    </row>
    <row r="3280" outlineLevel="2">
      <c r="A3280" s="422" t="str">
        <f>'Master List'!A741</f>
        <v>W-PLB-0131</v>
      </c>
      <c r="B3280" s="89"/>
      <c r="C3280" s="198"/>
      <c r="D3280" s="587" t="str">
        <f>VLOOKUP(A3280,'Master List'!$A$1:$C$1192,2,FALSE)</f>
        <v>Влаштування теплоізоляції для труб діаметром до 110мм</v>
      </c>
      <c r="E3280" s="588" t="str">
        <f>VLOOKUP(A3280,'Master List'!$A$1:$C$1192,3,FALSE)</f>
        <v>м</v>
      </c>
      <c r="F3280" s="589">
        <f t="shared" si="335"/>
        <v>5.52</v>
      </c>
      <c r="G3280" s="588">
        <f>VLOOKUP(A3280,'Master List'!$A$4:$F6013,5,FALSE)</f>
        <v>7.8</v>
      </c>
      <c r="H3280" s="206">
        <f t="shared" si="334"/>
        <v>43.056</v>
      </c>
      <c r="I3280" s="240"/>
    </row>
    <row r="3281" outlineLevel="2">
      <c r="A3281" s="422"/>
      <c r="C3281" s="189"/>
      <c r="E3281" s="422"/>
      <c r="F3281" s="79"/>
      <c r="G3281" s="80"/>
      <c r="H3281" s="80"/>
      <c r="I3281" s="240"/>
    </row>
    <row r="3282" outlineLevel="2">
      <c r="A3282" s="422" t="str">
        <f>'Master List'!A258</f>
        <v>M-PLB-055</v>
      </c>
      <c r="B3282" s="89" t="s">
        <v>1086</v>
      </c>
      <c r="C3282" s="198" t="s">
        <v>5704</v>
      </c>
      <c r="D3282" s="202" t="s">
        <v>1050</v>
      </c>
      <c r="E3282" s="203" t="s">
        <v>161</v>
      </c>
      <c r="F3282" s="214">
        <f>54.39*1.02</f>
        <v>55.4778</v>
      </c>
      <c r="G3282" s="588">
        <f>VLOOKUP(A3282,'Master List'!$A$4:$F6015,5,FALSE)</f>
        <v>17.875</v>
      </c>
      <c r="H3282" s="206">
        <f t="shared" ref="H3282:H3283" si="336">F3282*G3282</f>
        <v>991.665675</v>
      </c>
      <c r="I3282" s="219"/>
    </row>
    <row r="3283" outlineLevel="2">
      <c r="A3283" s="422" t="str">
        <f>'Master List'!A252</f>
        <v>M-PLB-049</v>
      </c>
      <c r="B3283" s="89" t="s">
        <v>1087</v>
      </c>
      <c r="C3283" s="198" t="s">
        <v>5705</v>
      </c>
      <c r="D3283" s="202" t="s">
        <v>1040</v>
      </c>
      <c r="E3283" s="203" t="s">
        <v>161</v>
      </c>
      <c r="F3283" s="214">
        <f>5.52*1.02</f>
        <v>5.6304</v>
      </c>
      <c r="G3283" s="588">
        <f>VLOOKUP(A3283,'Master List'!$A$4:$F6016,5,FALSE)</f>
        <v>21.697</v>
      </c>
      <c r="H3283" s="206">
        <f t="shared" si="336"/>
        <v>122.1627888</v>
      </c>
      <c r="I3283" s="219"/>
    </row>
    <row r="3284" outlineLevel="2">
      <c r="A3284" s="422" t="str">
        <f>'Master List'!A263</f>
        <v>M-PLB-060</v>
      </c>
      <c r="B3284" s="89"/>
      <c r="C3284" s="198"/>
      <c r="D3284" s="587" t="str">
        <f>VLOOKUP(A3284,'Master List'!$A$1:$C$1192,2,FALSE)</f>
        <v>Термоізоляція труб діаметром 90мм</v>
      </c>
      <c r="E3284" s="588" t="str">
        <f>VLOOKUP(A3284,'Master List'!$A$1:$C$1192,3,FALSE)</f>
        <v>м</v>
      </c>
      <c r="F3284" s="589">
        <f t="shared" ref="F3284:F3285" si="337">F3282</f>
        <v>55.4778</v>
      </c>
      <c r="G3284" s="588">
        <f>VLOOKUP(A3284,'Master List'!$A$4:$F6017,5,FALSE)</f>
        <v>16.562</v>
      </c>
      <c r="H3284" s="206">
        <f t="shared" ref="H3284:H3285" si="338">G3284*F3284</f>
        <v>918.8233236</v>
      </c>
      <c r="I3284" s="240"/>
    </row>
    <row r="3285" outlineLevel="2">
      <c r="A3285" s="422" t="str">
        <f>'Master List'!A265</f>
        <v>M-PLB-062</v>
      </c>
      <c r="B3285" s="89"/>
      <c r="C3285" s="198"/>
      <c r="D3285" s="587" t="str">
        <f>VLOOKUP(A3285,'Master List'!$A$1:$C$1192,2,FALSE)</f>
        <v>Термоізоляція труб діаметром 110мм</v>
      </c>
      <c r="E3285" s="588" t="str">
        <f>VLOOKUP(A3285,'Master List'!$A$1:$C$1192,3,FALSE)</f>
        <v>м</v>
      </c>
      <c r="F3285" s="589">
        <f t="shared" si="337"/>
        <v>5.6304</v>
      </c>
      <c r="G3285" s="588">
        <f>VLOOKUP(A3285,'Master List'!$A$4:$F6018,5,FALSE)</f>
        <v>3.978</v>
      </c>
      <c r="H3285" s="206">
        <f t="shared" si="338"/>
        <v>22.3977312</v>
      </c>
      <c r="I3285" s="240"/>
    </row>
    <row r="3286" outlineLevel="2">
      <c r="A3286" s="422"/>
      <c r="C3286" s="189"/>
      <c r="E3286" s="422"/>
      <c r="F3286" s="79"/>
      <c r="G3286" s="80"/>
      <c r="H3286" s="80"/>
      <c r="I3286" s="240"/>
    </row>
    <row r="3287" outlineLevel="2">
      <c r="A3287" s="422"/>
      <c r="B3287" s="89" t="s">
        <v>1088</v>
      </c>
      <c r="C3287" s="198" t="s">
        <v>5706</v>
      </c>
      <c r="D3287" s="202" t="s">
        <v>1089</v>
      </c>
      <c r="E3287" s="203" t="s">
        <v>161</v>
      </c>
      <c r="F3287" s="214">
        <v>8.24</v>
      </c>
      <c r="G3287" s="205"/>
      <c r="H3287" s="206"/>
      <c r="I3287" s="219"/>
    </row>
    <row r="3288" outlineLevel="2">
      <c r="A3288" s="422"/>
      <c r="B3288" s="89"/>
      <c r="C3288" s="230"/>
      <c r="D3288" s="246"/>
      <c r="E3288" s="130"/>
      <c r="F3288" s="170"/>
      <c r="G3288" s="239"/>
      <c r="H3288" s="239"/>
      <c r="I3288" s="240"/>
    </row>
    <row r="3289" outlineLevel="2">
      <c r="A3289" s="422" t="str">
        <f>'Master List'!A706</f>
        <v>W-PLB-053</v>
      </c>
      <c r="B3289" s="89"/>
      <c r="C3289" s="198"/>
      <c r="D3289" s="587" t="str">
        <f>VLOOKUP(A3289,'Master List'!$A$1:$C$1192,2,FALSE)</f>
        <v>Прокладання пластикових труб діаметром до 125мм</v>
      </c>
      <c r="E3289" s="588" t="str">
        <f>VLOOKUP(A3289,'Master List'!$A$1:$C$1192,3,FALSE)</f>
        <v>м</v>
      </c>
      <c r="F3289" s="589">
        <f>F3287</f>
        <v>8.24</v>
      </c>
      <c r="G3289" s="588">
        <f>VLOOKUP(A3289,'Master List'!$A$4:$F6023,5,FALSE)</f>
        <v>14.3</v>
      </c>
      <c r="H3289" s="206">
        <f t="shared" ref="H3289:H3290" si="339">G3289*F3289</f>
        <v>117.832</v>
      </c>
      <c r="I3289" s="240"/>
    </row>
    <row r="3290" outlineLevel="2">
      <c r="A3290" s="422" t="str">
        <f>'Master List'!A266</f>
        <v>M-PLB-063</v>
      </c>
      <c r="B3290" s="89"/>
      <c r="C3290" s="198"/>
      <c r="D3290" s="587" t="str">
        <f>VLOOKUP(A3290,'Master List'!$A$1:$C$1192,2,FALSE)</f>
        <v>Труба поліетиленова SDR 13,6 діаметром 125мм</v>
      </c>
      <c r="E3290" s="588" t="str">
        <f>VLOOKUP(A3290,'Master List'!$A$1:$C$1192,3,FALSE)</f>
        <v>м</v>
      </c>
      <c r="F3290" s="589">
        <f>F3289*1.02</f>
        <v>8.4048</v>
      </c>
      <c r="G3290" s="588">
        <f>VLOOKUP(A3290,'Master List'!$A$4:$F6024,5,FALSE)</f>
        <v>24.882</v>
      </c>
      <c r="H3290" s="206">
        <f t="shared" si="339"/>
        <v>209.1282336</v>
      </c>
      <c r="I3290" s="240"/>
    </row>
    <row r="3291" outlineLevel="2">
      <c r="A3291" s="422"/>
      <c r="C3291" s="189"/>
      <c r="E3291" s="422"/>
      <c r="F3291" s="79"/>
      <c r="G3291" s="80"/>
      <c r="H3291" s="80"/>
      <c r="I3291" s="240"/>
    </row>
    <row r="3292" outlineLevel="2">
      <c r="A3292" s="422"/>
      <c r="B3292" s="89" t="s">
        <v>1090</v>
      </c>
      <c r="C3292" s="198" t="s">
        <v>5707</v>
      </c>
      <c r="D3292" s="202" t="s">
        <v>1091</v>
      </c>
      <c r="E3292" s="203" t="s">
        <v>161</v>
      </c>
      <c r="F3292" s="214">
        <v>23.04</v>
      </c>
      <c r="G3292" s="205"/>
      <c r="H3292" s="206"/>
      <c r="I3292" s="219"/>
    </row>
    <row r="3293" outlineLevel="2">
      <c r="A3293" s="422"/>
      <c r="B3293" s="89"/>
      <c r="C3293" s="230"/>
      <c r="D3293" s="246"/>
      <c r="E3293" s="130"/>
      <c r="F3293" s="170"/>
      <c r="G3293" s="239"/>
      <c r="H3293" s="239"/>
      <c r="I3293" s="240"/>
    </row>
    <row r="3294" outlineLevel="2">
      <c r="A3294" s="422" t="str">
        <f>'Master List'!A695</f>
        <v>W-PLB-042</v>
      </c>
      <c r="B3294" s="89"/>
      <c r="C3294" s="198"/>
      <c r="D3294" s="587" t="str">
        <f>VLOOKUP(A3294,'Master List'!$A$1:$C$1192,2,FALSE)</f>
        <v>Прокладання пластикових труб діаметром до 50мм</v>
      </c>
      <c r="E3294" s="588" t="str">
        <f>VLOOKUP(A3294,'Master List'!$A$1:$C$1192,3,FALSE)</f>
        <v>м</v>
      </c>
      <c r="F3294" s="589">
        <f>F3292</f>
        <v>23.04</v>
      </c>
      <c r="G3294" s="588">
        <f>VLOOKUP(A3294,'Master List'!$A$4:$F6028,5,FALSE)</f>
        <v>9.1</v>
      </c>
      <c r="H3294" s="206">
        <f t="shared" ref="H3294:H3295" si="340">G3294*F3294</f>
        <v>209.664</v>
      </c>
      <c r="I3294" s="240"/>
    </row>
    <row r="3295" outlineLevel="2">
      <c r="A3295" s="422" t="str">
        <f>'Master List'!A267</f>
        <v>M-PLB-064</v>
      </c>
      <c r="B3295" s="89"/>
      <c r="C3295" s="198"/>
      <c r="D3295" s="587" t="str">
        <f>VLOOKUP(A3295,'Master List'!$A$1:$C$1192,2,FALSE)</f>
        <v>Труба поліетиленова SDR 13,6 діаметром 50мм</v>
      </c>
      <c r="E3295" s="588" t="str">
        <f>VLOOKUP(A3295,'Master List'!$A$1:$C$1192,3,FALSE)</f>
        <v>м</v>
      </c>
      <c r="F3295" s="589">
        <f>F3294*1.02</f>
        <v>23.5008</v>
      </c>
      <c r="G3295" s="588">
        <f>VLOOKUP(A3295,'Master List'!$A$4:$F6029,5,FALSE)</f>
        <v>4.004</v>
      </c>
      <c r="H3295" s="206">
        <f t="shared" si="340"/>
        <v>94.0972032</v>
      </c>
      <c r="I3295" s="240"/>
    </row>
    <row r="3296" outlineLevel="2">
      <c r="A3296" s="422"/>
      <c r="C3296" s="189"/>
      <c r="E3296" s="422"/>
      <c r="F3296" s="79"/>
      <c r="G3296" s="80"/>
      <c r="H3296" s="80"/>
      <c r="I3296" s="240"/>
    </row>
    <row r="3297" outlineLevel="2">
      <c r="A3297" s="422"/>
      <c r="B3297" s="89" t="s">
        <v>1092</v>
      </c>
      <c r="C3297" s="198" t="s">
        <v>5708</v>
      </c>
      <c r="D3297" s="202" t="s">
        <v>1093</v>
      </c>
      <c r="E3297" s="203" t="s">
        <v>161</v>
      </c>
      <c r="F3297" s="214">
        <v>21.36</v>
      </c>
      <c r="G3297" s="205"/>
      <c r="H3297" s="206"/>
      <c r="I3297" s="219"/>
    </row>
    <row r="3298" outlineLevel="2">
      <c r="A3298" s="422"/>
      <c r="B3298" s="89"/>
      <c r="C3298" s="230"/>
      <c r="D3298" s="246"/>
      <c r="E3298" s="130"/>
      <c r="F3298" s="170"/>
      <c r="G3298" s="239"/>
      <c r="H3298" s="239"/>
      <c r="I3298" s="240"/>
    </row>
    <row r="3299" outlineLevel="2">
      <c r="A3299" s="422" t="str">
        <f>'Master List'!A695</f>
        <v>W-PLB-042</v>
      </c>
      <c r="B3299" s="89"/>
      <c r="C3299" s="198"/>
      <c r="D3299" s="587" t="str">
        <f>VLOOKUP(A3299,'Master List'!$A$1:$C$1192,2,FALSE)</f>
        <v>Прокладання пластикових труб діаметром до 50мм</v>
      </c>
      <c r="E3299" s="588" t="str">
        <f>VLOOKUP(A3299,'Master List'!$A$1:$C$1192,3,FALSE)</f>
        <v>м</v>
      </c>
      <c r="F3299" s="589">
        <f>F3297</f>
        <v>21.36</v>
      </c>
      <c r="G3299" s="588">
        <f>VLOOKUP(A3299,'Master List'!$A$4:$F6033,5,FALSE)</f>
        <v>9.1</v>
      </c>
      <c r="H3299" s="206">
        <f t="shared" ref="H3299:H3300" si="341">G3299*F3299</f>
        <v>194.376</v>
      </c>
      <c r="I3299" s="240"/>
    </row>
    <row r="3300" outlineLevel="2">
      <c r="A3300" s="422" t="str">
        <f>'Master List'!A267</f>
        <v>M-PLB-064</v>
      </c>
      <c r="B3300" s="89"/>
      <c r="C3300" s="198"/>
      <c r="D3300" s="587" t="str">
        <f>VLOOKUP(A3300,'Master List'!$A$1:$C$1192,2,FALSE)</f>
        <v>Труба поліетиленова SDR 13,6 діаметром 50мм</v>
      </c>
      <c r="E3300" s="588" t="str">
        <f>VLOOKUP(A3300,'Master List'!$A$1:$C$1192,3,FALSE)</f>
        <v>м</v>
      </c>
      <c r="F3300" s="589">
        <f>F3299*1.02</f>
        <v>21.7872</v>
      </c>
      <c r="G3300" s="588">
        <f>VLOOKUP(A3300,'Master List'!$A$4:$F6034,5,FALSE)</f>
        <v>4.004</v>
      </c>
      <c r="H3300" s="206">
        <f t="shared" si="341"/>
        <v>87.2359488</v>
      </c>
      <c r="I3300" s="240"/>
    </row>
    <row r="3301" outlineLevel="2">
      <c r="A3301" s="422"/>
      <c r="C3301" s="189"/>
      <c r="E3301" s="422"/>
      <c r="F3301" s="79"/>
      <c r="G3301" s="80"/>
      <c r="H3301" s="80"/>
      <c r="I3301" s="240"/>
    </row>
    <row r="3302" outlineLevel="2">
      <c r="A3302" s="422"/>
      <c r="B3302" s="89" t="s">
        <v>1094</v>
      </c>
      <c r="C3302" s="198" t="s">
        <v>5709</v>
      </c>
      <c r="D3302" s="202" t="s">
        <v>1095</v>
      </c>
      <c r="E3302" s="203" t="s">
        <v>161</v>
      </c>
      <c r="F3302" s="214">
        <v>2.25</v>
      </c>
      <c r="G3302" s="205"/>
      <c r="H3302" s="206"/>
      <c r="I3302" s="219"/>
    </row>
    <row r="3303" outlineLevel="2">
      <c r="A3303" s="422"/>
      <c r="B3303" s="89"/>
      <c r="C3303" s="230"/>
      <c r="D3303" s="246"/>
      <c r="E3303" s="130"/>
      <c r="F3303" s="170"/>
      <c r="G3303" s="239"/>
      <c r="H3303" s="239"/>
      <c r="I3303" s="240"/>
    </row>
    <row r="3304" outlineLevel="2">
      <c r="A3304" s="422" t="str">
        <f>'Master List'!A697</f>
        <v>W-PLB-044</v>
      </c>
      <c r="B3304" s="89"/>
      <c r="C3304" s="198"/>
      <c r="D3304" s="587" t="str">
        <f>VLOOKUP(A3304,'Master List'!$A$1:$C$1192,2,FALSE)</f>
        <v>Прокладання труб з ПВХ діаметром 110мм</v>
      </c>
      <c r="E3304" s="588" t="str">
        <f>VLOOKUP(A3304,'Master List'!$A$1:$C$1192,3,FALSE)</f>
        <v>м</v>
      </c>
      <c r="F3304" s="589">
        <f>F3302</f>
        <v>2.25</v>
      </c>
      <c r="G3304" s="588">
        <f>VLOOKUP(A3304,'Master List'!$A$4:$F6038,5,FALSE)</f>
        <v>13</v>
      </c>
      <c r="H3304" s="206">
        <f t="shared" ref="H3304:H3305" si="342">G3304*F3304</f>
        <v>29.25</v>
      </c>
      <c r="I3304" s="240"/>
    </row>
    <row r="3305" outlineLevel="2">
      <c r="A3305" s="422" t="str">
        <f>'Master List'!A252</f>
        <v>M-PLB-049</v>
      </c>
      <c r="B3305" s="89"/>
      <c r="C3305" s="198"/>
      <c r="D3305" s="587" t="str">
        <f>VLOOKUP(A3305,'Master List'!$A$1:$C$1192,2,FALSE)</f>
        <v>Труба ПВХ PN10 діаметром 110мм</v>
      </c>
      <c r="E3305" s="588" t="str">
        <f>VLOOKUP(A3305,'Master List'!$A$1:$C$1192,3,FALSE)</f>
        <v>м</v>
      </c>
      <c r="F3305" s="589">
        <f>F3304*1.02</f>
        <v>2.295</v>
      </c>
      <c r="G3305" s="588">
        <f>VLOOKUP(A3305,'Master List'!$A$4:$F6039,5,FALSE)</f>
        <v>21.697</v>
      </c>
      <c r="H3305" s="206">
        <f t="shared" si="342"/>
        <v>49.794615</v>
      </c>
      <c r="I3305" s="240"/>
    </row>
    <row r="3306" outlineLevel="2">
      <c r="A3306" s="422"/>
      <c r="C3306" s="189"/>
      <c r="E3306" s="422"/>
      <c r="F3306" s="79"/>
      <c r="G3306" s="80"/>
      <c r="H3306" s="80"/>
      <c r="I3306" s="240"/>
    </row>
    <row r="3307" outlineLevel="2">
      <c r="A3307" s="422"/>
      <c r="B3307" s="89" t="s">
        <v>1096</v>
      </c>
      <c r="C3307" s="198" t="s">
        <v>5710</v>
      </c>
      <c r="D3307" s="202" t="s">
        <v>1097</v>
      </c>
      <c r="E3307" s="203" t="s">
        <v>161</v>
      </c>
      <c r="F3307" s="214">
        <v>50.2</v>
      </c>
      <c r="G3307" s="205"/>
      <c r="H3307" s="206"/>
      <c r="I3307" s="219"/>
    </row>
    <row r="3308" outlineLevel="2">
      <c r="A3308" s="422"/>
      <c r="B3308" s="89"/>
      <c r="C3308" s="230"/>
      <c r="D3308" s="246"/>
      <c r="E3308" s="130"/>
      <c r="F3308" s="170"/>
      <c r="G3308" s="239"/>
      <c r="H3308" s="239"/>
      <c r="I3308" s="240"/>
    </row>
    <row r="3309" outlineLevel="2">
      <c r="A3309" s="422" t="str">
        <f>'Master List'!A736</f>
        <v>W-PLB-0126</v>
      </c>
      <c r="B3309" s="89"/>
      <c r="C3309" s="198"/>
      <c r="D3309" s="587" t="str">
        <f>VLOOKUP(A3309,'Master List'!$A$1:$C$1192,2,FALSE)</f>
        <v>Прокладання труб ПВХ діаметром 32мм</v>
      </c>
      <c r="E3309" s="588" t="str">
        <f>VLOOKUP(A3309,'Master List'!$A$1:$C$1192,3,FALSE)</f>
        <v>м</v>
      </c>
      <c r="F3309" s="589">
        <f>F3307</f>
        <v>50.2</v>
      </c>
      <c r="G3309" s="588">
        <f>VLOOKUP(A3309,'Master List'!$A$4:$F6040,5,FALSE)</f>
        <v>7.15</v>
      </c>
      <c r="H3309" s="206">
        <f t="shared" ref="H3309:H3310" si="343">G3309*F3309</f>
        <v>358.93</v>
      </c>
      <c r="I3309" s="240"/>
    </row>
    <row r="3310" outlineLevel="2">
      <c r="A3310" s="422" t="str">
        <f>'Master List'!A319</f>
        <v>M-PLB-144</v>
      </c>
      <c r="B3310" s="89"/>
      <c r="C3310" s="198"/>
      <c r="D3310" s="587" t="str">
        <f>VLOOKUP(A3310,'Master List'!$A$1:$C$1192,2,FALSE)</f>
        <v>Труба ПВХ діаметром 32мм</v>
      </c>
      <c r="E3310" s="588" t="str">
        <f>VLOOKUP(A3310,'Master List'!$A$1:$C$1192,3,FALSE)</f>
        <v>м</v>
      </c>
      <c r="F3310" s="589">
        <f>F3309*1.02</f>
        <v>51.204</v>
      </c>
      <c r="G3310" s="588">
        <f>VLOOKUP(A3310,'Master List'!$A$4:$F6041,5,FALSE)</f>
        <v>3.822</v>
      </c>
      <c r="H3310" s="206">
        <f t="shared" si="343"/>
        <v>195.701688</v>
      </c>
      <c r="I3310" s="240"/>
    </row>
    <row r="3311" outlineLevel="2">
      <c r="A3311" s="422"/>
      <c r="C3311" s="189"/>
      <c r="E3311" s="422"/>
      <c r="F3311" s="79"/>
      <c r="G3311" s="80"/>
      <c r="H3311" s="80"/>
      <c r="I3311" s="240"/>
    </row>
    <row r="3312" outlineLevel="2">
      <c r="A3312" s="422"/>
      <c r="B3312" s="89">
        <v>4.9</v>
      </c>
      <c r="C3312" s="198">
        <v>27.9</v>
      </c>
      <c r="D3312" s="202" t="s">
        <v>1098</v>
      </c>
      <c r="E3312" s="203" t="s">
        <v>161</v>
      </c>
      <c r="F3312" s="214">
        <v>278.97</v>
      </c>
      <c r="G3312" s="205"/>
      <c r="H3312" s="206"/>
      <c r="I3312" s="219"/>
    </row>
    <row r="3313" outlineLevel="2">
      <c r="A3313" s="422"/>
      <c r="B3313" s="89"/>
      <c r="C3313" s="230"/>
      <c r="D3313" s="246"/>
      <c r="E3313" s="130"/>
      <c r="F3313" s="170"/>
      <c r="G3313" s="239"/>
      <c r="H3313" s="239"/>
      <c r="I3313" s="240"/>
    </row>
    <row r="3314" outlineLevel="2">
      <c r="A3314" s="422" t="str">
        <f>'Master List'!A494</f>
        <v>W-CON-001</v>
      </c>
      <c r="B3314" s="89"/>
      <c r="C3314" s="198"/>
      <c r="D3314" s="587" t="str">
        <f>VLOOKUP(A3314,'Master List'!$A$1:$C$1192,2,FALSE)</f>
        <v>Устройство щебеночного основания</v>
      </c>
      <c r="E3314" s="588" t="str">
        <f>VLOOKUP(A3314,'Master List'!$A$1:$C$1192,3,FALSE)</f>
        <v>м3</v>
      </c>
      <c r="F3314" s="589">
        <f>F3312*0.5*0.4</f>
        <v>55.794</v>
      </c>
      <c r="G3314" s="588">
        <f>VLOOKUP(A3314,'Master List'!$A$4:$F6045,5,FALSE)</f>
        <v>7.15</v>
      </c>
      <c r="H3314" s="206">
        <f t="shared" ref="H3314:H3319" si="344">G3314*F3314</f>
        <v>398.9271</v>
      </c>
      <c r="I3314" s="240"/>
    </row>
    <row r="3315" outlineLevel="2">
      <c r="A3315" s="422" t="str">
        <f>'Master List'!A542</f>
        <v>W-IMP-007</v>
      </c>
      <c r="B3315" s="89"/>
      <c r="C3315" s="198"/>
      <c r="D3315" s="587" t="str">
        <f>VLOOKUP(A3315,'Master List'!$A$1:$C$1192,2,FALSE)</f>
        <v>Укладка геотекстиля</v>
      </c>
      <c r="E3315" s="588" t="str">
        <f>VLOOKUP(A3315,'Master List'!$A$1:$C$1192,3,FALSE)</f>
        <v>м2</v>
      </c>
      <c r="F3315" s="589">
        <f>F3312*2</f>
        <v>557.94</v>
      </c>
      <c r="G3315" s="588">
        <f>VLOOKUP(A3315,'Master List'!$A$4:$F6046,5,FALSE)</f>
        <v>2.73</v>
      </c>
      <c r="H3315" s="206">
        <f t="shared" si="344"/>
        <v>1523.1762</v>
      </c>
      <c r="I3315" s="240"/>
    </row>
    <row r="3316" outlineLevel="2">
      <c r="A3316" s="422" t="str">
        <f>'Master List'!A545</f>
        <v>W-IMP-011</v>
      </c>
      <c r="B3316" s="89"/>
      <c r="C3316" s="198"/>
      <c r="D3316" s="587" t="str">
        <f>VLOOKUP(A3316,'Master List'!$A$1:$C$1192,2,FALSE)</f>
        <v>Прокладання дренажної труби діаметром 100мм</v>
      </c>
      <c r="E3316" s="588" t="str">
        <f>VLOOKUP(A3316,'Master List'!$A$1:$C$1192,3,FALSE)</f>
        <v>м</v>
      </c>
      <c r="F3316" s="589">
        <f>F3312</f>
        <v>278.97</v>
      </c>
      <c r="G3316" s="588">
        <f>VLOOKUP(A3316,'Master List'!$A$4:$F6047,5,FALSE)</f>
        <v>16.9</v>
      </c>
      <c r="H3316" s="206">
        <f t="shared" si="344"/>
        <v>4714.593</v>
      </c>
      <c r="I3316" s="240"/>
    </row>
    <row r="3317" outlineLevel="2">
      <c r="A3317" s="422" t="str">
        <f>'Master List'!A59</f>
        <v>M-IMP-015</v>
      </c>
      <c r="B3317" s="89"/>
      <c r="C3317" s="198"/>
      <c r="D3317" s="587" t="str">
        <f>VLOOKUP(A3317,'Master List'!$A$1:$C$1192,2,FALSE)</f>
        <v>Щебень №2</v>
      </c>
      <c r="E3317" s="588" t="str">
        <f>VLOOKUP(A3317,'Master List'!$A$1:$C$1192,3,FALSE)</f>
        <v>м3</v>
      </c>
      <c r="F3317" s="589">
        <f>F3314*1.15</f>
        <v>64.1631</v>
      </c>
      <c r="G3317" s="588">
        <f>VLOOKUP(A3317,'Master List'!$A$4:$F6048,5,FALSE)</f>
        <v>31.07</v>
      </c>
      <c r="H3317" s="206">
        <f t="shared" si="344"/>
        <v>1993.547517</v>
      </c>
      <c r="I3317" s="240"/>
    </row>
    <row r="3318" outlineLevel="2">
      <c r="A3318" s="422" t="str">
        <f>'Master List'!A48</f>
        <v>M-ROF-0010</v>
      </c>
      <c r="B3318" s="89"/>
      <c r="C3318" s="198"/>
      <c r="D3318" s="587" t="str">
        <f>VLOOKUP(A3318,'Master List'!$A$1:$C$1192,2,FALSE)</f>
        <v>Геотекстиль IMPERSEP 150</v>
      </c>
      <c r="E3318" s="588" t="str">
        <f>VLOOKUP(A3318,'Master List'!$A$1:$C$1192,3,FALSE)</f>
        <v>м2</v>
      </c>
      <c r="F3318" s="589">
        <f>F3315*1.1</f>
        <v>613.734</v>
      </c>
      <c r="G3318" s="588">
        <f>VLOOKUP(A3318,'Master List'!$A$4:$F6049,5,FALSE)</f>
        <v>0.91</v>
      </c>
      <c r="H3318" s="206">
        <f t="shared" si="344"/>
        <v>558.49794</v>
      </c>
      <c r="I3318" s="240"/>
    </row>
    <row r="3319" outlineLevel="2">
      <c r="A3319" s="422" t="str">
        <f>'Master List'!A57</f>
        <v>M-IMP-012</v>
      </c>
      <c r="B3319" s="89"/>
      <c r="C3319" s="198"/>
      <c r="D3319" s="587" t="str">
        <f>VLOOKUP(A3319,'Master List'!$A$1:$C$1192,2,FALSE)</f>
        <v>Труба дренажна діаметром 100мм</v>
      </c>
      <c r="E3319" s="588" t="str">
        <f>VLOOKUP(A3319,'Master List'!$A$1:$C$1192,3,FALSE)</f>
        <v>м</v>
      </c>
      <c r="F3319" s="589">
        <f>F3316*1.05</f>
        <v>292.9185</v>
      </c>
      <c r="G3319" s="588">
        <f>VLOOKUP(A3319,'Master List'!$A$4:$F6050,5,FALSE)</f>
        <v>2.639</v>
      </c>
      <c r="H3319" s="206">
        <f t="shared" si="344"/>
        <v>773.0119215</v>
      </c>
      <c r="I3319" s="240"/>
    </row>
    <row r="3320" outlineLevel="2">
      <c r="A3320" s="422"/>
      <c r="C3320" s="189"/>
      <c r="E3320" s="422"/>
      <c r="F3320" s="79"/>
      <c r="G3320" s="80"/>
      <c r="H3320" s="80"/>
      <c r="I3320" s="240"/>
    </row>
    <row r="3321" outlineLevel="2">
      <c r="A3321" s="422" t="str">
        <f>'Master List'!A771</f>
        <v>W-PLB-0179</v>
      </c>
      <c r="B3321" s="89">
        <v>4.1</v>
      </c>
      <c r="C3321" s="198">
        <v>27.1</v>
      </c>
      <c r="D3321" s="202" t="s">
        <v>1099</v>
      </c>
      <c r="E3321" s="203" t="s">
        <v>161</v>
      </c>
      <c r="F3321" s="214">
        <v>7.4</v>
      </c>
      <c r="G3321" s="588">
        <f>VLOOKUP(A3321,'Master List'!$A$4:$F6052,5,FALSE)</f>
        <v>28.6</v>
      </c>
      <c r="H3321" s="206">
        <f>F3321*G3321</f>
        <v>211.64</v>
      </c>
      <c r="I3321" s="219"/>
    </row>
    <row r="3322" outlineLevel="2">
      <c r="A3322" s="422"/>
      <c r="C3322" s="189"/>
      <c r="E3322" s="422"/>
      <c r="F3322" s="79"/>
      <c r="G3322" s="80"/>
      <c r="H3322" s="80"/>
      <c r="I3322" s="240"/>
    </row>
    <row r="3323" outlineLevel="2">
      <c r="A3323" s="422"/>
      <c r="B3323" s="89">
        <v>4.11</v>
      </c>
      <c r="C3323" s="322">
        <v>27.11</v>
      </c>
      <c r="D3323" s="368" t="s">
        <v>1058</v>
      </c>
      <c r="E3323" s="422"/>
      <c r="F3323" s="79"/>
      <c r="G3323" s="80"/>
      <c r="H3323" s="80"/>
      <c r="I3323" s="240"/>
    </row>
    <row r="3324" outlineLevel="2">
      <c r="A3324" s="422"/>
      <c r="C3324" s="189"/>
      <c r="E3324" s="422"/>
      <c r="F3324" s="79"/>
      <c r="G3324" s="80"/>
      <c r="H3324" s="80"/>
      <c r="I3324" s="240"/>
    </row>
    <row r="3325" outlineLevel="2">
      <c r="A3325" s="422"/>
      <c r="B3325" s="89" t="s">
        <v>1100</v>
      </c>
      <c r="C3325" s="322" t="s">
        <v>5711</v>
      </c>
      <c r="D3325" s="368" t="s">
        <v>1060</v>
      </c>
      <c r="E3325" s="422"/>
      <c r="F3325" s="79"/>
      <c r="G3325" s="80"/>
      <c r="H3325" s="80"/>
      <c r="I3325" s="240"/>
    </row>
    <row r="3326" outlineLevel="2">
      <c r="A3326" s="422"/>
      <c r="C3326" s="189"/>
      <c r="E3326" s="422"/>
      <c r="F3326" s="79"/>
      <c r="G3326" s="80"/>
      <c r="H3326" s="80"/>
      <c r="I3326" s="240"/>
    </row>
    <row r="3327" outlineLevel="2">
      <c r="A3327" s="422" t="str">
        <f>'Master List'!A772</f>
        <v>W-PLB-0180</v>
      </c>
      <c r="B3327" s="89" t="s">
        <v>1101</v>
      </c>
      <c r="C3327" s="198" t="s">
        <v>5712</v>
      </c>
      <c r="D3327" s="202" t="s">
        <v>1062</v>
      </c>
      <c r="E3327" s="203" t="s">
        <v>75</v>
      </c>
      <c r="F3327" s="214">
        <v>3.0</v>
      </c>
      <c r="G3327" s="588">
        <f>VLOOKUP(A3327,'Master List'!$A$4:$F6058,5,FALSE)</f>
        <v>156</v>
      </c>
      <c r="H3327" s="206">
        <f>F3327*G3327</f>
        <v>468</v>
      </c>
      <c r="I3327" s="219"/>
    </row>
    <row r="3328" outlineLevel="2">
      <c r="A3328" s="422"/>
      <c r="C3328" s="189"/>
      <c r="E3328" s="422"/>
      <c r="F3328" s="79"/>
      <c r="G3328" s="80"/>
      <c r="H3328" s="80"/>
      <c r="I3328" s="240"/>
    </row>
    <row r="3329" outlineLevel="2">
      <c r="A3329" s="422" t="str">
        <f>'Master List'!A773</f>
        <v>W-PLB-0181</v>
      </c>
      <c r="B3329" s="89" t="s">
        <v>1102</v>
      </c>
      <c r="C3329" s="198" t="s">
        <v>5713</v>
      </c>
      <c r="D3329" s="202" t="s">
        <v>1064</v>
      </c>
      <c r="E3329" s="203" t="s">
        <v>75</v>
      </c>
      <c r="F3329" s="214">
        <v>1.0</v>
      </c>
      <c r="G3329" s="588">
        <f>VLOOKUP(A3329,'Master List'!$A$4:$F6060,5,FALSE)</f>
        <v>234</v>
      </c>
      <c r="H3329" s="206">
        <f>F3329*G3329</f>
        <v>234</v>
      </c>
      <c r="I3329" s="219"/>
    </row>
    <row r="3330" outlineLevel="2">
      <c r="A3330" s="422"/>
      <c r="C3330" s="189"/>
      <c r="E3330" s="422"/>
      <c r="F3330" s="79"/>
      <c r="G3330" s="80"/>
      <c r="H3330" s="80"/>
      <c r="I3330" s="240"/>
    </row>
    <row r="3331" outlineLevel="2">
      <c r="A3331" s="422" t="str">
        <f>'Master List'!A774</f>
        <v>W-PLB-0182</v>
      </c>
      <c r="B3331" s="89" t="s">
        <v>1103</v>
      </c>
      <c r="C3331" s="198" t="s">
        <v>5714</v>
      </c>
      <c r="D3331" s="202" t="s">
        <v>1066</v>
      </c>
      <c r="E3331" s="203" t="s">
        <v>75</v>
      </c>
      <c r="F3331" s="214">
        <v>3.0</v>
      </c>
      <c r="G3331" s="588">
        <f>VLOOKUP(A3331,'Master List'!$A$4:$F6062,5,FALSE)</f>
        <v>273</v>
      </c>
      <c r="H3331" s="206">
        <f>F3331*G3331</f>
        <v>819</v>
      </c>
      <c r="I3331" s="219"/>
    </row>
    <row r="3332" outlineLevel="2">
      <c r="A3332" s="422"/>
      <c r="C3332" s="189"/>
      <c r="E3332" s="422"/>
      <c r="F3332" s="79"/>
      <c r="G3332" s="80"/>
      <c r="H3332" s="80"/>
      <c r="I3332" s="240"/>
    </row>
    <row r="3333" outlineLevel="2">
      <c r="A3333" s="422" t="str">
        <f>'Master List'!A775</f>
        <v>W-PLB-0183</v>
      </c>
      <c r="B3333" s="89" t="s">
        <v>1104</v>
      </c>
      <c r="C3333" s="198" t="s">
        <v>5715</v>
      </c>
      <c r="D3333" s="202" t="s">
        <v>1105</v>
      </c>
      <c r="E3333" s="203" t="s">
        <v>75</v>
      </c>
      <c r="F3333" s="214">
        <v>2.0</v>
      </c>
      <c r="G3333" s="588">
        <f>VLOOKUP(A3333,'Master List'!$A$4:$F6064,5,FALSE)</f>
        <v>455</v>
      </c>
      <c r="H3333" s="206">
        <f>F3333*G3333</f>
        <v>910</v>
      </c>
      <c r="I3333" s="219"/>
    </row>
    <row r="3334" outlineLevel="2">
      <c r="A3334" s="422"/>
      <c r="C3334" s="189"/>
      <c r="E3334" s="422"/>
      <c r="F3334" s="79"/>
      <c r="G3334" s="80"/>
      <c r="H3334" s="80"/>
      <c r="I3334" s="240"/>
    </row>
    <row r="3335" outlineLevel="2">
      <c r="A3335" s="422" t="str">
        <f>'Master List'!A775</f>
        <v>W-PLB-0183</v>
      </c>
      <c r="B3335" s="89" t="s">
        <v>1106</v>
      </c>
      <c r="C3335" s="198" t="s">
        <v>5716</v>
      </c>
      <c r="D3335" s="202" t="s">
        <v>1068</v>
      </c>
      <c r="E3335" s="203" t="s">
        <v>75</v>
      </c>
      <c r="F3335" s="214">
        <v>4.0</v>
      </c>
      <c r="G3335" s="588">
        <f>VLOOKUP(A3335,'Master List'!$A$4:$F6066,5,FALSE)</f>
        <v>455</v>
      </c>
      <c r="H3335" s="206">
        <f>F3335*G3335</f>
        <v>1820</v>
      </c>
      <c r="I3335" s="219"/>
    </row>
    <row r="3336" outlineLevel="2">
      <c r="A3336" s="422"/>
      <c r="C3336" s="189"/>
      <c r="E3336" s="422"/>
      <c r="F3336" s="79"/>
      <c r="G3336" s="80"/>
      <c r="H3336" s="80"/>
      <c r="I3336" s="240"/>
    </row>
    <row r="3337" outlineLevel="2">
      <c r="A3337" s="422" t="str">
        <f>'Master List'!A776</f>
        <v>W-PLB-0184</v>
      </c>
      <c r="B3337" s="89" t="s">
        <v>1107</v>
      </c>
      <c r="C3337" s="198" t="s">
        <v>5717</v>
      </c>
      <c r="D3337" s="202" t="s">
        <v>1108</v>
      </c>
      <c r="E3337" s="203" t="s">
        <v>75</v>
      </c>
      <c r="F3337" s="214">
        <v>1.0</v>
      </c>
      <c r="G3337" s="588">
        <f>VLOOKUP(A3337,'Master List'!$A$4:$F6068,5,FALSE)</f>
        <v>507</v>
      </c>
      <c r="H3337" s="206">
        <f>F3337*G3337</f>
        <v>507</v>
      </c>
      <c r="I3337" s="219"/>
    </row>
    <row r="3338" outlineLevel="2">
      <c r="A3338" s="422"/>
      <c r="C3338" s="189"/>
      <c r="E3338" s="422"/>
      <c r="F3338" s="79"/>
      <c r="G3338" s="80"/>
      <c r="H3338" s="80"/>
      <c r="I3338" s="240"/>
    </row>
    <row r="3339" outlineLevel="2">
      <c r="A3339" s="422" t="str">
        <f>'Master List'!A781</f>
        <v>W-PLB-0189</v>
      </c>
      <c r="B3339" s="89">
        <v>4.12</v>
      </c>
      <c r="C3339" s="377">
        <v>27.12</v>
      </c>
      <c r="D3339" s="378" t="s">
        <v>1109</v>
      </c>
      <c r="E3339" s="379" t="s">
        <v>75</v>
      </c>
      <c r="F3339" s="380">
        <v>8.0</v>
      </c>
      <c r="G3339" s="382">
        <f>VLOOKUP(A3339,'Master List'!$A$4:$F6070,5,FALSE)</f>
        <v>65</v>
      </c>
      <c r="H3339" s="382">
        <f>F3339*G3339</f>
        <v>520</v>
      </c>
      <c r="I3339" s="590" t="s">
        <v>5718</v>
      </c>
    </row>
    <row r="3340" outlineLevel="2">
      <c r="A3340" s="422"/>
      <c r="C3340" s="189"/>
      <c r="E3340" s="422"/>
      <c r="F3340" s="79"/>
      <c r="G3340" s="80"/>
      <c r="H3340" s="80"/>
      <c r="I3340" s="240"/>
    </row>
    <row r="3341" outlineLevel="2">
      <c r="A3341" s="422" t="str">
        <f>'Master List'!A782</f>
        <v>W-PLB-0190</v>
      </c>
      <c r="B3341" s="89">
        <v>4.13</v>
      </c>
      <c r="C3341" s="198">
        <v>27.13</v>
      </c>
      <c r="D3341" s="202" t="s">
        <v>1110</v>
      </c>
      <c r="E3341" s="203" t="s">
        <v>75</v>
      </c>
      <c r="F3341" s="214">
        <v>9.0</v>
      </c>
      <c r="G3341" s="588">
        <f>VLOOKUP(A3341,'Master List'!$A$4:$F6072,5,FALSE)</f>
        <v>41.6</v>
      </c>
      <c r="H3341" s="206">
        <f>F3341*G3341</f>
        <v>374.4</v>
      </c>
      <c r="I3341" s="219"/>
    </row>
    <row r="3342" outlineLevel="2">
      <c r="A3342" s="422"/>
      <c r="C3342" s="189"/>
      <c r="E3342" s="422"/>
      <c r="F3342" s="79"/>
      <c r="G3342" s="80"/>
      <c r="H3342" s="80"/>
      <c r="I3342" s="240"/>
    </row>
    <row r="3343" outlineLevel="2">
      <c r="A3343" s="422" t="str">
        <f>'Master List'!A783</f>
        <v>W-PLB-0191</v>
      </c>
      <c r="B3343" s="89">
        <v>4.14</v>
      </c>
      <c r="C3343" s="198">
        <v>27.14</v>
      </c>
      <c r="D3343" s="202" t="s">
        <v>1111</v>
      </c>
      <c r="E3343" s="203" t="s">
        <v>75</v>
      </c>
      <c r="F3343" s="214">
        <v>3.0</v>
      </c>
      <c r="G3343" s="588">
        <f>VLOOKUP(A3343,'Master List'!$A$4:$F6074,5,FALSE)</f>
        <v>63.7</v>
      </c>
      <c r="H3343" s="206">
        <f>F3343*G3343</f>
        <v>191.1</v>
      </c>
      <c r="I3343" s="219"/>
    </row>
    <row r="3344" outlineLevel="2">
      <c r="A3344" s="422"/>
      <c r="C3344" s="189"/>
      <c r="E3344" s="422"/>
      <c r="F3344" s="79"/>
      <c r="G3344" s="80"/>
      <c r="H3344" s="80"/>
      <c r="I3344" s="240"/>
    </row>
    <row r="3345" outlineLevel="2">
      <c r="A3345" s="422" t="str">
        <f>'Master List'!A784</f>
        <v>W-PLB-0192</v>
      </c>
      <c r="B3345" s="89">
        <v>4.15</v>
      </c>
      <c r="C3345" s="198">
        <v>27.15</v>
      </c>
      <c r="D3345" s="202" t="s">
        <v>1112</v>
      </c>
      <c r="E3345" s="203" t="s">
        <v>161</v>
      </c>
      <c r="F3345" s="214">
        <v>5.5</v>
      </c>
      <c r="G3345" s="588">
        <f>VLOOKUP(A3345,'Master List'!$A$4:$F6076,5,FALSE)</f>
        <v>49.4</v>
      </c>
      <c r="H3345" s="206">
        <f>F3345*G3345</f>
        <v>271.7</v>
      </c>
      <c r="I3345" s="219"/>
    </row>
    <row r="3346" outlineLevel="2">
      <c r="A3346" s="422"/>
      <c r="C3346" s="189"/>
      <c r="E3346" s="422"/>
      <c r="F3346" s="79"/>
      <c r="G3346" s="80"/>
      <c r="H3346" s="80"/>
      <c r="I3346" s="240"/>
    </row>
    <row r="3347" outlineLevel="2">
      <c r="A3347" s="422" t="str">
        <f>'Master List'!A785</f>
        <v>W-PLB-0193</v>
      </c>
      <c r="B3347" s="89">
        <v>4.16</v>
      </c>
      <c r="C3347" s="198">
        <v>27.16</v>
      </c>
      <c r="D3347" s="202" t="s">
        <v>1113</v>
      </c>
      <c r="E3347" s="203" t="s">
        <v>161</v>
      </c>
      <c r="F3347" s="214">
        <v>2.0</v>
      </c>
      <c r="G3347" s="588">
        <f>VLOOKUP(A3347,'Master List'!$A$4:$F6078,5,FALSE)</f>
        <v>54.6</v>
      </c>
      <c r="H3347" s="206">
        <f>F3347*G3347</f>
        <v>109.2</v>
      </c>
      <c r="I3347" s="219"/>
    </row>
    <row r="3348" outlineLevel="2">
      <c r="A3348" s="422"/>
      <c r="C3348" s="189"/>
      <c r="E3348" s="422"/>
      <c r="F3348" s="79"/>
      <c r="G3348" s="80"/>
      <c r="H3348" s="80"/>
      <c r="I3348" s="240"/>
    </row>
    <row r="3349" outlineLevel="2">
      <c r="A3349" s="422"/>
      <c r="B3349" s="89">
        <v>4.17</v>
      </c>
      <c r="C3349" s="198">
        <v>27.17</v>
      </c>
      <c r="D3349" s="202" t="s">
        <v>1114</v>
      </c>
      <c r="E3349" s="203"/>
      <c r="F3349" s="214"/>
      <c r="G3349" s="205"/>
      <c r="H3349" s="206"/>
      <c r="I3349" s="219"/>
    </row>
    <row r="3350" outlineLevel="2">
      <c r="A3350" s="422"/>
      <c r="B3350" s="89"/>
      <c r="C3350" s="230"/>
      <c r="D3350" s="246"/>
      <c r="E3350" s="130"/>
      <c r="F3350" s="170"/>
      <c r="G3350" s="239"/>
      <c r="H3350" s="239"/>
      <c r="I3350" s="240"/>
    </row>
    <row r="3351" outlineLevel="2">
      <c r="A3351" s="422" t="str">
        <f>'Master List'!A707</f>
        <v>W-PLB-055</v>
      </c>
      <c r="B3351" s="89"/>
      <c r="C3351" s="198"/>
      <c r="D3351" s="587" t="str">
        <f>VLOOKUP(A3351,'Master List'!$A$1:$C$1192,2,FALSE)</f>
        <v>Монтаж клапанів з ПВХ</v>
      </c>
      <c r="E3351" s="588" t="str">
        <f>VLOOKUP(A3351,'Master List'!$A$1:$C$1192,3,FALSE)</f>
        <v>шт</v>
      </c>
      <c r="F3351" s="589">
        <v>2.0</v>
      </c>
      <c r="G3351" s="588">
        <f>VLOOKUP(A3351,'Master List'!$A$4:$F6082,5,FALSE)</f>
        <v>39</v>
      </c>
      <c r="H3351" s="206">
        <f>G3351*F3351</f>
        <v>78</v>
      </c>
      <c r="I3351" s="240"/>
    </row>
    <row r="3352" outlineLevel="2">
      <c r="A3352" s="422"/>
      <c r="C3352" s="189"/>
      <c r="E3352" s="422"/>
      <c r="F3352" s="79"/>
      <c r="G3352" s="80"/>
      <c r="H3352" s="80"/>
      <c r="I3352" s="240"/>
    </row>
    <row r="3353" outlineLevel="2">
      <c r="A3353" s="422" t="str">
        <f>'Master List'!A293</f>
        <v>M-PLB-094</v>
      </c>
      <c r="B3353" s="89"/>
      <c r="C3353" s="198" t="s">
        <v>5719</v>
      </c>
      <c r="D3353" s="202" t="s">
        <v>5720</v>
      </c>
      <c r="E3353" s="203" t="s">
        <v>75</v>
      </c>
      <c r="F3353" s="214">
        <v>1.0</v>
      </c>
      <c r="G3353" s="588">
        <f>VLOOKUP(A3353,'Master List'!$A$4:$F6084,5,FALSE)</f>
        <v>127.049</v>
      </c>
      <c r="H3353" s="206">
        <f t="shared" ref="H3353:H3354" si="345">F3353*G3353</f>
        <v>127.049</v>
      </c>
      <c r="I3353" s="219"/>
    </row>
    <row r="3354" outlineLevel="2">
      <c r="A3354" s="422" t="str">
        <f>'Master List'!A294</f>
        <v>M-PLB-095</v>
      </c>
      <c r="B3354" s="89"/>
      <c r="C3354" s="198" t="s">
        <v>5721</v>
      </c>
      <c r="D3354" s="202" t="s">
        <v>5722</v>
      </c>
      <c r="E3354" s="203" t="s">
        <v>75</v>
      </c>
      <c r="F3354" s="214">
        <v>1.0</v>
      </c>
      <c r="G3354" s="588">
        <f>VLOOKUP(A3354,'Master List'!$A$4:$F6085,5,FALSE)</f>
        <v>147.459</v>
      </c>
      <c r="H3354" s="206">
        <f t="shared" si="345"/>
        <v>147.459</v>
      </c>
      <c r="I3354" s="219"/>
    </row>
    <row r="3355" outlineLevel="2">
      <c r="A3355" s="422"/>
      <c r="C3355" s="189"/>
      <c r="E3355" s="422"/>
      <c r="F3355" s="79"/>
      <c r="G3355" s="80"/>
      <c r="H3355" s="80"/>
      <c r="I3355" s="240"/>
    </row>
    <row r="3356" outlineLevel="2">
      <c r="A3356" s="422"/>
      <c r="B3356" s="89">
        <v>4.18</v>
      </c>
      <c r="C3356" s="322">
        <v>27.18</v>
      </c>
      <c r="D3356" s="368" t="s">
        <v>1117</v>
      </c>
      <c r="E3356" s="422"/>
      <c r="F3356" s="79"/>
      <c r="G3356" s="80"/>
      <c r="H3356" s="80"/>
      <c r="I3356" s="240"/>
    </row>
    <row r="3357" outlineLevel="2">
      <c r="A3357" s="422"/>
      <c r="B3357" s="89"/>
      <c r="C3357" s="189"/>
      <c r="D3357" s="90"/>
      <c r="E3357" s="422"/>
      <c r="F3357" s="79"/>
      <c r="G3357" s="80"/>
      <c r="H3357" s="80"/>
      <c r="I3357" s="240"/>
    </row>
    <row r="3358" outlineLevel="2">
      <c r="A3358" s="422" t="str">
        <f>'Master List'!A708</f>
        <v>W-PLB-056</v>
      </c>
      <c r="B3358" s="89"/>
      <c r="C3358" s="198"/>
      <c r="D3358" s="587" t="str">
        <f>VLOOKUP(A3358,'Master List'!$A$1:$C$1192,2,FALSE)</f>
        <v>Монтаж контрольної коробки KS 10/30</v>
      </c>
      <c r="E3358" s="588" t="str">
        <f>VLOOKUP(A3358,'Master List'!$A$1:$C$1192,3,FALSE)</f>
        <v>шт</v>
      </c>
      <c r="F3358" s="589">
        <v>2.0</v>
      </c>
      <c r="G3358" s="588">
        <f>VLOOKUP(A3358,'Master List'!$A$4:$F6089,5,FALSE)</f>
        <v>58.5</v>
      </c>
      <c r="H3358" s="206">
        <f>F3358*G3358</f>
        <v>117</v>
      </c>
      <c r="I3358" s="240"/>
    </row>
    <row r="3359" outlineLevel="2">
      <c r="A3359" s="422"/>
      <c r="C3359" s="189"/>
      <c r="E3359" s="422"/>
      <c r="F3359" s="79"/>
      <c r="G3359" s="80"/>
      <c r="H3359" s="80"/>
      <c r="I3359" s="240"/>
    </row>
    <row r="3360" outlineLevel="2">
      <c r="A3360" s="422" t="str">
        <f>'Master List'!A295</f>
        <v>M-PLB-096</v>
      </c>
      <c r="B3360" s="89" t="s">
        <v>1118</v>
      </c>
      <c r="C3360" s="198" t="s">
        <v>5723</v>
      </c>
      <c r="D3360" s="202" t="s">
        <v>1119</v>
      </c>
      <c r="E3360" s="203" t="s">
        <v>75</v>
      </c>
      <c r="F3360" s="214">
        <v>2.0</v>
      </c>
      <c r="G3360" s="588">
        <f>VLOOKUP(A3360,'Master List'!$A$4:$F6091,5,FALSE)</f>
        <v>64.675</v>
      </c>
      <c r="H3360" s="206">
        <f>F3360*G3360</f>
        <v>129.35</v>
      </c>
      <c r="I3360" s="219"/>
    </row>
    <row r="3361" outlineLevel="2">
      <c r="A3361" s="422"/>
      <c r="C3361" s="189"/>
      <c r="E3361" s="422"/>
      <c r="F3361" s="79"/>
      <c r="G3361" s="80"/>
      <c r="H3361" s="80"/>
      <c r="I3361" s="240"/>
    </row>
    <row r="3362" outlineLevel="2">
      <c r="A3362" s="422" t="str">
        <f>'Master List'!A786</f>
        <v>W-PLB-0194</v>
      </c>
      <c r="B3362" s="89">
        <v>4.19</v>
      </c>
      <c r="C3362" s="377">
        <v>27.19</v>
      </c>
      <c r="D3362" s="378" t="s">
        <v>1120</v>
      </c>
      <c r="E3362" s="379" t="s">
        <v>75</v>
      </c>
      <c r="F3362" s="380">
        <v>1.0</v>
      </c>
      <c r="G3362" s="382">
        <f>VLOOKUP(A3362,'Master List'!$A$4:$F6093,5,FALSE)</f>
        <v>1560</v>
      </c>
      <c r="H3362" s="382">
        <f>F3362*G3362</f>
        <v>1560</v>
      </c>
      <c r="I3362" s="590" t="s">
        <v>5724</v>
      </c>
    </row>
    <row r="3363" outlineLevel="2">
      <c r="A3363" s="422"/>
      <c r="C3363" s="189"/>
      <c r="E3363" s="422"/>
      <c r="F3363" s="79"/>
      <c r="G3363" s="80"/>
      <c r="H3363" s="80"/>
      <c r="I3363" s="240"/>
    </row>
    <row r="3364" outlineLevel="2">
      <c r="A3364" s="422" t="str">
        <f>'Master List'!A787</f>
        <v>W-PLB-0195</v>
      </c>
      <c r="B3364" s="89">
        <v>4.2</v>
      </c>
      <c r="C3364" s="591">
        <v>27.2</v>
      </c>
      <c r="D3364" s="378" t="s">
        <v>1121</v>
      </c>
      <c r="E3364" s="379" t="s">
        <v>75</v>
      </c>
      <c r="F3364" s="380">
        <v>2.0</v>
      </c>
      <c r="G3364" s="382">
        <f>VLOOKUP(A3364,'Master List'!$A$4:$F6095,5,FALSE)</f>
        <v>2080</v>
      </c>
      <c r="H3364" s="382">
        <f>F3364*G3364</f>
        <v>4160</v>
      </c>
      <c r="I3364" s="590"/>
    </row>
    <row r="3365" outlineLevel="2">
      <c r="A3365" s="422"/>
      <c r="C3365" s="189"/>
      <c r="E3365" s="422"/>
      <c r="F3365" s="79"/>
      <c r="G3365" s="80"/>
      <c r="H3365" s="80"/>
      <c r="I3365" s="240"/>
    </row>
    <row r="3366" outlineLevel="2">
      <c r="A3366" s="422" t="str">
        <f>'Master List'!A779</f>
        <v>W-PLB-0187</v>
      </c>
      <c r="B3366" s="89">
        <v>4.21</v>
      </c>
      <c r="C3366" s="377">
        <v>27.21</v>
      </c>
      <c r="D3366" s="378" t="s">
        <v>980</v>
      </c>
      <c r="E3366" s="379" t="s">
        <v>75</v>
      </c>
      <c r="F3366" s="380">
        <v>1.0</v>
      </c>
      <c r="G3366" s="382">
        <f>VLOOKUP(A3366,'Master List'!$A$4:$F6097,5,FALSE)</f>
        <v>390</v>
      </c>
      <c r="H3366" s="382">
        <f>F3366*G3366</f>
        <v>390</v>
      </c>
      <c r="I3366" s="590"/>
    </row>
    <row r="3367" outlineLevel="2">
      <c r="A3367" s="422"/>
      <c r="C3367" s="189"/>
      <c r="E3367" s="422"/>
      <c r="F3367" s="79"/>
      <c r="G3367" s="80"/>
      <c r="H3367" s="80"/>
      <c r="I3367" s="240"/>
    </row>
    <row r="3368" outlineLevel="2">
      <c r="A3368" s="422" t="str">
        <f>'Master List'!A780</f>
        <v>W-PLB-0188</v>
      </c>
      <c r="B3368" s="89">
        <v>4.22</v>
      </c>
      <c r="C3368" s="198">
        <v>27.22</v>
      </c>
      <c r="D3368" s="202" t="s">
        <v>1073</v>
      </c>
      <c r="E3368" s="203" t="s">
        <v>33</v>
      </c>
      <c r="F3368" s="214">
        <v>1.0</v>
      </c>
      <c r="G3368" s="206">
        <f>VLOOKUP(A3368,'Master List'!$A$4:$F6099,5,FALSE)</f>
        <v>390</v>
      </c>
      <c r="H3368" s="206">
        <f>F3368*G3368</f>
        <v>390</v>
      </c>
      <c r="I3368" s="219"/>
    </row>
    <row r="3369" outlineLevel="2">
      <c r="A3369" s="422"/>
      <c r="B3369" s="89"/>
      <c r="C3369" s="230"/>
      <c r="D3369" s="246"/>
      <c r="E3369" s="130"/>
      <c r="F3369" s="170"/>
      <c r="G3369" s="239"/>
      <c r="H3369" s="239"/>
      <c r="I3369" s="240"/>
    </row>
    <row r="3370" outlineLevel="1">
      <c r="A3370" s="422"/>
      <c r="B3370" s="89"/>
      <c r="C3370" s="230"/>
      <c r="D3370" s="246"/>
      <c r="E3370" s="130"/>
      <c r="F3370" s="170"/>
      <c r="G3370" s="239"/>
      <c r="H3370" s="239"/>
      <c r="I3370" s="240"/>
    </row>
    <row r="3371">
      <c r="A3371" s="422"/>
      <c r="E3371" s="422"/>
    </row>
    <row r="3372">
      <c r="A3372" s="422"/>
      <c r="E3372" s="422"/>
      <c r="H3372" s="592"/>
    </row>
    <row r="3373">
      <c r="A3373" s="422"/>
      <c r="E3373" s="422"/>
      <c r="H3373" s="593"/>
    </row>
    <row r="3374">
      <c r="A3374" s="422"/>
      <c r="E3374" s="422"/>
      <c r="H3374" s="593"/>
    </row>
  </sheetData>
  <hyperlinks>
    <hyperlink r:id="rId2" location="gid=2067119339" ref="I2"/>
  </hyperlinks>
  <printOptions/>
  <pageMargins bottom="0.23681849895345367" footer="0.0" header="0.0" left="0.41" right="0.3" top="0.62"/>
  <pageSetup paperSize="9" scale="60" orientation="landscape"/>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outlineLevelRow="1"/>
  <cols>
    <col customWidth="1" min="1" max="1" width="23.75"/>
    <col customWidth="1" min="2" max="2" width="79.88"/>
    <col customWidth="1" min="3" max="3" width="10.25"/>
    <col customWidth="1" min="4" max="4" width="10.38"/>
    <col customWidth="1" min="5" max="5" width="16.63"/>
    <col customWidth="1" min="6" max="6" width="19.5"/>
    <col customWidth="1" min="7" max="7" width="15.88"/>
    <col customWidth="1" min="8" max="8" width="18.75"/>
    <col customWidth="1" min="9" max="9" width="14.13"/>
    <col customWidth="1" min="10" max="10" width="24.25"/>
    <col customWidth="1" min="11" max="13" width="20.13"/>
    <col customWidth="1" min="14" max="14" width="16.5"/>
    <col customWidth="1" min="15" max="15" width="20.13"/>
    <col customWidth="1" min="16" max="16" width="48.13"/>
    <col customWidth="1" min="17" max="17" width="52.75"/>
    <col customWidth="1" min="18" max="18" width="3.38"/>
    <col customWidth="1" min="19" max="20" width="20.13"/>
    <col customWidth="1" min="21" max="21" width="29.88"/>
    <col customWidth="1" min="22" max="24" width="20.13"/>
    <col customWidth="1" min="25" max="25" width="29.88"/>
  </cols>
  <sheetData>
    <row r="1">
      <c r="A1" s="594" t="s">
        <v>5561</v>
      </c>
      <c r="B1" s="595" t="s">
        <v>5725</v>
      </c>
      <c r="C1" s="595" t="s">
        <v>5726</v>
      </c>
      <c r="D1" s="596" t="s">
        <v>5727</v>
      </c>
      <c r="E1" s="597" t="s">
        <v>5728</v>
      </c>
      <c r="F1" s="598" t="s">
        <v>5729</v>
      </c>
      <c r="G1" s="599" t="s">
        <v>5730</v>
      </c>
      <c r="H1" s="600" t="s">
        <v>5731</v>
      </c>
      <c r="I1" s="601" t="s">
        <v>5732</v>
      </c>
      <c r="J1" s="602" t="s">
        <v>5733</v>
      </c>
      <c r="K1" s="598" t="s">
        <v>5734</v>
      </c>
      <c r="L1" s="598" t="s">
        <v>5735</v>
      </c>
      <c r="M1" s="603" t="s">
        <v>5736</v>
      </c>
      <c r="N1" s="604" t="s">
        <v>5737</v>
      </c>
      <c r="O1" s="598" t="s">
        <v>5738</v>
      </c>
      <c r="P1" s="598" t="s">
        <v>5739</v>
      </c>
      <c r="Q1" s="605" t="s">
        <v>5740</v>
      </c>
      <c r="R1" s="606"/>
      <c r="S1" s="607" t="s">
        <v>5741</v>
      </c>
      <c r="T1" s="388"/>
      <c r="U1" s="608"/>
    </row>
    <row r="2" ht="26.25" customHeight="1">
      <c r="A2" s="609" t="s">
        <v>5742</v>
      </c>
      <c r="B2" s="610"/>
      <c r="C2" s="611"/>
      <c r="D2" s="612"/>
      <c r="E2" s="612"/>
      <c r="F2" s="613">
        <f>SUM(F4:F842)</f>
        <v>1708318.893</v>
      </c>
      <c r="G2" s="614"/>
      <c r="H2" s="615"/>
      <c r="I2" s="616"/>
      <c r="J2" s="617"/>
      <c r="K2" s="618"/>
      <c r="L2" s="619"/>
      <c r="M2" s="620">
        <f>SUM(M4:M1199)</f>
        <v>394227.4368</v>
      </c>
      <c r="N2" s="621">
        <v>0.3</v>
      </c>
      <c r="O2" s="622"/>
      <c r="P2" s="622"/>
      <c r="Q2" s="623"/>
      <c r="R2" s="422"/>
      <c r="S2" s="624" t="s">
        <v>5743</v>
      </c>
      <c r="T2" s="625" t="s">
        <v>5744</v>
      </c>
      <c r="U2" s="626"/>
      <c r="V2" s="626"/>
      <c r="W2" s="626"/>
      <c r="X2" s="626"/>
      <c r="Y2" s="626"/>
    </row>
    <row r="3" ht="16.5" customHeight="1" outlineLevel="1">
      <c r="A3" s="627" t="s">
        <v>5745</v>
      </c>
      <c r="B3" s="628"/>
      <c r="C3" s="629"/>
      <c r="D3" s="630"/>
      <c r="E3" s="630"/>
      <c r="F3" s="631"/>
      <c r="G3" s="422"/>
      <c r="H3" s="422"/>
      <c r="I3" s="632"/>
      <c r="J3" s="633"/>
      <c r="K3" s="634"/>
      <c r="L3" s="634"/>
      <c r="M3" s="635"/>
      <c r="N3" s="390"/>
      <c r="O3" s="390"/>
      <c r="P3" s="636"/>
      <c r="Q3" s="637"/>
      <c r="R3" s="422"/>
      <c r="S3" s="638"/>
      <c r="T3" s="639"/>
      <c r="U3" s="422"/>
      <c r="V3" s="431"/>
      <c r="W3" s="640"/>
      <c r="X3" s="422"/>
      <c r="Y3" s="422"/>
    </row>
    <row r="4" ht="12.75" customHeight="1" outlineLevel="1">
      <c r="A4" s="641" t="s">
        <v>5746</v>
      </c>
      <c r="B4" s="642" t="s">
        <v>5747</v>
      </c>
      <c r="C4" s="643" t="s">
        <v>5748</v>
      </c>
      <c r="D4" s="644">
        <f>SUMIF('Orcamento RU Viora Build'!$A:$A,A4,'Orcamento RU Viora Build'!$F:$F)</f>
        <v>16.83</v>
      </c>
      <c r="E4" s="645">
        <f t="shared" ref="E4:E29" si="1">K4+(K4*N4)</f>
        <v>107.64</v>
      </c>
      <c r="F4" s="646">
        <f t="shared" ref="F4:F29" si="2">D4*E4</f>
        <v>1811.5812</v>
      </c>
      <c r="G4" s="647"/>
      <c r="H4" s="648"/>
      <c r="I4" s="649">
        <v>82.8</v>
      </c>
      <c r="J4" s="650">
        <v>0.0</v>
      </c>
      <c r="K4" s="649">
        <f t="shared" ref="K4:K29" si="3">I4-I4*J4</f>
        <v>82.8</v>
      </c>
      <c r="L4" s="649">
        <f t="shared" ref="L4:L29" si="4">K4*D4</f>
        <v>1393.524</v>
      </c>
      <c r="M4" s="651">
        <f t="shared" ref="M4:M29" si="5">F4-L4</f>
        <v>418.0572</v>
      </c>
      <c r="N4" s="652">
        <f>N2</f>
        <v>0.3</v>
      </c>
      <c r="O4" s="653">
        <f t="shared" ref="O4:O29" si="6">M4/F4</f>
        <v>0.2307692308</v>
      </c>
      <c r="P4" s="654" t="s">
        <v>5749</v>
      </c>
      <c r="Q4" s="655" t="s">
        <v>5750</v>
      </c>
      <c r="R4" s="422"/>
      <c r="S4" s="656"/>
      <c r="T4" s="657"/>
      <c r="U4" s="422"/>
      <c r="V4" s="422"/>
      <c r="W4" s="422"/>
      <c r="X4" s="422"/>
      <c r="Y4" s="422"/>
    </row>
    <row r="5" ht="12.75" customHeight="1" outlineLevel="1">
      <c r="A5" s="641" t="s">
        <v>5751</v>
      </c>
      <c r="B5" s="642" t="s">
        <v>5752</v>
      </c>
      <c r="C5" s="643" t="s">
        <v>5748</v>
      </c>
      <c r="D5" s="644">
        <f>SUMIF('Orcamento RU Viora Build'!$A:$A,A5,'Orcamento RU Viora Build'!$F:$F)</f>
        <v>60.62166</v>
      </c>
      <c r="E5" s="645">
        <f t="shared" si="1"/>
        <v>114.218</v>
      </c>
      <c r="F5" s="646">
        <f t="shared" si="2"/>
        <v>6924.084762</v>
      </c>
      <c r="G5" s="647"/>
      <c r="H5" s="648"/>
      <c r="I5" s="658">
        <v>87.86</v>
      </c>
      <c r="J5" s="650">
        <v>0.0</v>
      </c>
      <c r="K5" s="649">
        <f t="shared" si="3"/>
        <v>87.86</v>
      </c>
      <c r="L5" s="649">
        <f t="shared" si="4"/>
        <v>5326.219048</v>
      </c>
      <c r="M5" s="651">
        <f t="shared" si="5"/>
        <v>1597.865714</v>
      </c>
      <c r="N5" s="659">
        <f t="shared" ref="N5:N29" si="7">$N$2</f>
        <v>0.3</v>
      </c>
      <c r="O5" s="653">
        <f t="shared" si="6"/>
        <v>0.2307692308</v>
      </c>
      <c r="P5" s="660" t="s">
        <v>5749</v>
      </c>
      <c r="Q5" s="655" t="s">
        <v>5750</v>
      </c>
      <c r="R5" s="422"/>
      <c r="S5" s="661"/>
      <c r="T5" s="662"/>
      <c r="U5" s="422"/>
      <c r="V5" s="422"/>
      <c r="W5" s="422"/>
      <c r="X5" s="422"/>
      <c r="Y5" s="422"/>
    </row>
    <row r="6" ht="12.75" customHeight="1" outlineLevel="1">
      <c r="A6" s="641" t="s">
        <v>5753</v>
      </c>
      <c r="B6" s="642" t="s">
        <v>5754</v>
      </c>
      <c r="C6" s="643" t="s">
        <v>5748</v>
      </c>
      <c r="D6" s="644">
        <f>SUMIF('Orcamento RU Viora Build'!$A:$A,A6,'Orcamento RU Viora Build'!$F:$F)</f>
        <v>302.97672</v>
      </c>
      <c r="E6" s="645">
        <f t="shared" si="1"/>
        <v>127.946</v>
      </c>
      <c r="F6" s="646">
        <f t="shared" si="2"/>
        <v>38764.65942</v>
      </c>
      <c r="G6" s="647"/>
      <c r="H6" s="648"/>
      <c r="I6" s="649">
        <v>98.42</v>
      </c>
      <c r="J6" s="650">
        <v>0.0</v>
      </c>
      <c r="K6" s="649">
        <f t="shared" si="3"/>
        <v>98.42</v>
      </c>
      <c r="L6" s="649">
        <f t="shared" si="4"/>
        <v>29818.96878</v>
      </c>
      <c r="M6" s="651">
        <f t="shared" si="5"/>
        <v>8945.690635</v>
      </c>
      <c r="N6" s="659">
        <f t="shared" si="7"/>
        <v>0.3</v>
      </c>
      <c r="O6" s="653">
        <f t="shared" si="6"/>
        <v>0.2307692308</v>
      </c>
      <c r="P6" s="660" t="s">
        <v>5749</v>
      </c>
      <c r="Q6" s="655" t="s">
        <v>5750</v>
      </c>
      <c r="R6" s="606"/>
      <c r="S6" s="661"/>
      <c r="T6" s="662"/>
      <c r="U6" s="422"/>
      <c r="V6" s="422"/>
      <c r="W6" s="422"/>
      <c r="X6" s="422"/>
      <c r="Y6" s="422"/>
    </row>
    <row r="7" ht="12.75" customHeight="1" outlineLevel="1">
      <c r="A7" s="641" t="s">
        <v>5755</v>
      </c>
      <c r="B7" s="642" t="s">
        <v>5756</v>
      </c>
      <c r="C7" s="643" t="s">
        <v>5748</v>
      </c>
      <c r="D7" s="644">
        <f>SUMIF('Orcamento RU Viora Build'!$A:$A,A7,'Orcamento RU Viora Build'!$F:$F)</f>
        <v>260.5692</v>
      </c>
      <c r="E7" s="645">
        <f t="shared" si="1"/>
        <v>143</v>
      </c>
      <c r="F7" s="646">
        <f t="shared" si="2"/>
        <v>37261.3956</v>
      </c>
      <c r="G7" s="647"/>
      <c r="H7" s="648"/>
      <c r="I7" s="649">
        <v>110.0</v>
      </c>
      <c r="J7" s="650">
        <v>0.0</v>
      </c>
      <c r="K7" s="649">
        <f t="shared" si="3"/>
        <v>110</v>
      </c>
      <c r="L7" s="649">
        <f t="shared" si="4"/>
        <v>28662.612</v>
      </c>
      <c r="M7" s="651">
        <f t="shared" si="5"/>
        <v>8598.7836</v>
      </c>
      <c r="N7" s="659">
        <f t="shared" si="7"/>
        <v>0.3</v>
      </c>
      <c r="O7" s="653">
        <f t="shared" si="6"/>
        <v>0.2307692308</v>
      </c>
      <c r="P7" s="660" t="s">
        <v>5749</v>
      </c>
      <c r="Q7" s="655" t="s">
        <v>5750</v>
      </c>
      <c r="R7" s="606"/>
      <c r="S7" s="661"/>
      <c r="T7" s="662"/>
      <c r="U7" s="422"/>
      <c r="V7" s="422"/>
      <c r="W7" s="422"/>
      <c r="X7" s="422"/>
      <c r="Y7" s="422"/>
    </row>
    <row r="8" ht="12.75" customHeight="1" outlineLevel="1">
      <c r="A8" s="641" t="s">
        <v>5757</v>
      </c>
      <c r="B8" s="642" t="s">
        <v>5758</v>
      </c>
      <c r="C8" s="643" t="s">
        <v>5748</v>
      </c>
      <c r="D8" s="644">
        <f>SUMIF('Orcamento RU Viora Build'!$A:$A,A8,'Orcamento RU Viora Build'!$F:$F)</f>
        <v>42.075</v>
      </c>
      <c r="E8" s="645">
        <f t="shared" si="1"/>
        <v>143</v>
      </c>
      <c r="F8" s="646">
        <f t="shared" si="2"/>
        <v>6016.725</v>
      </c>
      <c r="G8" s="647"/>
      <c r="H8" s="648"/>
      <c r="I8" s="649">
        <v>110.0</v>
      </c>
      <c r="J8" s="650">
        <v>0.0</v>
      </c>
      <c r="K8" s="649">
        <f t="shared" si="3"/>
        <v>110</v>
      </c>
      <c r="L8" s="649">
        <f t="shared" si="4"/>
        <v>4628.25</v>
      </c>
      <c r="M8" s="651">
        <f t="shared" si="5"/>
        <v>1388.475</v>
      </c>
      <c r="N8" s="659">
        <f t="shared" si="7"/>
        <v>0.3</v>
      </c>
      <c r="O8" s="653">
        <f t="shared" si="6"/>
        <v>0.2307692308</v>
      </c>
      <c r="P8" s="660" t="s">
        <v>5749</v>
      </c>
      <c r="Q8" s="655" t="s">
        <v>5750</v>
      </c>
      <c r="R8" s="606"/>
      <c r="S8" s="661"/>
      <c r="T8" s="662"/>
      <c r="U8" s="422"/>
      <c r="V8" s="422"/>
      <c r="W8" s="422"/>
      <c r="X8" s="422"/>
      <c r="Y8" s="422"/>
    </row>
    <row r="9" ht="12.75" customHeight="1" outlineLevel="1">
      <c r="A9" s="641" t="s">
        <v>5759</v>
      </c>
      <c r="B9" s="642" t="s">
        <v>5760</v>
      </c>
      <c r="C9" s="643" t="s">
        <v>5748</v>
      </c>
      <c r="D9" s="644">
        <f>SUMIF('Orcamento RU Viora Build'!$A:$A,A9,'Orcamento RU Viora Build'!$F:$F)</f>
        <v>17.136</v>
      </c>
      <c r="E9" s="645">
        <f t="shared" si="1"/>
        <v>116.493</v>
      </c>
      <c r="F9" s="646">
        <f t="shared" si="2"/>
        <v>1996.224048</v>
      </c>
      <c r="G9" s="647"/>
      <c r="H9" s="648"/>
      <c r="I9" s="658">
        <v>89.61</v>
      </c>
      <c r="J9" s="650">
        <v>0.0</v>
      </c>
      <c r="K9" s="649">
        <f t="shared" si="3"/>
        <v>89.61</v>
      </c>
      <c r="L9" s="649">
        <f t="shared" si="4"/>
        <v>1535.55696</v>
      </c>
      <c r="M9" s="651">
        <f t="shared" si="5"/>
        <v>460.667088</v>
      </c>
      <c r="N9" s="659">
        <f t="shared" si="7"/>
        <v>0.3</v>
      </c>
      <c r="O9" s="653">
        <f t="shared" si="6"/>
        <v>0.2307692308</v>
      </c>
      <c r="P9" s="660" t="s">
        <v>5761</v>
      </c>
      <c r="Q9" s="655"/>
      <c r="R9" s="663"/>
      <c r="S9" s="661"/>
      <c r="T9" s="662"/>
      <c r="U9" s="422"/>
      <c r="V9" s="422"/>
      <c r="W9" s="422"/>
      <c r="X9" s="422"/>
      <c r="Y9" s="422"/>
    </row>
    <row r="10" ht="12.75" customHeight="1" outlineLevel="1">
      <c r="A10" s="641" t="s">
        <v>5762</v>
      </c>
      <c r="B10" s="642" t="s">
        <v>5763</v>
      </c>
      <c r="C10" s="643" t="s">
        <v>5631</v>
      </c>
      <c r="D10" s="644">
        <f>SUMIF('Orcamento RU Viora Build'!$A:$A,A10,'Orcamento RU Viora Build'!$F:$F)</f>
        <v>79.2</v>
      </c>
      <c r="E10" s="645">
        <f t="shared" si="1"/>
        <v>0.51545</v>
      </c>
      <c r="F10" s="646">
        <f t="shared" si="2"/>
        <v>40.82364</v>
      </c>
      <c r="G10" s="647"/>
      <c r="H10" s="648"/>
      <c r="I10" s="658">
        <v>0.61</v>
      </c>
      <c r="J10" s="664">
        <v>0.35</v>
      </c>
      <c r="K10" s="649">
        <f t="shared" si="3"/>
        <v>0.3965</v>
      </c>
      <c r="L10" s="649">
        <f t="shared" si="4"/>
        <v>31.4028</v>
      </c>
      <c r="M10" s="651">
        <f t="shared" si="5"/>
        <v>9.42084</v>
      </c>
      <c r="N10" s="659">
        <f t="shared" si="7"/>
        <v>0.3</v>
      </c>
      <c r="O10" s="653">
        <f t="shared" si="6"/>
        <v>0.2307692308</v>
      </c>
      <c r="P10" s="660" t="s">
        <v>5764</v>
      </c>
      <c r="Q10" s="655"/>
      <c r="R10" s="606"/>
      <c r="S10" s="661"/>
      <c r="T10" s="662"/>
      <c r="U10" s="422"/>
      <c r="V10" s="422"/>
      <c r="W10" s="422"/>
      <c r="X10" s="422"/>
      <c r="Y10" s="422"/>
    </row>
    <row r="11" ht="12.75" customHeight="1" outlineLevel="1">
      <c r="A11" s="641" t="s">
        <v>5765</v>
      </c>
      <c r="B11" s="642" t="s">
        <v>5766</v>
      </c>
      <c r="C11" s="643" t="s">
        <v>5767</v>
      </c>
      <c r="D11" s="644">
        <f>SUMIF('Orcamento RU Viora Build'!$A:$A,A11,'Orcamento RU Viora Build'!$F:$F)</f>
        <v>35799.9365</v>
      </c>
      <c r="E11" s="645">
        <f t="shared" si="1"/>
        <v>0.5746</v>
      </c>
      <c r="F11" s="646">
        <f t="shared" si="2"/>
        <v>20570.64351</v>
      </c>
      <c r="G11" s="665"/>
      <c r="H11" s="666"/>
      <c r="I11" s="667">
        <v>0.68</v>
      </c>
      <c r="J11" s="664">
        <v>0.35</v>
      </c>
      <c r="K11" s="649">
        <f t="shared" si="3"/>
        <v>0.442</v>
      </c>
      <c r="L11" s="649">
        <f t="shared" si="4"/>
        <v>15823.57193</v>
      </c>
      <c r="M11" s="651">
        <f t="shared" si="5"/>
        <v>4747.07158</v>
      </c>
      <c r="N11" s="659">
        <f t="shared" si="7"/>
        <v>0.3</v>
      </c>
      <c r="O11" s="653">
        <f t="shared" si="6"/>
        <v>0.2307692308</v>
      </c>
      <c r="P11" s="660" t="s">
        <v>5768</v>
      </c>
      <c r="Q11" s="655" t="s">
        <v>5750</v>
      </c>
      <c r="R11" s="422"/>
      <c r="S11" s="661"/>
      <c r="T11" s="662"/>
      <c r="U11" s="422"/>
      <c r="V11" s="422"/>
      <c r="W11" s="422"/>
      <c r="X11" s="422"/>
      <c r="Y11" s="422"/>
    </row>
    <row r="12" ht="12.75" customHeight="1" outlineLevel="1">
      <c r="A12" s="641" t="s">
        <v>5769</v>
      </c>
      <c r="B12" s="642" t="s">
        <v>5770</v>
      </c>
      <c r="C12" s="643" t="s">
        <v>5767</v>
      </c>
      <c r="D12" s="644">
        <f>SUMIF('Orcamento RU Viora Build'!$A:$A,A12,'Orcamento RU Viora Build'!$F:$F)</f>
        <v>17878.3185</v>
      </c>
      <c r="E12" s="645">
        <f t="shared" si="1"/>
        <v>0.58305</v>
      </c>
      <c r="F12" s="646">
        <f t="shared" si="2"/>
        <v>10423.9536</v>
      </c>
      <c r="G12" s="665"/>
      <c r="H12" s="666"/>
      <c r="I12" s="667">
        <v>0.69</v>
      </c>
      <c r="J12" s="664">
        <v>0.35</v>
      </c>
      <c r="K12" s="649">
        <f t="shared" si="3"/>
        <v>0.4485</v>
      </c>
      <c r="L12" s="649">
        <f t="shared" si="4"/>
        <v>8018.425847</v>
      </c>
      <c r="M12" s="651">
        <f t="shared" si="5"/>
        <v>2405.527754</v>
      </c>
      <c r="N12" s="659">
        <f t="shared" si="7"/>
        <v>0.3</v>
      </c>
      <c r="O12" s="653">
        <f t="shared" si="6"/>
        <v>0.2307692308</v>
      </c>
      <c r="P12" s="660" t="s">
        <v>5768</v>
      </c>
      <c r="Q12" s="655" t="s">
        <v>5750</v>
      </c>
      <c r="R12" s="422"/>
      <c r="S12" s="661"/>
      <c r="T12" s="662"/>
      <c r="U12" s="422"/>
      <c r="V12" s="422"/>
      <c r="W12" s="422"/>
      <c r="X12" s="422"/>
      <c r="Y12" s="422"/>
    </row>
    <row r="13" ht="12.75" customHeight="1" outlineLevel="1">
      <c r="A13" s="641" t="s">
        <v>5771</v>
      </c>
      <c r="B13" s="642" t="s">
        <v>5772</v>
      </c>
      <c r="C13" s="643" t="s">
        <v>5767</v>
      </c>
      <c r="D13" s="644">
        <f>SUMIF('Orcamento RU Viora Build'!$A:$A,A13,'Orcamento RU Viora Build'!$F:$F)</f>
        <v>9229.647</v>
      </c>
      <c r="E13" s="645">
        <f t="shared" si="1"/>
        <v>0.61685</v>
      </c>
      <c r="F13" s="646">
        <f t="shared" si="2"/>
        <v>5693.307752</v>
      </c>
      <c r="G13" s="665"/>
      <c r="H13" s="666"/>
      <c r="I13" s="667">
        <v>0.73</v>
      </c>
      <c r="J13" s="664">
        <v>0.35</v>
      </c>
      <c r="K13" s="649">
        <f t="shared" si="3"/>
        <v>0.4745</v>
      </c>
      <c r="L13" s="649">
        <f t="shared" si="4"/>
        <v>4379.467502</v>
      </c>
      <c r="M13" s="651">
        <f t="shared" si="5"/>
        <v>1313.84025</v>
      </c>
      <c r="N13" s="659">
        <f t="shared" si="7"/>
        <v>0.3</v>
      </c>
      <c r="O13" s="653">
        <f t="shared" si="6"/>
        <v>0.2307692308</v>
      </c>
      <c r="P13" s="660" t="s">
        <v>5768</v>
      </c>
      <c r="Q13" s="655" t="s">
        <v>5750</v>
      </c>
      <c r="R13" s="422"/>
      <c r="S13" s="661"/>
      <c r="T13" s="662"/>
      <c r="U13" s="422"/>
      <c r="V13" s="422"/>
      <c r="W13" s="422"/>
      <c r="X13" s="422"/>
      <c r="Y13" s="422"/>
    </row>
    <row r="14" ht="12.75" customHeight="1" outlineLevel="1">
      <c r="A14" s="641" t="s">
        <v>5773</v>
      </c>
      <c r="B14" s="642" t="s">
        <v>5774</v>
      </c>
      <c r="C14" s="643" t="s">
        <v>5767</v>
      </c>
      <c r="D14" s="644">
        <f>SUMIF('Orcamento RU Viora Build'!$A:$A,A14,'Orcamento RU Viora Build'!$F:$F)</f>
        <v>14861.271</v>
      </c>
      <c r="E14" s="645">
        <f t="shared" si="1"/>
        <v>0.61685</v>
      </c>
      <c r="F14" s="646">
        <f t="shared" si="2"/>
        <v>9167.175016</v>
      </c>
      <c r="G14" s="665"/>
      <c r="H14" s="666"/>
      <c r="I14" s="667">
        <v>0.73</v>
      </c>
      <c r="J14" s="664">
        <v>0.35</v>
      </c>
      <c r="K14" s="649">
        <f t="shared" si="3"/>
        <v>0.4745</v>
      </c>
      <c r="L14" s="649">
        <f t="shared" si="4"/>
        <v>7051.67309</v>
      </c>
      <c r="M14" s="651">
        <f t="shared" si="5"/>
        <v>2115.501927</v>
      </c>
      <c r="N14" s="659">
        <f t="shared" si="7"/>
        <v>0.3</v>
      </c>
      <c r="O14" s="653">
        <f t="shared" si="6"/>
        <v>0.2307692308</v>
      </c>
      <c r="P14" s="660" t="s">
        <v>5768</v>
      </c>
      <c r="Q14" s="655" t="s">
        <v>5750</v>
      </c>
      <c r="R14" s="422"/>
      <c r="S14" s="661"/>
      <c r="T14" s="662"/>
      <c r="U14" s="422"/>
      <c r="V14" s="422"/>
      <c r="W14" s="422"/>
      <c r="X14" s="422"/>
      <c r="Y14" s="422"/>
    </row>
    <row r="15" ht="12.75" customHeight="1" outlineLevel="1">
      <c r="A15" s="641" t="s">
        <v>5775</v>
      </c>
      <c r="B15" s="642" t="s">
        <v>5776</v>
      </c>
      <c r="C15" s="643" t="s">
        <v>5767</v>
      </c>
      <c r="D15" s="644">
        <f>SUMIF('Orcamento RU Viora Build'!$A:$A,A15,'Orcamento RU Viora Build'!$F:$F)</f>
        <v>1107.9489</v>
      </c>
      <c r="E15" s="645">
        <f t="shared" si="1"/>
        <v>2.054</v>
      </c>
      <c r="F15" s="646">
        <f t="shared" si="2"/>
        <v>2275.727041</v>
      </c>
      <c r="G15" s="665"/>
      <c r="H15" s="666"/>
      <c r="I15" s="667">
        <v>1.58</v>
      </c>
      <c r="J15" s="664">
        <v>0.0</v>
      </c>
      <c r="K15" s="649">
        <f t="shared" si="3"/>
        <v>1.58</v>
      </c>
      <c r="L15" s="649">
        <f t="shared" si="4"/>
        <v>1750.559262</v>
      </c>
      <c r="M15" s="651">
        <f t="shared" si="5"/>
        <v>525.1677786</v>
      </c>
      <c r="N15" s="659">
        <f t="shared" si="7"/>
        <v>0.3</v>
      </c>
      <c r="O15" s="653">
        <f t="shared" si="6"/>
        <v>0.2307692308</v>
      </c>
      <c r="P15" s="660" t="s">
        <v>5768</v>
      </c>
      <c r="Q15" s="655" t="s">
        <v>5750</v>
      </c>
      <c r="R15" s="1"/>
      <c r="S15" s="668"/>
      <c r="T15" s="669"/>
      <c r="U15" s="1"/>
      <c r="V15" s="1"/>
      <c r="W15" s="1"/>
      <c r="X15" s="1"/>
      <c r="Y15" s="1"/>
    </row>
    <row r="16" ht="12.75" customHeight="1" outlineLevel="1">
      <c r="A16" s="641" t="s">
        <v>5777</v>
      </c>
      <c r="B16" s="642" t="s">
        <v>5778</v>
      </c>
      <c r="C16" s="643" t="s">
        <v>5636</v>
      </c>
      <c r="D16" s="644">
        <f>SUMIF('Orcamento RU Viora Build'!$A:$A,A16,'Orcamento RU Viora Build'!$F:$F)</f>
        <v>222.37978</v>
      </c>
      <c r="E16" s="645">
        <f t="shared" si="1"/>
        <v>0</v>
      </c>
      <c r="F16" s="646">
        <f t="shared" si="2"/>
        <v>0</v>
      </c>
      <c r="G16" s="665"/>
      <c r="H16" s="666"/>
      <c r="I16" s="667">
        <v>1.44</v>
      </c>
      <c r="J16" s="650">
        <v>1.0</v>
      </c>
      <c r="K16" s="649">
        <f t="shared" si="3"/>
        <v>0</v>
      </c>
      <c r="L16" s="649">
        <f t="shared" si="4"/>
        <v>0</v>
      </c>
      <c r="M16" s="651">
        <f t="shared" si="5"/>
        <v>0</v>
      </c>
      <c r="N16" s="659">
        <f t="shared" si="7"/>
        <v>0.3</v>
      </c>
      <c r="O16" s="653" t="str">
        <f t="shared" si="6"/>
        <v>#DIV/0!</v>
      </c>
      <c r="P16" s="670" t="s">
        <v>5779</v>
      </c>
      <c r="Q16" s="655" t="s">
        <v>5750</v>
      </c>
      <c r="R16" s="1"/>
      <c r="S16" s="671"/>
      <c r="T16" s="672"/>
      <c r="U16" s="1"/>
      <c r="V16" s="1"/>
      <c r="W16" s="1"/>
      <c r="X16" s="1"/>
      <c r="Y16" s="1"/>
    </row>
    <row r="17" ht="12.75" customHeight="1" outlineLevel="1">
      <c r="A17" s="641" t="s">
        <v>5780</v>
      </c>
      <c r="B17" s="642" t="s">
        <v>5781</v>
      </c>
      <c r="C17" s="643" t="s">
        <v>5636</v>
      </c>
      <c r="D17" s="644">
        <f>SUMIF('Orcamento RU Viora Build'!$A:$A,A17,'Orcamento RU Viora Build'!$F:$F)</f>
        <v>9.9971</v>
      </c>
      <c r="E17" s="645">
        <f t="shared" si="1"/>
        <v>0</v>
      </c>
      <c r="F17" s="646">
        <f t="shared" si="2"/>
        <v>0</v>
      </c>
      <c r="G17" s="665"/>
      <c r="H17" s="666"/>
      <c r="I17" s="667">
        <v>1.2</v>
      </c>
      <c r="J17" s="650">
        <v>1.0</v>
      </c>
      <c r="K17" s="649">
        <f t="shared" si="3"/>
        <v>0</v>
      </c>
      <c r="L17" s="649">
        <f t="shared" si="4"/>
        <v>0</v>
      </c>
      <c r="M17" s="651">
        <f t="shared" si="5"/>
        <v>0</v>
      </c>
      <c r="N17" s="659">
        <f t="shared" si="7"/>
        <v>0.3</v>
      </c>
      <c r="O17" s="653" t="str">
        <f t="shared" si="6"/>
        <v>#DIV/0!</v>
      </c>
      <c r="P17" s="673" t="s">
        <v>5779</v>
      </c>
      <c r="Q17" s="655" t="s">
        <v>5750</v>
      </c>
      <c r="R17" s="1"/>
      <c r="S17" s="668"/>
      <c r="T17" s="669"/>
      <c r="U17" s="1"/>
      <c r="V17" s="1"/>
      <c r="W17" s="1"/>
      <c r="X17" s="1"/>
      <c r="Y17" s="1"/>
    </row>
    <row r="18" ht="12.75" customHeight="1" outlineLevel="1">
      <c r="A18" s="641" t="s">
        <v>5782</v>
      </c>
      <c r="B18" s="674" t="s">
        <v>5783</v>
      </c>
      <c r="C18" s="643" t="s">
        <v>5635</v>
      </c>
      <c r="D18" s="644">
        <f>SUMIF('Orcamento RU Viora Build'!$A:$A,A18,'Orcamento RU Viora Build'!$F:$F)</f>
        <v>3158.13</v>
      </c>
      <c r="E18" s="645">
        <f t="shared" si="1"/>
        <v>0</v>
      </c>
      <c r="F18" s="646">
        <f t="shared" si="2"/>
        <v>0</v>
      </c>
      <c r="G18" s="665"/>
      <c r="H18" s="666"/>
      <c r="I18" s="667">
        <v>15.0</v>
      </c>
      <c r="J18" s="650">
        <v>1.0</v>
      </c>
      <c r="K18" s="649">
        <f t="shared" si="3"/>
        <v>0</v>
      </c>
      <c r="L18" s="649">
        <f t="shared" si="4"/>
        <v>0</v>
      </c>
      <c r="M18" s="651">
        <f t="shared" si="5"/>
        <v>0</v>
      </c>
      <c r="N18" s="659">
        <f t="shared" si="7"/>
        <v>0.3</v>
      </c>
      <c r="O18" s="653" t="str">
        <f t="shared" si="6"/>
        <v>#DIV/0!</v>
      </c>
      <c r="P18" s="675"/>
      <c r="Q18" s="655" t="s">
        <v>5750</v>
      </c>
      <c r="R18" s="1"/>
      <c r="S18" s="668"/>
      <c r="T18" s="669"/>
      <c r="U18" s="1"/>
      <c r="V18" s="1"/>
      <c r="W18" s="1"/>
      <c r="X18" s="1"/>
      <c r="Y18" s="1"/>
    </row>
    <row r="19" ht="12.75" customHeight="1" outlineLevel="1">
      <c r="A19" s="641" t="s">
        <v>5784</v>
      </c>
      <c r="B19" s="674" t="s">
        <v>5785</v>
      </c>
      <c r="C19" s="643" t="s">
        <v>5767</v>
      </c>
      <c r="D19" s="644">
        <f>SUMIF('Orcamento RU Viora Build'!$A:$A,A19,'Orcamento RU Viora Build'!$F:$F)</f>
        <v>261.22612</v>
      </c>
      <c r="E19" s="645">
        <f t="shared" si="1"/>
        <v>0</v>
      </c>
      <c r="F19" s="646">
        <f t="shared" si="2"/>
        <v>0</v>
      </c>
      <c r="G19" s="665"/>
      <c r="H19" s="666"/>
      <c r="I19" s="676">
        <v>3.0</v>
      </c>
      <c r="J19" s="650">
        <v>1.0</v>
      </c>
      <c r="K19" s="649">
        <f t="shared" si="3"/>
        <v>0</v>
      </c>
      <c r="L19" s="649">
        <f t="shared" si="4"/>
        <v>0</v>
      </c>
      <c r="M19" s="651">
        <f t="shared" si="5"/>
        <v>0</v>
      </c>
      <c r="N19" s="659">
        <f t="shared" si="7"/>
        <v>0.3</v>
      </c>
      <c r="O19" s="653" t="str">
        <f t="shared" si="6"/>
        <v>#DIV/0!</v>
      </c>
      <c r="P19" s="675"/>
      <c r="Q19" s="655" t="s">
        <v>5750</v>
      </c>
      <c r="R19" s="1"/>
      <c r="S19" s="668"/>
      <c r="T19" s="669"/>
      <c r="U19" s="1"/>
      <c r="V19" s="1"/>
      <c r="W19" s="1"/>
      <c r="X19" s="1"/>
      <c r="Y19" s="1"/>
    </row>
    <row r="20" ht="12.75" customHeight="1" outlineLevel="1">
      <c r="A20" s="641" t="s">
        <v>5786</v>
      </c>
      <c r="B20" s="674" t="s">
        <v>5787</v>
      </c>
      <c r="C20" s="643" t="s">
        <v>5631</v>
      </c>
      <c r="D20" s="644">
        <f>SUMIF('Orcamento RU Viora Build'!$A:$A,A20,'Orcamento RU Viora Build'!$F:$F)</f>
        <v>1279.404</v>
      </c>
      <c r="E20" s="645">
        <f t="shared" si="1"/>
        <v>7.8</v>
      </c>
      <c r="F20" s="646">
        <f t="shared" si="2"/>
        <v>9979.3512</v>
      </c>
      <c r="G20" s="665"/>
      <c r="H20" s="666"/>
      <c r="I20" s="677">
        <v>6.0</v>
      </c>
      <c r="J20" s="678">
        <v>0.0</v>
      </c>
      <c r="K20" s="679">
        <f t="shared" si="3"/>
        <v>6</v>
      </c>
      <c r="L20" s="679">
        <f t="shared" si="4"/>
        <v>7676.424</v>
      </c>
      <c r="M20" s="680">
        <f t="shared" si="5"/>
        <v>2302.9272</v>
      </c>
      <c r="N20" s="659">
        <f t="shared" si="7"/>
        <v>0.3</v>
      </c>
      <c r="O20" s="681">
        <f t="shared" si="6"/>
        <v>0.2307692308</v>
      </c>
      <c r="P20" s="682"/>
      <c r="Q20" s="683" t="s">
        <v>5788</v>
      </c>
      <c r="R20" s="684"/>
      <c r="S20" s="685"/>
      <c r="T20" s="686"/>
      <c r="U20" s="687"/>
      <c r="V20" s="1"/>
      <c r="W20" s="1"/>
      <c r="X20" s="1"/>
      <c r="Y20" s="1"/>
    </row>
    <row r="21" ht="12.75" customHeight="1" outlineLevel="1">
      <c r="A21" s="641" t="s">
        <v>5789</v>
      </c>
      <c r="B21" s="674" t="s">
        <v>5790</v>
      </c>
      <c r="C21" s="643" t="s">
        <v>5636</v>
      </c>
      <c r="D21" s="644">
        <f>SUMIF('Orcamento RU Viora Build'!$A:$A,A21,'Orcamento RU Viora Build'!$F:$F)</f>
        <v>58</v>
      </c>
      <c r="E21" s="645">
        <f t="shared" si="1"/>
        <v>7.15</v>
      </c>
      <c r="F21" s="646">
        <f t="shared" si="2"/>
        <v>414.7</v>
      </c>
      <c r="G21" s="665"/>
      <c r="H21" s="666"/>
      <c r="I21" s="667">
        <v>5.5</v>
      </c>
      <c r="J21" s="688">
        <v>0.0</v>
      </c>
      <c r="K21" s="689">
        <f t="shared" si="3"/>
        <v>5.5</v>
      </c>
      <c r="L21" s="689">
        <f t="shared" si="4"/>
        <v>319</v>
      </c>
      <c r="M21" s="690">
        <f t="shared" si="5"/>
        <v>95.7</v>
      </c>
      <c r="N21" s="659">
        <f t="shared" si="7"/>
        <v>0.3</v>
      </c>
      <c r="O21" s="691">
        <f t="shared" si="6"/>
        <v>0.2307692308</v>
      </c>
      <c r="P21" s="692" t="s">
        <v>5791</v>
      </c>
      <c r="Q21" s="655"/>
      <c r="R21" s="684"/>
      <c r="S21" s="668"/>
      <c r="T21" s="669"/>
      <c r="U21" s="1"/>
      <c r="V21" s="1"/>
      <c r="W21" s="1"/>
      <c r="X21" s="1"/>
      <c r="Y21" s="1"/>
    </row>
    <row r="22" ht="12.75" customHeight="1" outlineLevel="1">
      <c r="A22" s="641" t="s">
        <v>5792</v>
      </c>
      <c r="B22" s="674" t="s">
        <v>5793</v>
      </c>
      <c r="C22" s="643" t="s">
        <v>5636</v>
      </c>
      <c r="D22" s="644">
        <f>SUMIF('Orcamento RU Viora Build'!$A:$A,A22,'Orcamento RU Viora Build'!$F:$F)</f>
        <v>58</v>
      </c>
      <c r="E22" s="645">
        <f t="shared" si="1"/>
        <v>6.37</v>
      </c>
      <c r="F22" s="646">
        <f t="shared" si="2"/>
        <v>369.46</v>
      </c>
      <c r="G22" s="665"/>
      <c r="H22" s="666"/>
      <c r="I22" s="667">
        <v>4.9</v>
      </c>
      <c r="J22" s="688">
        <v>0.0</v>
      </c>
      <c r="K22" s="689">
        <f t="shared" si="3"/>
        <v>4.9</v>
      </c>
      <c r="L22" s="689">
        <f t="shared" si="4"/>
        <v>284.2</v>
      </c>
      <c r="M22" s="690">
        <f t="shared" si="5"/>
        <v>85.26</v>
      </c>
      <c r="N22" s="659">
        <f t="shared" si="7"/>
        <v>0.3</v>
      </c>
      <c r="O22" s="691">
        <f t="shared" si="6"/>
        <v>0.2307692308</v>
      </c>
      <c r="P22" s="692" t="s">
        <v>5794</v>
      </c>
      <c r="Q22" s="655"/>
      <c r="R22" s="684"/>
      <c r="S22" s="668"/>
      <c r="T22" s="669"/>
      <c r="U22" s="1"/>
      <c r="V22" s="1"/>
      <c r="W22" s="1"/>
      <c r="X22" s="1"/>
      <c r="Y22" s="1"/>
    </row>
    <row r="23" ht="12.75" customHeight="1" outlineLevel="1">
      <c r="A23" s="641" t="s">
        <v>5795</v>
      </c>
      <c r="B23" s="674" t="s">
        <v>5796</v>
      </c>
      <c r="C23" s="643" t="s">
        <v>5636</v>
      </c>
      <c r="D23" s="644">
        <f>SUMIF('Orcamento RU Viora Build'!$A:$A,A23,'Orcamento RU Viora Build'!$F:$F)</f>
        <v>638</v>
      </c>
      <c r="E23" s="645">
        <f t="shared" si="1"/>
        <v>3.25</v>
      </c>
      <c r="F23" s="646">
        <f t="shared" si="2"/>
        <v>2073.5</v>
      </c>
      <c r="G23" s="665"/>
      <c r="H23" s="666"/>
      <c r="I23" s="677">
        <v>2.5</v>
      </c>
      <c r="J23" s="678">
        <v>0.0</v>
      </c>
      <c r="K23" s="679">
        <f t="shared" si="3"/>
        <v>2.5</v>
      </c>
      <c r="L23" s="679">
        <f t="shared" si="4"/>
        <v>1595</v>
      </c>
      <c r="M23" s="680">
        <f t="shared" si="5"/>
        <v>478.5</v>
      </c>
      <c r="N23" s="659">
        <f t="shared" si="7"/>
        <v>0.3</v>
      </c>
      <c r="O23" s="681">
        <f t="shared" si="6"/>
        <v>0.2307692308</v>
      </c>
      <c r="P23" s="693"/>
      <c r="Q23" s="694" t="s">
        <v>5797</v>
      </c>
      <c r="R23" s="684"/>
      <c r="S23" s="685"/>
      <c r="T23" s="686"/>
      <c r="U23" s="1"/>
      <c r="V23" s="1"/>
      <c r="W23" s="1"/>
      <c r="X23" s="1"/>
      <c r="Y23" s="1"/>
    </row>
    <row r="24" ht="12.75" customHeight="1" outlineLevel="1">
      <c r="A24" s="641" t="s">
        <v>5798</v>
      </c>
      <c r="B24" s="674" t="s">
        <v>5799</v>
      </c>
      <c r="C24" s="643" t="s">
        <v>5631</v>
      </c>
      <c r="D24" s="644">
        <f>SUMIF('Orcamento RU Viora Build'!$A:$A,A24,'Orcamento RU Viora Build'!$F:$F)</f>
        <v>48.09</v>
      </c>
      <c r="E24" s="645">
        <f t="shared" si="1"/>
        <v>14.3728</v>
      </c>
      <c r="F24" s="646">
        <f t="shared" si="2"/>
        <v>691.187952</v>
      </c>
      <c r="G24" s="665"/>
      <c r="H24" s="666"/>
      <c r="I24" s="667">
        <v>11.056</v>
      </c>
      <c r="J24" s="688">
        <v>0.0</v>
      </c>
      <c r="K24" s="689">
        <f t="shared" si="3"/>
        <v>11.056</v>
      </c>
      <c r="L24" s="689">
        <f t="shared" si="4"/>
        <v>531.68304</v>
      </c>
      <c r="M24" s="690">
        <f t="shared" si="5"/>
        <v>159.504912</v>
      </c>
      <c r="N24" s="659">
        <f t="shared" si="7"/>
        <v>0.3</v>
      </c>
      <c r="O24" s="691">
        <f t="shared" si="6"/>
        <v>0.2307692308</v>
      </c>
      <c r="P24" s="660" t="s">
        <v>5794</v>
      </c>
      <c r="Q24" s="655"/>
      <c r="R24" s="684"/>
      <c r="S24" s="668"/>
      <c r="T24" s="669"/>
      <c r="U24" s="1"/>
      <c r="V24" s="1"/>
      <c r="W24" s="1"/>
      <c r="X24" s="1"/>
      <c r="Y24" s="1"/>
    </row>
    <row r="25" ht="12.75" customHeight="1" outlineLevel="1">
      <c r="A25" s="641" t="s">
        <v>5800</v>
      </c>
      <c r="B25" s="674" t="s">
        <v>5801</v>
      </c>
      <c r="C25" s="643" t="s">
        <v>5631</v>
      </c>
      <c r="D25" s="644">
        <f>SUMIF('Orcamento RU Viora Build'!$A:$A,A25,'Orcamento RU Viora Build'!$F:$F)</f>
        <v>10.941</v>
      </c>
      <c r="E25" s="645">
        <f t="shared" si="1"/>
        <v>25.48</v>
      </c>
      <c r="F25" s="646">
        <f t="shared" si="2"/>
        <v>278.77668</v>
      </c>
      <c r="G25" s="665"/>
      <c r="H25" s="666"/>
      <c r="I25" s="667">
        <v>19.6</v>
      </c>
      <c r="J25" s="695">
        <v>0.0</v>
      </c>
      <c r="K25" s="649">
        <f t="shared" si="3"/>
        <v>19.6</v>
      </c>
      <c r="L25" s="649">
        <f t="shared" si="4"/>
        <v>214.4436</v>
      </c>
      <c r="M25" s="651">
        <f t="shared" si="5"/>
        <v>64.33308</v>
      </c>
      <c r="N25" s="659">
        <f t="shared" si="7"/>
        <v>0.3</v>
      </c>
      <c r="O25" s="653">
        <f t="shared" si="6"/>
        <v>0.2307692308</v>
      </c>
      <c r="P25" s="660" t="s">
        <v>5802</v>
      </c>
      <c r="Q25" s="696"/>
      <c r="R25" s="684"/>
      <c r="S25" s="668"/>
      <c r="T25" s="669"/>
      <c r="U25" s="1"/>
      <c r="V25" s="1"/>
      <c r="W25" s="1"/>
      <c r="X25" s="1"/>
      <c r="Y25" s="1"/>
    </row>
    <row r="26" ht="12.75" customHeight="1" outlineLevel="1">
      <c r="A26" s="641" t="s">
        <v>5803</v>
      </c>
      <c r="B26" s="674" t="s">
        <v>5804</v>
      </c>
      <c r="C26" s="643" t="s">
        <v>5636</v>
      </c>
      <c r="D26" s="644">
        <f>SUMIF('Orcamento RU Viora Build'!$A:$A,A26,'Orcamento RU Viora Build'!$F:$F)</f>
        <v>18</v>
      </c>
      <c r="E26" s="645">
        <f t="shared" si="1"/>
        <v>163.67</v>
      </c>
      <c r="F26" s="646">
        <f t="shared" si="2"/>
        <v>2946.06</v>
      </c>
      <c r="G26" s="665"/>
      <c r="H26" s="666"/>
      <c r="I26" s="667">
        <v>125.9</v>
      </c>
      <c r="J26" s="695">
        <v>0.0</v>
      </c>
      <c r="K26" s="649">
        <f t="shared" si="3"/>
        <v>125.9</v>
      </c>
      <c r="L26" s="649">
        <f t="shared" si="4"/>
        <v>2266.2</v>
      </c>
      <c r="M26" s="651">
        <f t="shared" si="5"/>
        <v>679.86</v>
      </c>
      <c r="N26" s="659">
        <f t="shared" si="7"/>
        <v>0.3</v>
      </c>
      <c r="O26" s="653">
        <f t="shared" si="6"/>
        <v>0.2307692308</v>
      </c>
      <c r="P26" s="660" t="s">
        <v>5805</v>
      </c>
      <c r="Q26" s="697"/>
      <c r="R26" s="684"/>
      <c r="S26" s="668"/>
      <c r="T26" s="669"/>
      <c r="U26" s="1"/>
      <c r="V26" s="1"/>
      <c r="W26" s="1"/>
      <c r="X26" s="1"/>
      <c r="Y26" s="1"/>
    </row>
    <row r="27" ht="12.75" customHeight="1" outlineLevel="1">
      <c r="A27" s="641" t="s">
        <v>5806</v>
      </c>
      <c r="B27" s="674" t="s">
        <v>5807</v>
      </c>
      <c r="C27" s="643" t="s">
        <v>5767</v>
      </c>
      <c r="D27" s="644">
        <f>SUMIF('Orcamento RU Viora Build'!$A:$A,A27,'Orcamento RU Viora Build'!$F:$F)</f>
        <v>5975.56</v>
      </c>
      <c r="E27" s="645">
        <f t="shared" si="1"/>
        <v>3.042</v>
      </c>
      <c r="F27" s="646">
        <f t="shared" si="2"/>
        <v>18177.65352</v>
      </c>
      <c r="G27" s="665"/>
      <c r="H27" s="666"/>
      <c r="I27" s="667">
        <v>2.6</v>
      </c>
      <c r="J27" s="650">
        <v>0.1</v>
      </c>
      <c r="K27" s="649">
        <f t="shared" si="3"/>
        <v>2.34</v>
      </c>
      <c r="L27" s="649">
        <f t="shared" si="4"/>
        <v>13982.8104</v>
      </c>
      <c r="M27" s="651">
        <f t="shared" si="5"/>
        <v>4194.84312</v>
      </c>
      <c r="N27" s="659">
        <f t="shared" si="7"/>
        <v>0.3</v>
      </c>
      <c r="O27" s="653">
        <f t="shared" si="6"/>
        <v>0.2307692308</v>
      </c>
      <c r="P27" s="660" t="s">
        <v>5805</v>
      </c>
      <c r="Q27" s="698"/>
      <c r="R27" s="684"/>
      <c r="S27" s="668"/>
      <c r="T27" s="669"/>
      <c r="U27" s="1"/>
      <c r="V27" s="1"/>
      <c r="W27" s="1"/>
      <c r="X27" s="1"/>
      <c r="Y27" s="1"/>
    </row>
    <row r="28" ht="12.75" customHeight="1" outlineLevel="1">
      <c r="A28" s="641" t="s">
        <v>5808</v>
      </c>
      <c r="B28" s="674" t="s">
        <v>5809</v>
      </c>
      <c r="C28" s="643" t="s">
        <v>5767</v>
      </c>
      <c r="D28" s="644">
        <f>SUMIF('Orcamento RU Viora Build'!$A:$A,A28,'Orcamento RU Viora Build'!$F:$F)</f>
        <v>3972.81</v>
      </c>
      <c r="E28" s="645">
        <f t="shared" si="1"/>
        <v>2.808</v>
      </c>
      <c r="F28" s="646">
        <f t="shared" si="2"/>
        <v>11155.65048</v>
      </c>
      <c r="G28" s="665"/>
      <c r="H28" s="666"/>
      <c r="I28" s="667">
        <v>2.4</v>
      </c>
      <c r="J28" s="650">
        <v>0.1</v>
      </c>
      <c r="K28" s="649">
        <f t="shared" si="3"/>
        <v>2.16</v>
      </c>
      <c r="L28" s="649">
        <f t="shared" si="4"/>
        <v>8581.2696</v>
      </c>
      <c r="M28" s="651">
        <f t="shared" si="5"/>
        <v>2574.38088</v>
      </c>
      <c r="N28" s="659">
        <f t="shared" si="7"/>
        <v>0.3</v>
      </c>
      <c r="O28" s="653">
        <f t="shared" si="6"/>
        <v>0.2307692308</v>
      </c>
      <c r="P28" s="660" t="s">
        <v>5810</v>
      </c>
      <c r="Q28" s="698"/>
      <c r="R28" s="684"/>
      <c r="S28" s="668"/>
      <c r="T28" s="669"/>
      <c r="U28" s="1"/>
      <c r="V28" s="1"/>
      <c r="W28" s="1"/>
      <c r="X28" s="1"/>
      <c r="Y28" s="1"/>
    </row>
    <row r="29" ht="12.75" customHeight="1" outlineLevel="1">
      <c r="A29" s="641" t="s">
        <v>5811</v>
      </c>
      <c r="B29" s="674" t="s">
        <v>5812</v>
      </c>
      <c r="C29" s="643" t="s">
        <v>5767</v>
      </c>
      <c r="D29" s="644">
        <f>SUMIF('Orcamento RU Viora Build'!$A:$A,A29,'Orcamento RU Viora Build'!$F:$F)</f>
        <v>2891.1435</v>
      </c>
      <c r="E29" s="645">
        <f t="shared" si="1"/>
        <v>2.574</v>
      </c>
      <c r="F29" s="646">
        <f t="shared" si="2"/>
        <v>7441.803369</v>
      </c>
      <c r="G29" s="665"/>
      <c r="H29" s="666"/>
      <c r="I29" s="667">
        <v>2.2</v>
      </c>
      <c r="J29" s="650">
        <v>0.1</v>
      </c>
      <c r="K29" s="649">
        <f t="shared" si="3"/>
        <v>1.98</v>
      </c>
      <c r="L29" s="649">
        <f t="shared" si="4"/>
        <v>5724.46413</v>
      </c>
      <c r="M29" s="651">
        <f t="shared" si="5"/>
        <v>1717.339239</v>
      </c>
      <c r="N29" s="659">
        <f t="shared" si="7"/>
        <v>0.3</v>
      </c>
      <c r="O29" s="653">
        <f t="shared" si="6"/>
        <v>0.2307692308</v>
      </c>
      <c r="P29" s="660" t="s">
        <v>5813</v>
      </c>
      <c r="Q29" s="698"/>
      <c r="R29" s="684"/>
      <c r="S29" s="699"/>
      <c r="T29" s="700"/>
      <c r="U29" s="1"/>
      <c r="V29" s="1"/>
      <c r="W29" s="1"/>
      <c r="X29" s="1"/>
      <c r="Y29" s="1"/>
    </row>
    <row r="30" ht="15.75" customHeight="1" outlineLevel="1">
      <c r="A30" s="701" t="s">
        <v>5814</v>
      </c>
      <c r="B30" s="702"/>
      <c r="C30" s="703"/>
      <c r="D30" s="704"/>
      <c r="E30" s="705"/>
      <c r="F30" s="706"/>
      <c r="G30" s="707"/>
      <c r="H30" s="666"/>
      <c r="I30" s="632"/>
      <c r="J30" s="633"/>
      <c r="K30" s="634"/>
      <c r="L30" s="708"/>
      <c r="M30" s="390"/>
      <c r="N30" s="390"/>
      <c r="O30" s="636"/>
      <c r="P30" s="709"/>
      <c r="Q30" s="710"/>
      <c r="R30" s="422"/>
      <c r="S30" s="711"/>
      <c r="T30" s="712"/>
      <c r="U30" s="422"/>
      <c r="V30" s="422"/>
      <c r="W30" s="422"/>
      <c r="X30" s="422"/>
      <c r="Y30" s="422"/>
    </row>
    <row r="31" ht="15.75" customHeight="1" outlineLevel="1">
      <c r="A31" s="641" t="s">
        <v>5815</v>
      </c>
      <c r="B31" s="642" t="s">
        <v>5816</v>
      </c>
      <c r="C31" s="643" t="s">
        <v>5636</v>
      </c>
      <c r="D31" s="644">
        <f>SUMIF('Orcamento RU Viora Build'!$A:$A,A31,'Orcamento RU Viora Build'!$F:$F)</f>
        <v>2487</v>
      </c>
      <c r="E31" s="645">
        <f t="shared" ref="E31:E39" si="8">K31+(K31*N31)</f>
        <v>1.105</v>
      </c>
      <c r="F31" s="646">
        <f t="shared" ref="F31:F39" si="9">D31*E31</f>
        <v>2748.135</v>
      </c>
      <c r="G31" s="665"/>
      <c r="H31" s="666"/>
      <c r="I31" s="649">
        <v>0.85</v>
      </c>
      <c r="J31" s="650">
        <v>0.0</v>
      </c>
      <c r="K31" s="649">
        <f t="shared" ref="K31:K39" si="10">I31-I31*J31</f>
        <v>0.85</v>
      </c>
      <c r="L31" s="649">
        <f t="shared" ref="L31:L39" si="11">K31*D31</f>
        <v>2113.95</v>
      </c>
      <c r="M31" s="651">
        <f t="shared" ref="M31:M39" si="12">F31-L31</f>
        <v>634.185</v>
      </c>
      <c r="N31" s="659">
        <f t="shared" ref="N31:N39" si="13">$N$2</f>
        <v>0.3</v>
      </c>
      <c r="O31" s="675">
        <f t="shared" ref="O31:O39" si="14">M31/F31</f>
        <v>0.2307692308</v>
      </c>
      <c r="P31" s="660" t="s">
        <v>5764</v>
      </c>
      <c r="Q31" s="655" t="s">
        <v>5750</v>
      </c>
      <c r="R31" s="422"/>
      <c r="S31" s="656"/>
      <c r="T31" s="657"/>
      <c r="U31" s="422"/>
      <c r="V31" s="422"/>
      <c r="W31" s="422"/>
      <c r="X31" s="422"/>
      <c r="Y31" s="422"/>
    </row>
    <row r="32" ht="15.75" customHeight="1" outlineLevel="1">
      <c r="A32" s="641" t="s">
        <v>5817</v>
      </c>
      <c r="B32" s="642" t="s">
        <v>5818</v>
      </c>
      <c r="C32" s="643" t="s">
        <v>5636</v>
      </c>
      <c r="D32" s="644">
        <f>SUMIF('Orcamento RU Viora Build'!$A:$A,A32,'Orcamento RU Viora Build'!$F:$F)</f>
        <v>3454</v>
      </c>
      <c r="E32" s="645">
        <f t="shared" si="8"/>
        <v>0.728</v>
      </c>
      <c r="F32" s="646">
        <f t="shared" si="9"/>
        <v>2514.512</v>
      </c>
      <c r="G32" s="665"/>
      <c r="H32" s="666"/>
      <c r="I32" s="658">
        <v>0.56</v>
      </c>
      <c r="J32" s="650">
        <v>0.0</v>
      </c>
      <c r="K32" s="649">
        <f t="shared" si="10"/>
        <v>0.56</v>
      </c>
      <c r="L32" s="649">
        <f t="shared" si="11"/>
        <v>1934.24</v>
      </c>
      <c r="M32" s="651">
        <f t="shared" si="12"/>
        <v>580.272</v>
      </c>
      <c r="N32" s="659">
        <f t="shared" si="13"/>
        <v>0.3</v>
      </c>
      <c r="O32" s="675">
        <f t="shared" si="14"/>
        <v>0.2307692308</v>
      </c>
      <c r="P32" s="660" t="s">
        <v>5764</v>
      </c>
      <c r="Q32" s="655" t="s">
        <v>5750</v>
      </c>
      <c r="R32" s="422"/>
      <c r="S32" s="661"/>
      <c r="T32" s="662"/>
      <c r="U32" s="422"/>
      <c r="V32" s="422"/>
      <c r="W32" s="422"/>
      <c r="X32" s="422"/>
      <c r="Y32" s="422"/>
    </row>
    <row r="33" ht="15.75" customHeight="1" outlineLevel="1">
      <c r="A33" s="641" t="s">
        <v>5819</v>
      </c>
      <c r="B33" s="642" t="s">
        <v>5820</v>
      </c>
      <c r="C33" s="643" t="s">
        <v>5636</v>
      </c>
      <c r="D33" s="644">
        <f>SUMIF('Orcamento RU Viora Build'!$A:$A,A33,'Orcamento RU Viora Build'!$F:$F)</f>
        <v>3846</v>
      </c>
      <c r="E33" s="645">
        <f t="shared" si="8"/>
        <v>0.559</v>
      </c>
      <c r="F33" s="646">
        <f t="shared" si="9"/>
        <v>2149.914</v>
      </c>
      <c r="G33" s="665"/>
      <c r="H33" s="666"/>
      <c r="I33" s="658">
        <v>0.43</v>
      </c>
      <c r="J33" s="650">
        <v>0.0</v>
      </c>
      <c r="K33" s="649">
        <f t="shared" si="10"/>
        <v>0.43</v>
      </c>
      <c r="L33" s="649">
        <f t="shared" si="11"/>
        <v>1653.78</v>
      </c>
      <c r="M33" s="651">
        <f t="shared" si="12"/>
        <v>496.134</v>
      </c>
      <c r="N33" s="659">
        <f t="shared" si="13"/>
        <v>0.3</v>
      </c>
      <c r="O33" s="675">
        <f t="shared" si="14"/>
        <v>0.2307692308</v>
      </c>
      <c r="P33" s="660" t="s">
        <v>5764</v>
      </c>
      <c r="Q33" s="655" t="s">
        <v>5750</v>
      </c>
      <c r="R33" s="1"/>
      <c r="S33" s="668"/>
      <c r="T33" s="669"/>
      <c r="U33" s="1"/>
      <c r="V33" s="1"/>
      <c r="W33" s="1"/>
      <c r="X33" s="1"/>
      <c r="Y33" s="1"/>
    </row>
    <row r="34" ht="15.75" customHeight="1" outlineLevel="1">
      <c r="A34" s="641" t="s">
        <v>5821</v>
      </c>
      <c r="B34" s="642" t="s">
        <v>5822</v>
      </c>
      <c r="C34" s="643" t="s">
        <v>5636</v>
      </c>
      <c r="D34" s="644">
        <f>SUMIF('Orcamento RU Viora Build'!$A:$A,A34,'Orcamento RU Viora Build'!$F:$F)</f>
        <v>235</v>
      </c>
      <c r="E34" s="645">
        <f t="shared" si="8"/>
        <v>0.351</v>
      </c>
      <c r="F34" s="646">
        <f t="shared" si="9"/>
        <v>82.485</v>
      </c>
      <c r="G34" s="665"/>
      <c r="H34" s="666"/>
      <c r="I34" s="649">
        <v>0.27</v>
      </c>
      <c r="J34" s="650">
        <v>0.0</v>
      </c>
      <c r="K34" s="649">
        <f t="shared" si="10"/>
        <v>0.27</v>
      </c>
      <c r="L34" s="649">
        <f t="shared" si="11"/>
        <v>63.45</v>
      </c>
      <c r="M34" s="651">
        <f t="shared" si="12"/>
        <v>19.035</v>
      </c>
      <c r="N34" s="659">
        <f t="shared" si="13"/>
        <v>0.3</v>
      </c>
      <c r="O34" s="675">
        <f t="shared" si="14"/>
        <v>0.2307692308</v>
      </c>
      <c r="P34" s="660" t="s">
        <v>5823</v>
      </c>
      <c r="Q34" s="655" t="s">
        <v>5750</v>
      </c>
      <c r="R34" s="1"/>
      <c r="S34" s="668"/>
      <c r="T34" s="669"/>
      <c r="U34" s="1"/>
      <c r="V34" s="1"/>
      <c r="W34" s="1"/>
      <c r="X34" s="1"/>
      <c r="Y34" s="1"/>
    </row>
    <row r="35" ht="15.75" customHeight="1" outlineLevel="1">
      <c r="A35" s="641" t="s">
        <v>5824</v>
      </c>
      <c r="B35" s="642" t="s">
        <v>5825</v>
      </c>
      <c r="C35" s="643" t="s">
        <v>5636</v>
      </c>
      <c r="D35" s="644">
        <f>SUMIF('Orcamento RU Viora Build'!$A:$A,A35,'Orcamento RU Viora Build'!$F:$F)</f>
        <v>772</v>
      </c>
      <c r="E35" s="645">
        <f t="shared" si="8"/>
        <v>1.989</v>
      </c>
      <c r="F35" s="646">
        <f t="shared" si="9"/>
        <v>1535.508</v>
      </c>
      <c r="G35" s="665"/>
      <c r="H35" s="666"/>
      <c r="I35" s="658">
        <v>1.53</v>
      </c>
      <c r="J35" s="650">
        <v>0.0</v>
      </c>
      <c r="K35" s="649">
        <f t="shared" si="10"/>
        <v>1.53</v>
      </c>
      <c r="L35" s="649">
        <f t="shared" si="11"/>
        <v>1181.16</v>
      </c>
      <c r="M35" s="651">
        <f t="shared" si="12"/>
        <v>354.348</v>
      </c>
      <c r="N35" s="659">
        <f t="shared" si="13"/>
        <v>0.3</v>
      </c>
      <c r="O35" s="675">
        <f t="shared" si="14"/>
        <v>0.2307692308</v>
      </c>
      <c r="P35" s="660" t="s">
        <v>5826</v>
      </c>
      <c r="Q35" s="655"/>
      <c r="R35" s="1"/>
      <c r="S35" s="668"/>
      <c r="T35" s="669"/>
      <c r="U35" s="1"/>
      <c r="V35" s="1"/>
      <c r="W35" s="1"/>
      <c r="X35" s="1"/>
      <c r="Y35" s="1"/>
    </row>
    <row r="36" ht="15.75" customHeight="1" outlineLevel="1">
      <c r="A36" s="641" t="s">
        <v>5827</v>
      </c>
      <c r="B36" s="642" t="s">
        <v>5828</v>
      </c>
      <c r="C36" s="643" t="s">
        <v>5636</v>
      </c>
      <c r="D36" s="644">
        <f>SUMIF('Orcamento RU Viora Build'!$A:$A,A36,'Orcamento RU Viora Build'!$F:$F)</f>
        <v>940</v>
      </c>
      <c r="E36" s="645">
        <f t="shared" si="8"/>
        <v>1.781</v>
      </c>
      <c r="F36" s="646">
        <f t="shared" si="9"/>
        <v>1674.14</v>
      </c>
      <c r="G36" s="665"/>
      <c r="H36" s="666"/>
      <c r="I36" s="649">
        <v>1.37</v>
      </c>
      <c r="J36" s="650">
        <v>0.0</v>
      </c>
      <c r="K36" s="649">
        <f t="shared" si="10"/>
        <v>1.37</v>
      </c>
      <c r="L36" s="649">
        <f t="shared" si="11"/>
        <v>1287.8</v>
      </c>
      <c r="M36" s="651">
        <f t="shared" si="12"/>
        <v>386.34</v>
      </c>
      <c r="N36" s="659">
        <f t="shared" si="13"/>
        <v>0.3</v>
      </c>
      <c r="O36" s="675">
        <f t="shared" si="14"/>
        <v>0.2307692308</v>
      </c>
      <c r="P36" s="660" t="s">
        <v>5826</v>
      </c>
      <c r="Q36" s="655" t="s">
        <v>5750</v>
      </c>
      <c r="R36" s="1"/>
      <c r="S36" s="668"/>
      <c r="T36" s="669"/>
      <c r="U36" s="1"/>
      <c r="V36" s="1"/>
      <c r="W36" s="1"/>
      <c r="X36" s="1"/>
      <c r="Y36" s="1"/>
    </row>
    <row r="37" ht="15.75" customHeight="1" outlineLevel="1">
      <c r="A37" s="641" t="s">
        <v>5829</v>
      </c>
      <c r="B37" s="642" t="s">
        <v>5830</v>
      </c>
      <c r="C37" s="643" t="s">
        <v>5636</v>
      </c>
      <c r="D37" s="644">
        <f>SUMIF('Orcamento RU Viora Build'!$A:$A,A37,'Orcamento RU Viora Build'!$F:$F)</f>
        <v>200</v>
      </c>
      <c r="E37" s="645">
        <f t="shared" si="8"/>
        <v>0.91</v>
      </c>
      <c r="F37" s="646">
        <f t="shared" si="9"/>
        <v>182</v>
      </c>
      <c r="G37" s="665"/>
      <c r="H37" s="666"/>
      <c r="I37" s="649">
        <v>0.7</v>
      </c>
      <c r="J37" s="650">
        <v>0.0</v>
      </c>
      <c r="K37" s="649">
        <f t="shared" si="10"/>
        <v>0.7</v>
      </c>
      <c r="L37" s="649">
        <f t="shared" si="11"/>
        <v>140</v>
      </c>
      <c r="M37" s="651">
        <f t="shared" si="12"/>
        <v>42</v>
      </c>
      <c r="N37" s="659">
        <f t="shared" si="13"/>
        <v>0.3</v>
      </c>
      <c r="O37" s="675">
        <f t="shared" si="14"/>
        <v>0.2307692308</v>
      </c>
      <c r="P37" s="660" t="s">
        <v>5826</v>
      </c>
      <c r="Q37" s="655" t="s">
        <v>5750</v>
      </c>
      <c r="R37" s="1"/>
      <c r="S37" s="668"/>
      <c r="T37" s="669"/>
      <c r="U37" s="1"/>
      <c r="V37" s="1"/>
      <c r="W37" s="1"/>
      <c r="X37" s="1"/>
      <c r="Y37" s="1"/>
    </row>
    <row r="38" ht="15.75" customHeight="1" outlineLevel="1">
      <c r="A38" s="641" t="s">
        <v>5831</v>
      </c>
      <c r="B38" s="642" t="s">
        <v>5832</v>
      </c>
      <c r="C38" s="643" t="s">
        <v>5833</v>
      </c>
      <c r="D38" s="644">
        <f>SUMIF('Orcamento RU Viora Build'!$A:$A,A38,'Orcamento RU Viora Build'!$F:$F)</f>
        <v>28.7554</v>
      </c>
      <c r="E38" s="645">
        <f t="shared" si="8"/>
        <v>189.1032</v>
      </c>
      <c r="F38" s="646">
        <f t="shared" si="9"/>
        <v>5437.738157</v>
      </c>
      <c r="G38" s="665"/>
      <c r="H38" s="666"/>
      <c r="I38" s="667">
        <v>167.2</v>
      </c>
      <c r="J38" s="650">
        <v>0.13</v>
      </c>
      <c r="K38" s="649">
        <f t="shared" si="10"/>
        <v>145.464</v>
      </c>
      <c r="L38" s="649">
        <f t="shared" si="11"/>
        <v>4182.875506</v>
      </c>
      <c r="M38" s="651">
        <f t="shared" si="12"/>
        <v>1254.862652</v>
      </c>
      <c r="N38" s="659">
        <f t="shared" si="13"/>
        <v>0.3</v>
      </c>
      <c r="O38" s="675">
        <f t="shared" si="14"/>
        <v>0.2307692308</v>
      </c>
      <c r="P38" s="660" t="s">
        <v>5823</v>
      </c>
      <c r="Q38" s="655" t="s">
        <v>5750</v>
      </c>
      <c r="R38" s="1"/>
      <c r="S38" s="668"/>
      <c r="T38" s="669"/>
      <c r="U38" s="1"/>
      <c r="V38" s="1"/>
      <c r="W38" s="1"/>
      <c r="X38" s="1"/>
      <c r="Y38" s="1"/>
    </row>
    <row r="39" ht="15.75" customHeight="1" outlineLevel="1">
      <c r="A39" s="641" t="s">
        <v>5834</v>
      </c>
      <c r="B39" s="642" t="s">
        <v>5835</v>
      </c>
      <c r="C39" s="643" t="s">
        <v>5748</v>
      </c>
      <c r="D39" s="644">
        <f>SUMIF('Orcamento RU Viora Build'!$A:$A,A39,'Orcamento RU Viora Build'!$F:$F)</f>
        <v>107.81015</v>
      </c>
      <c r="E39" s="645">
        <f t="shared" si="8"/>
        <v>56.875</v>
      </c>
      <c r="F39" s="646">
        <f t="shared" si="9"/>
        <v>6131.702281</v>
      </c>
      <c r="G39" s="665"/>
      <c r="H39" s="666"/>
      <c r="I39" s="667">
        <v>43.75</v>
      </c>
      <c r="J39" s="650">
        <v>0.0</v>
      </c>
      <c r="K39" s="649">
        <f t="shared" si="10"/>
        <v>43.75</v>
      </c>
      <c r="L39" s="649">
        <f t="shared" si="11"/>
        <v>4716.694063</v>
      </c>
      <c r="M39" s="651">
        <f t="shared" si="12"/>
        <v>1415.008219</v>
      </c>
      <c r="N39" s="659">
        <f t="shared" si="13"/>
        <v>0.3</v>
      </c>
      <c r="O39" s="675">
        <f t="shared" si="14"/>
        <v>0.2307692308</v>
      </c>
      <c r="P39" s="660" t="s">
        <v>5836</v>
      </c>
      <c r="Q39" s="655" t="s">
        <v>5750</v>
      </c>
      <c r="R39" s="1"/>
      <c r="S39" s="699"/>
      <c r="T39" s="700"/>
      <c r="U39" s="1"/>
      <c r="V39" s="1"/>
      <c r="W39" s="1"/>
      <c r="X39" s="1"/>
      <c r="Y39" s="1"/>
    </row>
    <row r="40" ht="15.75" customHeight="1" outlineLevel="1">
      <c r="A40" s="701" t="s">
        <v>5837</v>
      </c>
      <c r="B40" s="702"/>
      <c r="C40" s="703"/>
      <c r="D40" s="704"/>
      <c r="E40" s="705"/>
      <c r="F40" s="706"/>
      <c r="G40" s="707"/>
      <c r="H40" s="666"/>
      <c r="I40" s="632"/>
      <c r="J40" s="633"/>
      <c r="K40" s="634"/>
      <c r="L40" s="708"/>
      <c r="M40" s="390"/>
      <c r="N40" s="390"/>
      <c r="O40" s="636"/>
      <c r="P40" s="709"/>
      <c r="Q40" s="710"/>
      <c r="R40" s="1"/>
      <c r="S40" s="711"/>
      <c r="T40" s="712"/>
      <c r="U40" s="1"/>
      <c r="V40" s="1"/>
      <c r="W40" s="1"/>
      <c r="X40" s="1"/>
      <c r="Y40" s="1"/>
    </row>
    <row r="41" ht="15.75" customHeight="1" outlineLevel="1">
      <c r="A41" s="641" t="s">
        <v>5838</v>
      </c>
      <c r="B41" s="642" t="s">
        <v>5839</v>
      </c>
      <c r="C41" s="643" t="s">
        <v>5635</v>
      </c>
      <c r="D41" s="644">
        <f>SUMIF('Orcamento RU Viora Build'!$A:$A,A41,'Orcamento RU Viora Build'!$F:$F)</f>
        <v>367.708</v>
      </c>
      <c r="E41" s="645">
        <f t="shared" ref="E41:E49" si="15">K41+(K41*N41)</f>
        <v>4.225</v>
      </c>
      <c r="F41" s="646">
        <f t="shared" ref="F41:F49" si="16">D41*E41</f>
        <v>1553.5663</v>
      </c>
      <c r="G41" s="665"/>
      <c r="H41" s="666"/>
      <c r="I41" s="649">
        <v>3.25</v>
      </c>
      <c r="J41" s="650">
        <v>0.0</v>
      </c>
      <c r="K41" s="649">
        <f t="shared" ref="K41:K49" si="17">I41-I41*J41</f>
        <v>3.25</v>
      </c>
      <c r="L41" s="649">
        <f t="shared" ref="L41:L49" si="18">K41*D41</f>
        <v>1195.051</v>
      </c>
      <c r="M41" s="651">
        <f t="shared" ref="M41:M49" si="19">F41-L41</f>
        <v>358.5153</v>
      </c>
      <c r="N41" s="659">
        <f t="shared" ref="N41:N49" si="20">$N$2</f>
        <v>0.3</v>
      </c>
      <c r="O41" s="675">
        <f t="shared" ref="O41:O49" si="21">M41/F41</f>
        <v>0.2307692308</v>
      </c>
      <c r="P41" s="673" t="s">
        <v>5840</v>
      </c>
      <c r="Q41" s="698"/>
      <c r="R41" s="1"/>
      <c r="S41" s="713"/>
      <c r="T41" s="714"/>
      <c r="U41" s="1"/>
      <c r="V41" s="1"/>
      <c r="W41" s="1"/>
      <c r="X41" s="1"/>
      <c r="Y41" s="1"/>
    </row>
    <row r="42" ht="15.75" customHeight="1" outlineLevel="1">
      <c r="A42" s="641" t="s">
        <v>5841</v>
      </c>
      <c r="B42" s="642" t="s">
        <v>5842</v>
      </c>
      <c r="C42" s="643" t="s">
        <v>5635</v>
      </c>
      <c r="D42" s="644">
        <f>SUMIF('Orcamento RU Viora Build'!$A:$A,A42,'Orcamento RU Viora Build'!$F:$F)</f>
        <v>367.708</v>
      </c>
      <c r="E42" s="645">
        <f t="shared" si="15"/>
        <v>8.97</v>
      </c>
      <c r="F42" s="646">
        <f t="shared" si="16"/>
        <v>3298.34076</v>
      </c>
      <c r="G42" s="665"/>
      <c r="H42" s="666"/>
      <c r="I42" s="649">
        <v>6.9</v>
      </c>
      <c r="J42" s="650">
        <v>0.0</v>
      </c>
      <c r="K42" s="649">
        <f t="shared" si="17"/>
        <v>6.9</v>
      </c>
      <c r="L42" s="649">
        <f t="shared" si="18"/>
        <v>2537.1852</v>
      </c>
      <c r="M42" s="651">
        <f t="shared" si="19"/>
        <v>761.15556</v>
      </c>
      <c r="N42" s="659">
        <f t="shared" si="20"/>
        <v>0.3</v>
      </c>
      <c r="O42" s="675">
        <f t="shared" si="21"/>
        <v>0.2307692308</v>
      </c>
      <c r="P42" s="715" t="s">
        <v>5843</v>
      </c>
      <c r="Q42" s="698"/>
      <c r="R42" s="684"/>
      <c r="S42" s="668"/>
      <c r="T42" s="669"/>
      <c r="U42" s="1"/>
      <c r="V42" s="1"/>
      <c r="W42" s="1"/>
      <c r="X42" s="1"/>
      <c r="Y42" s="1"/>
    </row>
    <row r="43" ht="15.75" customHeight="1" outlineLevel="1">
      <c r="A43" s="641" t="s">
        <v>5844</v>
      </c>
      <c r="B43" s="642" t="s">
        <v>5845</v>
      </c>
      <c r="C43" s="643" t="s">
        <v>5635</v>
      </c>
      <c r="D43" s="644">
        <f>SUMIF('Orcamento RU Viora Build'!$A:$A,A43,'Orcamento RU Viora Build'!$F:$F)</f>
        <v>200.101</v>
      </c>
      <c r="E43" s="645">
        <f t="shared" si="15"/>
        <v>12.597</v>
      </c>
      <c r="F43" s="646">
        <f t="shared" si="16"/>
        <v>2520.672297</v>
      </c>
      <c r="G43" s="665"/>
      <c r="H43" s="666"/>
      <c r="I43" s="658">
        <v>9.69</v>
      </c>
      <c r="J43" s="650">
        <v>0.0</v>
      </c>
      <c r="K43" s="649">
        <f t="shared" si="17"/>
        <v>9.69</v>
      </c>
      <c r="L43" s="649">
        <f t="shared" si="18"/>
        <v>1938.97869</v>
      </c>
      <c r="M43" s="651">
        <f t="shared" si="19"/>
        <v>581.693607</v>
      </c>
      <c r="N43" s="659">
        <f t="shared" si="20"/>
        <v>0.3</v>
      </c>
      <c r="O43" s="675">
        <f t="shared" si="21"/>
        <v>0.2307692308</v>
      </c>
      <c r="P43" s="660" t="s">
        <v>5761</v>
      </c>
      <c r="Q43" s="698" t="s">
        <v>5846</v>
      </c>
      <c r="R43" s="684"/>
      <c r="S43" s="668"/>
      <c r="T43" s="669"/>
      <c r="U43" s="1"/>
      <c r="V43" s="1"/>
      <c r="W43" s="1"/>
      <c r="X43" s="1"/>
      <c r="Y43" s="1"/>
    </row>
    <row r="44" ht="15.75" customHeight="1" outlineLevel="1">
      <c r="A44" s="641" t="s">
        <v>5847</v>
      </c>
      <c r="B44" s="642" t="s">
        <v>5848</v>
      </c>
      <c r="C44" s="643" t="s">
        <v>5635</v>
      </c>
      <c r="D44" s="644">
        <f>SUMIF('Orcamento RU Viora Build'!$A:$A,A44,'Orcamento RU Viora Build'!$F:$F)</f>
        <v>382.011</v>
      </c>
      <c r="E44" s="645">
        <f t="shared" si="15"/>
        <v>26.767</v>
      </c>
      <c r="F44" s="646">
        <f t="shared" si="16"/>
        <v>10225.28844</v>
      </c>
      <c r="G44" s="665"/>
      <c r="H44" s="666"/>
      <c r="I44" s="658">
        <v>20.59</v>
      </c>
      <c r="J44" s="688">
        <v>0.0</v>
      </c>
      <c r="K44" s="689">
        <f t="shared" si="17"/>
        <v>20.59</v>
      </c>
      <c r="L44" s="689">
        <f t="shared" si="18"/>
        <v>7865.60649</v>
      </c>
      <c r="M44" s="690">
        <f t="shared" si="19"/>
        <v>2359.681947</v>
      </c>
      <c r="N44" s="659">
        <f t="shared" si="20"/>
        <v>0.3</v>
      </c>
      <c r="O44" s="691">
        <f t="shared" si="21"/>
        <v>0.2307692308</v>
      </c>
      <c r="P44" s="660" t="s">
        <v>5764</v>
      </c>
      <c r="Q44" s="698"/>
      <c r="R44" s="684"/>
      <c r="S44" s="668"/>
      <c r="T44" s="669"/>
      <c r="U44" s="1"/>
      <c r="V44" s="1"/>
      <c r="W44" s="1"/>
      <c r="X44" s="1"/>
      <c r="Y44" s="1"/>
    </row>
    <row r="45" ht="15.75" customHeight="1" outlineLevel="1">
      <c r="A45" s="641" t="s">
        <v>5849</v>
      </c>
      <c r="B45" s="642" t="s">
        <v>5850</v>
      </c>
      <c r="C45" s="643" t="s">
        <v>5635</v>
      </c>
      <c r="D45" s="644">
        <f>SUMIF('Orcamento RU Viora Build'!$A:$A,A45,'Orcamento RU Viora Build'!$F:$F)</f>
        <v>216.7</v>
      </c>
      <c r="E45" s="645">
        <f t="shared" si="15"/>
        <v>67.6</v>
      </c>
      <c r="F45" s="646">
        <f t="shared" si="16"/>
        <v>14648.92</v>
      </c>
      <c r="G45" s="716"/>
      <c r="H45" s="666"/>
      <c r="I45" s="658">
        <v>52.0</v>
      </c>
      <c r="J45" s="650">
        <v>0.0</v>
      </c>
      <c r="K45" s="649">
        <f t="shared" si="17"/>
        <v>52</v>
      </c>
      <c r="L45" s="649">
        <f t="shared" si="18"/>
        <v>11268.4</v>
      </c>
      <c r="M45" s="651">
        <f t="shared" si="19"/>
        <v>3380.52</v>
      </c>
      <c r="N45" s="659">
        <f t="shared" si="20"/>
        <v>0.3</v>
      </c>
      <c r="O45" s="675">
        <f t="shared" si="21"/>
        <v>0.2307692308</v>
      </c>
      <c r="P45" s="660" t="s">
        <v>5810</v>
      </c>
      <c r="Q45" s="696" t="s">
        <v>5851</v>
      </c>
      <c r="R45" s="684"/>
      <c r="S45" s="668"/>
      <c r="T45" s="669"/>
      <c r="U45" s="1"/>
      <c r="V45" s="1"/>
      <c r="W45" s="1"/>
      <c r="X45" s="1"/>
      <c r="Y45" s="1"/>
    </row>
    <row r="46" ht="15.75" customHeight="1" outlineLevel="1">
      <c r="A46" s="641" t="s">
        <v>5852</v>
      </c>
      <c r="B46" s="642" t="s">
        <v>5853</v>
      </c>
      <c r="C46" s="643" t="s">
        <v>5636</v>
      </c>
      <c r="D46" s="644">
        <f>SUMIF('Orcamento RU Viora Build'!$A:$A,A46,'Orcamento RU Viora Build'!$F:$F)</f>
        <v>1213</v>
      </c>
      <c r="E46" s="645">
        <f t="shared" si="15"/>
        <v>0.507</v>
      </c>
      <c r="F46" s="646">
        <f t="shared" si="16"/>
        <v>614.991</v>
      </c>
      <c r="G46" s="665"/>
      <c r="H46" s="666"/>
      <c r="I46" s="658">
        <v>0.39</v>
      </c>
      <c r="J46" s="650">
        <v>0.0</v>
      </c>
      <c r="K46" s="649">
        <f t="shared" si="17"/>
        <v>0.39</v>
      </c>
      <c r="L46" s="649">
        <f t="shared" si="18"/>
        <v>473.07</v>
      </c>
      <c r="M46" s="651">
        <f t="shared" si="19"/>
        <v>141.921</v>
      </c>
      <c r="N46" s="659">
        <f t="shared" si="20"/>
        <v>0.3</v>
      </c>
      <c r="O46" s="675">
        <f t="shared" si="21"/>
        <v>0.2307692308</v>
      </c>
      <c r="P46" s="660" t="s">
        <v>5854</v>
      </c>
      <c r="Q46" s="698"/>
      <c r="R46" s="684"/>
      <c r="S46" s="668"/>
      <c r="T46" s="669"/>
      <c r="U46" s="1"/>
      <c r="V46" s="1"/>
      <c r="W46" s="1"/>
      <c r="X46" s="1"/>
      <c r="Y46" s="1"/>
    </row>
    <row r="47" ht="15.75" customHeight="1" outlineLevel="1">
      <c r="A47" s="641" t="s">
        <v>5855</v>
      </c>
      <c r="B47" s="642" t="s">
        <v>5856</v>
      </c>
      <c r="C47" s="643" t="s">
        <v>5635</v>
      </c>
      <c r="D47" s="644">
        <f>SUMIF('Orcamento RU Viora Build'!$A:$A,A47,'Orcamento RU Viora Build'!$F:$F)</f>
        <v>693.048</v>
      </c>
      <c r="E47" s="645">
        <f t="shared" si="15"/>
        <v>1.066</v>
      </c>
      <c r="F47" s="646">
        <f t="shared" si="16"/>
        <v>738.789168</v>
      </c>
      <c r="G47" s="665"/>
      <c r="H47" s="666"/>
      <c r="I47" s="658">
        <v>0.82</v>
      </c>
      <c r="J47" s="650">
        <v>0.0</v>
      </c>
      <c r="K47" s="649">
        <f t="shared" si="17"/>
        <v>0.82</v>
      </c>
      <c r="L47" s="649">
        <f t="shared" si="18"/>
        <v>568.29936</v>
      </c>
      <c r="M47" s="651">
        <f t="shared" si="19"/>
        <v>170.489808</v>
      </c>
      <c r="N47" s="659">
        <f t="shared" si="20"/>
        <v>0.3</v>
      </c>
      <c r="O47" s="675">
        <f t="shared" si="21"/>
        <v>0.2307692308</v>
      </c>
      <c r="P47" s="660" t="s">
        <v>5826</v>
      </c>
      <c r="Q47" s="698"/>
      <c r="R47" s="684"/>
      <c r="S47" s="668"/>
      <c r="T47" s="669"/>
      <c r="U47" s="1"/>
      <c r="V47" s="1"/>
      <c r="W47" s="1"/>
      <c r="X47" s="1"/>
      <c r="Y47" s="1"/>
    </row>
    <row r="48" ht="15.75" customHeight="1" outlineLevel="1">
      <c r="A48" s="641" t="s">
        <v>5857</v>
      </c>
      <c r="B48" s="642" t="s">
        <v>5858</v>
      </c>
      <c r="C48" s="643" t="s">
        <v>5635</v>
      </c>
      <c r="D48" s="644">
        <f>SUMIF('Orcamento RU Viora Build'!$A:$A,A48,'Orcamento RU Viora Build'!$F:$F)</f>
        <v>988.394</v>
      </c>
      <c r="E48" s="645">
        <f t="shared" si="15"/>
        <v>0.91</v>
      </c>
      <c r="F48" s="646">
        <f t="shared" si="16"/>
        <v>899.43854</v>
      </c>
      <c r="G48" s="665"/>
      <c r="H48" s="666"/>
      <c r="I48" s="658">
        <v>0.7</v>
      </c>
      <c r="J48" s="650">
        <v>0.0</v>
      </c>
      <c r="K48" s="649">
        <f t="shared" si="17"/>
        <v>0.7</v>
      </c>
      <c r="L48" s="649">
        <f t="shared" si="18"/>
        <v>691.8758</v>
      </c>
      <c r="M48" s="651">
        <f t="shared" si="19"/>
        <v>207.56274</v>
      </c>
      <c r="N48" s="659">
        <f t="shared" si="20"/>
        <v>0.3</v>
      </c>
      <c r="O48" s="675">
        <f t="shared" si="21"/>
        <v>0.2307692308</v>
      </c>
      <c r="P48" s="660" t="s">
        <v>5826</v>
      </c>
      <c r="Q48" s="698"/>
      <c r="R48" s="684"/>
      <c r="S48" s="668"/>
      <c r="T48" s="669"/>
      <c r="U48" s="1"/>
      <c r="V48" s="1"/>
      <c r="W48" s="1"/>
      <c r="X48" s="1"/>
      <c r="Y48" s="1"/>
    </row>
    <row r="49" ht="15.75" customHeight="1" outlineLevel="1">
      <c r="A49" s="641" t="s">
        <v>5859</v>
      </c>
      <c r="B49" s="642" t="s">
        <v>5860</v>
      </c>
      <c r="C49" s="643" t="s">
        <v>5767</v>
      </c>
      <c r="D49" s="644">
        <f>SUMIF('Orcamento RU Viora Build'!$A:$A,A49,'Orcamento RU Viora Build'!$F:$F)</f>
        <v>60.18</v>
      </c>
      <c r="E49" s="645">
        <f t="shared" si="15"/>
        <v>2.925</v>
      </c>
      <c r="F49" s="646">
        <f t="shared" si="16"/>
        <v>176.0265</v>
      </c>
      <c r="G49" s="665"/>
      <c r="H49" s="666"/>
      <c r="I49" s="649">
        <v>2.25</v>
      </c>
      <c r="J49" s="650">
        <v>0.0</v>
      </c>
      <c r="K49" s="649">
        <f t="shared" si="17"/>
        <v>2.25</v>
      </c>
      <c r="L49" s="649">
        <f t="shared" si="18"/>
        <v>135.405</v>
      </c>
      <c r="M49" s="651">
        <f t="shared" si="19"/>
        <v>40.6215</v>
      </c>
      <c r="N49" s="659">
        <f t="shared" si="20"/>
        <v>0.3</v>
      </c>
      <c r="O49" s="675">
        <f t="shared" si="21"/>
        <v>0.2307692308</v>
      </c>
      <c r="P49" s="660" t="s">
        <v>5826</v>
      </c>
      <c r="Q49" s="698"/>
      <c r="R49" s="684"/>
      <c r="S49" s="699"/>
      <c r="T49" s="700"/>
      <c r="U49" s="1"/>
      <c r="V49" s="1"/>
      <c r="W49" s="1"/>
      <c r="X49" s="1"/>
      <c r="Y49" s="1"/>
    </row>
    <row r="50" ht="15.75" customHeight="1" outlineLevel="1">
      <c r="A50" s="701" t="s">
        <v>5861</v>
      </c>
      <c r="B50" s="702"/>
      <c r="C50" s="717"/>
      <c r="D50" s="390"/>
      <c r="E50" s="390"/>
      <c r="F50" s="388"/>
      <c r="G50" s="707"/>
      <c r="H50" s="666"/>
      <c r="I50" s="632"/>
      <c r="J50" s="633"/>
      <c r="K50" s="634"/>
      <c r="L50" s="708"/>
      <c r="M50" s="390"/>
      <c r="N50" s="390"/>
      <c r="O50" s="390"/>
      <c r="P50" s="636"/>
      <c r="Q50" s="710"/>
      <c r="R50" s="431"/>
      <c r="S50" s="711"/>
      <c r="T50" s="712"/>
      <c r="U50" s="422"/>
      <c r="V50" s="422"/>
      <c r="W50" s="422"/>
      <c r="X50" s="422"/>
      <c r="Y50" s="422"/>
    </row>
    <row r="51" ht="15.75" customHeight="1" outlineLevel="1">
      <c r="A51" s="641" t="s">
        <v>5862</v>
      </c>
      <c r="B51" s="642" t="s">
        <v>5863</v>
      </c>
      <c r="C51" s="643" t="s">
        <v>5636</v>
      </c>
      <c r="D51" s="644">
        <f>SUMIF('Orcamento RU Viora Build'!$A:$A,A51,'Orcamento RU Viora Build'!$F:$F)</f>
        <v>7.012652632</v>
      </c>
      <c r="E51" s="645">
        <f t="shared" ref="E51:E62" si="22">K51+(K51*N51)</f>
        <v>140.4</v>
      </c>
      <c r="F51" s="646">
        <f t="shared" ref="F51:F62" si="23">D51*E51</f>
        <v>984.5764295</v>
      </c>
      <c r="G51" s="665"/>
      <c r="H51" s="666"/>
      <c r="I51" s="718">
        <v>108.0</v>
      </c>
      <c r="J51" s="719">
        <v>0.0</v>
      </c>
      <c r="K51" s="720">
        <f t="shared" ref="K51:K62" si="24">I51-I51*J51</f>
        <v>108</v>
      </c>
      <c r="L51" s="720">
        <f t="shared" ref="L51:L62" si="25">K51*D51</f>
        <v>757.3664842</v>
      </c>
      <c r="M51" s="721">
        <f t="shared" ref="M51:M62" si="26">F51-L51</f>
        <v>227.2099453</v>
      </c>
      <c r="N51" s="659">
        <f t="shared" ref="N51:N62" si="27">$N$2</f>
        <v>0.3</v>
      </c>
      <c r="O51" s="722">
        <f t="shared" ref="O51:O62" si="28">M51/F51</f>
        <v>0.2307692308</v>
      </c>
      <c r="P51" s="723" t="s">
        <v>5761</v>
      </c>
      <c r="Q51" s="724"/>
      <c r="R51" s="431"/>
      <c r="S51" s="725"/>
      <c r="T51" s="726"/>
      <c r="U51" s="422"/>
      <c r="V51" s="422"/>
      <c r="W51" s="422"/>
      <c r="X51" s="422"/>
      <c r="Y51" s="422"/>
    </row>
    <row r="52" ht="14.25" customHeight="1" outlineLevel="1">
      <c r="A52" s="641" t="s">
        <v>5864</v>
      </c>
      <c r="B52" s="642" t="s">
        <v>5865</v>
      </c>
      <c r="C52" s="643" t="s">
        <v>5767</v>
      </c>
      <c r="D52" s="644">
        <f>SUMIF('Orcamento RU Viora Build'!$A:$A,A52,'Orcamento RU Viora Build'!$F:$F)</f>
        <v>62.132</v>
      </c>
      <c r="E52" s="645">
        <f t="shared" si="22"/>
        <v>3.302</v>
      </c>
      <c r="F52" s="646">
        <f t="shared" si="23"/>
        <v>205.159864</v>
      </c>
      <c r="G52" s="665"/>
      <c r="H52" s="666"/>
      <c r="I52" s="649">
        <v>2.54</v>
      </c>
      <c r="J52" s="650">
        <v>0.0</v>
      </c>
      <c r="K52" s="649">
        <f t="shared" si="24"/>
        <v>2.54</v>
      </c>
      <c r="L52" s="649">
        <f t="shared" si="25"/>
        <v>157.81528</v>
      </c>
      <c r="M52" s="651">
        <f t="shared" si="26"/>
        <v>47.344584</v>
      </c>
      <c r="N52" s="659">
        <f t="shared" si="27"/>
        <v>0.3</v>
      </c>
      <c r="O52" s="675">
        <f t="shared" si="28"/>
        <v>0.2307692308</v>
      </c>
      <c r="P52" s="660" t="s">
        <v>5826</v>
      </c>
      <c r="Q52" s="655" t="s">
        <v>5750</v>
      </c>
      <c r="R52" s="684"/>
      <c r="S52" s="668"/>
      <c r="T52" s="669"/>
      <c r="U52" s="1"/>
      <c r="V52" s="1"/>
      <c r="W52" s="1"/>
      <c r="X52" s="1"/>
      <c r="Y52" s="1"/>
    </row>
    <row r="53" ht="14.25" customHeight="1" outlineLevel="1">
      <c r="A53" s="641" t="s">
        <v>5866</v>
      </c>
      <c r="B53" s="642" t="s">
        <v>5867</v>
      </c>
      <c r="C53" s="643" t="s">
        <v>5635</v>
      </c>
      <c r="D53" s="644">
        <f>SUMIF('Orcamento RU Viora Build'!$A:$A,A53,'Orcamento RU Viora Build'!$F:$F)</f>
        <v>333.817</v>
      </c>
      <c r="E53" s="645">
        <f t="shared" si="22"/>
        <v>2.574</v>
      </c>
      <c r="F53" s="646">
        <f t="shared" si="23"/>
        <v>859.244958</v>
      </c>
      <c r="G53" s="665"/>
      <c r="H53" s="666"/>
      <c r="I53" s="658">
        <v>1.98</v>
      </c>
      <c r="J53" s="688">
        <v>0.0</v>
      </c>
      <c r="K53" s="689">
        <f t="shared" si="24"/>
        <v>1.98</v>
      </c>
      <c r="L53" s="689">
        <f t="shared" si="25"/>
        <v>660.95766</v>
      </c>
      <c r="M53" s="690">
        <f t="shared" si="26"/>
        <v>198.287298</v>
      </c>
      <c r="N53" s="659">
        <f t="shared" si="27"/>
        <v>0.3</v>
      </c>
      <c r="O53" s="691">
        <f t="shared" si="28"/>
        <v>0.2307692308</v>
      </c>
      <c r="P53" s="660" t="s">
        <v>5868</v>
      </c>
      <c r="Q53" s="697" t="s">
        <v>5869</v>
      </c>
      <c r="R53" s="684"/>
      <c r="S53" s="668"/>
      <c r="T53" s="669"/>
      <c r="U53" s="1"/>
      <c r="V53" s="1"/>
      <c r="W53" s="1"/>
      <c r="X53" s="1"/>
      <c r="Y53" s="1"/>
    </row>
    <row r="54" ht="14.25" customHeight="1" outlineLevel="1">
      <c r="A54" s="641" t="s">
        <v>5870</v>
      </c>
      <c r="B54" s="642" t="s">
        <v>5871</v>
      </c>
      <c r="C54" s="643" t="s">
        <v>5631</v>
      </c>
      <c r="D54" s="644">
        <f>SUMIF('Orcamento RU Viora Build'!$A:$A,A54,'Orcamento RU Viora Build'!$F:$F)</f>
        <v>273</v>
      </c>
      <c r="E54" s="645">
        <f t="shared" si="22"/>
        <v>3.25</v>
      </c>
      <c r="F54" s="646">
        <f t="shared" si="23"/>
        <v>887.25</v>
      </c>
      <c r="G54" s="665"/>
      <c r="H54" s="666"/>
      <c r="I54" s="658">
        <v>2.5</v>
      </c>
      <c r="J54" s="688">
        <v>0.0</v>
      </c>
      <c r="K54" s="689">
        <f t="shared" si="24"/>
        <v>2.5</v>
      </c>
      <c r="L54" s="689">
        <f t="shared" si="25"/>
        <v>682.5</v>
      </c>
      <c r="M54" s="690">
        <f t="shared" si="26"/>
        <v>204.75</v>
      </c>
      <c r="N54" s="659">
        <f t="shared" si="27"/>
        <v>0.3</v>
      </c>
      <c r="O54" s="691">
        <f t="shared" si="28"/>
        <v>0.2307692308</v>
      </c>
      <c r="P54" s="660" t="s">
        <v>5761</v>
      </c>
      <c r="Q54" s="655"/>
      <c r="R54" s="684"/>
      <c r="S54" s="668"/>
      <c r="T54" s="669"/>
      <c r="U54" s="1"/>
      <c r="V54" s="1"/>
      <c r="W54" s="1"/>
      <c r="X54" s="1"/>
      <c r="Y54" s="1"/>
    </row>
    <row r="55" ht="14.25" customHeight="1" outlineLevel="1">
      <c r="A55" s="641" t="s">
        <v>5872</v>
      </c>
      <c r="B55" s="642" t="s">
        <v>5873</v>
      </c>
      <c r="C55" s="643" t="s">
        <v>5636</v>
      </c>
      <c r="D55" s="644">
        <f>SUMIF('Orcamento RU Viora Build'!$A:$A,A55,'Orcamento RU Viora Build'!$F:$F)</f>
        <v>1820.82</v>
      </c>
      <c r="E55" s="645">
        <f t="shared" si="22"/>
        <v>1.3</v>
      </c>
      <c r="F55" s="646">
        <f t="shared" si="23"/>
        <v>2367.066</v>
      </c>
      <c r="G55" s="665"/>
      <c r="H55" s="666"/>
      <c r="I55" s="658">
        <v>1.0</v>
      </c>
      <c r="J55" s="688">
        <v>0.0</v>
      </c>
      <c r="K55" s="689">
        <f t="shared" si="24"/>
        <v>1</v>
      </c>
      <c r="L55" s="689">
        <f t="shared" si="25"/>
        <v>1820.82</v>
      </c>
      <c r="M55" s="690">
        <f t="shared" si="26"/>
        <v>546.246</v>
      </c>
      <c r="N55" s="659">
        <f t="shared" si="27"/>
        <v>0.3</v>
      </c>
      <c r="O55" s="691">
        <f t="shared" si="28"/>
        <v>0.2307692308</v>
      </c>
      <c r="P55" s="660" t="s">
        <v>5761</v>
      </c>
      <c r="Q55" s="655"/>
      <c r="R55" s="684"/>
      <c r="S55" s="668"/>
      <c r="T55" s="669"/>
      <c r="U55" s="1"/>
      <c r="V55" s="1"/>
      <c r="W55" s="1"/>
      <c r="X55" s="1"/>
      <c r="Y55" s="1"/>
    </row>
    <row r="56" ht="14.25" customHeight="1" outlineLevel="1">
      <c r="A56" s="641" t="s">
        <v>5874</v>
      </c>
      <c r="B56" s="642" t="s">
        <v>5875</v>
      </c>
      <c r="C56" s="643" t="s">
        <v>5631</v>
      </c>
      <c r="D56" s="644">
        <f>SUMIF('Orcamento RU Viora Build'!$A:$A,A56,'Orcamento RU Viora Build'!$F:$F)</f>
        <v>273</v>
      </c>
      <c r="E56" s="645">
        <f t="shared" si="22"/>
        <v>7.839</v>
      </c>
      <c r="F56" s="646">
        <f t="shared" si="23"/>
        <v>2140.047</v>
      </c>
      <c r="G56" s="665"/>
      <c r="H56" s="666"/>
      <c r="I56" s="658">
        <v>6.03</v>
      </c>
      <c r="J56" s="688">
        <v>0.0</v>
      </c>
      <c r="K56" s="689">
        <f t="shared" si="24"/>
        <v>6.03</v>
      </c>
      <c r="L56" s="689">
        <f t="shared" si="25"/>
        <v>1646.19</v>
      </c>
      <c r="M56" s="690">
        <f t="shared" si="26"/>
        <v>493.857</v>
      </c>
      <c r="N56" s="659">
        <f t="shared" si="27"/>
        <v>0.3</v>
      </c>
      <c r="O56" s="691">
        <f t="shared" si="28"/>
        <v>0.2307692308</v>
      </c>
      <c r="P56" s="660" t="s">
        <v>5764</v>
      </c>
      <c r="Q56" s="655"/>
      <c r="R56" s="684"/>
      <c r="S56" s="668"/>
      <c r="T56" s="669"/>
      <c r="U56" s="1"/>
      <c r="V56" s="1"/>
      <c r="W56" s="1"/>
      <c r="X56" s="1"/>
      <c r="Y56" s="1"/>
    </row>
    <row r="57" ht="14.25" customHeight="1" outlineLevel="1">
      <c r="A57" s="641" t="s">
        <v>5876</v>
      </c>
      <c r="B57" s="642" t="s">
        <v>5877</v>
      </c>
      <c r="C57" s="643" t="s">
        <v>5631</v>
      </c>
      <c r="D57" s="644">
        <f>SUMIF('Orcamento RU Viora Build'!$A:$A,A57,'Orcamento RU Viora Build'!$F:$F)</f>
        <v>292.9185</v>
      </c>
      <c r="E57" s="645">
        <f t="shared" si="22"/>
        <v>2.639</v>
      </c>
      <c r="F57" s="646">
        <f t="shared" si="23"/>
        <v>773.0119215</v>
      </c>
      <c r="G57" s="665"/>
      <c r="H57" s="666"/>
      <c r="I57" s="658">
        <v>2.03</v>
      </c>
      <c r="J57" s="688">
        <v>0.0</v>
      </c>
      <c r="K57" s="689">
        <f t="shared" si="24"/>
        <v>2.03</v>
      </c>
      <c r="L57" s="689">
        <f t="shared" si="25"/>
        <v>594.624555</v>
      </c>
      <c r="M57" s="690">
        <f t="shared" si="26"/>
        <v>178.3873665</v>
      </c>
      <c r="N57" s="659">
        <f t="shared" si="27"/>
        <v>0.3</v>
      </c>
      <c r="O57" s="691">
        <f t="shared" si="28"/>
        <v>0.2307692308</v>
      </c>
      <c r="P57" s="660" t="s">
        <v>5764</v>
      </c>
      <c r="Q57" s="655"/>
      <c r="R57" s="684"/>
      <c r="S57" s="668"/>
      <c r="T57" s="669"/>
      <c r="U57" s="1"/>
      <c r="V57" s="1"/>
      <c r="W57" s="1"/>
      <c r="X57" s="1"/>
      <c r="Y57" s="1"/>
    </row>
    <row r="58" ht="14.25" customHeight="1" outlineLevel="1">
      <c r="A58" s="641" t="s">
        <v>5878</v>
      </c>
      <c r="B58" s="642" t="s">
        <v>5879</v>
      </c>
      <c r="C58" s="643" t="s">
        <v>5635</v>
      </c>
      <c r="D58" s="644">
        <f>SUMIF('Orcamento RU Viora Build'!$A:$A,A58,'Orcamento RU Viora Build'!$F:$F)</f>
        <v>336.735</v>
      </c>
      <c r="E58" s="645">
        <f t="shared" si="22"/>
        <v>3.38</v>
      </c>
      <c r="F58" s="646">
        <f t="shared" si="23"/>
        <v>1138.1643</v>
      </c>
      <c r="G58" s="665"/>
      <c r="H58" s="666"/>
      <c r="I58" s="658">
        <v>2.6</v>
      </c>
      <c r="J58" s="688">
        <v>0.0</v>
      </c>
      <c r="K58" s="689">
        <f t="shared" si="24"/>
        <v>2.6</v>
      </c>
      <c r="L58" s="689">
        <f t="shared" si="25"/>
        <v>875.511</v>
      </c>
      <c r="M58" s="690">
        <f t="shared" si="26"/>
        <v>262.6533</v>
      </c>
      <c r="N58" s="659">
        <f t="shared" si="27"/>
        <v>0.3</v>
      </c>
      <c r="O58" s="691">
        <f t="shared" si="28"/>
        <v>0.2307692308</v>
      </c>
      <c r="P58" s="660" t="s">
        <v>5764</v>
      </c>
      <c r="Q58" s="655"/>
      <c r="R58" s="684"/>
      <c r="S58" s="668"/>
      <c r="T58" s="669"/>
      <c r="U58" s="1"/>
      <c r="V58" s="1"/>
      <c r="W58" s="1"/>
      <c r="X58" s="1"/>
      <c r="Y58" s="1"/>
    </row>
    <row r="59" ht="14.25" customHeight="1" outlineLevel="1">
      <c r="A59" s="641" t="s">
        <v>5880</v>
      </c>
      <c r="B59" s="642" t="s">
        <v>5881</v>
      </c>
      <c r="C59" s="643" t="s">
        <v>5748</v>
      </c>
      <c r="D59" s="644">
        <f>SUMIF('Orcamento RU Viora Build'!$A:$A,A59,'Orcamento RU Viora Build'!$F:$F)</f>
        <v>291.123075</v>
      </c>
      <c r="E59" s="645">
        <f t="shared" si="22"/>
        <v>31.07</v>
      </c>
      <c r="F59" s="646">
        <f t="shared" si="23"/>
        <v>9045.19394</v>
      </c>
      <c r="G59" s="665"/>
      <c r="H59" s="666"/>
      <c r="I59" s="720">
        <v>23.9</v>
      </c>
      <c r="J59" s="719">
        <v>0.0</v>
      </c>
      <c r="K59" s="720">
        <f t="shared" si="24"/>
        <v>23.9</v>
      </c>
      <c r="L59" s="720">
        <f t="shared" si="25"/>
        <v>6957.841493</v>
      </c>
      <c r="M59" s="721">
        <f t="shared" si="26"/>
        <v>2087.352448</v>
      </c>
      <c r="N59" s="659">
        <f t="shared" si="27"/>
        <v>0.3</v>
      </c>
      <c r="O59" s="722">
        <f t="shared" si="28"/>
        <v>0.2307692308</v>
      </c>
      <c r="P59" s="727" t="s">
        <v>5882</v>
      </c>
      <c r="Q59" s="728" t="s">
        <v>5750</v>
      </c>
      <c r="R59" s="684"/>
      <c r="S59" s="729"/>
      <c r="T59" s="730"/>
      <c r="U59" s="1"/>
      <c r="V59" s="1"/>
      <c r="W59" s="1"/>
      <c r="X59" s="1"/>
      <c r="Y59" s="1"/>
    </row>
    <row r="60" ht="14.25" customHeight="1" outlineLevel="1">
      <c r="A60" s="641" t="s">
        <v>5883</v>
      </c>
      <c r="B60" s="642" t="s">
        <v>5884</v>
      </c>
      <c r="C60" s="643" t="s">
        <v>5748</v>
      </c>
      <c r="D60" s="644">
        <f>SUMIF('Orcamento RU Viora Build'!$A:$A,A60,'Orcamento RU Viora Build'!$F:$F)</f>
        <v>7.9023</v>
      </c>
      <c r="E60" s="645">
        <f t="shared" si="22"/>
        <v>31.07</v>
      </c>
      <c r="F60" s="646">
        <f t="shared" si="23"/>
        <v>245.524461</v>
      </c>
      <c r="G60" s="665"/>
      <c r="H60" s="666"/>
      <c r="I60" s="720">
        <v>23.9</v>
      </c>
      <c r="J60" s="719">
        <v>0.0</v>
      </c>
      <c r="K60" s="720">
        <f t="shared" si="24"/>
        <v>23.9</v>
      </c>
      <c r="L60" s="720">
        <f t="shared" si="25"/>
        <v>188.86497</v>
      </c>
      <c r="M60" s="721">
        <f t="shared" si="26"/>
        <v>56.659491</v>
      </c>
      <c r="N60" s="659">
        <f t="shared" si="27"/>
        <v>0.3</v>
      </c>
      <c r="O60" s="722">
        <f t="shared" si="28"/>
        <v>0.2307692308</v>
      </c>
      <c r="P60" s="731"/>
      <c r="Q60" s="732" t="s">
        <v>5750</v>
      </c>
      <c r="R60" s="684"/>
      <c r="S60" s="729"/>
      <c r="T60" s="730"/>
      <c r="U60" s="1"/>
      <c r="V60" s="1"/>
      <c r="W60" s="1"/>
      <c r="X60" s="1"/>
      <c r="Y60" s="1"/>
    </row>
    <row r="61" ht="14.25" customHeight="1" outlineLevel="1">
      <c r="A61" s="641" t="s">
        <v>5885</v>
      </c>
      <c r="B61" s="642" t="s">
        <v>5886</v>
      </c>
      <c r="C61" s="643" t="s">
        <v>5748</v>
      </c>
      <c r="D61" s="644">
        <f>SUMIF('Orcamento RU Viora Build'!$A:$A,A61,'Orcamento RU Viora Build'!$F:$F)</f>
        <v>1.8417</v>
      </c>
      <c r="E61" s="645">
        <f t="shared" si="22"/>
        <v>304.07</v>
      </c>
      <c r="F61" s="646">
        <f t="shared" si="23"/>
        <v>560.005719</v>
      </c>
      <c r="G61" s="665"/>
      <c r="H61" s="666"/>
      <c r="I61" s="658">
        <v>233.9</v>
      </c>
      <c r="J61" s="650">
        <v>0.0</v>
      </c>
      <c r="K61" s="649">
        <f t="shared" si="24"/>
        <v>233.9</v>
      </c>
      <c r="L61" s="649">
        <f t="shared" si="25"/>
        <v>430.77363</v>
      </c>
      <c r="M61" s="651">
        <f t="shared" si="26"/>
        <v>129.232089</v>
      </c>
      <c r="N61" s="659">
        <f t="shared" si="27"/>
        <v>0.3</v>
      </c>
      <c r="O61" s="675">
        <f t="shared" si="28"/>
        <v>0.2307692308</v>
      </c>
      <c r="P61" s="660" t="s">
        <v>5887</v>
      </c>
      <c r="Q61" s="733" t="s">
        <v>5888</v>
      </c>
      <c r="R61" s="684"/>
      <c r="S61" s="668"/>
      <c r="T61" s="669"/>
      <c r="U61" s="1"/>
      <c r="V61" s="1"/>
      <c r="W61" s="1"/>
      <c r="X61" s="1"/>
      <c r="Y61" s="1"/>
    </row>
    <row r="62" ht="14.25" customHeight="1" outlineLevel="1">
      <c r="A62" s="641" t="s">
        <v>5889</v>
      </c>
      <c r="B62" s="642" t="s">
        <v>5890</v>
      </c>
      <c r="C62" s="643" t="s">
        <v>5767</v>
      </c>
      <c r="D62" s="644">
        <f>SUMIF('Orcamento RU Viora Build'!$A:$A,A62,'Orcamento RU Viora Build'!$F:$F)</f>
        <v>36.762</v>
      </c>
      <c r="E62" s="645">
        <f t="shared" si="22"/>
        <v>2.6</v>
      </c>
      <c r="F62" s="646">
        <f t="shared" si="23"/>
        <v>95.5812</v>
      </c>
      <c r="G62" s="665"/>
      <c r="H62" s="666"/>
      <c r="I62" s="649">
        <v>2.0</v>
      </c>
      <c r="J62" s="650">
        <v>0.0</v>
      </c>
      <c r="K62" s="649">
        <f t="shared" si="24"/>
        <v>2</v>
      </c>
      <c r="L62" s="649">
        <f t="shared" si="25"/>
        <v>73.524</v>
      </c>
      <c r="M62" s="651">
        <f t="shared" si="26"/>
        <v>22.0572</v>
      </c>
      <c r="N62" s="659">
        <f t="shared" si="27"/>
        <v>0.3</v>
      </c>
      <c r="O62" s="675">
        <f t="shared" si="28"/>
        <v>0.2307692308</v>
      </c>
      <c r="P62" s="660" t="s">
        <v>5891</v>
      </c>
      <c r="Q62" s="698"/>
      <c r="R62" s="684"/>
      <c r="S62" s="699"/>
      <c r="T62" s="700"/>
      <c r="U62" s="1"/>
      <c r="V62" s="1"/>
      <c r="W62" s="1"/>
      <c r="X62" s="1"/>
      <c r="Y62" s="1"/>
    </row>
    <row r="63" ht="15.75" customHeight="1" outlineLevel="1">
      <c r="A63" s="701" t="s">
        <v>5892</v>
      </c>
      <c r="B63" s="702"/>
      <c r="C63" s="717"/>
      <c r="D63" s="390"/>
      <c r="E63" s="390"/>
      <c r="F63" s="388"/>
      <c r="G63" s="707"/>
      <c r="H63" s="666"/>
      <c r="I63" s="632"/>
      <c r="J63" s="633"/>
      <c r="K63" s="634"/>
      <c r="L63" s="708"/>
      <c r="M63" s="390"/>
      <c r="N63" s="390"/>
      <c r="O63" s="390"/>
      <c r="P63" s="636"/>
      <c r="Q63" s="710"/>
      <c r="R63" s="431"/>
      <c r="S63" s="711"/>
      <c r="T63" s="712"/>
      <c r="U63" s="422"/>
      <c r="V63" s="422"/>
      <c r="W63" s="422"/>
      <c r="X63" s="422"/>
      <c r="Y63" s="422"/>
    </row>
    <row r="64" ht="15.75" customHeight="1" outlineLevel="1">
      <c r="A64" s="641" t="s">
        <v>5893</v>
      </c>
      <c r="B64" s="642" t="s">
        <v>5894</v>
      </c>
      <c r="C64" s="643" t="s">
        <v>5635</v>
      </c>
      <c r="D64" s="644">
        <f>SUMIF('Orcamento RU Viora Build'!$A:$A,A64,'Orcamento RU Viora Build'!$F:$F)</f>
        <v>622.3875</v>
      </c>
      <c r="E64" s="645">
        <f t="shared" ref="E64:E72" si="29">K64+(K64*N64)</f>
        <v>12.116</v>
      </c>
      <c r="F64" s="646">
        <f t="shared" ref="F64:F72" si="30">D64*E64</f>
        <v>7540.84695</v>
      </c>
      <c r="G64" s="665"/>
      <c r="H64" s="666"/>
      <c r="I64" s="649">
        <v>9.32</v>
      </c>
      <c r="J64" s="650">
        <v>0.0</v>
      </c>
      <c r="K64" s="649">
        <f t="shared" ref="K64:K72" si="31">I64-I64*J64</f>
        <v>9.32</v>
      </c>
      <c r="L64" s="649">
        <f t="shared" ref="L64:L72" si="32">K64*D64</f>
        <v>5800.6515</v>
      </c>
      <c r="M64" s="651">
        <f t="shared" ref="M64:M72" si="33">F64-L64</f>
        <v>1740.19545</v>
      </c>
      <c r="N64" s="659">
        <f t="shared" ref="N64:N72" si="34">$N$2</f>
        <v>0.3</v>
      </c>
      <c r="O64" s="675">
        <f t="shared" ref="O64:O72" si="35">M64/F64</f>
        <v>0.2307692308</v>
      </c>
      <c r="P64" s="660" t="s">
        <v>5891</v>
      </c>
      <c r="Q64" s="734"/>
      <c r="R64" s="431"/>
      <c r="S64" s="713"/>
      <c r="T64" s="714"/>
      <c r="U64" s="422"/>
      <c r="V64" s="422"/>
      <c r="W64" s="422"/>
      <c r="X64" s="422"/>
      <c r="Y64" s="422"/>
    </row>
    <row r="65" ht="15.75" customHeight="1" outlineLevel="1">
      <c r="A65" s="641" t="s">
        <v>5895</v>
      </c>
      <c r="B65" s="642" t="s">
        <v>5896</v>
      </c>
      <c r="C65" s="643" t="s">
        <v>5635</v>
      </c>
      <c r="D65" s="644">
        <f>SUMIF('Orcamento RU Viora Build'!$A:$A,A65,'Orcamento RU Viora Build'!$F:$F)</f>
        <v>138.054</v>
      </c>
      <c r="E65" s="645">
        <f t="shared" si="29"/>
        <v>10.712</v>
      </c>
      <c r="F65" s="646">
        <f t="shared" si="30"/>
        <v>1478.834448</v>
      </c>
      <c r="G65" s="665"/>
      <c r="H65" s="666"/>
      <c r="I65" s="720">
        <v>8.24</v>
      </c>
      <c r="J65" s="719">
        <v>0.0</v>
      </c>
      <c r="K65" s="720">
        <f t="shared" si="31"/>
        <v>8.24</v>
      </c>
      <c r="L65" s="720">
        <f t="shared" si="32"/>
        <v>1137.56496</v>
      </c>
      <c r="M65" s="721">
        <f t="shared" si="33"/>
        <v>341.269488</v>
      </c>
      <c r="N65" s="659">
        <f t="shared" si="34"/>
        <v>0.3</v>
      </c>
      <c r="O65" s="722">
        <f t="shared" si="35"/>
        <v>0.2307692308</v>
      </c>
      <c r="P65" s="731"/>
      <c r="Q65" s="728" t="s">
        <v>5750</v>
      </c>
      <c r="R65" s="431"/>
      <c r="S65" s="729"/>
      <c r="T65" s="730"/>
      <c r="U65" s="422"/>
      <c r="V65" s="422"/>
      <c r="W65" s="422"/>
      <c r="X65" s="422"/>
      <c r="Y65" s="422"/>
    </row>
    <row r="66" ht="27.0" customHeight="1" outlineLevel="1">
      <c r="A66" s="641" t="s">
        <v>5897</v>
      </c>
      <c r="B66" s="642" t="s">
        <v>5898</v>
      </c>
      <c r="C66" s="643" t="s">
        <v>5635</v>
      </c>
      <c r="D66" s="644">
        <f>SUMIF('Orcamento RU Viora Build'!$A:$A,A66,'Orcamento RU Viora Build'!$F:$F)</f>
        <v>191.0055</v>
      </c>
      <c r="E66" s="645">
        <f t="shared" si="29"/>
        <v>20.8</v>
      </c>
      <c r="F66" s="646">
        <f t="shared" si="30"/>
        <v>3972.9144</v>
      </c>
      <c r="G66" s="665"/>
      <c r="H66" s="666"/>
      <c r="I66" s="718">
        <v>16.0</v>
      </c>
      <c r="J66" s="719">
        <v>0.0</v>
      </c>
      <c r="K66" s="720">
        <f t="shared" si="31"/>
        <v>16</v>
      </c>
      <c r="L66" s="720">
        <f t="shared" si="32"/>
        <v>3056.088</v>
      </c>
      <c r="M66" s="721">
        <f t="shared" si="33"/>
        <v>916.8264</v>
      </c>
      <c r="N66" s="659">
        <f t="shared" si="34"/>
        <v>0.3</v>
      </c>
      <c r="O66" s="722">
        <f t="shared" si="35"/>
        <v>0.2307692308</v>
      </c>
      <c r="P66" s="723" t="s">
        <v>5761</v>
      </c>
      <c r="Q66" s="735" t="s">
        <v>5899</v>
      </c>
      <c r="R66" s="431"/>
      <c r="S66" s="729"/>
      <c r="T66" s="730"/>
      <c r="U66" s="422"/>
      <c r="V66" s="422"/>
      <c r="W66" s="422"/>
      <c r="X66" s="422"/>
      <c r="Y66" s="422"/>
    </row>
    <row r="67" ht="15.75" customHeight="1" outlineLevel="1">
      <c r="A67" s="641" t="s">
        <v>5900</v>
      </c>
      <c r="B67" s="642" t="s">
        <v>5901</v>
      </c>
      <c r="C67" s="643" t="s">
        <v>5635</v>
      </c>
      <c r="D67" s="644">
        <f>SUMIF('Orcamento RU Viora Build'!$A:$A,A67,'Orcamento RU Viora Build'!$F:$F)</f>
        <v>20.3175</v>
      </c>
      <c r="E67" s="645">
        <f t="shared" si="29"/>
        <v>4.004</v>
      </c>
      <c r="F67" s="646">
        <f t="shared" si="30"/>
        <v>81.35127</v>
      </c>
      <c r="G67" s="665"/>
      <c r="H67" s="666"/>
      <c r="I67" s="658">
        <v>3.08</v>
      </c>
      <c r="J67" s="688">
        <v>0.0</v>
      </c>
      <c r="K67" s="689">
        <f t="shared" si="31"/>
        <v>3.08</v>
      </c>
      <c r="L67" s="689">
        <f t="shared" si="32"/>
        <v>62.5779</v>
      </c>
      <c r="M67" s="690">
        <f t="shared" si="33"/>
        <v>18.77337</v>
      </c>
      <c r="N67" s="659">
        <f t="shared" si="34"/>
        <v>0.3</v>
      </c>
      <c r="O67" s="691">
        <f t="shared" si="35"/>
        <v>0.2307692308</v>
      </c>
      <c r="P67" s="660" t="s">
        <v>5761</v>
      </c>
      <c r="Q67" s="655"/>
      <c r="R67" s="431"/>
      <c r="S67" s="668"/>
      <c r="T67" s="669"/>
      <c r="U67" s="422"/>
      <c r="V67" s="422"/>
      <c r="W67" s="422"/>
      <c r="X67" s="422"/>
      <c r="Y67" s="422"/>
    </row>
    <row r="68" ht="15.75" customHeight="1" outlineLevel="1">
      <c r="A68" s="641" t="s">
        <v>5902</v>
      </c>
      <c r="B68" s="642" t="s">
        <v>5903</v>
      </c>
      <c r="C68" s="643" t="s">
        <v>5635</v>
      </c>
      <c r="D68" s="644">
        <f>SUMIF('Orcamento RU Viora Build'!$A:$A,A68,'Orcamento RU Viora Build'!$F:$F)</f>
        <v>79.6425</v>
      </c>
      <c r="E68" s="645">
        <f t="shared" si="29"/>
        <v>2.847</v>
      </c>
      <c r="F68" s="646">
        <f t="shared" si="30"/>
        <v>226.7421975</v>
      </c>
      <c r="G68" s="665"/>
      <c r="H68" s="666"/>
      <c r="I68" s="658">
        <v>2.19</v>
      </c>
      <c r="J68" s="688">
        <v>0.0</v>
      </c>
      <c r="K68" s="689">
        <f t="shared" si="31"/>
        <v>2.19</v>
      </c>
      <c r="L68" s="689">
        <f t="shared" si="32"/>
        <v>174.417075</v>
      </c>
      <c r="M68" s="690">
        <f t="shared" si="33"/>
        <v>52.3251225</v>
      </c>
      <c r="N68" s="659">
        <f t="shared" si="34"/>
        <v>0.3</v>
      </c>
      <c r="O68" s="691">
        <f t="shared" si="35"/>
        <v>0.2307692308</v>
      </c>
      <c r="P68" s="660" t="s">
        <v>5761</v>
      </c>
      <c r="Q68" s="655"/>
      <c r="R68" s="431"/>
      <c r="S68" s="668"/>
      <c r="T68" s="669"/>
      <c r="U68" s="422"/>
      <c r="V68" s="422"/>
      <c r="W68" s="422"/>
      <c r="X68" s="422"/>
      <c r="Y68" s="422"/>
    </row>
    <row r="69" ht="15.75" customHeight="1" outlineLevel="1">
      <c r="A69" s="641" t="s">
        <v>5904</v>
      </c>
      <c r="B69" s="642" t="s">
        <v>5905</v>
      </c>
      <c r="C69" s="643" t="s">
        <v>5635</v>
      </c>
      <c r="D69" s="644">
        <f>SUMIF('Orcamento RU Viora Build'!$A:$A,A69,'Orcamento RU Viora Build'!$F:$F)</f>
        <v>13.5555</v>
      </c>
      <c r="E69" s="645">
        <f t="shared" si="29"/>
        <v>3.627</v>
      </c>
      <c r="F69" s="646">
        <f t="shared" si="30"/>
        <v>49.1657985</v>
      </c>
      <c r="G69" s="665"/>
      <c r="H69" s="666"/>
      <c r="I69" s="658">
        <v>2.79</v>
      </c>
      <c r="J69" s="688">
        <v>0.0</v>
      </c>
      <c r="K69" s="689">
        <f t="shared" si="31"/>
        <v>2.79</v>
      </c>
      <c r="L69" s="689">
        <f t="shared" si="32"/>
        <v>37.819845</v>
      </c>
      <c r="M69" s="690">
        <f t="shared" si="33"/>
        <v>11.3459535</v>
      </c>
      <c r="N69" s="659">
        <f t="shared" si="34"/>
        <v>0.3</v>
      </c>
      <c r="O69" s="691">
        <f t="shared" si="35"/>
        <v>0.2307692308</v>
      </c>
      <c r="P69" s="660" t="s">
        <v>5761</v>
      </c>
      <c r="Q69" s="655"/>
      <c r="R69" s="431"/>
      <c r="S69" s="668"/>
      <c r="T69" s="669"/>
      <c r="U69" s="422"/>
      <c r="V69" s="422"/>
      <c r="W69" s="422"/>
      <c r="X69" s="422"/>
      <c r="Y69" s="422"/>
    </row>
    <row r="70" ht="15.75" customHeight="1" outlineLevel="1">
      <c r="A70" s="641" t="s">
        <v>5906</v>
      </c>
      <c r="B70" s="642" t="s">
        <v>5907</v>
      </c>
      <c r="C70" s="643" t="s">
        <v>5635</v>
      </c>
      <c r="D70" s="644">
        <f>SUMIF('Orcamento RU Viora Build'!$A:$A,A70,'Orcamento RU Viora Build'!$F:$F)</f>
        <v>11.5395</v>
      </c>
      <c r="E70" s="645">
        <f t="shared" si="29"/>
        <v>3.627</v>
      </c>
      <c r="F70" s="646">
        <f t="shared" si="30"/>
        <v>41.8537665</v>
      </c>
      <c r="G70" s="665"/>
      <c r="H70" s="666"/>
      <c r="I70" s="658">
        <v>2.79</v>
      </c>
      <c r="J70" s="688">
        <v>0.0</v>
      </c>
      <c r="K70" s="689">
        <f t="shared" si="31"/>
        <v>2.79</v>
      </c>
      <c r="L70" s="689">
        <f t="shared" si="32"/>
        <v>32.195205</v>
      </c>
      <c r="M70" s="690">
        <f t="shared" si="33"/>
        <v>9.6585615</v>
      </c>
      <c r="N70" s="659">
        <f t="shared" si="34"/>
        <v>0.3</v>
      </c>
      <c r="O70" s="691">
        <f t="shared" si="35"/>
        <v>0.2307692308</v>
      </c>
      <c r="P70" s="660" t="s">
        <v>5761</v>
      </c>
      <c r="Q70" s="655"/>
      <c r="R70" s="431"/>
      <c r="S70" s="668"/>
      <c r="T70" s="669"/>
      <c r="U70" s="422"/>
      <c r="V70" s="422"/>
      <c r="W70" s="422"/>
      <c r="X70" s="422"/>
      <c r="Y70" s="422"/>
    </row>
    <row r="71" ht="15.75" customHeight="1" outlineLevel="1">
      <c r="A71" s="641" t="s">
        <v>5908</v>
      </c>
      <c r="B71" s="642" t="s">
        <v>5909</v>
      </c>
      <c r="C71" s="643" t="s">
        <v>5636</v>
      </c>
      <c r="D71" s="644">
        <f>SUMIF('Orcamento RU Viora Build'!$A:$A,A71,'Orcamento RU Viora Build'!$F:$F)</f>
        <v>788.88</v>
      </c>
      <c r="E71" s="645">
        <f t="shared" si="29"/>
        <v>0.078</v>
      </c>
      <c r="F71" s="646">
        <f t="shared" si="30"/>
        <v>61.53264</v>
      </c>
      <c r="G71" s="665"/>
      <c r="H71" s="666"/>
      <c r="I71" s="658">
        <v>0.06</v>
      </c>
      <c r="J71" s="650">
        <v>0.0</v>
      </c>
      <c r="K71" s="649">
        <f t="shared" si="31"/>
        <v>0.06</v>
      </c>
      <c r="L71" s="649">
        <f t="shared" si="32"/>
        <v>47.3328</v>
      </c>
      <c r="M71" s="651">
        <f t="shared" si="33"/>
        <v>14.19984</v>
      </c>
      <c r="N71" s="659">
        <f t="shared" si="34"/>
        <v>0.3</v>
      </c>
      <c r="O71" s="675">
        <f t="shared" si="35"/>
        <v>0.2307692308</v>
      </c>
      <c r="P71" s="660" t="s">
        <v>5764</v>
      </c>
      <c r="Q71" s="655" t="s">
        <v>5750</v>
      </c>
      <c r="R71" s="431"/>
      <c r="S71" s="668"/>
      <c r="T71" s="669"/>
      <c r="U71" s="422"/>
      <c r="V71" s="422"/>
      <c r="W71" s="422"/>
      <c r="X71" s="422"/>
      <c r="Y71" s="422"/>
    </row>
    <row r="72" ht="15.75" customHeight="1" outlineLevel="1">
      <c r="A72" s="641" t="s">
        <v>5910</v>
      </c>
      <c r="B72" s="642" t="s">
        <v>5911</v>
      </c>
      <c r="C72" s="643" t="s">
        <v>5767</v>
      </c>
      <c r="D72" s="644">
        <f>SUMIF('Orcamento RU Viora Build'!$A:$A,A72,'Orcamento RU Viora Build'!$F:$F)</f>
        <v>1577.76</v>
      </c>
      <c r="E72" s="645">
        <f t="shared" si="29"/>
        <v>0.897</v>
      </c>
      <c r="F72" s="646">
        <f t="shared" si="30"/>
        <v>1415.25072</v>
      </c>
      <c r="G72" s="665"/>
      <c r="H72" s="666"/>
      <c r="I72" s="658">
        <v>0.69</v>
      </c>
      <c r="J72" s="650">
        <v>0.0</v>
      </c>
      <c r="K72" s="649">
        <f t="shared" si="31"/>
        <v>0.69</v>
      </c>
      <c r="L72" s="649">
        <f t="shared" si="32"/>
        <v>1088.6544</v>
      </c>
      <c r="M72" s="651">
        <f t="shared" si="33"/>
        <v>326.59632</v>
      </c>
      <c r="N72" s="659">
        <f t="shared" si="34"/>
        <v>0.3</v>
      </c>
      <c r="O72" s="675">
        <f t="shared" si="35"/>
        <v>0.2307692308</v>
      </c>
      <c r="P72" s="660" t="s">
        <v>5764</v>
      </c>
      <c r="Q72" s="734"/>
      <c r="R72" s="431"/>
      <c r="S72" s="736"/>
      <c r="T72" s="737"/>
      <c r="U72" s="422"/>
      <c r="V72" s="422"/>
      <c r="W72" s="422"/>
      <c r="X72" s="422"/>
      <c r="Y72" s="422"/>
    </row>
    <row r="73" ht="15.75" customHeight="1" outlineLevel="1">
      <c r="A73" s="701" t="s">
        <v>5912</v>
      </c>
      <c r="B73" s="702"/>
      <c r="C73" s="717"/>
      <c r="D73" s="390"/>
      <c r="E73" s="390"/>
      <c r="F73" s="388"/>
      <c r="G73" s="665"/>
      <c r="H73" s="666"/>
      <c r="I73" s="632"/>
      <c r="J73" s="633"/>
      <c r="K73" s="634"/>
      <c r="L73" s="708"/>
      <c r="M73" s="390"/>
      <c r="N73" s="390"/>
      <c r="O73" s="636"/>
      <c r="P73" s="709"/>
      <c r="Q73" s="710"/>
      <c r="R73" s="431"/>
      <c r="S73" s="711"/>
      <c r="T73" s="712"/>
      <c r="U73" s="422"/>
      <c r="V73" s="422"/>
      <c r="W73" s="422"/>
      <c r="X73" s="422"/>
      <c r="Y73" s="422"/>
    </row>
    <row r="74" ht="15.75" customHeight="1" outlineLevel="1">
      <c r="A74" s="641" t="s">
        <v>5913</v>
      </c>
      <c r="B74" s="642" t="s">
        <v>5914</v>
      </c>
      <c r="C74" s="643" t="s">
        <v>5767</v>
      </c>
      <c r="D74" s="644">
        <f>SUMIF('Orcamento RU Viora Build'!$A:$A,A74,'Orcamento RU Viora Build'!$F:$F)</f>
        <v>917.856</v>
      </c>
      <c r="E74" s="645">
        <f t="shared" ref="E74:E108" si="36">K74+(K74*N74)</f>
        <v>0.715</v>
      </c>
      <c r="F74" s="646">
        <f t="shared" ref="F74:F108" si="37">D74*E74</f>
        <v>656.26704</v>
      </c>
      <c r="G74" s="707"/>
      <c r="H74" s="666"/>
      <c r="I74" s="658">
        <v>0.55</v>
      </c>
      <c r="J74" s="650">
        <v>0.0</v>
      </c>
      <c r="K74" s="649">
        <f t="shared" ref="K74:K100" si="38">I74-I74*J74</f>
        <v>0.55</v>
      </c>
      <c r="L74" s="649">
        <f t="shared" ref="L74:L100" si="39">K74*D74</f>
        <v>504.8208</v>
      </c>
      <c r="M74" s="651">
        <f t="shared" ref="M74:M100" si="40">F74-L74</f>
        <v>151.44624</v>
      </c>
      <c r="N74" s="659">
        <f t="shared" ref="N74:N108" si="41">$N$2</f>
        <v>0.3</v>
      </c>
      <c r="O74" s="675">
        <f t="shared" ref="O74:O100" si="42">M74/F74</f>
        <v>0.2307692308</v>
      </c>
      <c r="P74" s="660" t="s">
        <v>5915</v>
      </c>
      <c r="Q74" s="734"/>
      <c r="R74" s="431"/>
      <c r="S74" s="656"/>
      <c r="T74" s="657"/>
      <c r="U74" s="422"/>
      <c r="V74" s="422"/>
      <c r="W74" s="422"/>
      <c r="X74" s="422"/>
      <c r="Y74" s="422"/>
    </row>
    <row r="75" ht="15.75" customHeight="1" outlineLevel="1">
      <c r="A75" s="641" t="s">
        <v>5916</v>
      </c>
      <c r="B75" s="738" t="s">
        <v>5917</v>
      </c>
      <c r="C75" s="643" t="s">
        <v>5767</v>
      </c>
      <c r="D75" s="644">
        <f>SUMIF('Orcamento RU Viora Build'!$A:$A,A75,'Orcamento RU Viora Build'!$F:$F)</f>
        <v>31.16</v>
      </c>
      <c r="E75" s="645">
        <f t="shared" si="36"/>
        <v>0.871</v>
      </c>
      <c r="F75" s="646">
        <f t="shared" si="37"/>
        <v>27.14036</v>
      </c>
      <c r="G75" s="707"/>
      <c r="H75" s="666"/>
      <c r="I75" s="658">
        <v>0.67</v>
      </c>
      <c r="J75" s="650">
        <v>0.0</v>
      </c>
      <c r="K75" s="649">
        <f t="shared" si="38"/>
        <v>0.67</v>
      </c>
      <c r="L75" s="649">
        <f t="shared" si="39"/>
        <v>20.8772</v>
      </c>
      <c r="M75" s="651">
        <f t="shared" si="40"/>
        <v>6.26316</v>
      </c>
      <c r="N75" s="659">
        <f t="shared" si="41"/>
        <v>0.3</v>
      </c>
      <c r="O75" s="675">
        <f t="shared" si="42"/>
        <v>0.2307692308</v>
      </c>
      <c r="P75" s="660" t="s">
        <v>5915</v>
      </c>
      <c r="Q75" s="698"/>
      <c r="R75" s="684"/>
      <c r="S75" s="668"/>
      <c r="T75" s="669"/>
      <c r="U75" s="1"/>
      <c r="V75" s="1"/>
      <c r="W75" s="1"/>
      <c r="X75" s="1"/>
      <c r="Y75" s="1"/>
    </row>
    <row r="76" ht="15.75" customHeight="1" outlineLevel="1">
      <c r="A76" s="641" t="s">
        <v>5918</v>
      </c>
      <c r="B76" s="738" t="s">
        <v>5919</v>
      </c>
      <c r="C76" s="643" t="s">
        <v>5767</v>
      </c>
      <c r="D76" s="644">
        <f>SUMIF('Orcamento RU Viora Build'!$A:$A,A76,'Orcamento RU Viora Build'!$F:$F)</f>
        <v>1604.8</v>
      </c>
      <c r="E76" s="645">
        <f t="shared" si="36"/>
        <v>1.313</v>
      </c>
      <c r="F76" s="646">
        <f t="shared" si="37"/>
        <v>2107.1024</v>
      </c>
      <c r="G76" s="707"/>
      <c r="H76" s="666"/>
      <c r="I76" s="658">
        <v>1.01</v>
      </c>
      <c r="J76" s="688">
        <v>0.0</v>
      </c>
      <c r="K76" s="689">
        <f t="shared" si="38"/>
        <v>1.01</v>
      </c>
      <c r="L76" s="689">
        <f t="shared" si="39"/>
        <v>1620.848</v>
      </c>
      <c r="M76" s="690">
        <f t="shared" si="40"/>
        <v>486.2544</v>
      </c>
      <c r="N76" s="659">
        <f t="shared" si="41"/>
        <v>0.3</v>
      </c>
      <c r="O76" s="691">
        <f t="shared" si="42"/>
        <v>0.2307692308</v>
      </c>
      <c r="P76" s="660" t="s">
        <v>5920</v>
      </c>
      <c r="Q76" s="698"/>
      <c r="R76" s="684"/>
      <c r="S76" s="668"/>
      <c r="T76" s="669"/>
      <c r="U76" s="1"/>
      <c r="V76" s="1"/>
      <c r="W76" s="1"/>
      <c r="X76" s="1"/>
      <c r="Y76" s="1"/>
    </row>
    <row r="77" ht="15.75" customHeight="1" outlineLevel="1">
      <c r="A77" s="641" t="s">
        <v>5921</v>
      </c>
      <c r="B77" s="738" t="s">
        <v>5922</v>
      </c>
      <c r="C77" s="643" t="s">
        <v>5767</v>
      </c>
      <c r="D77" s="644">
        <f>SUMIF('Orcamento RU Viora Build'!$A:$A,A77,'Orcamento RU Viora Build'!$F:$F)</f>
        <v>76.488</v>
      </c>
      <c r="E77" s="645">
        <f t="shared" si="36"/>
        <v>1.937</v>
      </c>
      <c r="F77" s="646">
        <f t="shared" si="37"/>
        <v>148.157256</v>
      </c>
      <c r="G77" s="707"/>
      <c r="H77" s="666"/>
      <c r="I77" s="658">
        <v>1.49</v>
      </c>
      <c r="J77" s="650">
        <v>0.0</v>
      </c>
      <c r="K77" s="649">
        <f t="shared" si="38"/>
        <v>1.49</v>
      </c>
      <c r="L77" s="649">
        <f t="shared" si="39"/>
        <v>113.96712</v>
      </c>
      <c r="M77" s="651">
        <f t="shared" si="40"/>
        <v>34.190136</v>
      </c>
      <c r="N77" s="659">
        <f t="shared" si="41"/>
        <v>0.3</v>
      </c>
      <c r="O77" s="675">
        <f t="shared" si="42"/>
        <v>0.2307692308</v>
      </c>
      <c r="P77" s="660" t="s">
        <v>5764</v>
      </c>
      <c r="Q77" s="698"/>
      <c r="R77" s="684"/>
      <c r="S77" s="668"/>
      <c r="T77" s="669"/>
      <c r="U77" s="1"/>
      <c r="V77" s="1"/>
      <c r="W77" s="1"/>
      <c r="X77" s="1"/>
      <c r="Y77" s="1"/>
    </row>
    <row r="78" ht="15.75" customHeight="1" outlineLevel="1">
      <c r="A78" s="641" t="s">
        <v>5923</v>
      </c>
      <c r="B78" s="738" t="s">
        <v>5924</v>
      </c>
      <c r="C78" s="643" t="s">
        <v>5767</v>
      </c>
      <c r="D78" s="644">
        <f>SUMIF('Orcamento RU Viora Build'!$A:$A,A78,'Orcamento RU Viora Build'!$F:$F)</f>
        <v>287.76</v>
      </c>
      <c r="E78" s="645">
        <f t="shared" si="36"/>
        <v>7.345</v>
      </c>
      <c r="F78" s="646">
        <f t="shared" si="37"/>
        <v>2113.5972</v>
      </c>
      <c r="G78" s="707"/>
      <c r="H78" s="666"/>
      <c r="I78" s="658">
        <v>5.65</v>
      </c>
      <c r="J78" s="650">
        <v>0.0</v>
      </c>
      <c r="K78" s="649">
        <f t="shared" si="38"/>
        <v>5.65</v>
      </c>
      <c r="L78" s="649">
        <f t="shared" si="39"/>
        <v>1625.844</v>
      </c>
      <c r="M78" s="651">
        <f t="shared" si="40"/>
        <v>487.7532</v>
      </c>
      <c r="N78" s="659">
        <f t="shared" si="41"/>
        <v>0.3</v>
      </c>
      <c r="O78" s="675">
        <f t="shared" si="42"/>
        <v>0.2307692308</v>
      </c>
      <c r="P78" s="660" t="s">
        <v>5761</v>
      </c>
      <c r="Q78" s="698"/>
      <c r="R78" s="684"/>
      <c r="S78" s="668"/>
      <c r="T78" s="669"/>
      <c r="U78" s="1"/>
      <c r="V78" s="1"/>
      <c r="W78" s="1"/>
      <c r="X78" s="1"/>
      <c r="Y78" s="1"/>
    </row>
    <row r="79" ht="15.75" customHeight="1" outlineLevel="1">
      <c r="A79" s="641" t="s">
        <v>5925</v>
      </c>
      <c r="B79" s="738" t="s">
        <v>5926</v>
      </c>
      <c r="C79" s="643" t="s">
        <v>5767</v>
      </c>
      <c r="D79" s="644">
        <f>SUMIF('Orcamento RU Viora Build'!$A:$A,A79,'Orcamento RU Viora Build'!$F:$F)</f>
        <v>55.092</v>
      </c>
      <c r="E79" s="645">
        <f t="shared" si="36"/>
        <v>15.262</v>
      </c>
      <c r="F79" s="646">
        <f t="shared" si="37"/>
        <v>840.814104</v>
      </c>
      <c r="G79" s="707"/>
      <c r="H79" s="666"/>
      <c r="I79" s="658">
        <v>11.74</v>
      </c>
      <c r="J79" s="650">
        <v>0.0</v>
      </c>
      <c r="K79" s="649">
        <f t="shared" si="38"/>
        <v>11.74</v>
      </c>
      <c r="L79" s="649">
        <f t="shared" si="39"/>
        <v>646.78008</v>
      </c>
      <c r="M79" s="651">
        <f t="shared" si="40"/>
        <v>194.034024</v>
      </c>
      <c r="N79" s="659">
        <f t="shared" si="41"/>
        <v>0.3</v>
      </c>
      <c r="O79" s="675">
        <f t="shared" si="42"/>
        <v>0.2307692308</v>
      </c>
      <c r="P79" s="660" t="s">
        <v>5761</v>
      </c>
      <c r="Q79" s="698"/>
      <c r="R79" s="684"/>
      <c r="S79" s="668"/>
      <c r="T79" s="669"/>
      <c r="U79" s="1"/>
      <c r="V79" s="1"/>
      <c r="W79" s="1"/>
      <c r="X79" s="1"/>
      <c r="Y79" s="1"/>
    </row>
    <row r="80" ht="12.75" customHeight="1" outlineLevel="1">
      <c r="A80" s="641" t="s">
        <v>5927</v>
      </c>
      <c r="B80" s="738" t="s">
        <v>5928</v>
      </c>
      <c r="C80" s="643" t="s">
        <v>5929</v>
      </c>
      <c r="D80" s="644">
        <f>SUMIF('Orcamento RU Viora Build'!$A:$A,A80,'Orcamento RU Viora Build'!$F:$F)</f>
        <v>5</v>
      </c>
      <c r="E80" s="645">
        <f t="shared" si="36"/>
        <v>17.94</v>
      </c>
      <c r="F80" s="646">
        <f t="shared" si="37"/>
        <v>89.7</v>
      </c>
      <c r="G80" s="707"/>
      <c r="H80" s="666"/>
      <c r="I80" s="649">
        <v>13.8</v>
      </c>
      <c r="J80" s="650">
        <v>0.0</v>
      </c>
      <c r="K80" s="649">
        <f t="shared" si="38"/>
        <v>13.8</v>
      </c>
      <c r="L80" s="649">
        <f t="shared" si="39"/>
        <v>69</v>
      </c>
      <c r="M80" s="651">
        <f t="shared" si="40"/>
        <v>20.7</v>
      </c>
      <c r="N80" s="659">
        <f t="shared" si="41"/>
        <v>0.3</v>
      </c>
      <c r="O80" s="675">
        <f t="shared" si="42"/>
        <v>0.2307692308</v>
      </c>
      <c r="P80" s="660" t="s">
        <v>5930</v>
      </c>
      <c r="Q80" s="698"/>
      <c r="R80" s="684"/>
      <c r="S80" s="668"/>
      <c r="T80" s="669"/>
      <c r="U80" s="1"/>
      <c r="V80" s="1"/>
      <c r="W80" s="1"/>
      <c r="X80" s="1"/>
      <c r="Y80" s="1"/>
    </row>
    <row r="81" ht="12.75" customHeight="1" outlineLevel="1">
      <c r="A81" s="641" t="s">
        <v>5931</v>
      </c>
      <c r="B81" s="738" t="s">
        <v>5932</v>
      </c>
      <c r="C81" s="643" t="s">
        <v>5631</v>
      </c>
      <c r="D81" s="644">
        <f>SUMIF('Orcamento RU Viora Build'!$A:$A,A81,'Orcamento RU Viora Build'!$F:$F)</f>
        <v>257.229</v>
      </c>
      <c r="E81" s="645">
        <f t="shared" si="36"/>
        <v>20.787</v>
      </c>
      <c r="F81" s="646">
        <f t="shared" si="37"/>
        <v>5347.019223</v>
      </c>
      <c r="G81" s="707"/>
      <c r="H81" s="666"/>
      <c r="I81" s="658">
        <v>15.99</v>
      </c>
      <c r="J81" s="650">
        <v>0.0</v>
      </c>
      <c r="K81" s="649">
        <f t="shared" si="38"/>
        <v>15.99</v>
      </c>
      <c r="L81" s="649">
        <f t="shared" si="39"/>
        <v>4113.09171</v>
      </c>
      <c r="M81" s="651">
        <f t="shared" si="40"/>
        <v>1233.927513</v>
      </c>
      <c r="N81" s="659">
        <f t="shared" si="41"/>
        <v>0.3</v>
      </c>
      <c r="O81" s="675">
        <f t="shared" si="42"/>
        <v>0.2307692308</v>
      </c>
      <c r="P81" s="660" t="s">
        <v>5933</v>
      </c>
      <c r="Q81" s="698"/>
      <c r="R81" s="684"/>
      <c r="S81" s="668"/>
      <c r="T81" s="669"/>
      <c r="U81" s="1"/>
      <c r="V81" s="1"/>
      <c r="W81" s="1"/>
      <c r="X81" s="1"/>
      <c r="Y81" s="1"/>
    </row>
    <row r="82" ht="15.75" customHeight="1" outlineLevel="1">
      <c r="A82" s="641" t="s">
        <v>5934</v>
      </c>
      <c r="B82" s="642" t="s">
        <v>5935</v>
      </c>
      <c r="C82" s="739" t="s">
        <v>5636</v>
      </c>
      <c r="D82" s="644">
        <f>SUMIF('Orcamento RU Viora Build'!$A:$A,A82,'Orcamento RU Viora Build'!$F:$F)</f>
        <v>69.9955</v>
      </c>
      <c r="E82" s="645">
        <f t="shared" si="36"/>
        <v>16.9</v>
      </c>
      <c r="F82" s="646">
        <f t="shared" si="37"/>
        <v>1182.92395</v>
      </c>
      <c r="G82" s="707"/>
      <c r="H82" s="666"/>
      <c r="I82" s="649">
        <v>13.0</v>
      </c>
      <c r="J82" s="650">
        <v>0.0</v>
      </c>
      <c r="K82" s="649">
        <f t="shared" si="38"/>
        <v>13</v>
      </c>
      <c r="L82" s="649">
        <f t="shared" si="39"/>
        <v>909.9415</v>
      </c>
      <c r="M82" s="651">
        <f t="shared" si="40"/>
        <v>272.98245</v>
      </c>
      <c r="N82" s="659">
        <f t="shared" si="41"/>
        <v>0.3</v>
      </c>
      <c r="O82" s="675">
        <f t="shared" si="42"/>
        <v>0.2307692308</v>
      </c>
      <c r="P82" s="715" t="s">
        <v>5779</v>
      </c>
      <c r="Q82" s="698"/>
      <c r="R82" s="684"/>
      <c r="S82" s="668"/>
      <c r="T82" s="669"/>
      <c r="U82" s="1"/>
      <c r="V82" s="1"/>
      <c r="W82" s="1"/>
      <c r="X82" s="1"/>
      <c r="Y82" s="1"/>
    </row>
    <row r="83" ht="15.75" customHeight="1" outlineLevel="1">
      <c r="A83" s="641" t="s">
        <v>5936</v>
      </c>
      <c r="B83" s="642" t="s">
        <v>5937</v>
      </c>
      <c r="C83" s="739" t="s">
        <v>5636</v>
      </c>
      <c r="D83" s="644">
        <f>SUMIF('Orcamento RU Viora Build'!$A:$A,A83,'Orcamento RU Viora Build'!$F:$F)</f>
        <v>104.9985</v>
      </c>
      <c r="E83" s="645">
        <f t="shared" si="36"/>
        <v>13.494</v>
      </c>
      <c r="F83" s="646">
        <f t="shared" si="37"/>
        <v>1416.849759</v>
      </c>
      <c r="G83" s="707"/>
      <c r="H83" s="666"/>
      <c r="I83" s="658">
        <v>10.38</v>
      </c>
      <c r="J83" s="688">
        <v>0.0</v>
      </c>
      <c r="K83" s="689">
        <f t="shared" si="38"/>
        <v>10.38</v>
      </c>
      <c r="L83" s="689">
        <f t="shared" si="39"/>
        <v>1089.88443</v>
      </c>
      <c r="M83" s="690">
        <f t="shared" si="40"/>
        <v>326.965329</v>
      </c>
      <c r="N83" s="659">
        <f t="shared" si="41"/>
        <v>0.3</v>
      </c>
      <c r="O83" s="691">
        <f t="shared" si="42"/>
        <v>0.2307692308</v>
      </c>
      <c r="P83" s="660" t="s">
        <v>5761</v>
      </c>
      <c r="Q83" s="698"/>
      <c r="R83" s="684"/>
      <c r="S83" s="668"/>
      <c r="T83" s="669"/>
      <c r="U83" s="1"/>
      <c r="V83" s="1"/>
      <c r="W83" s="1"/>
      <c r="X83" s="1"/>
      <c r="Y83" s="1"/>
    </row>
    <row r="84" ht="15.75" customHeight="1" outlineLevel="1">
      <c r="A84" s="641" t="s">
        <v>5938</v>
      </c>
      <c r="B84" s="642" t="s">
        <v>5939</v>
      </c>
      <c r="C84" s="739" t="s">
        <v>5635</v>
      </c>
      <c r="D84" s="644">
        <f>SUMIF('Orcamento RU Viora Build'!$A:$A,A84,'Orcamento RU Viora Build'!$F:$F)</f>
        <v>13.5555</v>
      </c>
      <c r="E84" s="645">
        <f t="shared" si="36"/>
        <v>8.593</v>
      </c>
      <c r="F84" s="646">
        <f t="shared" si="37"/>
        <v>116.4824115</v>
      </c>
      <c r="G84" s="707"/>
      <c r="H84" s="666"/>
      <c r="I84" s="658">
        <v>6.61</v>
      </c>
      <c r="J84" s="688">
        <v>0.0</v>
      </c>
      <c r="K84" s="689">
        <f t="shared" si="38"/>
        <v>6.61</v>
      </c>
      <c r="L84" s="689">
        <f t="shared" si="39"/>
        <v>89.601855</v>
      </c>
      <c r="M84" s="690">
        <f t="shared" si="40"/>
        <v>26.8805565</v>
      </c>
      <c r="N84" s="659">
        <f t="shared" si="41"/>
        <v>0.3</v>
      </c>
      <c r="O84" s="691">
        <f t="shared" si="42"/>
        <v>0.2307692308</v>
      </c>
      <c r="P84" s="660" t="s">
        <v>5940</v>
      </c>
      <c r="Q84" s="698"/>
      <c r="R84" s="684"/>
      <c r="S84" s="668"/>
      <c r="T84" s="669"/>
      <c r="U84" s="1"/>
      <c r="V84" s="1"/>
      <c r="W84" s="1"/>
      <c r="X84" s="1"/>
      <c r="Y84" s="1"/>
    </row>
    <row r="85" ht="15.75" customHeight="1" outlineLevel="1">
      <c r="A85" s="641" t="s">
        <v>5941</v>
      </c>
      <c r="B85" s="642" t="s">
        <v>5942</v>
      </c>
      <c r="C85" s="739" t="s">
        <v>5631</v>
      </c>
      <c r="D85" s="644">
        <f>SUMIF('Orcamento RU Viora Build'!$A:$A,A85,'Orcamento RU Viora Build'!$F:$F)</f>
        <v>432.275</v>
      </c>
      <c r="E85" s="645">
        <f t="shared" si="36"/>
        <v>2.587</v>
      </c>
      <c r="F85" s="646">
        <f t="shared" si="37"/>
        <v>1118.295425</v>
      </c>
      <c r="G85" s="707"/>
      <c r="H85" s="666"/>
      <c r="I85" s="658">
        <v>1.99</v>
      </c>
      <c r="J85" s="688">
        <v>0.0</v>
      </c>
      <c r="K85" s="689">
        <f t="shared" si="38"/>
        <v>1.99</v>
      </c>
      <c r="L85" s="689">
        <f t="shared" si="39"/>
        <v>860.22725</v>
      </c>
      <c r="M85" s="690">
        <f t="shared" si="40"/>
        <v>258.068175</v>
      </c>
      <c r="N85" s="659">
        <f t="shared" si="41"/>
        <v>0.3</v>
      </c>
      <c r="O85" s="691">
        <f t="shared" si="42"/>
        <v>0.2307692308</v>
      </c>
      <c r="P85" s="660" t="s">
        <v>5943</v>
      </c>
      <c r="Q85" s="698"/>
      <c r="R85" s="684"/>
      <c r="S85" s="668"/>
      <c r="T85" s="669"/>
      <c r="U85" s="1"/>
      <c r="V85" s="1"/>
      <c r="W85" s="1"/>
      <c r="X85" s="1"/>
      <c r="Y85" s="1"/>
    </row>
    <row r="86" ht="12.75" customHeight="1" outlineLevel="1">
      <c r="A86" s="641" t="s">
        <v>5944</v>
      </c>
      <c r="B86" s="642" t="s">
        <v>5945</v>
      </c>
      <c r="C86" s="739" t="s">
        <v>5631</v>
      </c>
      <c r="D86" s="644">
        <f>SUMIF('Orcamento RU Viora Build'!$A:$A,A86,'Orcamento RU Viora Build'!$F:$F)</f>
        <v>266.803</v>
      </c>
      <c r="E86" s="645">
        <f t="shared" si="36"/>
        <v>0.429</v>
      </c>
      <c r="F86" s="646">
        <f t="shared" si="37"/>
        <v>114.458487</v>
      </c>
      <c r="G86" s="707"/>
      <c r="H86" s="666"/>
      <c r="I86" s="649">
        <v>0.33</v>
      </c>
      <c r="J86" s="650">
        <v>0.0</v>
      </c>
      <c r="K86" s="649">
        <f t="shared" si="38"/>
        <v>0.33</v>
      </c>
      <c r="L86" s="649">
        <f t="shared" si="39"/>
        <v>88.04499</v>
      </c>
      <c r="M86" s="651">
        <f t="shared" si="40"/>
        <v>26.413497</v>
      </c>
      <c r="N86" s="659">
        <f t="shared" si="41"/>
        <v>0.3</v>
      </c>
      <c r="O86" s="675">
        <f t="shared" si="42"/>
        <v>0.2307692308</v>
      </c>
      <c r="P86" s="740"/>
      <c r="Q86" s="698" t="s">
        <v>5946</v>
      </c>
      <c r="R86" s="684"/>
      <c r="S86" s="668"/>
      <c r="T86" s="669"/>
      <c r="U86" s="1"/>
      <c r="V86" s="1"/>
      <c r="W86" s="1"/>
      <c r="X86" s="1"/>
      <c r="Y86" s="1"/>
    </row>
    <row r="87" ht="12.75" customHeight="1" outlineLevel="1">
      <c r="A87" s="641" t="s">
        <v>5947</v>
      </c>
      <c r="B87" s="642" t="s">
        <v>5948</v>
      </c>
      <c r="C87" s="739" t="s">
        <v>5631</v>
      </c>
      <c r="D87" s="644">
        <f>SUMIF('Orcamento RU Viora Build'!$A:$A,A87,'Orcamento RU Viora Build'!$F:$F)</f>
        <v>724.2085</v>
      </c>
      <c r="E87" s="645">
        <f t="shared" si="36"/>
        <v>0.611</v>
      </c>
      <c r="F87" s="646">
        <f t="shared" si="37"/>
        <v>442.4913935</v>
      </c>
      <c r="G87" s="707"/>
      <c r="H87" s="666"/>
      <c r="I87" s="649">
        <v>0.47</v>
      </c>
      <c r="J87" s="650">
        <v>0.0</v>
      </c>
      <c r="K87" s="649">
        <f t="shared" si="38"/>
        <v>0.47</v>
      </c>
      <c r="L87" s="649">
        <f t="shared" si="39"/>
        <v>340.377995</v>
      </c>
      <c r="M87" s="651">
        <f t="shared" si="40"/>
        <v>102.1133985</v>
      </c>
      <c r="N87" s="659">
        <f t="shared" si="41"/>
        <v>0.3</v>
      </c>
      <c r="O87" s="675">
        <f t="shared" si="42"/>
        <v>0.2307692308</v>
      </c>
      <c r="P87" s="740"/>
      <c r="Q87" s="698" t="s">
        <v>5946</v>
      </c>
      <c r="R87" s="684"/>
      <c r="S87" s="668"/>
      <c r="T87" s="669"/>
      <c r="U87" s="1"/>
      <c r="V87" s="1"/>
      <c r="W87" s="1"/>
      <c r="X87" s="1"/>
      <c r="Y87" s="1"/>
    </row>
    <row r="88" ht="12.75" customHeight="1" outlineLevel="1">
      <c r="A88" s="641" t="s">
        <v>5949</v>
      </c>
      <c r="B88" s="642" t="s">
        <v>5950</v>
      </c>
      <c r="C88" s="739" t="s">
        <v>5636</v>
      </c>
      <c r="D88" s="644">
        <f>SUMIF('Orcamento RU Viora Build'!$A:$A,A88,'Orcamento RU Viora Build'!$F:$F)</f>
        <v>58.32072</v>
      </c>
      <c r="E88" s="645">
        <f t="shared" si="36"/>
        <v>0.338</v>
      </c>
      <c r="F88" s="646">
        <f t="shared" si="37"/>
        <v>19.71240336</v>
      </c>
      <c r="G88" s="707"/>
      <c r="H88" s="666"/>
      <c r="I88" s="649">
        <v>0.26</v>
      </c>
      <c r="J88" s="650">
        <v>0.0</v>
      </c>
      <c r="K88" s="649">
        <f t="shared" si="38"/>
        <v>0.26</v>
      </c>
      <c r="L88" s="649">
        <f t="shared" si="39"/>
        <v>15.1633872</v>
      </c>
      <c r="M88" s="651">
        <f t="shared" si="40"/>
        <v>4.54901616</v>
      </c>
      <c r="N88" s="659">
        <f t="shared" si="41"/>
        <v>0.3</v>
      </c>
      <c r="O88" s="675">
        <f t="shared" si="42"/>
        <v>0.2307692308</v>
      </c>
      <c r="P88" s="740"/>
      <c r="Q88" s="698" t="s">
        <v>5946</v>
      </c>
      <c r="R88" s="684"/>
      <c r="S88" s="668"/>
      <c r="T88" s="669"/>
      <c r="U88" s="1"/>
      <c r="V88" s="1"/>
      <c r="W88" s="1"/>
      <c r="X88" s="1"/>
      <c r="Y88" s="1"/>
    </row>
    <row r="89" ht="12.75" customHeight="1" outlineLevel="1">
      <c r="A89" s="641" t="s">
        <v>5951</v>
      </c>
      <c r="B89" s="642" t="s">
        <v>5952</v>
      </c>
      <c r="C89" s="739" t="s">
        <v>5636</v>
      </c>
      <c r="D89" s="644">
        <f>SUMIF('Orcamento RU Viora Build'!$A:$A,A89,'Orcamento RU Viora Build'!$F:$F)</f>
        <v>526.5065</v>
      </c>
      <c r="E89" s="645">
        <f t="shared" si="36"/>
        <v>0.078</v>
      </c>
      <c r="F89" s="646">
        <f t="shared" si="37"/>
        <v>41.067507</v>
      </c>
      <c r="G89" s="707"/>
      <c r="H89" s="666"/>
      <c r="I89" s="649">
        <v>0.06</v>
      </c>
      <c r="J89" s="650">
        <v>0.0</v>
      </c>
      <c r="K89" s="649">
        <f t="shared" si="38"/>
        <v>0.06</v>
      </c>
      <c r="L89" s="649">
        <f t="shared" si="39"/>
        <v>31.59039</v>
      </c>
      <c r="M89" s="651">
        <f t="shared" si="40"/>
        <v>9.477117</v>
      </c>
      <c r="N89" s="659">
        <f t="shared" si="41"/>
        <v>0.3</v>
      </c>
      <c r="O89" s="675">
        <f t="shared" si="42"/>
        <v>0.2307692308</v>
      </c>
      <c r="P89" s="740"/>
      <c r="Q89" s="698" t="s">
        <v>5946</v>
      </c>
      <c r="R89" s="684"/>
      <c r="S89" s="668"/>
      <c r="T89" s="669"/>
      <c r="U89" s="1"/>
      <c r="V89" s="1"/>
      <c r="W89" s="1"/>
      <c r="X89" s="1"/>
      <c r="Y89" s="1"/>
    </row>
    <row r="90" ht="12.75" customHeight="1" outlineLevel="1">
      <c r="A90" s="641" t="s">
        <v>5953</v>
      </c>
      <c r="B90" s="642" t="s">
        <v>5954</v>
      </c>
      <c r="C90" s="739" t="s">
        <v>5636</v>
      </c>
      <c r="D90" s="644">
        <f>SUMIF('Orcamento RU Viora Build'!$A:$A,A90,'Orcamento RU Viora Build'!$F:$F)</f>
        <v>526.5065</v>
      </c>
      <c r="E90" s="645">
        <f t="shared" si="36"/>
        <v>0.078</v>
      </c>
      <c r="F90" s="646">
        <f t="shared" si="37"/>
        <v>41.067507</v>
      </c>
      <c r="G90" s="707"/>
      <c r="H90" s="666"/>
      <c r="I90" s="649">
        <v>0.06</v>
      </c>
      <c r="J90" s="650">
        <v>0.0</v>
      </c>
      <c r="K90" s="649">
        <f t="shared" si="38"/>
        <v>0.06</v>
      </c>
      <c r="L90" s="649">
        <f t="shared" si="39"/>
        <v>31.59039</v>
      </c>
      <c r="M90" s="651">
        <f t="shared" si="40"/>
        <v>9.477117</v>
      </c>
      <c r="N90" s="659">
        <f t="shared" si="41"/>
        <v>0.3</v>
      </c>
      <c r="O90" s="675">
        <f t="shared" si="42"/>
        <v>0.2307692308</v>
      </c>
      <c r="P90" s="740"/>
      <c r="Q90" s="698" t="s">
        <v>5946</v>
      </c>
      <c r="R90" s="684"/>
      <c r="S90" s="668"/>
      <c r="T90" s="669"/>
      <c r="U90" s="1"/>
      <c r="V90" s="1"/>
      <c r="W90" s="1"/>
      <c r="X90" s="1"/>
      <c r="Y90" s="1"/>
    </row>
    <row r="91" ht="15.75" customHeight="1" outlineLevel="1">
      <c r="A91" s="641" t="s">
        <v>5955</v>
      </c>
      <c r="B91" s="642" t="s">
        <v>5956</v>
      </c>
      <c r="C91" s="739" t="s">
        <v>5929</v>
      </c>
      <c r="D91" s="644">
        <f>SUMIF('Orcamento RU Viora Build'!$A:$A,A91,'Orcamento RU Viora Build'!$F:$F)</f>
        <v>2.706328</v>
      </c>
      <c r="E91" s="645">
        <f t="shared" si="36"/>
        <v>81.9</v>
      </c>
      <c r="F91" s="646">
        <f t="shared" si="37"/>
        <v>221.6482632</v>
      </c>
      <c r="G91" s="707"/>
      <c r="H91" s="666"/>
      <c r="I91" s="649">
        <v>63.0</v>
      </c>
      <c r="J91" s="650">
        <v>0.0</v>
      </c>
      <c r="K91" s="649">
        <f t="shared" si="38"/>
        <v>63</v>
      </c>
      <c r="L91" s="649">
        <f t="shared" si="39"/>
        <v>170.498664</v>
      </c>
      <c r="M91" s="651">
        <f t="shared" si="40"/>
        <v>51.1495992</v>
      </c>
      <c r="N91" s="659">
        <f t="shared" si="41"/>
        <v>0.3</v>
      </c>
      <c r="O91" s="675">
        <f t="shared" si="42"/>
        <v>0.2307692308</v>
      </c>
      <c r="P91" s="715" t="s">
        <v>5779</v>
      </c>
      <c r="Q91" s="698"/>
      <c r="R91" s="684"/>
      <c r="S91" s="668"/>
      <c r="T91" s="669"/>
      <c r="U91" s="1"/>
      <c r="V91" s="1"/>
      <c r="W91" s="1"/>
      <c r="X91" s="1"/>
      <c r="Y91" s="1"/>
    </row>
    <row r="92" ht="15.75" customHeight="1" outlineLevel="1">
      <c r="A92" s="641" t="s">
        <v>5957</v>
      </c>
      <c r="B92" s="642" t="s">
        <v>5958</v>
      </c>
      <c r="C92" s="739" t="s">
        <v>5929</v>
      </c>
      <c r="D92" s="644">
        <f>SUMIF('Orcamento RU Viora Build'!$A:$A,A92,'Orcamento RU Viora Build'!$F:$F)</f>
        <v>9.83926</v>
      </c>
      <c r="E92" s="645">
        <f t="shared" si="36"/>
        <v>8.84</v>
      </c>
      <c r="F92" s="646">
        <f t="shared" si="37"/>
        <v>86.9790584</v>
      </c>
      <c r="G92" s="707"/>
      <c r="H92" s="666"/>
      <c r="I92" s="649">
        <v>6.8</v>
      </c>
      <c r="J92" s="650">
        <v>0.0</v>
      </c>
      <c r="K92" s="649">
        <f t="shared" si="38"/>
        <v>6.8</v>
      </c>
      <c r="L92" s="649">
        <f t="shared" si="39"/>
        <v>66.906968</v>
      </c>
      <c r="M92" s="651">
        <f t="shared" si="40"/>
        <v>20.0720904</v>
      </c>
      <c r="N92" s="659">
        <f t="shared" si="41"/>
        <v>0.3</v>
      </c>
      <c r="O92" s="675">
        <f t="shared" si="42"/>
        <v>0.2307692308</v>
      </c>
      <c r="P92" s="715" t="s">
        <v>5779</v>
      </c>
      <c r="Q92" s="698"/>
      <c r="R92" s="684"/>
      <c r="S92" s="668"/>
      <c r="T92" s="669"/>
      <c r="U92" s="1"/>
      <c r="V92" s="1"/>
      <c r="W92" s="1"/>
      <c r="X92" s="1"/>
      <c r="Y92" s="1"/>
    </row>
    <row r="93" ht="15.75" customHeight="1" outlineLevel="1">
      <c r="A93" s="641" t="s">
        <v>5959</v>
      </c>
      <c r="B93" s="642" t="s">
        <v>5960</v>
      </c>
      <c r="C93" s="739" t="s">
        <v>5929</v>
      </c>
      <c r="D93" s="644">
        <f>SUMIF('Orcamento RU Viora Build'!$A:$A,A93,'Orcamento RU Viora Build'!$F:$F)</f>
        <v>2.807088</v>
      </c>
      <c r="E93" s="645">
        <f t="shared" si="36"/>
        <v>11.037</v>
      </c>
      <c r="F93" s="646">
        <f t="shared" si="37"/>
        <v>30.98183026</v>
      </c>
      <c r="G93" s="707"/>
      <c r="H93" s="666"/>
      <c r="I93" s="658">
        <v>8.49</v>
      </c>
      <c r="J93" s="650">
        <v>0.0</v>
      </c>
      <c r="K93" s="649">
        <f t="shared" si="38"/>
        <v>8.49</v>
      </c>
      <c r="L93" s="649">
        <f t="shared" si="39"/>
        <v>23.83217712</v>
      </c>
      <c r="M93" s="651">
        <f t="shared" si="40"/>
        <v>7.149653136</v>
      </c>
      <c r="N93" s="659">
        <f t="shared" si="41"/>
        <v>0.3</v>
      </c>
      <c r="O93" s="675">
        <f t="shared" si="42"/>
        <v>0.2307692308</v>
      </c>
      <c r="P93" s="660" t="s">
        <v>5779</v>
      </c>
      <c r="Q93" s="698"/>
      <c r="R93" s="684"/>
      <c r="S93" s="668"/>
      <c r="T93" s="669"/>
      <c r="U93" s="1"/>
      <c r="V93" s="1"/>
      <c r="W93" s="1"/>
      <c r="X93" s="1"/>
      <c r="Y93" s="1"/>
    </row>
    <row r="94" ht="15.75" customHeight="1" outlineLevel="1">
      <c r="A94" s="641" t="s">
        <v>5961</v>
      </c>
      <c r="B94" s="642" t="s">
        <v>5962</v>
      </c>
      <c r="C94" s="739" t="s">
        <v>5636</v>
      </c>
      <c r="D94" s="644">
        <f>SUMIF('Orcamento RU Viora Build'!$A:$A,A94,'Orcamento RU Viora Build'!$F:$F)</f>
        <v>18.27513</v>
      </c>
      <c r="E94" s="645">
        <f t="shared" si="36"/>
        <v>2.86</v>
      </c>
      <c r="F94" s="646">
        <f t="shared" si="37"/>
        <v>52.2668718</v>
      </c>
      <c r="G94" s="707"/>
      <c r="H94" s="666"/>
      <c r="I94" s="649">
        <v>2.2</v>
      </c>
      <c r="J94" s="650">
        <v>0.0</v>
      </c>
      <c r="K94" s="649">
        <f t="shared" si="38"/>
        <v>2.2</v>
      </c>
      <c r="L94" s="649">
        <f t="shared" si="39"/>
        <v>40.205286</v>
      </c>
      <c r="M94" s="651">
        <f t="shared" si="40"/>
        <v>12.0615858</v>
      </c>
      <c r="N94" s="659">
        <f t="shared" si="41"/>
        <v>0.3</v>
      </c>
      <c r="O94" s="675">
        <f t="shared" si="42"/>
        <v>0.2307692308</v>
      </c>
      <c r="P94" s="715" t="s">
        <v>5779</v>
      </c>
      <c r="Q94" s="698"/>
      <c r="R94" s="684"/>
      <c r="S94" s="668"/>
      <c r="T94" s="669"/>
      <c r="U94" s="1"/>
      <c r="V94" s="1"/>
      <c r="W94" s="1"/>
      <c r="X94" s="1"/>
      <c r="Y94" s="1"/>
    </row>
    <row r="95" ht="15.75" customHeight="1" outlineLevel="1">
      <c r="A95" s="641" t="s">
        <v>5963</v>
      </c>
      <c r="B95" s="642" t="s">
        <v>5964</v>
      </c>
      <c r="C95" s="739" t="s">
        <v>5631</v>
      </c>
      <c r="D95" s="644">
        <f>SUMIF('Orcamento RU Viora Build'!$A:$A,A95,'Orcamento RU Viora Build'!$F:$F)</f>
        <v>458.8795</v>
      </c>
      <c r="E95" s="645">
        <f t="shared" si="36"/>
        <v>0.0351</v>
      </c>
      <c r="F95" s="646">
        <f t="shared" si="37"/>
        <v>16.10667045</v>
      </c>
      <c r="G95" s="707"/>
      <c r="H95" s="666"/>
      <c r="I95" s="658">
        <v>0.027</v>
      </c>
      <c r="J95" s="650">
        <v>0.0</v>
      </c>
      <c r="K95" s="649">
        <f t="shared" si="38"/>
        <v>0.027</v>
      </c>
      <c r="L95" s="649">
        <f t="shared" si="39"/>
        <v>12.3897465</v>
      </c>
      <c r="M95" s="651">
        <f t="shared" si="40"/>
        <v>3.71692395</v>
      </c>
      <c r="N95" s="659">
        <f t="shared" si="41"/>
        <v>0.3</v>
      </c>
      <c r="O95" s="675">
        <f t="shared" si="42"/>
        <v>0.2307692308</v>
      </c>
      <c r="P95" s="660" t="s">
        <v>5965</v>
      </c>
      <c r="Q95" s="698"/>
      <c r="R95" s="684"/>
      <c r="S95" s="668"/>
      <c r="T95" s="669"/>
      <c r="U95" s="1"/>
      <c r="V95" s="1"/>
      <c r="W95" s="1"/>
      <c r="X95" s="1"/>
      <c r="Y95" s="1"/>
    </row>
    <row r="96" ht="15.75" customHeight="1" outlineLevel="1">
      <c r="A96" s="641" t="s">
        <v>5966</v>
      </c>
      <c r="B96" s="642" t="s">
        <v>5967</v>
      </c>
      <c r="C96" s="739" t="s">
        <v>5636</v>
      </c>
      <c r="D96" s="644">
        <f>SUMIF('Orcamento RU Viora Build'!$A:$A,A96,'Orcamento RU Viora Build'!$F:$F)</f>
        <v>10.014122</v>
      </c>
      <c r="E96" s="645">
        <f t="shared" si="36"/>
        <v>15.262</v>
      </c>
      <c r="F96" s="646">
        <f t="shared" si="37"/>
        <v>152.83553</v>
      </c>
      <c r="G96" s="707"/>
      <c r="H96" s="666"/>
      <c r="I96" s="658">
        <v>11.74</v>
      </c>
      <c r="J96" s="650">
        <v>0.0</v>
      </c>
      <c r="K96" s="649">
        <f t="shared" si="38"/>
        <v>11.74</v>
      </c>
      <c r="L96" s="649">
        <f t="shared" si="39"/>
        <v>117.5657923</v>
      </c>
      <c r="M96" s="651">
        <f t="shared" si="40"/>
        <v>35.26973768</v>
      </c>
      <c r="N96" s="659">
        <f t="shared" si="41"/>
        <v>0.3</v>
      </c>
      <c r="O96" s="675">
        <f t="shared" si="42"/>
        <v>0.2307692308</v>
      </c>
      <c r="P96" s="660" t="s">
        <v>5968</v>
      </c>
      <c r="Q96" s="698"/>
      <c r="R96" s="684"/>
      <c r="S96" s="668"/>
      <c r="T96" s="669"/>
      <c r="U96" s="1"/>
      <c r="V96" s="1"/>
      <c r="W96" s="1"/>
      <c r="X96" s="1"/>
      <c r="Y96" s="1"/>
    </row>
    <row r="97" ht="15.75" customHeight="1" outlineLevel="1">
      <c r="A97" s="641" t="s">
        <v>5969</v>
      </c>
      <c r="B97" s="642" t="s">
        <v>5970</v>
      </c>
      <c r="C97" s="643" t="s">
        <v>5748</v>
      </c>
      <c r="D97" s="644">
        <f>SUMIF('Orcamento RU Viora Build'!$A:$A,A97,'Orcamento RU Viora Build'!$F:$F)</f>
        <v>51.02856</v>
      </c>
      <c r="E97" s="645">
        <f t="shared" si="36"/>
        <v>116.493</v>
      </c>
      <c r="F97" s="646">
        <f t="shared" si="37"/>
        <v>5944.47004</v>
      </c>
      <c r="G97" s="707"/>
      <c r="H97" s="666"/>
      <c r="I97" s="658">
        <v>89.61</v>
      </c>
      <c r="J97" s="650">
        <v>0.0</v>
      </c>
      <c r="K97" s="649">
        <f t="shared" si="38"/>
        <v>89.61</v>
      </c>
      <c r="L97" s="649">
        <f t="shared" si="39"/>
        <v>4572.669262</v>
      </c>
      <c r="M97" s="651">
        <f t="shared" si="40"/>
        <v>1371.800778</v>
      </c>
      <c r="N97" s="659">
        <f t="shared" si="41"/>
        <v>0.3</v>
      </c>
      <c r="O97" s="675">
        <f t="shared" si="42"/>
        <v>0.2307692308</v>
      </c>
      <c r="P97" s="660" t="s">
        <v>5805</v>
      </c>
      <c r="Q97" s="698"/>
      <c r="R97" s="684"/>
      <c r="S97" s="668"/>
      <c r="T97" s="669"/>
      <c r="U97" s="1"/>
      <c r="V97" s="1"/>
      <c r="W97" s="1"/>
      <c r="X97" s="1"/>
      <c r="Y97" s="1"/>
    </row>
    <row r="98" ht="15.75" customHeight="1" outlineLevel="1">
      <c r="A98" s="641" t="s">
        <v>5971</v>
      </c>
      <c r="B98" s="642" t="s">
        <v>5972</v>
      </c>
      <c r="C98" s="643" t="s">
        <v>5635</v>
      </c>
      <c r="D98" s="644">
        <f>SUMIF('Orcamento RU Viora Build'!$A:$A,A98,'Orcamento RU Viora Build'!$F:$F)</f>
        <v>231.3945</v>
      </c>
      <c r="E98" s="645">
        <f t="shared" si="36"/>
        <v>0.845</v>
      </c>
      <c r="F98" s="646">
        <f t="shared" si="37"/>
        <v>195.5283525</v>
      </c>
      <c r="G98" s="707"/>
      <c r="H98" s="666"/>
      <c r="I98" s="658">
        <v>0.65</v>
      </c>
      <c r="J98" s="650">
        <v>0.0</v>
      </c>
      <c r="K98" s="649">
        <f t="shared" si="38"/>
        <v>0.65</v>
      </c>
      <c r="L98" s="649">
        <f t="shared" si="39"/>
        <v>150.406425</v>
      </c>
      <c r="M98" s="651">
        <f t="shared" si="40"/>
        <v>45.1219275</v>
      </c>
      <c r="N98" s="659">
        <f t="shared" si="41"/>
        <v>0.3</v>
      </c>
      <c r="O98" s="675">
        <f t="shared" si="42"/>
        <v>0.2307692308</v>
      </c>
      <c r="P98" s="660" t="s">
        <v>5973</v>
      </c>
      <c r="Q98" s="698"/>
      <c r="R98" s="684"/>
      <c r="S98" s="668"/>
      <c r="T98" s="669"/>
      <c r="U98" s="1"/>
      <c r="V98" s="1"/>
      <c r="W98" s="1"/>
      <c r="X98" s="1"/>
      <c r="Y98" s="1"/>
    </row>
    <row r="99" ht="12.75" customHeight="1" outlineLevel="1">
      <c r="A99" s="641" t="s">
        <v>5974</v>
      </c>
      <c r="B99" s="642" t="s">
        <v>5975</v>
      </c>
      <c r="C99" s="741" t="s">
        <v>5636</v>
      </c>
      <c r="D99" s="644">
        <f>SUMIF('Orcamento RU Viora Build'!$A:$A,A99,'Orcamento RU Viora Build'!$F:$F)</f>
        <v>1630.248</v>
      </c>
      <c r="E99" s="645">
        <f t="shared" si="36"/>
        <v>2.977</v>
      </c>
      <c r="F99" s="742">
        <f t="shared" si="37"/>
        <v>4853.248296</v>
      </c>
      <c r="G99" s="707"/>
      <c r="H99" s="666"/>
      <c r="I99" s="649">
        <v>2.29</v>
      </c>
      <c r="J99" s="650">
        <v>0.0</v>
      </c>
      <c r="K99" s="649">
        <f t="shared" si="38"/>
        <v>2.29</v>
      </c>
      <c r="L99" s="649">
        <f t="shared" si="39"/>
        <v>3733.26792</v>
      </c>
      <c r="M99" s="651">
        <f t="shared" si="40"/>
        <v>1119.980376</v>
      </c>
      <c r="N99" s="659">
        <f t="shared" si="41"/>
        <v>0.3</v>
      </c>
      <c r="O99" s="675">
        <f t="shared" si="42"/>
        <v>0.2307692308</v>
      </c>
      <c r="P99" s="715" t="s">
        <v>5779</v>
      </c>
      <c r="Q99" s="734"/>
      <c r="R99" s="431"/>
      <c r="S99" s="661"/>
      <c r="T99" s="662"/>
      <c r="U99" s="422"/>
      <c r="V99" s="422"/>
      <c r="W99" s="422"/>
      <c r="X99" s="422"/>
      <c r="Y99" s="422"/>
    </row>
    <row r="100" ht="15.75" customHeight="1" outlineLevel="1">
      <c r="A100" s="641" t="s">
        <v>5976</v>
      </c>
      <c r="B100" s="738" t="s">
        <v>5977</v>
      </c>
      <c r="C100" s="643" t="s">
        <v>5631</v>
      </c>
      <c r="D100" s="644">
        <f>SUMIF('Orcamento RU Viora Build'!$A:$A,A100,'Orcamento RU Viora Build'!$F:$F)</f>
        <v>96</v>
      </c>
      <c r="E100" s="645">
        <f t="shared" si="36"/>
        <v>1.209</v>
      </c>
      <c r="F100" s="646">
        <f t="shared" si="37"/>
        <v>116.064</v>
      </c>
      <c r="G100" s="707"/>
      <c r="H100" s="666"/>
      <c r="I100" s="658">
        <v>0.93</v>
      </c>
      <c r="J100" s="650">
        <v>0.0</v>
      </c>
      <c r="K100" s="649">
        <f t="shared" si="38"/>
        <v>0.93</v>
      </c>
      <c r="L100" s="649">
        <f t="shared" si="39"/>
        <v>89.28</v>
      </c>
      <c r="M100" s="651">
        <f t="shared" si="40"/>
        <v>26.784</v>
      </c>
      <c r="N100" s="659">
        <f t="shared" si="41"/>
        <v>0.3</v>
      </c>
      <c r="O100" s="675">
        <f t="shared" si="42"/>
        <v>0.2307692308</v>
      </c>
      <c r="P100" s="715" t="s">
        <v>5779</v>
      </c>
      <c r="Q100" s="734"/>
      <c r="R100" s="431"/>
      <c r="S100" s="661"/>
      <c r="T100" s="662"/>
      <c r="U100" s="422"/>
      <c r="V100" s="422"/>
      <c r="W100" s="422"/>
      <c r="X100" s="422"/>
      <c r="Y100" s="422"/>
    </row>
    <row r="101" ht="15.75" customHeight="1" outlineLevel="1">
      <c r="A101" s="641" t="s">
        <v>5978</v>
      </c>
      <c r="B101" s="738" t="s">
        <v>5979</v>
      </c>
      <c r="C101" s="643" t="s">
        <v>5631</v>
      </c>
      <c r="D101" s="644">
        <f>SUMIF('Orcamento RU Viora Build'!$A:$A,A101,'Orcamento RU Viora Build'!$F:$F)</f>
        <v>136.5105</v>
      </c>
      <c r="E101" s="645">
        <f t="shared" si="36"/>
        <v>0</v>
      </c>
      <c r="F101" s="646">
        <f t="shared" si="37"/>
        <v>0</v>
      </c>
      <c r="G101" s="707"/>
      <c r="H101" s="666"/>
      <c r="I101" s="679"/>
      <c r="J101" s="743"/>
      <c r="K101" s="679"/>
      <c r="L101" s="679"/>
      <c r="M101" s="680"/>
      <c r="N101" s="659">
        <f t="shared" si="41"/>
        <v>0.3</v>
      </c>
      <c r="O101" s="744"/>
      <c r="P101" s="745"/>
      <c r="Q101" s="746"/>
      <c r="R101" s="431"/>
      <c r="S101" s="747"/>
      <c r="T101" s="748"/>
      <c r="U101" s="422"/>
      <c r="V101" s="422"/>
      <c r="W101" s="422"/>
      <c r="X101" s="422"/>
      <c r="Y101" s="422"/>
    </row>
    <row r="102" ht="15.75" customHeight="1" outlineLevel="1">
      <c r="A102" s="641" t="s">
        <v>5980</v>
      </c>
      <c r="B102" s="738" t="s">
        <v>5981</v>
      </c>
      <c r="C102" s="643" t="s">
        <v>5767</v>
      </c>
      <c r="D102" s="644">
        <f>SUMIF('Orcamento RU Viora Build'!$A:$A,A102,'Orcamento RU Viora Build'!$F:$F)</f>
        <v>277.091</v>
      </c>
      <c r="E102" s="645">
        <f t="shared" si="36"/>
        <v>12.207</v>
      </c>
      <c r="F102" s="646">
        <f t="shared" si="37"/>
        <v>3382.449837</v>
      </c>
      <c r="G102" s="707"/>
      <c r="H102" s="666"/>
      <c r="I102" s="749">
        <v>9.39</v>
      </c>
      <c r="J102" s="650">
        <v>0.0</v>
      </c>
      <c r="K102" s="649">
        <f t="shared" ref="K102:K108" si="43">I102-I102*J102</f>
        <v>9.39</v>
      </c>
      <c r="L102" s="649">
        <f t="shared" ref="L102:L108" si="44">K102*D102</f>
        <v>2601.88449</v>
      </c>
      <c r="M102" s="651">
        <f t="shared" ref="M102:M108" si="45">F102-L102</f>
        <v>780.565347</v>
      </c>
      <c r="N102" s="659">
        <f t="shared" si="41"/>
        <v>0.3</v>
      </c>
      <c r="O102" s="675">
        <f t="shared" ref="O102:O108" si="46">M102/F102</f>
        <v>0.2307692308</v>
      </c>
      <c r="P102" s="715" t="s">
        <v>5779</v>
      </c>
      <c r="Q102" s="734"/>
      <c r="R102" s="431"/>
      <c r="S102" s="661"/>
      <c r="T102" s="662"/>
      <c r="U102" s="422"/>
      <c r="V102" s="422"/>
      <c r="W102" s="422"/>
      <c r="X102" s="422"/>
      <c r="Y102" s="422"/>
    </row>
    <row r="103" ht="15.75" customHeight="1" outlineLevel="1">
      <c r="A103" s="641" t="s">
        <v>5982</v>
      </c>
      <c r="B103" s="738" t="s">
        <v>5983</v>
      </c>
      <c r="C103" s="643" t="s">
        <v>5636</v>
      </c>
      <c r="D103" s="644">
        <f>SUMIF('Orcamento RU Viora Build'!$A:$A,A103,'Orcamento RU Viora Build'!$F:$F)</f>
        <v>105.1563333</v>
      </c>
      <c r="E103" s="645">
        <f t="shared" si="36"/>
        <v>37.44</v>
      </c>
      <c r="F103" s="646">
        <f t="shared" si="37"/>
        <v>3937.05312</v>
      </c>
      <c r="G103" s="707"/>
      <c r="H103" s="666"/>
      <c r="I103" s="750">
        <v>28.8</v>
      </c>
      <c r="J103" s="650">
        <v>0.0</v>
      </c>
      <c r="K103" s="649">
        <f t="shared" si="43"/>
        <v>28.8</v>
      </c>
      <c r="L103" s="649">
        <f t="shared" si="44"/>
        <v>3028.5024</v>
      </c>
      <c r="M103" s="651">
        <f t="shared" si="45"/>
        <v>908.55072</v>
      </c>
      <c r="N103" s="659">
        <f t="shared" si="41"/>
        <v>0.3</v>
      </c>
      <c r="O103" s="675">
        <f t="shared" si="46"/>
        <v>0.2307692308</v>
      </c>
      <c r="P103" s="715" t="s">
        <v>5779</v>
      </c>
      <c r="Q103" s="751" t="s">
        <v>5984</v>
      </c>
      <c r="R103" s="431"/>
      <c r="S103" s="661"/>
      <c r="T103" s="662"/>
      <c r="U103" s="422"/>
      <c r="V103" s="422"/>
      <c r="W103" s="422"/>
      <c r="X103" s="422"/>
      <c r="Y103" s="422"/>
    </row>
    <row r="104" ht="15.75" customHeight="1" outlineLevel="1">
      <c r="A104" s="641" t="s">
        <v>5985</v>
      </c>
      <c r="B104" s="738" t="s">
        <v>5986</v>
      </c>
      <c r="C104" s="643" t="s">
        <v>5635</v>
      </c>
      <c r="D104" s="644">
        <f>SUMIF('Orcamento RU Viora Build'!$A:$A,A104,'Orcamento RU Viora Build'!$F:$F)</f>
        <v>106.79</v>
      </c>
      <c r="E104" s="645">
        <f t="shared" si="36"/>
        <v>563.355</v>
      </c>
      <c r="F104" s="646">
        <f t="shared" si="37"/>
        <v>60160.68045</v>
      </c>
      <c r="G104" s="707"/>
      <c r="H104" s="666"/>
      <c r="I104" s="658">
        <v>433.35</v>
      </c>
      <c r="J104" s="688">
        <v>0.0</v>
      </c>
      <c r="K104" s="689">
        <f t="shared" si="43"/>
        <v>433.35</v>
      </c>
      <c r="L104" s="689">
        <f t="shared" si="44"/>
        <v>46277.4465</v>
      </c>
      <c r="M104" s="690">
        <f t="shared" si="45"/>
        <v>13883.23395</v>
      </c>
      <c r="N104" s="659">
        <f t="shared" si="41"/>
        <v>0.3</v>
      </c>
      <c r="O104" s="691">
        <f t="shared" si="46"/>
        <v>0.2307692308</v>
      </c>
      <c r="P104" s="660" t="s">
        <v>5761</v>
      </c>
      <c r="Q104" s="734"/>
      <c r="R104" s="431"/>
      <c r="S104" s="661"/>
      <c r="T104" s="662"/>
      <c r="U104" s="422"/>
      <c r="V104" s="422"/>
      <c r="W104" s="422"/>
      <c r="X104" s="422"/>
      <c r="Y104" s="422"/>
    </row>
    <row r="105" ht="15.75" customHeight="1" outlineLevel="1">
      <c r="A105" s="641" t="s">
        <v>5987</v>
      </c>
      <c r="B105" s="738" t="s">
        <v>5988</v>
      </c>
      <c r="C105" s="643" t="s">
        <v>5635</v>
      </c>
      <c r="D105" s="644">
        <f>SUMIF('Orcamento RU Viora Build'!$A:$A,A105,'Orcamento RU Viora Build'!$F:$F)</f>
        <v>0.6</v>
      </c>
      <c r="E105" s="645">
        <f t="shared" si="36"/>
        <v>152.243</v>
      </c>
      <c r="F105" s="646">
        <f t="shared" si="37"/>
        <v>91.3458</v>
      </c>
      <c r="G105" s="707"/>
      <c r="H105" s="666"/>
      <c r="I105" s="658">
        <v>117.11</v>
      </c>
      <c r="J105" s="688">
        <v>0.0</v>
      </c>
      <c r="K105" s="689">
        <f t="shared" si="43"/>
        <v>117.11</v>
      </c>
      <c r="L105" s="689">
        <f t="shared" si="44"/>
        <v>70.266</v>
      </c>
      <c r="M105" s="690">
        <f t="shared" si="45"/>
        <v>21.0798</v>
      </c>
      <c r="N105" s="659">
        <f t="shared" si="41"/>
        <v>0.3</v>
      </c>
      <c r="O105" s="691">
        <f t="shared" si="46"/>
        <v>0.2307692308</v>
      </c>
      <c r="P105" s="660" t="s">
        <v>5761</v>
      </c>
      <c r="Q105" s="734"/>
      <c r="R105" s="431"/>
      <c r="S105" s="661"/>
      <c r="T105" s="662"/>
      <c r="U105" s="422"/>
      <c r="V105" s="422"/>
      <c r="W105" s="422"/>
      <c r="X105" s="422"/>
      <c r="Y105" s="422"/>
    </row>
    <row r="106" ht="15.75" customHeight="1" outlineLevel="1">
      <c r="A106" s="641" t="s">
        <v>5989</v>
      </c>
      <c r="B106" s="738" t="s">
        <v>5990</v>
      </c>
      <c r="C106" s="643" t="s">
        <v>5991</v>
      </c>
      <c r="D106" s="644">
        <f>SUMIF('Orcamento RU Viora Build'!$A:$A,A106,'Orcamento RU Viora Build'!$F:$F)</f>
        <v>213.466</v>
      </c>
      <c r="E106" s="645">
        <f t="shared" si="36"/>
        <v>10.387</v>
      </c>
      <c r="F106" s="646">
        <f t="shared" si="37"/>
        <v>2217.271342</v>
      </c>
      <c r="G106" s="707"/>
      <c r="H106" s="666"/>
      <c r="I106" s="658">
        <v>7.99</v>
      </c>
      <c r="J106" s="650">
        <v>0.0</v>
      </c>
      <c r="K106" s="649">
        <f t="shared" si="43"/>
        <v>7.99</v>
      </c>
      <c r="L106" s="649">
        <f t="shared" si="44"/>
        <v>1705.59334</v>
      </c>
      <c r="M106" s="651">
        <f t="shared" si="45"/>
        <v>511.678002</v>
      </c>
      <c r="N106" s="659">
        <f t="shared" si="41"/>
        <v>0.3</v>
      </c>
      <c r="O106" s="675">
        <f t="shared" si="46"/>
        <v>0.2307692308</v>
      </c>
      <c r="P106" s="660" t="s">
        <v>5992</v>
      </c>
      <c r="Q106" s="698" t="s">
        <v>5993</v>
      </c>
      <c r="R106" s="684"/>
      <c r="S106" s="668"/>
      <c r="T106" s="669"/>
      <c r="U106" s="1"/>
      <c r="V106" s="1"/>
      <c r="W106" s="1"/>
      <c r="X106" s="1"/>
      <c r="Y106" s="1"/>
    </row>
    <row r="107" outlineLevel="1">
      <c r="A107" s="641" t="s">
        <v>5994</v>
      </c>
      <c r="B107" s="738" t="s">
        <v>5995</v>
      </c>
      <c r="C107" s="643" t="s">
        <v>5991</v>
      </c>
      <c r="D107" s="644">
        <f>SUMIF('Orcamento RU Viora Build'!$A:$A,A107,'Orcamento RU Viora Build'!$F:$F)</f>
        <v>321.084</v>
      </c>
      <c r="E107" s="645">
        <f t="shared" si="36"/>
        <v>8.32</v>
      </c>
      <c r="F107" s="646">
        <f t="shared" si="37"/>
        <v>2671.41888</v>
      </c>
      <c r="G107" s="707"/>
      <c r="H107" s="666"/>
      <c r="I107" s="658">
        <v>6.4</v>
      </c>
      <c r="J107" s="650">
        <v>0.0</v>
      </c>
      <c r="K107" s="649">
        <f t="shared" si="43"/>
        <v>6.4</v>
      </c>
      <c r="L107" s="649">
        <f t="shared" si="44"/>
        <v>2054.9376</v>
      </c>
      <c r="M107" s="651">
        <f t="shared" si="45"/>
        <v>616.48128</v>
      </c>
      <c r="N107" s="659">
        <f t="shared" si="41"/>
        <v>0.3</v>
      </c>
      <c r="O107" s="675">
        <f t="shared" si="46"/>
        <v>0.2307692308</v>
      </c>
      <c r="P107" s="660" t="s">
        <v>5996</v>
      </c>
      <c r="Q107" s="696"/>
      <c r="R107" s="684"/>
      <c r="S107" s="668"/>
      <c r="T107" s="669"/>
      <c r="U107" s="1"/>
      <c r="V107" s="1"/>
      <c r="W107" s="1"/>
      <c r="X107" s="1"/>
      <c r="Y107" s="1"/>
    </row>
    <row r="108" outlineLevel="1">
      <c r="A108" s="641" t="s">
        <v>5997</v>
      </c>
      <c r="B108" s="738" t="s">
        <v>5998</v>
      </c>
      <c r="C108" s="643" t="s">
        <v>5991</v>
      </c>
      <c r="D108" s="644">
        <f>SUMIF('Orcamento RU Viora Build'!$A:$A,A108,'Orcamento RU Viora Build'!$F:$F)</f>
        <v>105.848</v>
      </c>
      <c r="E108" s="645">
        <f t="shared" si="36"/>
        <v>12.727</v>
      </c>
      <c r="F108" s="646">
        <f t="shared" si="37"/>
        <v>1347.127496</v>
      </c>
      <c r="G108" s="707"/>
      <c r="H108" s="666"/>
      <c r="I108" s="658">
        <v>9.79</v>
      </c>
      <c r="J108" s="650">
        <v>0.0</v>
      </c>
      <c r="K108" s="649">
        <f t="shared" si="43"/>
        <v>9.79</v>
      </c>
      <c r="L108" s="649">
        <f t="shared" si="44"/>
        <v>1036.25192</v>
      </c>
      <c r="M108" s="651">
        <f t="shared" si="45"/>
        <v>310.875576</v>
      </c>
      <c r="N108" s="659">
        <f t="shared" si="41"/>
        <v>0.3</v>
      </c>
      <c r="O108" s="675">
        <f t="shared" si="46"/>
        <v>0.2307692308</v>
      </c>
      <c r="P108" s="660" t="s">
        <v>5999</v>
      </c>
      <c r="Q108" s="696"/>
      <c r="R108" s="684"/>
      <c r="S108" s="699"/>
      <c r="T108" s="700"/>
      <c r="U108" s="1"/>
      <c r="V108" s="1"/>
      <c r="W108" s="1"/>
      <c r="X108" s="1"/>
      <c r="Y108" s="1"/>
    </row>
    <row r="109" ht="15.75" customHeight="1" outlineLevel="1">
      <c r="A109" s="752" t="s">
        <v>6000</v>
      </c>
      <c r="B109" s="753"/>
      <c r="C109" s="754"/>
      <c r="D109" s="754"/>
      <c r="E109" s="754"/>
      <c r="F109" s="755"/>
      <c r="G109" s="707"/>
      <c r="H109" s="666"/>
      <c r="I109" s="756"/>
      <c r="J109" s="633"/>
      <c r="K109" s="703"/>
      <c r="L109" s="703"/>
      <c r="M109" s="717"/>
      <c r="N109" s="757"/>
      <c r="O109" s="758"/>
      <c r="P109" s="759"/>
      <c r="Q109" s="760"/>
      <c r="R109" s="684"/>
      <c r="S109" s="761"/>
      <c r="T109" s="762"/>
      <c r="U109" s="1"/>
      <c r="V109" s="1"/>
      <c r="W109" s="1"/>
      <c r="X109" s="1"/>
      <c r="Y109" s="1"/>
    </row>
    <row r="110" ht="15.75" customHeight="1" outlineLevel="1">
      <c r="A110" s="641" t="s">
        <v>6001</v>
      </c>
      <c r="B110" s="738" t="s">
        <v>6002</v>
      </c>
      <c r="C110" s="643" t="s">
        <v>5631</v>
      </c>
      <c r="D110" s="644">
        <f>SUMIF('Orcamento RU Viora Build'!$A:$A,A110,'Orcamento RU Viora Build'!$F:$F)</f>
        <v>25.67</v>
      </c>
      <c r="E110" s="645">
        <f t="shared" ref="E110:E123" si="47">K110+(K110*N110)</f>
        <v>0</v>
      </c>
      <c r="F110" s="646">
        <f t="shared" ref="F110:F123" si="48">D110*E110</f>
        <v>0</v>
      </c>
      <c r="G110" s="707"/>
      <c r="H110" s="666"/>
      <c r="I110" s="679"/>
      <c r="J110" s="743"/>
      <c r="K110" s="679"/>
      <c r="L110" s="679"/>
      <c r="M110" s="679"/>
      <c r="N110" s="659">
        <f t="shared" ref="N110:N123" si="49">$N$2</f>
        <v>0.3</v>
      </c>
      <c r="O110" s="744"/>
      <c r="P110" s="763"/>
      <c r="Q110" s="764"/>
      <c r="R110" s="684"/>
      <c r="S110" s="765"/>
      <c r="T110" s="766"/>
      <c r="U110" s="1"/>
      <c r="V110" s="1"/>
      <c r="W110" s="1"/>
      <c r="X110" s="1"/>
      <c r="Y110" s="1"/>
    </row>
    <row r="111" ht="15.75" customHeight="1" outlineLevel="1">
      <c r="A111" s="641" t="s">
        <v>6003</v>
      </c>
      <c r="B111" s="738" t="s">
        <v>6004</v>
      </c>
      <c r="C111" s="643" t="s">
        <v>5631</v>
      </c>
      <c r="D111" s="644">
        <f>SUMIF('Orcamento RU Viora Build'!$A:$A,A111,'Orcamento RU Viora Build'!$F:$F)</f>
        <v>0.85</v>
      </c>
      <c r="E111" s="645">
        <f t="shared" si="47"/>
        <v>111.54</v>
      </c>
      <c r="F111" s="646">
        <f t="shared" si="48"/>
        <v>94.809</v>
      </c>
      <c r="G111" s="707"/>
      <c r="H111" s="666"/>
      <c r="I111" s="658">
        <v>85.8</v>
      </c>
      <c r="J111" s="650">
        <v>0.0</v>
      </c>
      <c r="K111" s="649">
        <f t="shared" ref="K111:K123" si="50">I111-I111*J111</f>
        <v>85.8</v>
      </c>
      <c r="L111" s="649">
        <f t="shared" ref="L111:L123" si="51">K111*D111</f>
        <v>72.93</v>
      </c>
      <c r="M111" s="651">
        <f t="shared" ref="M111:M123" si="52">F111-L111</f>
        <v>21.879</v>
      </c>
      <c r="N111" s="659">
        <f t="shared" si="49"/>
        <v>0.3</v>
      </c>
      <c r="O111" s="675">
        <f t="shared" ref="O111:O123" si="53">M111/F111</f>
        <v>0.2307692308</v>
      </c>
      <c r="P111" s="660" t="s">
        <v>5764</v>
      </c>
      <c r="Q111" s="698"/>
      <c r="R111" s="684"/>
      <c r="S111" s="668"/>
      <c r="T111" s="669"/>
      <c r="U111" s="1"/>
      <c r="V111" s="1"/>
      <c r="W111" s="1"/>
      <c r="X111" s="1"/>
      <c r="Y111" s="1"/>
    </row>
    <row r="112" ht="15.75" customHeight="1" outlineLevel="1">
      <c r="A112" s="641" t="s">
        <v>6005</v>
      </c>
      <c r="B112" s="738" t="s">
        <v>6006</v>
      </c>
      <c r="C112" s="643" t="s">
        <v>5631</v>
      </c>
      <c r="D112" s="644">
        <f>SUMIF('Orcamento RU Viora Build'!$A:$A,A112,'Orcamento RU Viora Build'!$F:$F)</f>
        <v>35.67</v>
      </c>
      <c r="E112" s="645">
        <f t="shared" si="47"/>
        <v>44.2</v>
      </c>
      <c r="F112" s="646">
        <f t="shared" si="48"/>
        <v>1576.614</v>
      </c>
      <c r="G112" s="707"/>
      <c r="H112" s="666"/>
      <c r="I112" s="658">
        <v>34.0</v>
      </c>
      <c r="J112" s="650">
        <v>0.0</v>
      </c>
      <c r="K112" s="649">
        <f t="shared" si="50"/>
        <v>34</v>
      </c>
      <c r="L112" s="649">
        <f t="shared" si="51"/>
        <v>1212.78</v>
      </c>
      <c r="M112" s="651">
        <f t="shared" si="52"/>
        <v>363.834</v>
      </c>
      <c r="N112" s="659">
        <f t="shared" si="49"/>
        <v>0.3</v>
      </c>
      <c r="O112" s="675">
        <f t="shared" si="53"/>
        <v>0.2307692308</v>
      </c>
      <c r="P112" s="660" t="s">
        <v>6007</v>
      </c>
      <c r="Q112" s="698"/>
      <c r="R112" s="684"/>
      <c r="S112" s="668"/>
      <c r="T112" s="669"/>
      <c r="U112" s="1"/>
      <c r="V112" s="1"/>
      <c r="W112" s="1"/>
      <c r="X112" s="1"/>
      <c r="Y112" s="1"/>
    </row>
    <row r="113" ht="15.75" customHeight="1" outlineLevel="1">
      <c r="A113" s="641" t="s">
        <v>6008</v>
      </c>
      <c r="B113" s="738" t="s">
        <v>6009</v>
      </c>
      <c r="C113" s="643" t="s">
        <v>5631</v>
      </c>
      <c r="D113" s="644">
        <f>SUMIF('Orcamento RU Viora Build'!$A:$A,A113,'Orcamento RU Viora Build'!$F:$F)</f>
        <v>27.8</v>
      </c>
      <c r="E113" s="645">
        <f t="shared" si="47"/>
        <v>295.1</v>
      </c>
      <c r="F113" s="646">
        <f t="shared" si="48"/>
        <v>8203.78</v>
      </c>
      <c r="G113" s="707"/>
      <c r="H113" s="666"/>
      <c r="I113" s="658">
        <v>227.0</v>
      </c>
      <c r="J113" s="650">
        <v>0.0</v>
      </c>
      <c r="K113" s="649">
        <f t="shared" si="50"/>
        <v>227</v>
      </c>
      <c r="L113" s="649">
        <f t="shared" si="51"/>
        <v>6310.6</v>
      </c>
      <c r="M113" s="651">
        <f t="shared" si="52"/>
        <v>1893.18</v>
      </c>
      <c r="N113" s="659">
        <f t="shared" si="49"/>
        <v>0.3</v>
      </c>
      <c r="O113" s="675">
        <f t="shared" si="53"/>
        <v>0.2307692308</v>
      </c>
      <c r="P113" s="660" t="s">
        <v>5761</v>
      </c>
      <c r="Q113" s="698"/>
      <c r="R113" s="684"/>
      <c r="S113" s="767" t="s">
        <v>6010</v>
      </c>
      <c r="T113" s="669"/>
      <c r="U113" s="1"/>
      <c r="V113" s="1"/>
      <c r="W113" s="1"/>
      <c r="X113" s="1"/>
      <c r="Y113" s="1"/>
    </row>
    <row r="114" ht="15.75" customHeight="1" outlineLevel="1">
      <c r="A114" s="641" t="s">
        <v>6011</v>
      </c>
      <c r="B114" s="738" t="s">
        <v>6012</v>
      </c>
      <c r="C114" s="643" t="s">
        <v>5635</v>
      </c>
      <c r="D114" s="644">
        <f>SUMIF('Orcamento RU Viora Build'!$A:$A,A114,'Orcamento RU Viora Build'!$F:$F)</f>
        <v>189</v>
      </c>
      <c r="E114" s="645">
        <f t="shared" si="47"/>
        <v>0.975</v>
      </c>
      <c r="F114" s="646">
        <f t="shared" si="48"/>
        <v>184.275</v>
      </c>
      <c r="G114" s="707"/>
      <c r="H114" s="666"/>
      <c r="I114" s="658">
        <v>0.75</v>
      </c>
      <c r="J114" s="650">
        <v>0.0</v>
      </c>
      <c r="K114" s="649">
        <f t="shared" si="50"/>
        <v>0.75</v>
      </c>
      <c r="L114" s="649">
        <f t="shared" si="51"/>
        <v>141.75</v>
      </c>
      <c r="M114" s="651">
        <f t="shared" si="52"/>
        <v>42.525</v>
      </c>
      <c r="N114" s="659">
        <f t="shared" si="49"/>
        <v>0.3</v>
      </c>
      <c r="O114" s="675">
        <f t="shared" si="53"/>
        <v>0.2307692308</v>
      </c>
      <c r="P114" s="660" t="s">
        <v>5764</v>
      </c>
      <c r="Q114" s="698"/>
      <c r="R114" s="684"/>
      <c r="S114" s="668"/>
      <c r="T114" s="669"/>
      <c r="U114" s="1"/>
      <c r="V114" s="1"/>
      <c r="W114" s="1"/>
      <c r="X114" s="1"/>
      <c r="Y114" s="1"/>
    </row>
    <row r="115" outlineLevel="1">
      <c r="A115" s="641" t="s">
        <v>6013</v>
      </c>
      <c r="B115" s="738" t="s">
        <v>6014</v>
      </c>
      <c r="C115" s="643" t="s">
        <v>5748</v>
      </c>
      <c r="D115" s="644">
        <f>SUMIF('Orcamento RU Viora Build'!$A:$A,A115,'Orcamento RU Viora Build'!$F:$F)</f>
        <v>16.67</v>
      </c>
      <c r="E115" s="645">
        <f t="shared" si="47"/>
        <v>0</v>
      </c>
      <c r="F115" s="646">
        <f t="shared" si="48"/>
        <v>0</v>
      </c>
      <c r="G115" s="707"/>
      <c r="H115" s="666"/>
      <c r="I115" s="679"/>
      <c r="J115" s="743">
        <v>0.0</v>
      </c>
      <c r="K115" s="679">
        <f t="shared" si="50"/>
        <v>0</v>
      </c>
      <c r="L115" s="679">
        <f t="shared" si="51"/>
        <v>0</v>
      </c>
      <c r="M115" s="680">
        <f t="shared" si="52"/>
        <v>0</v>
      </c>
      <c r="N115" s="659">
        <f t="shared" si="49"/>
        <v>0.3</v>
      </c>
      <c r="O115" s="744" t="str">
        <f t="shared" si="53"/>
        <v>#DIV/0!</v>
      </c>
      <c r="P115" s="763"/>
      <c r="Q115" s="768" t="s">
        <v>6015</v>
      </c>
      <c r="R115" s="684"/>
      <c r="S115" s="685"/>
      <c r="T115" s="686"/>
      <c r="U115" s="1"/>
      <c r="V115" s="1"/>
      <c r="W115" s="1"/>
      <c r="X115" s="1"/>
      <c r="Y115" s="1"/>
    </row>
    <row r="116" ht="15.75" customHeight="1" outlineLevel="1">
      <c r="A116" s="641" t="s">
        <v>6016</v>
      </c>
      <c r="B116" s="738" t="s">
        <v>6017</v>
      </c>
      <c r="C116" s="643" t="s">
        <v>5635</v>
      </c>
      <c r="D116" s="644">
        <f>SUMIF('Orcamento RU Viora Build'!$A:$A,A116,'Orcamento RU Viora Build'!$F:$F)</f>
        <v>6.3</v>
      </c>
      <c r="E116" s="645">
        <f t="shared" si="47"/>
        <v>130</v>
      </c>
      <c r="F116" s="646">
        <f t="shared" si="48"/>
        <v>819</v>
      </c>
      <c r="G116" s="707"/>
      <c r="H116" s="666"/>
      <c r="I116" s="658">
        <v>100.0</v>
      </c>
      <c r="J116" s="650">
        <v>0.0</v>
      </c>
      <c r="K116" s="649">
        <f t="shared" si="50"/>
        <v>100</v>
      </c>
      <c r="L116" s="649">
        <f t="shared" si="51"/>
        <v>630</v>
      </c>
      <c r="M116" s="651">
        <f t="shared" si="52"/>
        <v>189</v>
      </c>
      <c r="N116" s="659">
        <f t="shared" si="49"/>
        <v>0.3</v>
      </c>
      <c r="O116" s="675">
        <f t="shared" si="53"/>
        <v>0.2307692308</v>
      </c>
      <c r="P116" s="660" t="s">
        <v>5761</v>
      </c>
      <c r="Q116" s="698"/>
      <c r="R116" s="684"/>
      <c r="S116" s="668"/>
      <c r="T116" s="669"/>
      <c r="U116" s="1"/>
      <c r="V116" s="1"/>
      <c r="W116" s="1"/>
      <c r="X116" s="1"/>
      <c r="Y116" s="1"/>
    </row>
    <row r="117" ht="15.75" customHeight="1" outlineLevel="1">
      <c r="A117" s="641" t="s">
        <v>6018</v>
      </c>
      <c r="B117" s="738" t="s">
        <v>6019</v>
      </c>
      <c r="C117" s="643" t="s">
        <v>5635</v>
      </c>
      <c r="D117" s="644">
        <f>SUMIF('Orcamento RU Viora Build'!$A:$A,A117,'Orcamento RU Viora Build'!$F:$F)</f>
        <v>47.25</v>
      </c>
      <c r="E117" s="645">
        <f t="shared" si="47"/>
        <v>24.57</v>
      </c>
      <c r="F117" s="646">
        <f t="shared" si="48"/>
        <v>1160.9325</v>
      </c>
      <c r="G117" s="707"/>
      <c r="H117" s="666"/>
      <c r="I117" s="658">
        <v>18.9</v>
      </c>
      <c r="J117" s="650">
        <v>0.0</v>
      </c>
      <c r="K117" s="649">
        <f t="shared" si="50"/>
        <v>18.9</v>
      </c>
      <c r="L117" s="649">
        <f t="shared" si="51"/>
        <v>893.025</v>
      </c>
      <c r="M117" s="651">
        <f t="shared" si="52"/>
        <v>267.9075</v>
      </c>
      <c r="N117" s="659">
        <f t="shared" si="49"/>
        <v>0.3</v>
      </c>
      <c r="O117" s="675">
        <f t="shared" si="53"/>
        <v>0.2307692308</v>
      </c>
      <c r="P117" s="660" t="s">
        <v>5761</v>
      </c>
      <c r="Q117" s="698"/>
      <c r="R117" s="684"/>
      <c r="S117" s="668"/>
      <c r="T117" s="669"/>
      <c r="U117" s="1"/>
      <c r="V117" s="1"/>
      <c r="W117" s="1"/>
      <c r="X117" s="1"/>
      <c r="Y117" s="1"/>
    </row>
    <row r="118" ht="15.75" customHeight="1" outlineLevel="1">
      <c r="A118" s="641" t="s">
        <v>6020</v>
      </c>
      <c r="B118" s="738" t="s">
        <v>6021</v>
      </c>
      <c r="C118" s="643" t="s">
        <v>5631</v>
      </c>
      <c r="D118" s="644">
        <f>SUMIF('Orcamento RU Viora Build'!$A:$A,A118,'Orcamento RU Viora Build'!$F:$F)</f>
        <v>153.59</v>
      </c>
      <c r="E118" s="645">
        <f t="shared" si="47"/>
        <v>0</v>
      </c>
      <c r="F118" s="646">
        <f t="shared" si="48"/>
        <v>0</v>
      </c>
      <c r="G118" s="707"/>
      <c r="H118" s="666"/>
      <c r="I118" s="679"/>
      <c r="J118" s="743">
        <v>0.0</v>
      </c>
      <c r="K118" s="679">
        <f t="shared" si="50"/>
        <v>0</v>
      </c>
      <c r="L118" s="679">
        <f t="shared" si="51"/>
        <v>0</v>
      </c>
      <c r="M118" s="680">
        <f t="shared" si="52"/>
        <v>0</v>
      </c>
      <c r="N118" s="659">
        <f t="shared" si="49"/>
        <v>0.3</v>
      </c>
      <c r="O118" s="744" t="str">
        <f t="shared" si="53"/>
        <v>#DIV/0!</v>
      </c>
      <c r="P118" s="763"/>
      <c r="Q118" s="768" t="s">
        <v>6022</v>
      </c>
      <c r="R118" s="684"/>
      <c r="S118" s="685"/>
      <c r="T118" s="686"/>
      <c r="U118" s="1"/>
      <c r="V118" s="1"/>
      <c r="W118" s="1"/>
      <c r="X118" s="1"/>
      <c r="Y118" s="1"/>
    </row>
    <row r="119" ht="15.75" customHeight="1" outlineLevel="1">
      <c r="A119" s="641" t="s">
        <v>6023</v>
      </c>
      <c r="B119" s="738" t="s">
        <v>6024</v>
      </c>
      <c r="C119" s="643" t="s">
        <v>5631</v>
      </c>
      <c r="D119" s="644">
        <f>SUMIF('Orcamento RU Viora Build'!$A:$A,A119,'Orcamento RU Viora Build'!$F:$F)</f>
        <v>28.6545</v>
      </c>
      <c r="E119" s="645">
        <f t="shared" si="47"/>
        <v>1.755</v>
      </c>
      <c r="F119" s="646">
        <f t="shared" si="48"/>
        <v>50.2886475</v>
      </c>
      <c r="G119" s="707"/>
      <c r="H119" s="666"/>
      <c r="I119" s="658">
        <v>1.35</v>
      </c>
      <c r="J119" s="650">
        <v>0.0</v>
      </c>
      <c r="K119" s="649">
        <f t="shared" si="50"/>
        <v>1.35</v>
      </c>
      <c r="L119" s="649">
        <f t="shared" si="51"/>
        <v>38.683575</v>
      </c>
      <c r="M119" s="651">
        <f t="shared" si="52"/>
        <v>11.6050725</v>
      </c>
      <c r="N119" s="659">
        <f t="shared" si="49"/>
        <v>0.3</v>
      </c>
      <c r="O119" s="675">
        <f t="shared" si="53"/>
        <v>0.2307692308</v>
      </c>
      <c r="P119" s="660" t="s">
        <v>6025</v>
      </c>
      <c r="Q119" s="698"/>
      <c r="R119" s="684"/>
      <c r="S119" s="668"/>
      <c r="T119" s="669"/>
      <c r="U119" s="1"/>
      <c r="V119" s="1"/>
      <c r="W119" s="1"/>
      <c r="X119" s="1"/>
      <c r="Y119" s="1"/>
    </row>
    <row r="120" ht="15.75" customHeight="1" outlineLevel="1">
      <c r="A120" s="641" t="s">
        <v>6026</v>
      </c>
      <c r="B120" s="738" t="s">
        <v>6027</v>
      </c>
      <c r="C120" s="643" t="s">
        <v>5635</v>
      </c>
      <c r="D120" s="644">
        <f>SUMIF('Orcamento RU Viora Build'!$A:$A,A120,'Orcamento RU Viora Build'!$F:$F)</f>
        <v>7.38</v>
      </c>
      <c r="E120" s="645">
        <f t="shared" si="47"/>
        <v>0</v>
      </c>
      <c r="F120" s="646">
        <f t="shared" si="48"/>
        <v>0</v>
      </c>
      <c r="G120" s="707"/>
      <c r="H120" s="666"/>
      <c r="I120" s="679"/>
      <c r="J120" s="743">
        <v>0.0</v>
      </c>
      <c r="K120" s="679">
        <f t="shared" si="50"/>
        <v>0</v>
      </c>
      <c r="L120" s="679">
        <f t="shared" si="51"/>
        <v>0</v>
      </c>
      <c r="M120" s="680">
        <f t="shared" si="52"/>
        <v>0</v>
      </c>
      <c r="N120" s="659">
        <f t="shared" si="49"/>
        <v>0.3</v>
      </c>
      <c r="O120" s="744" t="str">
        <f t="shared" si="53"/>
        <v>#DIV/0!</v>
      </c>
      <c r="P120" s="763"/>
      <c r="Q120" s="768" t="s">
        <v>6028</v>
      </c>
      <c r="R120" s="684"/>
      <c r="S120" s="685"/>
      <c r="T120" s="686"/>
      <c r="U120" s="1"/>
      <c r="V120" s="1"/>
      <c r="W120" s="1"/>
      <c r="X120" s="1"/>
      <c r="Y120" s="1"/>
    </row>
    <row r="121" outlineLevel="1">
      <c r="A121" s="641" t="s">
        <v>6029</v>
      </c>
      <c r="B121" s="738" t="s">
        <v>6030</v>
      </c>
      <c r="C121" s="643" t="s">
        <v>5636</v>
      </c>
      <c r="D121" s="644">
        <f>SUMIF('Orcamento RU Viora Build'!$A:$A,A121,'Orcamento RU Viora Build'!$F:$F)</f>
        <v>1</v>
      </c>
      <c r="E121" s="645">
        <f t="shared" si="47"/>
        <v>0</v>
      </c>
      <c r="F121" s="646">
        <f t="shared" si="48"/>
        <v>0</v>
      </c>
      <c r="G121" s="707"/>
      <c r="H121" s="666"/>
      <c r="I121" s="679"/>
      <c r="J121" s="743">
        <v>0.0</v>
      </c>
      <c r="K121" s="679">
        <f t="shared" si="50"/>
        <v>0</v>
      </c>
      <c r="L121" s="679">
        <f t="shared" si="51"/>
        <v>0</v>
      </c>
      <c r="M121" s="680">
        <f t="shared" si="52"/>
        <v>0</v>
      </c>
      <c r="N121" s="659">
        <f t="shared" si="49"/>
        <v>0.3</v>
      </c>
      <c r="O121" s="744" t="str">
        <f t="shared" si="53"/>
        <v>#DIV/0!</v>
      </c>
      <c r="P121" s="769" t="s">
        <v>5761</v>
      </c>
      <c r="Q121" s="768" t="s">
        <v>6031</v>
      </c>
      <c r="R121" s="684"/>
      <c r="S121" s="685"/>
      <c r="T121" s="686"/>
      <c r="U121" s="1"/>
      <c r="V121" s="1"/>
      <c r="W121" s="1"/>
      <c r="X121" s="1"/>
      <c r="Y121" s="1"/>
    </row>
    <row r="122" outlineLevel="1">
      <c r="A122" s="641" t="s">
        <v>6032</v>
      </c>
      <c r="B122" s="738" t="s">
        <v>6033</v>
      </c>
      <c r="C122" s="643" t="s">
        <v>5636</v>
      </c>
      <c r="D122" s="644">
        <f>SUMIF('Orcamento RU Viora Build'!$A:$A,A122,'Orcamento RU Viora Build'!$F:$F)</f>
        <v>1</v>
      </c>
      <c r="E122" s="645">
        <f t="shared" si="47"/>
        <v>0</v>
      </c>
      <c r="F122" s="646">
        <f t="shared" si="48"/>
        <v>0</v>
      </c>
      <c r="G122" s="707"/>
      <c r="H122" s="666"/>
      <c r="I122" s="679"/>
      <c r="J122" s="743">
        <v>0.0</v>
      </c>
      <c r="K122" s="679">
        <f t="shared" si="50"/>
        <v>0</v>
      </c>
      <c r="L122" s="679">
        <f t="shared" si="51"/>
        <v>0</v>
      </c>
      <c r="M122" s="680">
        <f t="shared" si="52"/>
        <v>0</v>
      </c>
      <c r="N122" s="659">
        <f t="shared" si="49"/>
        <v>0.3</v>
      </c>
      <c r="O122" s="744" t="str">
        <f t="shared" si="53"/>
        <v>#DIV/0!</v>
      </c>
      <c r="P122" s="763"/>
      <c r="Q122" s="768" t="s">
        <v>6031</v>
      </c>
      <c r="R122" s="684"/>
      <c r="S122" s="685"/>
      <c r="T122" s="686"/>
      <c r="U122" s="1"/>
      <c r="V122" s="1"/>
      <c r="W122" s="1"/>
      <c r="X122" s="1"/>
      <c r="Y122" s="1"/>
    </row>
    <row r="123" ht="15.75" customHeight="1" outlineLevel="1">
      <c r="A123" s="641" t="s">
        <v>6034</v>
      </c>
      <c r="B123" s="738" t="s">
        <v>6035</v>
      </c>
      <c r="C123" s="643" t="s">
        <v>5631</v>
      </c>
      <c r="D123" s="644">
        <f>SUMIF('Orcamento RU Viora Build'!$A:$A,A123,'Orcamento RU Viora Build'!$F:$F)</f>
        <v>2.1</v>
      </c>
      <c r="E123" s="645">
        <f t="shared" si="47"/>
        <v>56.342</v>
      </c>
      <c r="F123" s="646">
        <f t="shared" si="48"/>
        <v>118.3182</v>
      </c>
      <c r="G123" s="707"/>
      <c r="H123" s="666"/>
      <c r="I123" s="658">
        <v>43.34</v>
      </c>
      <c r="J123" s="650">
        <v>0.0</v>
      </c>
      <c r="K123" s="649">
        <f t="shared" si="50"/>
        <v>43.34</v>
      </c>
      <c r="L123" s="649">
        <f t="shared" si="51"/>
        <v>91.014</v>
      </c>
      <c r="M123" s="651">
        <f t="shared" si="52"/>
        <v>27.3042</v>
      </c>
      <c r="N123" s="659">
        <f t="shared" si="49"/>
        <v>0.3</v>
      </c>
      <c r="O123" s="675">
        <f t="shared" si="53"/>
        <v>0.2307692308</v>
      </c>
      <c r="P123" s="770" t="s">
        <v>6036</v>
      </c>
      <c r="Q123" s="696" t="s">
        <v>6037</v>
      </c>
      <c r="R123" s="684"/>
      <c r="S123" s="699"/>
      <c r="T123" s="700"/>
      <c r="U123" s="1"/>
      <c r="V123" s="1"/>
      <c r="W123" s="1"/>
      <c r="X123" s="1"/>
      <c r="Y123" s="1"/>
    </row>
    <row r="124" ht="15.75" customHeight="1" outlineLevel="1">
      <c r="A124" s="752" t="s">
        <v>6038</v>
      </c>
      <c r="B124" s="771"/>
      <c r="C124" s="390"/>
      <c r="D124" s="390"/>
      <c r="E124" s="390"/>
      <c r="F124" s="388"/>
      <c r="G124" s="707"/>
      <c r="H124" s="666"/>
      <c r="I124" s="632"/>
      <c r="J124" s="633"/>
      <c r="K124" s="634"/>
      <c r="L124" s="708"/>
      <c r="M124" s="390"/>
      <c r="N124" s="390"/>
      <c r="O124" s="636"/>
      <c r="P124" s="709"/>
      <c r="Q124" s="710"/>
      <c r="R124" s="684"/>
      <c r="S124" s="711"/>
      <c r="T124" s="712"/>
      <c r="U124" s="1"/>
      <c r="V124" s="1"/>
      <c r="W124" s="1"/>
      <c r="X124" s="1"/>
      <c r="Y124" s="1"/>
    </row>
    <row r="125" ht="12.75" customHeight="1" outlineLevel="1">
      <c r="A125" s="641" t="s">
        <v>6039</v>
      </c>
      <c r="B125" s="642" t="s">
        <v>6040</v>
      </c>
      <c r="C125" s="643" t="s">
        <v>5636</v>
      </c>
      <c r="D125" s="644">
        <f>SUMIF('Orcamento RU Viora Build'!$A:$A,A125,'Orcamento RU Viora Build'!$F:$F)</f>
        <v>1</v>
      </c>
      <c r="E125" s="645">
        <f t="shared" ref="E125:E204" si="54">K125+(K125*N125)</f>
        <v>1647.1</v>
      </c>
      <c r="F125" s="646">
        <f t="shared" ref="F125:F204" si="55">E125*D125</f>
        <v>1647.1</v>
      </c>
      <c r="G125" s="707"/>
      <c r="H125" s="666"/>
      <c r="I125" s="658">
        <v>1267.0</v>
      </c>
      <c r="J125" s="650">
        <v>0.0</v>
      </c>
      <c r="K125" s="649">
        <f t="shared" ref="K125:K145" si="56">I125-I125*J125</f>
        <v>1267</v>
      </c>
      <c r="L125" s="649">
        <f t="shared" ref="L125:L145" si="57">K125*D125</f>
        <v>1267</v>
      </c>
      <c r="M125" s="649">
        <f t="shared" ref="M125:M145" si="58">F125-L125</f>
        <v>380.1</v>
      </c>
      <c r="N125" s="659">
        <f t="shared" ref="N125:N204" si="59">$N$2</f>
        <v>0.3</v>
      </c>
      <c r="O125" s="722">
        <f t="shared" ref="O125:O145" si="60">M125/F125</f>
        <v>0.2307692308</v>
      </c>
      <c r="P125" s="772"/>
      <c r="Q125" s="696" t="s">
        <v>6041</v>
      </c>
      <c r="R125" s="684"/>
      <c r="S125" s="713"/>
      <c r="T125" s="714"/>
      <c r="U125" s="1"/>
      <c r="V125" s="1"/>
      <c r="W125" s="1"/>
      <c r="X125" s="1"/>
      <c r="Y125" s="1"/>
    </row>
    <row r="126" ht="12.75" customHeight="1" outlineLevel="1">
      <c r="A126" s="641" t="s">
        <v>6042</v>
      </c>
      <c r="B126" s="642" t="s">
        <v>6043</v>
      </c>
      <c r="C126" s="643" t="s">
        <v>5636</v>
      </c>
      <c r="D126" s="644">
        <f>SUMIF('Orcamento RU Viora Build'!$A:$A,A126,'Orcamento RU Viora Build'!$F:$F)</f>
        <v>1</v>
      </c>
      <c r="E126" s="645">
        <f t="shared" si="54"/>
        <v>10427.3</v>
      </c>
      <c r="F126" s="646">
        <f t="shared" si="55"/>
        <v>10427.3</v>
      </c>
      <c r="G126" s="707"/>
      <c r="H126" s="666"/>
      <c r="I126" s="658">
        <v>8021.0</v>
      </c>
      <c r="J126" s="650">
        <v>0.0</v>
      </c>
      <c r="K126" s="649">
        <f t="shared" si="56"/>
        <v>8021</v>
      </c>
      <c r="L126" s="649">
        <f t="shared" si="57"/>
        <v>8021</v>
      </c>
      <c r="M126" s="649">
        <f t="shared" si="58"/>
        <v>2406.3</v>
      </c>
      <c r="N126" s="659">
        <f t="shared" si="59"/>
        <v>0.3</v>
      </c>
      <c r="O126" s="722">
        <f t="shared" si="60"/>
        <v>0.2307692308</v>
      </c>
      <c r="P126" s="773"/>
      <c r="Q126" s="696" t="s">
        <v>6041</v>
      </c>
      <c r="R126" s="684"/>
      <c r="S126" s="668"/>
      <c r="T126" s="669"/>
      <c r="U126" s="1"/>
      <c r="V126" s="1"/>
      <c r="W126" s="1"/>
      <c r="X126" s="1"/>
      <c r="Y126" s="1"/>
    </row>
    <row r="127" ht="12.75" customHeight="1" outlineLevel="1">
      <c r="A127" s="641" t="s">
        <v>6044</v>
      </c>
      <c r="B127" s="642" t="s">
        <v>6045</v>
      </c>
      <c r="C127" s="643" t="s">
        <v>5636</v>
      </c>
      <c r="D127" s="644">
        <f>SUMIF('Orcamento RU Viora Build'!$A:$A,A127,'Orcamento RU Viora Build'!$F:$F)</f>
        <v>1</v>
      </c>
      <c r="E127" s="645">
        <f t="shared" si="54"/>
        <v>10322</v>
      </c>
      <c r="F127" s="646">
        <f t="shared" si="55"/>
        <v>10322</v>
      </c>
      <c r="G127" s="707"/>
      <c r="H127" s="666"/>
      <c r="I127" s="658">
        <v>7940.0</v>
      </c>
      <c r="J127" s="650">
        <v>0.0</v>
      </c>
      <c r="K127" s="649">
        <f t="shared" si="56"/>
        <v>7940</v>
      </c>
      <c r="L127" s="649">
        <f t="shared" si="57"/>
        <v>7940</v>
      </c>
      <c r="M127" s="649">
        <f t="shared" si="58"/>
        <v>2382</v>
      </c>
      <c r="N127" s="659">
        <f t="shared" si="59"/>
        <v>0.3</v>
      </c>
      <c r="O127" s="722">
        <f t="shared" si="60"/>
        <v>0.2307692308</v>
      </c>
      <c r="P127" s="773"/>
      <c r="Q127" s="696" t="s">
        <v>6041</v>
      </c>
      <c r="R127" s="684"/>
      <c r="S127" s="668"/>
      <c r="T127" s="669"/>
      <c r="U127" s="1"/>
      <c r="V127" s="1"/>
      <c r="W127" s="1"/>
      <c r="X127" s="1"/>
      <c r="Y127" s="1"/>
    </row>
    <row r="128" ht="12.75" customHeight="1" outlineLevel="1">
      <c r="A128" s="641" t="s">
        <v>6046</v>
      </c>
      <c r="B128" s="642" t="s">
        <v>6047</v>
      </c>
      <c r="C128" s="643" t="s">
        <v>5636</v>
      </c>
      <c r="D128" s="644">
        <f>SUMIF('Orcamento RU Viora Build'!$A:$A,A128,'Orcamento RU Viora Build'!$F:$F)</f>
        <v>1</v>
      </c>
      <c r="E128" s="645">
        <f t="shared" si="54"/>
        <v>7572.5</v>
      </c>
      <c r="F128" s="646">
        <f t="shared" si="55"/>
        <v>7572.5</v>
      </c>
      <c r="G128" s="707"/>
      <c r="H128" s="666"/>
      <c r="I128" s="658">
        <v>5825.0</v>
      </c>
      <c r="J128" s="650">
        <v>0.0</v>
      </c>
      <c r="K128" s="649">
        <f t="shared" si="56"/>
        <v>5825</v>
      </c>
      <c r="L128" s="649">
        <f t="shared" si="57"/>
        <v>5825</v>
      </c>
      <c r="M128" s="649">
        <f t="shared" si="58"/>
        <v>1747.5</v>
      </c>
      <c r="N128" s="659">
        <f t="shared" si="59"/>
        <v>0.3</v>
      </c>
      <c r="O128" s="722">
        <f t="shared" si="60"/>
        <v>0.2307692308</v>
      </c>
      <c r="P128" s="773"/>
      <c r="Q128" s="696" t="s">
        <v>6041</v>
      </c>
      <c r="R128" s="684"/>
      <c r="S128" s="668"/>
      <c r="T128" s="669"/>
      <c r="U128" s="1"/>
      <c r="V128" s="1"/>
      <c r="W128" s="1"/>
      <c r="X128" s="1"/>
      <c r="Y128" s="1"/>
    </row>
    <row r="129" ht="12.75" customHeight="1" outlineLevel="1">
      <c r="A129" s="641" t="s">
        <v>6048</v>
      </c>
      <c r="B129" s="642" t="s">
        <v>6049</v>
      </c>
      <c r="C129" s="643" t="s">
        <v>5636</v>
      </c>
      <c r="D129" s="644">
        <f>SUMIF('Orcamento RU Viora Build'!$A:$A,A129,'Orcamento RU Viora Build'!$F:$F)</f>
        <v>1</v>
      </c>
      <c r="E129" s="645">
        <f t="shared" si="54"/>
        <v>14873.3</v>
      </c>
      <c r="F129" s="646">
        <f t="shared" si="55"/>
        <v>14873.3</v>
      </c>
      <c r="G129" s="707"/>
      <c r="H129" s="666"/>
      <c r="I129" s="658">
        <v>11441.0</v>
      </c>
      <c r="J129" s="650">
        <v>0.0</v>
      </c>
      <c r="K129" s="649">
        <f t="shared" si="56"/>
        <v>11441</v>
      </c>
      <c r="L129" s="649">
        <f t="shared" si="57"/>
        <v>11441</v>
      </c>
      <c r="M129" s="649">
        <f t="shared" si="58"/>
        <v>3432.3</v>
      </c>
      <c r="N129" s="659">
        <f t="shared" si="59"/>
        <v>0.3</v>
      </c>
      <c r="O129" s="722">
        <f t="shared" si="60"/>
        <v>0.2307692308</v>
      </c>
      <c r="P129" s="773"/>
      <c r="Q129" s="696" t="s">
        <v>6041</v>
      </c>
      <c r="R129" s="684"/>
      <c r="S129" s="668"/>
      <c r="T129" s="669"/>
      <c r="U129" s="1"/>
      <c r="V129" s="1"/>
      <c r="W129" s="1"/>
      <c r="X129" s="1"/>
      <c r="Y129" s="1"/>
    </row>
    <row r="130" ht="12.75" customHeight="1" outlineLevel="1">
      <c r="A130" s="641" t="s">
        <v>6050</v>
      </c>
      <c r="B130" s="642" t="s">
        <v>6051</v>
      </c>
      <c r="C130" s="643" t="s">
        <v>5636</v>
      </c>
      <c r="D130" s="644">
        <f>SUMIF('Orcamento RU Viora Build'!$A:$A,A130,'Orcamento RU Viora Build'!$F:$F)</f>
        <v>1</v>
      </c>
      <c r="E130" s="645">
        <f t="shared" si="54"/>
        <v>14747.2</v>
      </c>
      <c r="F130" s="646">
        <f t="shared" si="55"/>
        <v>14747.2</v>
      </c>
      <c r="G130" s="707"/>
      <c r="H130" s="666"/>
      <c r="I130" s="658">
        <v>11344.0</v>
      </c>
      <c r="J130" s="650">
        <v>0.0</v>
      </c>
      <c r="K130" s="649">
        <f t="shared" si="56"/>
        <v>11344</v>
      </c>
      <c r="L130" s="649">
        <f t="shared" si="57"/>
        <v>11344</v>
      </c>
      <c r="M130" s="649">
        <f t="shared" si="58"/>
        <v>3403.2</v>
      </c>
      <c r="N130" s="659">
        <f t="shared" si="59"/>
        <v>0.3</v>
      </c>
      <c r="O130" s="722">
        <f t="shared" si="60"/>
        <v>0.2307692308</v>
      </c>
      <c r="P130" s="773"/>
      <c r="Q130" s="696" t="s">
        <v>6041</v>
      </c>
      <c r="R130" s="684"/>
      <c r="S130" s="668"/>
      <c r="T130" s="669"/>
      <c r="U130" s="1"/>
      <c r="V130" s="1"/>
      <c r="W130" s="1"/>
      <c r="X130" s="1"/>
      <c r="Y130" s="1"/>
    </row>
    <row r="131" ht="12.75" customHeight="1" outlineLevel="1">
      <c r="A131" s="641" t="s">
        <v>6052</v>
      </c>
      <c r="B131" s="642" t="s">
        <v>6053</v>
      </c>
      <c r="C131" s="643" t="s">
        <v>5636</v>
      </c>
      <c r="D131" s="644">
        <f>SUMIF('Orcamento RU Viora Build'!$A:$A,A131,'Orcamento RU Viora Build'!$F:$F)</f>
        <v>1</v>
      </c>
      <c r="E131" s="645">
        <f t="shared" si="54"/>
        <v>11193</v>
      </c>
      <c r="F131" s="646">
        <f t="shared" si="55"/>
        <v>11193</v>
      </c>
      <c r="G131" s="707"/>
      <c r="H131" s="666"/>
      <c r="I131" s="658">
        <v>8610.0</v>
      </c>
      <c r="J131" s="650">
        <v>0.0</v>
      </c>
      <c r="K131" s="649">
        <f t="shared" si="56"/>
        <v>8610</v>
      </c>
      <c r="L131" s="649">
        <f t="shared" si="57"/>
        <v>8610</v>
      </c>
      <c r="M131" s="649">
        <f t="shared" si="58"/>
        <v>2583</v>
      </c>
      <c r="N131" s="659">
        <f t="shared" si="59"/>
        <v>0.3</v>
      </c>
      <c r="O131" s="722">
        <f t="shared" si="60"/>
        <v>0.2307692308</v>
      </c>
      <c r="P131" s="773"/>
      <c r="Q131" s="696" t="s">
        <v>6041</v>
      </c>
      <c r="R131" s="684"/>
      <c r="S131" s="668"/>
      <c r="T131" s="669"/>
      <c r="U131" s="1"/>
      <c r="V131" s="1"/>
      <c r="W131" s="1"/>
      <c r="X131" s="1"/>
      <c r="Y131" s="1"/>
    </row>
    <row r="132" ht="12.75" customHeight="1" outlineLevel="1">
      <c r="A132" s="641" t="s">
        <v>6054</v>
      </c>
      <c r="B132" s="642" t="s">
        <v>6055</v>
      </c>
      <c r="C132" s="643" t="s">
        <v>5636</v>
      </c>
      <c r="D132" s="644">
        <f>SUMIF('Orcamento RU Viora Build'!$A:$A,A132,'Orcamento RU Viora Build'!$F:$F)</f>
        <v>1</v>
      </c>
      <c r="E132" s="645">
        <f t="shared" si="54"/>
        <v>17923.1</v>
      </c>
      <c r="F132" s="646">
        <f t="shared" si="55"/>
        <v>17923.1</v>
      </c>
      <c r="G132" s="707"/>
      <c r="H132" s="666"/>
      <c r="I132" s="658">
        <v>13787.0</v>
      </c>
      <c r="J132" s="650">
        <v>0.0</v>
      </c>
      <c r="K132" s="649">
        <f t="shared" si="56"/>
        <v>13787</v>
      </c>
      <c r="L132" s="649">
        <f t="shared" si="57"/>
        <v>13787</v>
      </c>
      <c r="M132" s="649">
        <f t="shared" si="58"/>
        <v>4136.1</v>
      </c>
      <c r="N132" s="659">
        <f t="shared" si="59"/>
        <v>0.3</v>
      </c>
      <c r="O132" s="722">
        <f t="shared" si="60"/>
        <v>0.2307692308</v>
      </c>
      <c r="P132" s="773"/>
      <c r="Q132" s="696" t="s">
        <v>6041</v>
      </c>
      <c r="R132" s="684"/>
      <c r="S132" s="668"/>
      <c r="T132" s="669"/>
      <c r="U132" s="1"/>
      <c r="V132" s="1"/>
      <c r="W132" s="1"/>
      <c r="X132" s="1"/>
      <c r="Y132" s="1"/>
    </row>
    <row r="133" ht="12.75" customHeight="1" outlineLevel="1">
      <c r="A133" s="641" t="s">
        <v>6056</v>
      </c>
      <c r="B133" s="642" t="s">
        <v>6057</v>
      </c>
      <c r="C133" s="643" t="s">
        <v>5636</v>
      </c>
      <c r="D133" s="644">
        <f>SUMIF('Orcamento RU Viora Build'!$A:$A,A133,'Orcamento RU Viora Build'!$F:$F)</f>
        <v>1</v>
      </c>
      <c r="E133" s="645">
        <f t="shared" si="54"/>
        <v>16703.7</v>
      </c>
      <c r="F133" s="646">
        <f t="shared" si="55"/>
        <v>16703.7</v>
      </c>
      <c r="G133" s="707"/>
      <c r="H133" s="666"/>
      <c r="I133" s="658">
        <v>12849.0</v>
      </c>
      <c r="J133" s="650">
        <v>0.0</v>
      </c>
      <c r="K133" s="649">
        <f t="shared" si="56"/>
        <v>12849</v>
      </c>
      <c r="L133" s="649">
        <f t="shared" si="57"/>
        <v>12849</v>
      </c>
      <c r="M133" s="649">
        <f t="shared" si="58"/>
        <v>3854.7</v>
      </c>
      <c r="N133" s="659">
        <f t="shared" si="59"/>
        <v>0.3</v>
      </c>
      <c r="O133" s="722">
        <f t="shared" si="60"/>
        <v>0.2307692308</v>
      </c>
      <c r="P133" s="773"/>
      <c r="Q133" s="696" t="s">
        <v>6041</v>
      </c>
      <c r="R133" s="684"/>
      <c r="S133" s="668"/>
      <c r="T133" s="669"/>
      <c r="U133" s="1"/>
      <c r="V133" s="1"/>
      <c r="W133" s="1"/>
      <c r="X133" s="1"/>
      <c r="Y133" s="1"/>
    </row>
    <row r="134" ht="12.75" customHeight="1" outlineLevel="1">
      <c r="A134" s="641" t="s">
        <v>6058</v>
      </c>
      <c r="B134" s="642" t="s">
        <v>6059</v>
      </c>
      <c r="C134" s="643" t="s">
        <v>5636</v>
      </c>
      <c r="D134" s="644">
        <f>SUMIF('Orcamento RU Viora Build'!$A:$A,A134,'Orcamento RU Viora Build'!$F:$F)</f>
        <v>1</v>
      </c>
      <c r="E134" s="645">
        <f t="shared" si="54"/>
        <v>7699.9</v>
      </c>
      <c r="F134" s="646">
        <f t="shared" si="55"/>
        <v>7699.9</v>
      </c>
      <c r="G134" s="707"/>
      <c r="H134" s="666"/>
      <c r="I134" s="658">
        <v>5923.0</v>
      </c>
      <c r="J134" s="650">
        <v>0.0</v>
      </c>
      <c r="K134" s="649">
        <f t="shared" si="56"/>
        <v>5923</v>
      </c>
      <c r="L134" s="649">
        <f t="shared" si="57"/>
        <v>5923</v>
      </c>
      <c r="M134" s="649">
        <f t="shared" si="58"/>
        <v>1776.9</v>
      </c>
      <c r="N134" s="659">
        <f t="shared" si="59"/>
        <v>0.3</v>
      </c>
      <c r="O134" s="722">
        <f t="shared" si="60"/>
        <v>0.2307692308</v>
      </c>
      <c r="P134" s="773"/>
      <c r="Q134" s="696" t="s">
        <v>6041</v>
      </c>
      <c r="R134" s="684"/>
      <c r="S134" s="668"/>
      <c r="T134" s="669"/>
      <c r="U134" s="1"/>
      <c r="V134" s="1"/>
      <c r="W134" s="1"/>
      <c r="X134" s="1"/>
      <c r="Y134" s="1"/>
    </row>
    <row r="135" ht="12.75" customHeight="1" outlineLevel="1">
      <c r="A135" s="641" t="s">
        <v>6060</v>
      </c>
      <c r="B135" s="642" t="s">
        <v>6061</v>
      </c>
      <c r="C135" s="643" t="s">
        <v>5636</v>
      </c>
      <c r="D135" s="644">
        <f>SUMIF('Orcamento RU Viora Build'!$A:$A,A135,'Orcamento RU Viora Build'!$F:$F)</f>
        <v>1</v>
      </c>
      <c r="E135" s="645">
        <f t="shared" si="54"/>
        <v>2610.4</v>
      </c>
      <c r="F135" s="646">
        <f t="shared" si="55"/>
        <v>2610.4</v>
      </c>
      <c r="G135" s="707"/>
      <c r="H135" s="666"/>
      <c r="I135" s="658">
        <v>2008.0</v>
      </c>
      <c r="J135" s="650">
        <v>0.0</v>
      </c>
      <c r="K135" s="649">
        <f t="shared" si="56"/>
        <v>2008</v>
      </c>
      <c r="L135" s="649">
        <f t="shared" si="57"/>
        <v>2008</v>
      </c>
      <c r="M135" s="649">
        <f t="shared" si="58"/>
        <v>602.4</v>
      </c>
      <c r="N135" s="659">
        <f t="shared" si="59"/>
        <v>0.3</v>
      </c>
      <c r="O135" s="722">
        <f t="shared" si="60"/>
        <v>0.2307692308</v>
      </c>
      <c r="P135" s="773"/>
      <c r="Q135" s="696" t="s">
        <v>6041</v>
      </c>
      <c r="R135" s="684"/>
      <c r="S135" s="668"/>
      <c r="T135" s="669"/>
      <c r="U135" s="1"/>
      <c r="V135" s="1"/>
      <c r="W135" s="1"/>
      <c r="X135" s="1"/>
      <c r="Y135" s="1"/>
    </row>
    <row r="136" ht="12.75" customHeight="1" outlineLevel="1">
      <c r="A136" s="641" t="s">
        <v>6062</v>
      </c>
      <c r="B136" s="642" t="s">
        <v>6063</v>
      </c>
      <c r="C136" s="643" t="s">
        <v>5636</v>
      </c>
      <c r="D136" s="644">
        <f>SUMIF('Orcamento RU Viora Build'!$A:$A,A136,'Orcamento RU Viora Build'!$F:$F)</f>
        <v>1</v>
      </c>
      <c r="E136" s="645">
        <f t="shared" si="54"/>
        <v>3386.5</v>
      </c>
      <c r="F136" s="646">
        <f t="shared" si="55"/>
        <v>3386.5</v>
      </c>
      <c r="G136" s="707"/>
      <c r="H136" s="666"/>
      <c r="I136" s="658">
        <v>2605.0</v>
      </c>
      <c r="J136" s="650">
        <v>0.0</v>
      </c>
      <c r="K136" s="649">
        <f t="shared" si="56"/>
        <v>2605</v>
      </c>
      <c r="L136" s="649">
        <f t="shared" si="57"/>
        <v>2605</v>
      </c>
      <c r="M136" s="649">
        <f t="shared" si="58"/>
        <v>781.5</v>
      </c>
      <c r="N136" s="659">
        <f t="shared" si="59"/>
        <v>0.3</v>
      </c>
      <c r="O136" s="722">
        <f t="shared" si="60"/>
        <v>0.2307692308</v>
      </c>
      <c r="P136" s="773"/>
      <c r="Q136" s="696" t="s">
        <v>6041</v>
      </c>
      <c r="R136" s="684"/>
      <c r="S136" s="668"/>
      <c r="T136" s="669"/>
      <c r="U136" s="1"/>
      <c r="V136" s="1"/>
      <c r="W136" s="1"/>
      <c r="X136" s="1"/>
      <c r="Y136" s="1"/>
    </row>
    <row r="137" ht="12.75" customHeight="1" outlineLevel="1">
      <c r="A137" s="641" t="s">
        <v>6064</v>
      </c>
      <c r="B137" s="642" t="s">
        <v>6065</v>
      </c>
      <c r="C137" s="643" t="s">
        <v>5636</v>
      </c>
      <c r="D137" s="644">
        <f>SUMIF('Orcamento RU Viora Build'!$A:$A,A137,'Orcamento RU Viora Build'!$F:$F)</f>
        <v>1</v>
      </c>
      <c r="E137" s="645">
        <f t="shared" si="54"/>
        <v>41824.9</v>
      </c>
      <c r="F137" s="646">
        <f t="shared" si="55"/>
        <v>41824.9</v>
      </c>
      <c r="G137" s="707"/>
      <c r="H137" s="666"/>
      <c r="I137" s="658">
        <v>32173.0</v>
      </c>
      <c r="J137" s="650">
        <v>0.0</v>
      </c>
      <c r="K137" s="649">
        <f t="shared" si="56"/>
        <v>32173</v>
      </c>
      <c r="L137" s="649">
        <f t="shared" si="57"/>
        <v>32173</v>
      </c>
      <c r="M137" s="649">
        <f t="shared" si="58"/>
        <v>9651.9</v>
      </c>
      <c r="N137" s="659">
        <f t="shared" si="59"/>
        <v>0.3</v>
      </c>
      <c r="O137" s="722">
        <f t="shared" si="60"/>
        <v>0.2307692308</v>
      </c>
      <c r="P137" s="773"/>
      <c r="Q137" s="696" t="s">
        <v>6041</v>
      </c>
      <c r="R137" s="684"/>
      <c r="S137" s="668"/>
      <c r="T137" s="669"/>
      <c r="U137" s="1"/>
      <c r="V137" s="1"/>
      <c r="W137" s="1"/>
      <c r="X137" s="1"/>
      <c r="Y137" s="1"/>
    </row>
    <row r="138" ht="12.75" customHeight="1" outlineLevel="1">
      <c r="A138" s="641" t="s">
        <v>6066</v>
      </c>
      <c r="B138" s="642" t="s">
        <v>6067</v>
      </c>
      <c r="C138" s="643" t="s">
        <v>5636</v>
      </c>
      <c r="D138" s="644">
        <f>SUMIF('Orcamento RU Viora Build'!$A:$A,A138,'Orcamento RU Viora Build'!$F:$F)</f>
        <v>1</v>
      </c>
      <c r="E138" s="645">
        <f t="shared" si="54"/>
        <v>10604.1</v>
      </c>
      <c r="F138" s="646">
        <f t="shared" si="55"/>
        <v>10604.1</v>
      </c>
      <c r="G138" s="707"/>
      <c r="H138" s="666"/>
      <c r="I138" s="658">
        <v>8157.0</v>
      </c>
      <c r="J138" s="650">
        <v>0.0</v>
      </c>
      <c r="K138" s="649">
        <f t="shared" si="56"/>
        <v>8157</v>
      </c>
      <c r="L138" s="649">
        <f t="shared" si="57"/>
        <v>8157</v>
      </c>
      <c r="M138" s="649">
        <f t="shared" si="58"/>
        <v>2447.1</v>
      </c>
      <c r="N138" s="659">
        <f t="shared" si="59"/>
        <v>0.3</v>
      </c>
      <c r="O138" s="722">
        <f t="shared" si="60"/>
        <v>0.2307692308</v>
      </c>
      <c r="P138" s="773"/>
      <c r="Q138" s="696" t="s">
        <v>6041</v>
      </c>
      <c r="R138" s="684"/>
      <c r="S138" s="668"/>
      <c r="T138" s="669"/>
      <c r="U138" s="1"/>
      <c r="V138" s="1"/>
      <c r="W138" s="1"/>
      <c r="X138" s="1"/>
      <c r="Y138" s="1"/>
    </row>
    <row r="139" ht="12.75" customHeight="1" outlineLevel="1">
      <c r="A139" s="641" t="s">
        <v>6068</v>
      </c>
      <c r="B139" s="642" t="s">
        <v>6069</v>
      </c>
      <c r="C139" s="643" t="s">
        <v>5636</v>
      </c>
      <c r="D139" s="644">
        <f>SUMIF('Orcamento RU Viora Build'!$A:$A,A139,'Orcamento RU Viora Build'!$F:$F)</f>
        <v>1</v>
      </c>
      <c r="E139" s="645">
        <f t="shared" si="54"/>
        <v>7902.7</v>
      </c>
      <c r="F139" s="646">
        <f t="shared" si="55"/>
        <v>7902.7</v>
      </c>
      <c r="G139" s="707"/>
      <c r="H139" s="666"/>
      <c r="I139" s="658">
        <v>6079.0</v>
      </c>
      <c r="J139" s="650">
        <v>0.0</v>
      </c>
      <c r="K139" s="649">
        <f t="shared" si="56"/>
        <v>6079</v>
      </c>
      <c r="L139" s="649">
        <f t="shared" si="57"/>
        <v>6079</v>
      </c>
      <c r="M139" s="649">
        <f t="shared" si="58"/>
        <v>1823.7</v>
      </c>
      <c r="N139" s="659">
        <f t="shared" si="59"/>
        <v>0.3</v>
      </c>
      <c r="O139" s="722">
        <f t="shared" si="60"/>
        <v>0.2307692308</v>
      </c>
      <c r="P139" s="773"/>
      <c r="Q139" s="696" t="s">
        <v>6041</v>
      </c>
      <c r="R139" s="684"/>
      <c r="S139" s="668"/>
      <c r="T139" s="669"/>
      <c r="U139" s="1"/>
      <c r="V139" s="1"/>
      <c r="W139" s="1"/>
      <c r="X139" s="1"/>
      <c r="Y139" s="1"/>
    </row>
    <row r="140" ht="12.75" customHeight="1" outlineLevel="1">
      <c r="A140" s="641" t="s">
        <v>6070</v>
      </c>
      <c r="B140" s="642" t="s">
        <v>6071</v>
      </c>
      <c r="C140" s="643" t="s">
        <v>5636</v>
      </c>
      <c r="D140" s="644">
        <f>SUMIF('Orcamento RU Viora Build'!$A:$A,A140,'Orcamento RU Viora Build'!$F:$F)</f>
        <v>1</v>
      </c>
      <c r="E140" s="645">
        <f t="shared" si="54"/>
        <v>6782.1</v>
      </c>
      <c r="F140" s="646">
        <f t="shared" si="55"/>
        <v>6782.1</v>
      </c>
      <c r="G140" s="707"/>
      <c r="H140" s="666"/>
      <c r="I140" s="658">
        <v>5217.0</v>
      </c>
      <c r="J140" s="650">
        <v>0.0</v>
      </c>
      <c r="K140" s="649">
        <f t="shared" si="56"/>
        <v>5217</v>
      </c>
      <c r="L140" s="649">
        <f t="shared" si="57"/>
        <v>5217</v>
      </c>
      <c r="M140" s="649">
        <f t="shared" si="58"/>
        <v>1565.1</v>
      </c>
      <c r="N140" s="659">
        <f t="shared" si="59"/>
        <v>0.3</v>
      </c>
      <c r="O140" s="722">
        <f t="shared" si="60"/>
        <v>0.2307692308</v>
      </c>
      <c r="P140" s="773"/>
      <c r="Q140" s="696" t="s">
        <v>6041</v>
      </c>
      <c r="R140" s="684"/>
      <c r="S140" s="668"/>
      <c r="T140" s="669"/>
      <c r="U140" s="1"/>
      <c r="V140" s="1"/>
      <c r="W140" s="1"/>
      <c r="X140" s="1"/>
      <c r="Y140" s="1"/>
    </row>
    <row r="141" ht="12.75" customHeight="1" outlineLevel="1">
      <c r="A141" s="641" t="s">
        <v>6072</v>
      </c>
      <c r="B141" s="642" t="s">
        <v>6073</v>
      </c>
      <c r="C141" s="643" t="s">
        <v>5636</v>
      </c>
      <c r="D141" s="644">
        <f>SUMIF('Orcamento RU Viora Build'!$A:$A,A141,'Orcamento RU Viora Build'!$F:$F)</f>
        <v>1</v>
      </c>
      <c r="E141" s="645">
        <f t="shared" si="54"/>
        <v>7857.2</v>
      </c>
      <c r="F141" s="646">
        <f t="shared" si="55"/>
        <v>7857.2</v>
      </c>
      <c r="G141" s="707"/>
      <c r="H141" s="666"/>
      <c r="I141" s="658">
        <v>6044.0</v>
      </c>
      <c r="J141" s="650">
        <v>0.0</v>
      </c>
      <c r="K141" s="649">
        <f t="shared" si="56"/>
        <v>6044</v>
      </c>
      <c r="L141" s="649">
        <f t="shared" si="57"/>
        <v>6044</v>
      </c>
      <c r="M141" s="649">
        <f t="shared" si="58"/>
        <v>1813.2</v>
      </c>
      <c r="N141" s="659">
        <f t="shared" si="59"/>
        <v>0.3</v>
      </c>
      <c r="O141" s="722">
        <f t="shared" si="60"/>
        <v>0.2307692308</v>
      </c>
      <c r="P141" s="773"/>
      <c r="Q141" s="696" t="s">
        <v>6041</v>
      </c>
      <c r="R141" s="684"/>
      <c r="S141" s="668"/>
      <c r="T141" s="669"/>
      <c r="U141" s="1"/>
      <c r="V141" s="1"/>
      <c r="W141" s="1"/>
      <c r="X141" s="1"/>
      <c r="Y141" s="1"/>
    </row>
    <row r="142" ht="12.75" customHeight="1" outlineLevel="1">
      <c r="A142" s="641" t="s">
        <v>6074</v>
      </c>
      <c r="B142" s="642" t="s">
        <v>6075</v>
      </c>
      <c r="C142" s="643" t="s">
        <v>5636</v>
      </c>
      <c r="D142" s="644">
        <f>SUMIF('Orcamento RU Viora Build'!$A:$A,A142,'Orcamento RU Viora Build'!$F:$F)</f>
        <v>1</v>
      </c>
      <c r="E142" s="645">
        <f t="shared" si="54"/>
        <v>7920.9</v>
      </c>
      <c r="F142" s="646">
        <f t="shared" si="55"/>
        <v>7920.9</v>
      </c>
      <c r="G142" s="707"/>
      <c r="H142" s="666"/>
      <c r="I142" s="658">
        <v>6093.0</v>
      </c>
      <c r="J142" s="650">
        <v>0.0</v>
      </c>
      <c r="K142" s="649">
        <f t="shared" si="56"/>
        <v>6093</v>
      </c>
      <c r="L142" s="649">
        <f t="shared" si="57"/>
        <v>6093</v>
      </c>
      <c r="M142" s="649">
        <f t="shared" si="58"/>
        <v>1827.9</v>
      </c>
      <c r="N142" s="659">
        <f t="shared" si="59"/>
        <v>0.3</v>
      </c>
      <c r="O142" s="722">
        <f t="shared" si="60"/>
        <v>0.2307692308</v>
      </c>
      <c r="P142" s="773"/>
      <c r="Q142" s="696" t="s">
        <v>6041</v>
      </c>
      <c r="R142" s="684"/>
      <c r="S142" s="668"/>
      <c r="T142" s="669"/>
      <c r="U142" s="1"/>
      <c r="V142" s="1"/>
      <c r="W142" s="1"/>
      <c r="X142" s="1"/>
      <c r="Y142" s="1"/>
    </row>
    <row r="143" ht="12.75" customHeight="1" outlineLevel="1">
      <c r="A143" s="641" t="s">
        <v>6076</v>
      </c>
      <c r="B143" s="642" t="s">
        <v>6077</v>
      </c>
      <c r="C143" s="643" t="s">
        <v>5636</v>
      </c>
      <c r="D143" s="644">
        <f>SUMIF('Orcamento RU Viora Build'!$A:$A,A143,'Orcamento RU Viora Build'!$F:$F)</f>
        <v>1</v>
      </c>
      <c r="E143" s="645">
        <f t="shared" si="54"/>
        <v>2004.6</v>
      </c>
      <c r="F143" s="646">
        <f t="shared" si="55"/>
        <v>2004.6</v>
      </c>
      <c r="G143" s="707"/>
      <c r="H143" s="666"/>
      <c r="I143" s="658">
        <v>1542.0</v>
      </c>
      <c r="J143" s="650">
        <v>0.0</v>
      </c>
      <c r="K143" s="649">
        <f t="shared" si="56"/>
        <v>1542</v>
      </c>
      <c r="L143" s="649">
        <f t="shared" si="57"/>
        <v>1542</v>
      </c>
      <c r="M143" s="649">
        <f t="shared" si="58"/>
        <v>462.6</v>
      </c>
      <c r="N143" s="659">
        <f t="shared" si="59"/>
        <v>0.3</v>
      </c>
      <c r="O143" s="722">
        <f t="shared" si="60"/>
        <v>0.2307692308</v>
      </c>
      <c r="P143" s="773"/>
      <c r="Q143" s="696" t="s">
        <v>6041</v>
      </c>
      <c r="R143" s="684"/>
      <c r="S143" s="668"/>
      <c r="T143" s="669"/>
      <c r="U143" s="1"/>
      <c r="V143" s="1"/>
      <c r="W143" s="1"/>
      <c r="X143" s="1"/>
      <c r="Y143" s="1"/>
    </row>
    <row r="144" ht="12.75" customHeight="1" outlineLevel="1">
      <c r="A144" s="641" t="s">
        <v>6078</v>
      </c>
      <c r="B144" s="642" t="s">
        <v>6079</v>
      </c>
      <c r="C144" s="643" t="s">
        <v>5636</v>
      </c>
      <c r="D144" s="644">
        <f>SUMIF('Orcamento RU Viora Build'!$A:$A,A144,'Orcamento RU Viora Build'!$F:$F)</f>
        <v>1</v>
      </c>
      <c r="E144" s="645">
        <f t="shared" si="54"/>
        <v>2623.4</v>
      </c>
      <c r="F144" s="646">
        <f t="shared" si="55"/>
        <v>2623.4</v>
      </c>
      <c r="G144" s="707"/>
      <c r="H144" s="666"/>
      <c r="I144" s="658">
        <v>2018.0</v>
      </c>
      <c r="J144" s="650">
        <v>0.0</v>
      </c>
      <c r="K144" s="649">
        <f t="shared" si="56"/>
        <v>2018</v>
      </c>
      <c r="L144" s="649">
        <f t="shared" si="57"/>
        <v>2018</v>
      </c>
      <c r="M144" s="649">
        <f t="shared" si="58"/>
        <v>605.4</v>
      </c>
      <c r="N144" s="659">
        <f t="shared" si="59"/>
        <v>0.3</v>
      </c>
      <c r="O144" s="722">
        <f t="shared" si="60"/>
        <v>0.2307692308</v>
      </c>
      <c r="P144" s="773"/>
      <c r="Q144" s="696" t="s">
        <v>6041</v>
      </c>
      <c r="R144" s="684"/>
      <c r="S144" s="668"/>
      <c r="T144" s="669"/>
      <c r="U144" s="1"/>
      <c r="V144" s="1"/>
      <c r="W144" s="1"/>
      <c r="X144" s="1"/>
      <c r="Y144" s="1"/>
    </row>
    <row r="145" ht="12.75" customHeight="1" outlineLevel="1">
      <c r="A145" s="641" t="s">
        <v>6080</v>
      </c>
      <c r="B145" s="642" t="s">
        <v>6081</v>
      </c>
      <c r="C145" s="643" t="s">
        <v>5636</v>
      </c>
      <c r="D145" s="644">
        <f>SUMIF('Orcamento RU Viora Build'!$A:$A,A145,'Orcamento RU Viora Build'!$F:$F)</f>
        <v>1</v>
      </c>
      <c r="E145" s="645">
        <f t="shared" si="54"/>
        <v>1314.3</v>
      </c>
      <c r="F145" s="646">
        <f t="shared" si="55"/>
        <v>1314.3</v>
      </c>
      <c r="G145" s="707"/>
      <c r="H145" s="666"/>
      <c r="I145" s="658">
        <v>1011.0</v>
      </c>
      <c r="J145" s="650">
        <v>0.0</v>
      </c>
      <c r="K145" s="649">
        <f t="shared" si="56"/>
        <v>1011</v>
      </c>
      <c r="L145" s="649">
        <f t="shared" si="57"/>
        <v>1011</v>
      </c>
      <c r="M145" s="649">
        <f t="shared" si="58"/>
        <v>303.3</v>
      </c>
      <c r="N145" s="659">
        <f t="shared" si="59"/>
        <v>0.3</v>
      </c>
      <c r="O145" s="722">
        <f t="shared" si="60"/>
        <v>0.2307692308</v>
      </c>
      <c r="P145" s="773"/>
      <c r="Q145" s="696" t="s">
        <v>6041</v>
      </c>
      <c r="R145" s="684"/>
      <c r="S145" s="668"/>
      <c r="T145" s="669"/>
      <c r="U145" s="1"/>
      <c r="V145" s="1"/>
      <c r="W145" s="1"/>
      <c r="X145" s="1"/>
      <c r="Y145" s="1"/>
    </row>
    <row r="146" ht="12.75" customHeight="1" outlineLevel="1">
      <c r="A146" s="641" t="s">
        <v>6082</v>
      </c>
      <c r="B146" s="642" t="s">
        <v>6083</v>
      </c>
      <c r="C146" s="643" t="s">
        <v>5636</v>
      </c>
      <c r="D146" s="644">
        <f>SUMIF('Orcamento RU Viora Build'!$A:$A,A146,'Orcamento RU Viora Build'!$F:$F)</f>
        <v>1</v>
      </c>
      <c r="E146" s="645">
        <f t="shared" si="54"/>
        <v>0</v>
      </c>
      <c r="F146" s="646">
        <f t="shared" si="55"/>
        <v>0</v>
      </c>
      <c r="G146" s="707"/>
      <c r="H146" s="666"/>
      <c r="I146" s="774"/>
      <c r="J146" s="743"/>
      <c r="K146" s="679"/>
      <c r="L146" s="679"/>
      <c r="M146" s="679"/>
      <c r="N146" s="659">
        <f t="shared" si="59"/>
        <v>0.3</v>
      </c>
      <c r="O146" s="744"/>
      <c r="P146" s="775"/>
      <c r="Q146" s="776" t="s">
        <v>6084</v>
      </c>
      <c r="R146" s="684"/>
      <c r="S146" s="685"/>
      <c r="T146" s="686"/>
      <c r="U146" s="1"/>
      <c r="V146" s="1"/>
      <c r="W146" s="1"/>
      <c r="X146" s="1"/>
      <c r="Y146" s="1"/>
    </row>
    <row r="147" ht="12.75" customHeight="1" outlineLevel="1">
      <c r="A147" s="641" t="s">
        <v>6085</v>
      </c>
      <c r="B147" s="642" t="s">
        <v>6086</v>
      </c>
      <c r="C147" s="643" t="s">
        <v>5636</v>
      </c>
      <c r="D147" s="644">
        <f>SUMIF('Orcamento RU Viora Build'!$A:$A,A147,'Orcamento RU Viora Build'!$F:$F)</f>
        <v>1</v>
      </c>
      <c r="E147" s="645">
        <f t="shared" si="54"/>
        <v>0</v>
      </c>
      <c r="F147" s="646">
        <f t="shared" si="55"/>
        <v>0</v>
      </c>
      <c r="G147" s="707"/>
      <c r="H147" s="666"/>
      <c r="I147" s="720"/>
      <c r="J147" s="719"/>
      <c r="K147" s="720"/>
      <c r="L147" s="720"/>
      <c r="M147" s="720"/>
      <c r="N147" s="659">
        <f t="shared" si="59"/>
        <v>0.3</v>
      </c>
      <c r="O147" s="722"/>
      <c r="P147" s="777"/>
      <c r="Q147" s="778" t="s">
        <v>6087</v>
      </c>
      <c r="R147" s="684"/>
      <c r="S147" s="729"/>
      <c r="T147" s="730"/>
      <c r="U147" s="1"/>
      <c r="V147" s="1"/>
      <c r="W147" s="1"/>
      <c r="X147" s="1"/>
      <c r="Y147" s="1"/>
    </row>
    <row r="148" ht="12.75" customHeight="1" outlineLevel="1">
      <c r="A148" s="641" t="s">
        <v>6088</v>
      </c>
      <c r="B148" s="642" t="s">
        <v>6089</v>
      </c>
      <c r="C148" s="643" t="s">
        <v>5636</v>
      </c>
      <c r="D148" s="644">
        <f>SUMIF('Orcamento RU Viora Build'!$A:$A,A148,'Orcamento RU Viora Build'!$F:$F)</f>
        <v>1</v>
      </c>
      <c r="E148" s="645">
        <f t="shared" si="54"/>
        <v>0</v>
      </c>
      <c r="F148" s="646">
        <f t="shared" si="55"/>
        <v>0</v>
      </c>
      <c r="G148" s="707"/>
      <c r="H148" s="666"/>
      <c r="I148" s="720"/>
      <c r="J148" s="719"/>
      <c r="K148" s="720"/>
      <c r="L148" s="720"/>
      <c r="M148" s="720"/>
      <c r="N148" s="659">
        <f t="shared" si="59"/>
        <v>0.3</v>
      </c>
      <c r="O148" s="722"/>
      <c r="P148" s="777"/>
      <c r="Q148" s="778" t="s">
        <v>6087</v>
      </c>
      <c r="R148" s="684"/>
      <c r="S148" s="729"/>
      <c r="T148" s="730"/>
      <c r="U148" s="1"/>
      <c r="V148" s="1"/>
      <c r="W148" s="1"/>
      <c r="X148" s="1"/>
      <c r="Y148" s="1"/>
    </row>
    <row r="149" ht="12.75" customHeight="1" outlineLevel="1">
      <c r="A149" s="641" t="s">
        <v>6090</v>
      </c>
      <c r="B149" s="642" t="s">
        <v>6091</v>
      </c>
      <c r="C149" s="643" t="s">
        <v>5636</v>
      </c>
      <c r="D149" s="644">
        <f>SUMIF('Orcamento RU Viora Build'!$A:$A,A149,'Orcamento RU Viora Build'!$F:$F)</f>
        <v>1</v>
      </c>
      <c r="E149" s="645">
        <f t="shared" si="54"/>
        <v>0</v>
      </c>
      <c r="F149" s="646">
        <f t="shared" si="55"/>
        <v>0</v>
      </c>
      <c r="G149" s="707"/>
      <c r="H149" s="666"/>
      <c r="I149" s="720"/>
      <c r="J149" s="719"/>
      <c r="K149" s="720"/>
      <c r="L149" s="720"/>
      <c r="M149" s="720"/>
      <c r="N149" s="659">
        <f t="shared" si="59"/>
        <v>0.3</v>
      </c>
      <c r="O149" s="722"/>
      <c r="P149" s="777"/>
      <c r="Q149" s="778" t="s">
        <v>6087</v>
      </c>
      <c r="R149" s="684"/>
      <c r="S149" s="729"/>
      <c r="T149" s="730"/>
      <c r="U149" s="1"/>
      <c r="V149" s="1"/>
      <c r="W149" s="1"/>
      <c r="X149" s="1"/>
      <c r="Y149" s="1"/>
    </row>
    <row r="150" ht="12.75" customHeight="1" outlineLevel="1">
      <c r="A150" s="641" t="s">
        <v>6092</v>
      </c>
      <c r="B150" s="642" t="s">
        <v>6093</v>
      </c>
      <c r="C150" s="643" t="s">
        <v>5636</v>
      </c>
      <c r="D150" s="644">
        <f>SUMIF('Orcamento RU Viora Build'!$A:$A,A150,'Orcamento RU Viora Build'!$F:$F)</f>
        <v>1</v>
      </c>
      <c r="E150" s="645">
        <f t="shared" si="54"/>
        <v>0</v>
      </c>
      <c r="F150" s="646">
        <f t="shared" si="55"/>
        <v>0</v>
      </c>
      <c r="G150" s="707"/>
      <c r="H150" s="666"/>
      <c r="I150" s="720"/>
      <c r="J150" s="719"/>
      <c r="K150" s="720"/>
      <c r="L150" s="720"/>
      <c r="M150" s="720"/>
      <c r="N150" s="659">
        <f t="shared" si="59"/>
        <v>0.3</v>
      </c>
      <c r="O150" s="722"/>
      <c r="P150" s="777"/>
      <c r="Q150" s="778" t="s">
        <v>6087</v>
      </c>
      <c r="R150" s="684"/>
      <c r="S150" s="729"/>
      <c r="T150" s="730"/>
      <c r="U150" s="1"/>
      <c r="V150" s="1"/>
      <c r="W150" s="1"/>
      <c r="X150" s="1"/>
      <c r="Y150" s="1"/>
    </row>
    <row r="151" ht="12.75" customHeight="1" outlineLevel="1">
      <c r="A151" s="641" t="s">
        <v>6094</v>
      </c>
      <c r="B151" s="642" t="s">
        <v>6095</v>
      </c>
      <c r="C151" s="643" t="s">
        <v>5636</v>
      </c>
      <c r="D151" s="644">
        <f>SUMIF('Orcamento RU Viora Build'!$A:$A,A151,'Orcamento RU Viora Build'!$F:$F)</f>
        <v>1</v>
      </c>
      <c r="E151" s="645">
        <f t="shared" si="54"/>
        <v>0</v>
      </c>
      <c r="F151" s="646">
        <f t="shared" si="55"/>
        <v>0</v>
      </c>
      <c r="G151" s="707"/>
      <c r="H151" s="666"/>
      <c r="I151" s="720"/>
      <c r="J151" s="719"/>
      <c r="K151" s="720"/>
      <c r="L151" s="720"/>
      <c r="M151" s="720"/>
      <c r="N151" s="659">
        <f t="shared" si="59"/>
        <v>0.3</v>
      </c>
      <c r="O151" s="722"/>
      <c r="P151" s="777"/>
      <c r="Q151" s="778" t="s">
        <v>6087</v>
      </c>
      <c r="R151" s="684"/>
      <c r="S151" s="729"/>
      <c r="T151" s="730"/>
      <c r="U151" s="1"/>
      <c r="V151" s="1"/>
      <c r="W151" s="1"/>
      <c r="X151" s="1"/>
      <c r="Y151" s="1"/>
    </row>
    <row r="152" ht="12.75" customHeight="1" outlineLevel="1">
      <c r="A152" s="641" t="s">
        <v>6096</v>
      </c>
      <c r="B152" s="642" t="s">
        <v>6097</v>
      </c>
      <c r="C152" s="643" t="s">
        <v>5636</v>
      </c>
      <c r="D152" s="644">
        <f>SUMIF('Orcamento RU Viora Build'!$A:$A,A152,'Orcamento RU Viora Build'!$F:$F)</f>
        <v>1</v>
      </c>
      <c r="E152" s="645">
        <f t="shared" si="54"/>
        <v>0</v>
      </c>
      <c r="F152" s="646">
        <f t="shared" si="55"/>
        <v>0</v>
      </c>
      <c r="G152" s="707"/>
      <c r="H152" s="666"/>
      <c r="I152" s="720"/>
      <c r="J152" s="719"/>
      <c r="K152" s="720"/>
      <c r="L152" s="720"/>
      <c r="M152" s="720"/>
      <c r="N152" s="659">
        <f t="shared" si="59"/>
        <v>0.3</v>
      </c>
      <c r="O152" s="722"/>
      <c r="P152" s="777"/>
      <c r="Q152" s="778" t="s">
        <v>6087</v>
      </c>
      <c r="R152" s="684"/>
      <c r="S152" s="729"/>
      <c r="T152" s="730"/>
      <c r="U152" s="1"/>
      <c r="V152" s="1"/>
      <c r="W152" s="1"/>
      <c r="X152" s="1"/>
      <c r="Y152" s="1"/>
    </row>
    <row r="153" ht="12.75" customHeight="1" outlineLevel="1">
      <c r="A153" s="641" t="s">
        <v>6098</v>
      </c>
      <c r="B153" s="642" t="s">
        <v>6099</v>
      </c>
      <c r="C153" s="643" t="s">
        <v>5636</v>
      </c>
      <c r="D153" s="644">
        <f>SUMIF('Orcamento RU Viora Build'!$A:$A,A153,'Orcamento RU Viora Build'!$F:$F)</f>
        <v>1</v>
      </c>
      <c r="E153" s="645">
        <f t="shared" si="54"/>
        <v>0</v>
      </c>
      <c r="F153" s="646">
        <f t="shared" si="55"/>
        <v>0</v>
      </c>
      <c r="G153" s="707"/>
      <c r="H153" s="666"/>
      <c r="I153" s="720"/>
      <c r="J153" s="719"/>
      <c r="K153" s="720"/>
      <c r="L153" s="720"/>
      <c r="M153" s="720"/>
      <c r="N153" s="659">
        <f t="shared" si="59"/>
        <v>0.3</v>
      </c>
      <c r="O153" s="722"/>
      <c r="P153" s="777"/>
      <c r="Q153" s="778" t="s">
        <v>6087</v>
      </c>
      <c r="R153" s="684"/>
      <c r="S153" s="729"/>
      <c r="T153" s="730"/>
      <c r="U153" s="1"/>
      <c r="V153" s="1"/>
      <c r="W153" s="1"/>
      <c r="X153" s="1"/>
      <c r="Y153" s="1"/>
    </row>
    <row r="154" ht="12.75" customHeight="1" outlineLevel="1">
      <c r="A154" s="641" t="s">
        <v>6100</v>
      </c>
      <c r="B154" s="642" t="s">
        <v>6101</v>
      </c>
      <c r="C154" s="643" t="s">
        <v>5636</v>
      </c>
      <c r="D154" s="644">
        <f>SUMIF('Orcamento RU Viora Build'!$A:$A,A154,'Orcamento RU Viora Build'!$F:$F)</f>
        <v>1</v>
      </c>
      <c r="E154" s="645">
        <f t="shared" si="54"/>
        <v>0</v>
      </c>
      <c r="F154" s="646">
        <f t="shared" si="55"/>
        <v>0</v>
      </c>
      <c r="G154" s="707"/>
      <c r="H154" s="666"/>
      <c r="I154" s="720"/>
      <c r="J154" s="719"/>
      <c r="K154" s="720"/>
      <c r="L154" s="720"/>
      <c r="M154" s="720"/>
      <c r="N154" s="659">
        <f t="shared" si="59"/>
        <v>0.3</v>
      </c>
      <c r="O154" s="722"/>
      <c r="P154" s="777"/>
      <c r="Q154" s="778" t="s">
        <v>6087</v>
      </c>
      <c r="R154" s="684"/>
      <c r="S154" s="729"/>
      <c r="T154" s="730"/>
      <c r="U154" s="1"/>
      <c r="V154" s="1"/>
      <c r="W154" s="1"/>
      <c r="X154" s="1"/>
      <c r="Y154" s="1"/>
    </row>
    <row r="155" ht="12.75" customHeight="1" outlineLevel="1">
      <c r="A155" s="641" t="s">
        <v>6102</v>
      </c>
      <c r="B155" s="642" t="s">
        <v>6103</v>
      </c>
      <c r="C155" s="643" t="s">
        <v>5636</v>
      </c>
      <c r="D155" s="644">
        <f>SUMIF('Orcamento RU Viora Build'!$A:$A,A155,'Orcamento RU Viora Build'!$F:$F)</f>
        <v>1</v>
      </c>
      <c r="E155" s="645">
        <f t="shared" si="54"/>
        <v>0</v>
      </c>
      <c r="F155" s="646">
        <f t="shared" si="55"/>
        <v>0</v>
      </c>
      <c r="G155" s="707"/>
      <c r="H155" s="666"/>
      <c r="I155" s="720"/>
      <c r="J155" s="719"/>
      <c r="K155" s="720"/>
      <c r="L155" s="720"/>
      <c r="M155" s="720"/>
      <c r="N155" s="659">
        <f t="shared" si="59"/>
        <v>0.3</v>
      </c>
      <c r="O155" s="722"/>
      <c r="P155" s="777"/>
      <c r="Q155" s="778" t="s">
        <v>6087</v>
      </c>
      <c r="R155" s="684"/>
      <c r="S155" s="729"/>
      <c r="T155" s="730"/>
      <c r="U155" s="1"/>
      <c r="V155" s="1"/>
      <c r="W155" s="1"/>
      <c r="X155" s="1"/>
      <c r="Y155" s="1"/>
    </row>
    <row r="156" ht="12.75" customHeight="1" outlineLevel="1">
      <c r="A156" s="641" t="s">
        <v>6104</v>
      </c>
      <c r="B156" s="642" t="s">
        <v>6105</v>
      </c>
      <c r="C156" s="643" t="s">
        <v>5636</v>
      </c>
      <c r="D156" s="644">
        <f>SUMIF('Orcamento RU Viora Build'!$A:$A,A156,'Orcamento RU Viora Build'!$F:$F)</f>
        <v>4</v>
      </c>
      <c r="E156" s="645">
        <f t="shared" si="54"/>
        <v>0</v>
      </c>
      <c r="F156" s="646">
        <f t="shared" si="55"/>
        <v>0</v>
      </c>
      <c r="G156" s="707"/>
      <c r="H156" s="666"/>
      <c r="I156" s="720"/>
      <c r="J156" s="719"/>
      <c r="K156" s="720"/>
      <c r="L156" s="720"/>
      <c r="M156" s="720"/>
      <c r="N156" s="659">
        <f t="shared" si="59"/>
        <v>0.3</v>
      </c>
      <c r="O156" s="722"/>
      <c r="P156" s="777"/>
      <c r="Q156" s="778" t="s">
        <v>6087</v>
      </c>
      <c r="R156" s="684"/>
      <c r="S156" s="729"/>
      <c r="T156" s="730"/>
      <c r="U156" s="1"/>
      <c r="V156" s="1"/>
      <c r="W156" s="1"/>
      <c r="X156" s="1"/>
      <c r="Y156" s="1"/>
    </row>
    <row r="157" ht="12.75" customHeight="1" outlineLevel="1">
      <c r="A157" s="641" t="s">
        <v>6106</v>
      </c>
      <c r="B157" s="642" t="s">
        <v>6107</v>
      </c>
      <c r="C157" s="643" t="s">
        <v>5636</v>
      </c>
      <c r="D157" s="644">
        <f>SUMIF('Orcamento RU Viora Build'!$A:$A,A157,'Orcamento RU Viora Build'!$F:$F)</f>
        <v>2</v>
      </c>
      <c r="E157" s="645">
        <f t="shared" si="54"/>
        <v>0</v>
      </c>
      <c r="F157" s="646">
        <f t="shared" si="55"/>
        <v>0</v>
      </c>
      <c r="G157" s="707"/>
      <c r="H157" s="666"/>
      <c r="I157" s="720"/>
      <c r="J157" s="719"/>
      <c r="K157" s="720"/>
      <c r="L157" s="720"/>
      <c r="M157" s="720"/>
      <c r="N157" s="659">
        <f t="shared" si="59"/>
        <v>0.3</v>
      </c>
      <c r="O157" s="722"/>
      <c r="P157" s="777"/>
      <c r="Q157" s="778" t="s">
        <v>6087</v>
      </c>
      <c r="R157" s="684"/>
      <c r="S157" s="729"/>
      <c r="T157" s="730"/>
      <c r="U157" s="1"/>
      <c r="V157" s="1"/>
      <c r="W157" s="1"/>
      <c r="X157" s="1"/>
      <c r="Y157" s="1"/>
    </row>
    <row r="158" ht="12.75" customHeight="1" outlineLevel="1">
      <c r="A158" s="641" t="s">
        <v>6108</v>
      </c>
      <c r="B158" s="642" t="s">
        <v>6109</v>
      </c>
      <c r="C158" s="643" t="s">
        <v>5636</v>
      </c>
      <c r="D158" s="644">
        <f>SUMIF('Orcamento RU Viora Build'!$A:$A,A158,'Orcamento RU Viora Build'!$F:$F)</f>
        <v>2</v>
      </c>
      <c r="E158" s="645">
        <f t="shared" si="54"/>
        <v>0</v>
      </c>
      <c r="F158" s="646">
        <f t="shared" si="55"/>
        <v>0</v>
      </c>
      <c r="G158" s="707"/>
      <c r="H158" s="666"/>
      <c r="I158" s="720"/>
      <c r="J158" s="719"/>
      <c r="K158" s="720"/>
      <c r="L158" s="720"/>
      <c r="M158" s="720"/>
      <c r="N158" s="659">
        <f t="shared" si="59"/>
        <v>0.3</v>
      </c>
      <c r="O158" s="722"/>
      <c r="P158" s="777"/>
      <c r="Q158" s="778" t="s">
        <v>6087</v>
      </c>
      <c r="R158" s="684"/>
      <c r="S158" s="729"/>
      <c r="T158" s="730"/>
      <c r="U158" s="1"/>
      <c r="V158" s="1"/>
      <c r="W158" s="1"/>
      <c r="X158" s="1"/>
      <c r="Y158" s="1"/>
    </row>
    <row r="159" ht="12.75" customHeight="1" outlineLevel="1">
      <c r="A159" s="641" t="s">
        <v>6110</v>
      </c>
      <c r="B159" s="642" t="s">
        <v>6111</v>
      </c>
      <c r="C159" s="643" t="s">
        <v>5636</v>
      </c>
      <c r="D159" s="644">
        <f>SUMIF('Orcamento RU Viora Build'!$A:$A,A159,'Orcamento RU Viora Build'!$F:$F)</f>
        <v>1</v>
      </c>
      <c r="E159" s="645">
        <f t="shared" si="54"/>
        <v>0</v>
      </c>
      <c r="F159" s="646">
        <f t="shared" si="55"/>
        <v>0</v>
      </c>
      <c r="G159" s="707"/>
      <c r="H159" s="666"/>
      <c r="I159" s="720"/>
      <c r="J159" s="719"/>
      <c r="K159" s="720"/>
      <c r="L159" s="720"/>
      <c r="M159" s="720"/>
      <c r="N159" s="659">
        <f t="shared" si="59"/>
        <v>0.3</v>
      </c>
      <c r="O159" s="722"/>
      <c r="P159" s="777"/>
      <c r="Q159" s="778" t="s">
        <v>6087</v>
      </c>
      <c r="R159" s="684"/>
      <c r="S159" s="729"/>
      <c r="T159" s="730"/>
      <c r="U159" s="1"/>
      <c r="V159" s="1"/>
      <c r="W159" s="1"/>
      <c r="X159" s="1"/>
      <c r="Y159" s="1"/>
    </row>
    <row r="160" ht="12.75" customHeight="1" outlineLevel="1">
      <c r="A160" s="641" t="s">
        <v>6112</v>
      </c>
      <c r="B160" s="642" t="s">
        <v>6113</v>
      </c>
      <c r="C160" s="643" t="s">
        <v>5636</v>
      </c>
      <c r="D160" s="644">
        <f>SUMIF('Orcamento RU Viora Build'!$A:$A,A160,'Orcamento RU Viora Build'!$F:$F)</f>
        <v>1</v>
      </c>
      <c r="E160" s="645">
        <f t="shared" si="54"/>
        <v>0</v>
      </c>
      <c r="F160" s="646">
        <f t="shared" si="55"/>
        <v>0</v>
      </c>
      <c r="G160" s="707"/>
      <c r="H160" s="666"/>
      <c r="I160" s="720"/>
      <c r="J160" s="719"/>
      <c r="K160" s="720"/>
      <c r="L160" s="720"/>
      <c r="M160" s="720"/>
      <c r="N160" s="659">
        <f t="shared" si="59"/>
        <v>0.3</v>
      </c>
      <c r="O160" s="722"/>
      <c r="P160" s="777"/>
      <c r="Q160" s="778" t="s">
        <v>6087</v>
      </c>
      <c r="R160" s="684"/>
      <c r="S160" s="729"/>
      <c r="T160" s="730"/>
      <c r="U160" s="1"/>
      <c r="V160" s="1"/>
      <c r="W160" s="1"/>
      <c r="X160" s="1"/>
      <c r="Y160" s="1"/>
    </row>
    <row r="161" ht="12.75" customHeight="1" outlineLevel="1">
      <c r="A161" s="641" t="s">
        <v>6114</v>
      </c>
      <c r="B161" s="642" t="s">
        <v>6115</v>
      </c>
      <c r="C161" s="643" t="s">
        <v>5636</v>
      </c>
      <c r="D161" s="644">
        <f>SUMIF('Orcamento RU Viora Build'!$A:$A,A161,'Orcamento RU Viora Build'!$F:$F)</f>
        <v>1</v>
      </c>
      <c r="E161" s="645">
        <f t="shared" si="54"/>
        <v>0</v>
      </c>
      <c r="F161" s="646">
        <f t="shared" si="55"/>
        <v>0</v>
      </c>
      <c r="G161" s="707"/>
      <c r="H161" s="666"/>
      <c r="I161" s="720"/>
      <c r="J161" s="719"/>
      <c r="K161" s="720"/>
      <c r="L161" s="720"/>
      <c r="M161" s="720"/>
      <c r="N161" s="659">
        <f t="shared" si="59"/>
        <v>0.3</v>
      </c>
      <c r="O161" s="722"/>
      <c r="P161" s="777"/>
      <c r="Q161" s="778" t="s">
        <v>6087</v>
      </c>
      <c r="R161" s="684"/>
      <c r="S161" s="729"/>
      <c r="T161" s="730"/>
      <c r="U161" s="1"/>
      <c r="V161" s="1"/>
      <c r="W161" s="1"/>
      <c r="X161" s="1"/>
      <c r="Y161" s="1"/>
    </row>
    <row r="162" ht="12.75" customHeight="1" outlineLevel="1">
      <c r="A162" s="641" t="s">
        <v>6116</v>
      </c>
      <c r="B162" s="642" t="s">
        <v>6117</v>
      </c>
      <c r="C162" s="643" t="s">
        <v>5636</v>
      </c>
      <c r="D162" s="644">
        <f>SUMIF('Orcamento RU Viora Build'!$A:$A,A162,'Orcamento RU Viora Build'!$F:$F)</f>
        <v>2</v>
      </c>
      <c r="E162" s="645">
        <f t="shared" si="54"/>
        <v>0</v>
      </c>
      <c r="F162" s="646">
        <f t="shared" si="55"/>
        <v>0</v>
      </c>
      <c r="G162" s="707"/>
      <c r="H162" s="666"/>
      <c r="I162" s="720"/>
      <c r="J162" s="719"/>
      <c r="K162" s="720"/>
      <c r="L162" s="720"/>
      <c r="M162" s="720"/>
      <c r="N162" s="659">
        <f t="shared" si="59"/>
        <v>0.3</v>
      </c>
      <c r="O162" s="722"/>
      <c r="P162" s="777"/>
      <c r="Q162" s="778" t="s">
        <v>6087</v>
      </c>
      <c r="R162" s="684"/>
      <c r="S162" s="729"/>
      <c r="T162" s="730"/>
      <c r="U162" s="1"/>
      <c r="V162" s="1"/>
      <c r="W162" s="1"/>
      <c r="X162" s="1"/>
      <c r="Y162" s="1"/>
    </row>
    <row r="163" ht="12.75" customHeight="1" outlineLevel="1">
      <c r="A163" s="641" t="s">
        <v>6118</v>
      </c>
      <c r="B163" s="642" t="s">
        <v>6119</v>
      </c>
      <c r="C163" s="643" t="s">
        <v>5636</v>
      </c>
      <c r="D163" s="644">
        <f>SUMIF('Orcamento RU Viora Build'!$A:$A,A163,'Orcamento RU Viora Build'!$F:$F)</f>
        <v>1</v>
      </c>
      <c r="E163" s="645">
        <f t="shared" si="54"/>
        <v>0</v>
      </c>
      <c r="F163" s="646">
        <f t="shared" si="55"/>
        <v>0</v>
      </c>
      <c r="G163" s="707"/>
      <c r="H163" s="666"/>
      <c r="I163" s="720"/>
      <c r="J163" s="719"/>
      <c r="K163" s="720"/>
      <c r="L163" s="720"/>
      <c r="M163" s="720"/>
      <c r="N163" s="659">
        <f t="shared" si="59"/>
        <v>0.3</v>
      </c>
      <c r="O163" s="722"/>
      <c r="P163" s="777"/>
      <c r="Q163" s="778" t="s">
        <v>6087</v>
      </c>
      <c r="R163" s="684"/>
      <c r="S163" s="729"/>
      <c r="T163" s="730"/>
      <c r="U163" s="1"/>
      <c r="V163" s="1"/>
      <c r="W163" s="1"/>
      <c r="X163" s="1"/>
      <c r="Y163" s="1"/>
    </row>
    <row r="164" ht="12.75" customHeight="1" outlineLevel="1">
      <c r="A164" s="641" t="s">
        <v>6120</v>
      </c>
      <c r="B164" s="642" t="s">
        <v>6121</v>
      </c>
      <c r="C164" s="643" t="s">
        <v>5636</v>
      </c>
      <c r="D164" s="644">
        <f>SUMIF('Orcamento RU Viora Build'!$A:$A,A164,'Orcamento RU Viora Build'!$F:$F)</f>
        <v>1</v>
      </c>
      <c r="E164" s="645">
        <f t="shared" si="54"/>
        <v>0</v>
      </c>
      <c r="F164" s="646">
        <f t="shared" si="55"/>
        <v>0</v>
      </c>
      <c r="G164" s="707"/>
      <c r="H164" s="666"/>
      <c r="I164" s="720"/>
      <c r="J164" s="719"/>
      <c r="K164" s="720"/>
      <c r="L164" s="720"/>
      <c r="M164" s="720"/>
      <c r="N164" s="659">
        <f t="shared" si="59"/>
        <v>0.3</v>
      </c>
      <c r="O164" s="722"/>
      <c r="P164" s="777"/>
      <c r="Q164" s="778" t="s">
        <v>6087</v>
      </c>
      <c r="R164" s="684"/>
      <c r="S164" s="729"/>
      <c r="T164" s="730"/>
      <c r="U164" s="1"/>
      <c r="V164" s="1"/>
      <c r="W164" s="1"/>
      <c r="X164" s="1"/>
      <c r="Y164" s="1"/>
    </row>
    <row r="165" ht="12.75" customHeight="1" outlineLevel="1">
      <c r="A165" s="641" t="s">
        <v>6122</v>
      </c>
      <c r="B165" s="642" t="s">
        <v>6123</v>
      </c>
      <c r="C165" s="643" t="s">
        <v>5636</v>
      </c>
      <c r="D165" s="644">
        <f>SUMIF('Orcamento RU Viora Build'!$A:$A,A165,'Orcamento RU Viora Build'!$F:$F)</f>
        <v>476</v>
      </c>
      <c r="E165" s="645">
        <f t="shared" si="54"/>
        <v>0</v>
      </c>
      <c r="F165" s="646">
        <f t="shared" si="55"/>
        <v>0</v>
      </c>
      <c r="G165" s="707"/>
      <c r="H165" s="666"/>
      <c r="I165" s="679"/>
      <c r="J165" s="743"/>
      <c r="K165" s="679"/>
      <c r="L165" s="679"/>
      <c r="M165" s="679"/>
      <c r="N165" s="659">
        <f t="shared" si="59"/>
        <v>0.3</v>
      </c>
      <c r="O165" s="744"/>
      <c r="P165" s="775"/>
      <c r="Q165" s="768" t="s">
        <v>6022</v>
      </c>
      <c r="R165" s="684"/>
      <c r="S165" s="685"/>
      <c r="T165" s="686"/>
      <c r="U165" s="1"/>
      <c r="V165" s="1"/>
      <c r="W165" s="1"/>
      <c r="X165" s="1"/>
      <c r="Y165" s="1"/>
    </row>
    <row r="166" ht="12.75" customHeight="1" outlineLevel="1">
      <c r="A166" s="641" t="s">
        <v>6124</v>
      </c>
      <c r="B166" s="642" t="s">
        <v>6125</v>
      </c>
      <c r="C166" s="643" t="s">
        <v>5636</v>
      </c>
      <c r="D166" s="644">
        <f>SUMIF('Orcamento RU Viora Build'!$A:$A,A166,'Orcamento RU Viora Build'!$F:$F)</f>
        <v>21.6</v>
      </c>
      <c r="E166" s="645">
        <f t="shared" si="54"/>
        <v>5.057</v>
      </c>
      <c r="F166" s="646">
        <f t="shared" si="55"/>
        <v>109.2312</v>
      </c>
      <c r="G166" s="707"/>
      <c r="H166" s="666"/>
      <c r="I166" s="658">
        <v>3.89</v>
      </c>
      <c r="J166" s="650">
        <v>0.0</v>
      </c>
      <c r="K166" s="649">
        <f t="shared" ref="K166:K191" si="61">I166-I166*J166</f>
        <v>3.89</v>
      </c>
      <c r="L166" s="649">
        <f t="shared" ref="L166:L191" si="62">K166*D166</f>
        <v>84.024</v>
      </c>
      <c r="M166" s="649">
        <f t="shared" ref="M166:M191" si="63">F166-L166</f>
        <v>25.2072</v>
      </c>
      <c r="N166" s="659">
        <f t="shared" si="59"/>
        <v>0.3</v>
      </c>
      <c r="O166" s="675">
        <f t="shared" ref="O166:O191" si="64">M166/F166</f>
        <v>0.2307692308</v>
      </c>
      <c r="P166" s="773"/>
      <c r="Q166" s="733" t="s">
        <v>5965</v>
      </c>
      <c r="R166" s="684"/>
      <c r="S166" s="668"/>
      <c r="T166" s="669"/>
      <c r="U166" s="1"/>
      <c r="V166" s="1"/>
      <c r="W166" s="1"/>
      <c r="X166" s="1"/>
      <c r="Y166" s="1"/>
    </row>
    <row r="167" ht="12.75" customHeight="1" outlineLevel="1">
      <c r="A167" s="641" t="s">
        <v>6126</v>
      </c>
      <c r="B167" s="642" t="s">
        <v>301</v>
      </c>
      <c r="C167" s="643" t="s">
        <v>5636</v>
      </c>
      <c r="D167" s="644">
        <f>SUMIF('Orcamento RU Viora Build'!$A:$A,A167,'Orcamento RU Viora Build'!$F:$F)</f>
        <v>1</v>
      </c>
      <c r="E167" s="645">
        <f t="shared" si="54"/>
        <v>2167.1</v>
      </c>
      <c r="F167" s="646">
        <f t="shared" si="55"/>
        <v>2167.1</v>
      </c>
      <c r="G167" s="707"/>
      <c r="H167" s="666"/>
      <c r="I167" s="658">
        <v>1667.0</v>
      </c>
      <c r="J167" s="650">
        <v>0.0</v>
      </c>
      <c r="K167" s="649">
        <f t="shared" si="61"/>
        <v>1667</v>
      </c>
      <c r="L167" s="649">
        <f t="shared" si="62"/>
        <v>1667</v>
      </c>
      <c r="M167" s="649">
        <f t="shared" si="63"/>
        <v>500.1</v>
      </c>
      <c r="N167" s="659">
        <f t="shared" si="59"/>
        <v>0.3</v>
      </c>
      <c r="O167" s="675">
        <f t="shared" si="64"/>
        <v>0.2307692308</v>
      </c>
      <c r="P167" s="773"/>
      <c r="Q167" s="696" t="s">
        <v>6127</v>
      </c>
      <c r="R167" s="684"/>
      <c r="S167" s="668"/>
      <c r="T167" s="669"/>
      <c r="U167" s="1"/>
      <c r="V167" s="1"/>
      <c r="W167" s="1"/>
      <c r="X167" s="1"/>
      <c r="Y167" s="1"/>
    </row>
    <row r="168" ht="12.75" customHeight="1" outlineLevel="1">
      <c r="A168" s="641" t="s">
        <v>6128</v>
      </c>
      <c r="B168" s="642" t="s">
        <v>305</v>
      </c>
      <c r="C168" s="643" t="s">
        <v>5636</v>
      </c>
      <c r="D168" s="644">
        <f>SUMIF('Orcamento RU Viora Build'!$A:$A,A168,'Orcamento RU Viora Build'!$F:$F)</f>
        <v>1</v>
      </c>
      <c r="E168" s="645">
        <f t="shared" si="54"/>
        <v>1454.7</v>
      </c>
      <c r="F168" s="646">
        <f t="shared" si="55"/>
        <v>1454.7</v>
      </c>
      <c r="G168" s="707"/>
      <c r="H168" s="666"/>
      <c r="I168" s="658">
        <v>1119.0</v>
      </c>
      <c r="J168" s="650">
        <v>0.0</v>
      </c>
      <c r="K168" s="649">
        <f t="shared" si="61"/>
        <v>1119</v>
      </c>
      <c r="L168" s="649">
        <f t="shared" si="62"/>
        <v>1119</v>
      </c>
      <c r="M168" s="649">
        <f t="shared" si="63"/>
        <v>335.7</v>
      </c>
      <c r="N168" s="659">
        <f t="shared" si="59"/>
        <v>0.3</v>
      </c>
      <c r="O168" s="675">
        <f t="shared" si="64"/>
        <v>0.2307692308</v>
      </c>
      <c r="P168" s="773"/>
      <c r="Q168" s="696" t="s">
        <v>6127</v>
      </c>
      <c r="R168" s="684"/>
      <c r="S168" s="668"/>
      <c r="T168" s="669"/>
      <c r="U168" s="1"/>
      <c r="V168" s="1"/>
      <c r="W168" s="1"/>
      <c r="X168" s="1"/>
      <c r="Y168" s="1"/>
    </row>
    <row r="169" ht="12.75" customHeight="1" outlineLevel="1">
      <c r="A169" s="641" t="s">
        <v>6129</v>
      </c>
      <c r="B169" s="642" t="s">
        <v>307</v>
      </c>
      <c r="C169" s="643" t="s">
        <v>5636</v>
      </c>
      <c r="D169" s="644">
        <f>SUMIF('Orcamento RU Viora Build'!$A:$A,A169,'Orcamento RU Viora Build'!$F:$F)</f>
        <v>1</v>
      </c>
      <c r="E169" s="645">
        <f t="shared" si="54"/>
        <v>789.1</v>
      </c>
      <c r="F169" s="646">
        <f t="shared" si="55"/>
        <v>789.1</v>
      </c>
      <c r="G169" s="707"/>
      <c r="H169" s="666"/>
      <c r="I169" s="658">
        <v>607.0</v>
      </c>
      <c r="J169" s="650">
        <v>0.0</v>
      </c>
      <c r="K169" s="649">
        <f t="shared" si="61"/>
        <v>607</v>
      </c>
      <c r="L169" s="649">
        <f t="shared" si="62"/>
        <v>607</v>
      </c>
      <c r="M169" s="649">
        <f t="shared" si="63"/>
        <v>182.1</v>
      </c>
      <c r="N169" s="659">
        <f t="shared" si="59"/>
        <v>0.3</v>
      </c>
      <c r="O169" s="675">
        <f t="shared" si="64"/>
        <v>0.2307692308</v>
      </c>
      <c r="P169" s="773"/>
      <c r="Q169" s="696" t="s">
        <v>6127</v>
      </c>
      <c r="R169" s="684"/>
      <c r="S169" s="668"/>
      <c r="T169" s="669"/>
      <c r="U169" s="1"/>
      <c r="V169" s="1"/>
      <c r="W169" s="1"/>
      <c r="X169" s="1"/>
      <c r="Y169" s="1"/>
    </row>
    <row r="170" ht="12.75" customHeight="1" outlineLevel="1">
      <c r="A170" s="641" t="s">
        <v>6130</v>
      </c>
      <c r="B170" s="642" t="s">
        <v>311</v>
      </c>
      <c r="C170" s="643" t="s">
        <v>5636</v>
      </c>
      <c r="D170" s="644">
        <f>SUMIF('Orcamento RU Viora Build'!$A:$A,A170,'Orcamento RU Viora Build'!$F:$F)</f>
        <v>1</v>
      </c>
      <c r="E170" s="645">
        <f t="shared" si="54"/>
        <v>2884.7</v>
      </c>
      <c r="F170" s="646">
        <f t="shared" si="55"/>
        <v>2884.7</v>
      </c>
      <c r="G170" s="707"/>
      <c r="H170" s="666"/>
      <c r="I170" s="658">
        <v>2219.0</v>
      </c>
      <c r="J170" s="650">
        <v>0.0</v>
      </c>
      <c r="K170" s="649">
        <f t="shared" si="61"/>
        <v>2219</v>
      </c>
      <c r="L170" s="649">
        <f t="shared" si="62"/>
        <v>2219</v>
      </c>
      <c r="M170" s="649">
        <f t="shared" si="63"/>
        <v>665.7</v>
      </c>
      <c r="N170" s="659">
        <f t="shared" si="59"/>
        <v>0.3</v>
      </c>
      <c r="O170" s="675">
        <f t="shared" si="64"/>
        <v>0.2307692308</v>
      </c>
      <c r="P170" s="773"/>
      <c r="Q170" s="696" t="s">
        <v>6127</v>
      </c>
      <c r="R170" s="684"/>
      <c r="S170" s="668"/>
      <c r="T170" s="669"/>
      <c r="U170" s="1"/>
      <c r="V170" s="1"/>
      <c r="W170" s="1"/>
      <c r="X170" s="1"/>
      <c r="Y170" s="1"/>
    </row>
    <row r="171" ht="12.75" customHeight="1" outlineLevel="1">
      <c r="A171" s="641" t="s">
        <v>6131</v>
      </c>
      <c r="B171" s="642" t="s">
        <v>315</v>
      </c>
      <c r="C171" s="643" t="s">
        <v>5636</v>
      </c>
      <c r="D171" s="644">
        <f>SUMIF('Orcamento RU Viora Build'!$A:$A,A171,'Orcamento RU Viora Build'!$F:$F)</f>
        <v>1</v>
      </c>
      <c r="E171" s="645">
        <f t="shared" si="54"/>
        <v>4208.1</v>
      </c>
      <c r="F171" s="646">
        <f t="shared" si="55"/>
        <v>4208.1</v>
      </c>
      <c r="G171" s="707"/>
      <c r="H171" s="666"/>
      <c r="I171" s="658">
        <v>3237.0</v>
      </c>
      <c r="J171" s="650">
        <v>0.0</v>
      </c>
      <c r="K171" s="649">
        <f t="shared" si="61"/>
        <v>3237</v>
      </c>
      <c r="L171" s="649">
        <f t="shared" si="62"/>
        <v>3237</v>
      </c>
      <c r="M171" s="649">
        <f t="shared" si="63"/>
        <v>971.1</v>
      </c>
      <c r="N171" s="659">
        <f t="shared" si="59"/>
        <v>0.3</v>
      </c>
      <c r="O171" s="675">
        <f t="shared" si="64"/>
        <v>0.2307692308</v>
      </c>
      <c r="P171" s="773"/>
      <c r="Q171" s="696" t="s">
        <v>6127</v>
      </c>
      <c r="R171" s="684"/>
      <c r="S171" s="668"/>
      <c r="T171" s="669"/>
      <c r="U171" s="1"/>
      <c r="V171" s="1"/>
      <c r="W171" s="1"/>
      <c r="X171" s="1"/>
      <c r="Y171" s="1"/>
    </row>
    <row r="172" ht="12.75" customHeight="1" outlineLevel="1">
      <c r="A172" s="641" t="s">
        <v>6132</v>
      </c>
      <c r="B172" s="642" t="s">
        <v>319</v>
      </c>
      <c r="C172" s="643" t="s">
        <v>5636</v>
      </c>
      <c r="D172" s="644">
        <f>SUMIF('Orcamento RU Viora Build'!$A:$A,A172,'Orcamento RU Viora Build'!$F:$F)</f>
        <v>1</v>
      </c>
      <c r="E172" s="645">
        <f t="shared" si="54"/>
        <v>1274</v>
      </c>
      <c r="F172" s="646">
        <f t="shared" si="55"/>
        <v>1274</v>
      </c>
      <c r="G172" s="707"/>
      <c r="H172" s="666"/>
      <c r="I172" s="658">
        <v>980.0</v>
      </c>
      <c r="J172" s="650">
        <v>0.0</v>
      </c>
      <c r="K172" s="649">
        <f t="shared" si="61"/>
        <v>980</v>
      </c>
      <c r="L172" s="649">
        <f t="shared" si="62"/>
        <v>980</v>
      </c>
      <c r="M172" s="649">
        <f t="shared" si="63"/>
        <v>294</v>
      </c>
      <c r="N172" s="659">
        <f t="shared" si="59"/>
        <v>0.3</v>
      </c>
      <c r="O172" s="675">
        <f t="shared" si="64"/>
        <v>0.2307692308</v>
      </c>
      <c r="P172" s="773"/>
      <c r="Q172" s="696" t="s">
        <v>6127</v>
      </c>
      <c r="R172" s="684"/>
      <c r="S172" s="668"/>
      <c r="T172" s="669"/>
      <c r="U172" s="1"/>
      <c r="V172" s="1"/>
      <c r="W172" s="1"/>
      <c r="X172" s="1"/>
      <c r="Y172" s="1"/>
    </row>
    <row r="173" ht="12.75" customHeight="1" outlineLevel="1">
      <c r="A173" s="641" t="s">
        <v>6133</v>
      </c>
      <c r="B173" s="642" t="s">
        <v>323</v>
      </c>
      <c r="C173" s="643" t="s">
        <v>5636</v>
      </c>
      <c r="D173" s="644">
        <f>SUMIF('Orcamento RU Viora Build'!$A:$A,A173,'Orcamento RU Viora Build'!$F:$F)</f>
        <v>1</v>
      </c>
      <c r="E173" s="645">
        <f t="shared" si="54"/>
        <v>1466.4</v>
      </c>
      <c r="F173" s="646">
        <f t="shared" si="55"/>
        <v>1466.4</v>
      </c>
      <c r="G173" s="707"/>
      <c r="H173" s="666"/>
      <c r="I173" s="658">
        <v>1128.0</v>
      </c>
      <c r="J173" s="650">
        <v>0.0</v>
      </c>
      <c r="K173" s="649">
        <f t="shared" si="61"/>
        <v>1128</v>
      </c>
      <c r="L173" s="649">
        <f t="shared" si="62"/>
        <v>1128</v>
      </c>
      <c r="M173" s="649">
        <f t="shared" si="63"/>
        <v>338.4</v>
      </c>
      <c r="N173" s="659">
        <f t="shared" si="59"/>
        <v>0.3</v>
      </c>
      <c r="O173" s="675">
        <f t="shared" si="64"/>
        <v>0.2307692308</v>
      </c>
      <c r="P173" s="773"/>
      <c r="Q173" s="696" t="s">
        <v>6127</v>
      </c>
      <c r="R173" s="684"/>
      <c r="S173" s="668"/>
      <c r="T173" s="669"/>
      <c r="U173" s="1"/>
      <c r="V173" s="1"/>
      <c r="W173" s="1"/>
      <c r="X173" s="1"/>
      <c r="Y173" s="1"/>
    </row>
    <row r="174" ht="12.75" customHeight="1" outlineLevel="1">
      <c r="A174" s="641" t="s">
        <v>6134</v>
      </c>
      <c r="B174" s="642" t="s">
        <v>327</v>
      </c>
      <c r="C174" s="643" t="s">
        <v>5636</v>
      </c>
      <c r="D174" s="644">
        <f>SUMIF('Orcamento RU Viora Build'!$A:$A,A174,'Orcamento RU Viora Build'!$F:$F)</f>
        <v>1</v>
      </c>
      <c r="E174" s="645">
        <f t="shared" si="54"/>
        <v>2743</v>
      </c>
      <c r="F174" s="646">
        <f t="shared" si="55"/>
        <v>2743</v>
      </c>
      <c r="G174" s="707"/>
      <c r="H174" s="666"/>
      <c r="I174" s="658">
        <v>2110.0</v>
      </c>
      <c r="J174" s="650">
        <v>0.0</v>
      </c>
      <c r="K174" s="649">
        <f t="shared" si="61"/>
        <v>2110</v>
      </c>
      <c r="L174" s="649">
        <f t="shared" si="62"/>
        <v>2110</v>
      </c>
      <c r="M174" s="649">
        <f t="shared" si="63"/>
        <v>633</v>
      </c>
      <c r="N174" s="659">
        <f t="shared" si="59"/>
        <v>0.3</v>
      </c>
      <c r="O174" s="675">
        <f t="shared" si="64"/>
        <v>0.2307692308</v>
      </c>
      <c r="P174" s="773"/>
      <c r="Q174" s="696" t="s">
        <v>6127</v>
      </c>
      <c r="R174" s="684"/>
      <c r="S174" s="668"/>
      <c r="T174" s="669"/>
      <c r="U174" s="1"/>
      <c r="V174" s="1"/>
      <c r="W174" s="1"/>
      <c r="X174" s="1"/>
      <c r="Y174" s="1"/>
    </row>
    <row r="175" ht="12.75" customHeight="1" outlineLevel="1">
      <c r="A175" s="641" t="s">
        <v>6135</v>
      </c>
      <c r="B175" s="642" t="s">
        <v>331</v>
      </c>
      <c r="C175" s="643" t="s">
        <v>5636</v>
      </c>
      <c r="D175" s="644">
        <f>SUMIF('Orcamento RU Viora Build'!$A:$A,A175,'Orcamento RU Viora Build'!$F:$F)</f>
        <v>1</v>
      </c>
      <c r="E175" s="645">
        <f t="shared" si="54"/>
        <v>1310.4</v>
      </c>
      <c r="F175" s="646">
        <f t="shared" si="55"/>
        <v>1310.4</v>
      </c>
      <c r="G175" s="707"/>
      <c r="H175" s="666"/>
      <c r="I175" s="658">
        <v>1008.0</v>
      </c>
      <c r="J175" s="650">
        <v>0.0</v>
      </c>
      <c r="K175" s="649">
        <f t="shared" si="61"/>
        <v>1008</v>
      </c>
      <c r="L175" s="649">
        <f t="shared" si="62"/>
        <v>1008</v>
      </c>
      <c r="M175" s="649">
        <f t="shared" si="63"/>
        <v>302.4</v>
      </c>
      <c r="N175" s="659">
        <f t="shared" si="59"/>
        <v>0.3</v>
      </c>
      <c r="O175" s="675">
        <f t="shared" si="64"/>
        <v>0.2307692308</v>
      </c>
      <c r="P175" s="773"/>
      <c r="Q175" s="696" t="s">
        <v>6127</v>
      </c>
      <c r="R175" s="684"/>
      <c r="S175" s="668"/>
      <c r="T175" s="669"/>
      <c r="U175" s="1"/>
      <c r="V175" s="1"/>
      <c r="W175" s="1"/>
      <c r="X175" s="1"/>
      <c r="Y175" s="1"/>
    </row>
    <row r="176" ht="12.75" customHeight="1" outlineLevel="1">
      <c r="A176" s="641" t="s">
        <v>6136</v>
      </c>
      <c r="B176" s="642" t="s">
        <v>333</v>
      </c>
      <c r="C176" s="643" t="s">
        <v>5636</v>
      </c>
      <c r="D176" s="644">
        <f>SUMIF('Orcamento RU Viora Build'!$A:$A,A176,'Orcamento RU Viora Build'!$F:$F)</f>
        <v>1</v>
      </c>
      <c r="E176" s="645">
        <f t="shared" si="54"/>
        <v>1310.4</v>
      </c>
      <c r="F176" s="646">
        <f t="shared" si="55"/>
        <v>1310.4</v>
      </c>
      <c r="G176" s="707"/>
      <c r="H176" s="666"/>
      <c r="I176" s="658">
        <v>1008.0</v>
      </c>
      <c r="J176" s="650">
        <v>0.0</v>
      </c>
      <c r="K176" s="649">
        <f t="shared" si="61"/>
        <v>1008</v>
      </c>
      <c r="L176" s="649">
        <f t="shared" si="62"/>
        <v>1008</v>
      </c>
      <c r="M176" s="649">
        <f t="shared" si="63"/>
        <v>302.4</v>
      </c>
      <c r="N176" s="659">
        <f t="shared" si="59"/>
        <v>0.3</v>
      </c>
      <c r="O176" s="675">
        <f t="shared" si="64"/>
        <v>0.2307692308</v>
      </c>
      <c r="P176" s="773"/>
      <c r="Q176" s="696" t="s">
        <v>6127</v>
      </c>
      <c r="R176" s="684"/>
      <c r="S176" s="668"/>
      <c r="T176" s="669"/>
      <c r="U176" s="1"/>
      <c r="V176" s="1"/>
      <c r="W176" s="1"/>
      <c r="X176" s="1"/>
      <c r="Y176" s="1"/>
    </row>
    <row r="177" ht="12.75" customHeight="1" outlineLevel="1">
      <c r="A177" s="641" t="s">
        <v>6137</v>
      </c>
      <c r="B177" s="642" t="s">
        <v>337</v>
      </c>
      <c r="C177" s="643" t="s">
        <v>5636</v>
      </c>
      <c r="D177" s="644">
        <f>SUMIF('Orcamento RU Viora Build'!$A:$A,A177,'Orcamento RU Viora Build'!$F:$F)</f>
        <v>2</v>
      </c>
      <c r="E177" s="645">
        <f t="shared" si="54"/>
        <v>2470</v>
      </c>
      <c r="F177" s="646">
        <f t="shared" si="55"/>
        <v>4940</v>
      </c>
      <c r="G177" s="707"/>
      <c r="H177" s="666"/>
      <c r="I177" s="658">
        <v>1900.0</v>
      </c>
      <c r="J177" s="650">
        <v>0.0</v>
      </c>
      <c r="K177" s="649">
        <f t="shared" si="61"/>
        <v>1900</v>
      </c>
      <c r="L177" s="649">
        <f t="shared" si="62"/>
        <v>3800</v>
      </c>
      <c r="M177" s="649">
        <f t="shared" si="63"/>
        <v>1140</v>
      </c>
      <c r="N177" s="659">
        <f t="shared" si="59"/>
        <v>0.3</v>
      </c>
      <c r="O177" s="675">
        <f t="shared" si="64"/>
        <v>0.2307692308</v>
      </c>
      <c r="P177" s="773"/>
      <c r="Q177" s="696" t="s">
        <v>6127</v>
      </c>
      <c r="R177" s="684"/>
      <c r="S177" s="668"/>
      <c r="T177" s="669"/>
      <c r="U177" s="1"/>
      <c r="V177" s="1"/>
      <c r="W177" s="1"/>
      <c r="X177" s="1"/>
      <c r="Y177" s="1"/>
    </row>
    <row r="178" ht="12.75" customHeight="1" outlineLevel="1">
      <c r="A178" s="641" t="s">
        <v>6138</v>
      </c>
      <c r="B178" s="642" t="s">
        <v>341</v>
      </c>
      <c r="C178" s="643" t="s">
        <v>5636</v>
      </c>
      <c r="D178" s="644">
        <f>SUMIF('Orcamento RU Viora Build'!$A:$A,A178,'Orcamento RU Viora Build'!$F:$F)</f>
        <v>1</v>
      </c>
      <c r="E178" s="645">
        <f t="shared" si="54"/>
        <v>2753.4</v>
      </c>
      <c r="F178" s="646">
        <f t="shared" si="55"/>
        <v>2753.4</v>
      </c>
      <c r="G178" s="707"/>
      <c r="H178" s="666"/>
      <c r="I178" s="658">
        <v>2118.0</v>
      </c>
      <c r="J178" s="650">
        <v>0.0</v>
      </c>
      <c r="K178" s="649">
        <f t="shared" si="61"/>
        <v>2118</v>
      </c>
      <c r="L178" s="649">
        <f t="shared" si="62"/>
        <v>2118</v>
      </c>
      <c r="M178" s="649">
        <f t="shared" si="63"/>
        <v>635.4</v>
      </c>
      <c r="N178" s="659">
        <f t="shared" si="59"/>
        <v>0.3</v>
      </c>
      <c r="O178" s="675">
        <f t="shared" si="64"/>
        <v>0.2307692308</v>
      </c>
      <c r="P178" s="773"/>
      <c r="Q178" s="696" t="s">
        <v>6127</v>
      </c>
      <c r="R178" s="684"/>
      <c r="S178" s="668"/>
      <c r="T178" s="669"/>
      <c r="U178" s="1"/>
      <c r="V178" s="1"/>
      <c r="W178" s="1"/>
      <c r="X178" s="1"/>
      <c r="Y178" s="1"/>
    </row>
    <row r="179" ht="12.75" customHeight="1" outlineLevel="1">
      <c r="A179" s="641" t="s">
        <v>6139</v>
      </c>
      <c r="B179" s="642" t="s">
        <v>345</v>
      </c>
      <c r="C179" s="643" t="s">
        <v>5636</v>
      </c>
      <c r="D179" s="644">
        <f>SUMIF('Orcamento RU Viora Build'!$A:$A,A179,'Orcamento RU Viora Build'!$F:$F)</f>
        <v>1</v>
      </c>
      <c r="E179" s="645">
        <f t="shared" si="54"/>
        <v>3266.9</v>
      </c>
      <c r="F179" s="646">
        <f t="shared" si="55"/>
        <v>3266.9</v>
      </c>
      <c r="G179" s="707"/>
      <c r="H179" s="666"/>
      <c r="I179" s="658">
        <v>2513.0</v>
      </c>
      <c r="J179" s="650">
        <v>0.0</v>
      </c>
      <c r="K179" s="649">
        <f t="shared" si="61"/>
        <v>2513</v>
      </c>
      <c r="L179" s="649">
        <f t="shared" si="62"/>
        <v>2513</v>
      </c>
      <c r="M179" s="649">
        <f t="shared" si="63"/>
        <v>753.9</v>
      </c>
      <c r="N179" s="659">
        <f t="shared" si="59"/>
        <v>0.3</v>
      </c>
      <c r="O179" s="675">
        <f t="shared" si="64"/>
        <v>0.2307692308</v>
      </c>
      <c r="P179" s="773"/>
      <c r="Q179" s="696" t="s">
        <v>6127</v>
      </c>
      <c r="R179" s="684"/>
      <c r="S179" s="668"/>
      <c r="T179" s="669"/>
      <c r="U179" s="1"/>
      <c r="V179" s="1"/>
      <c r="W179" s="1"/>
      <c r="X179" s="1"/>
      <c r="Y179" s="1"/>
    </row>
    <row r="180" ht="12.75" customHeight="1" outlineLevel="1">
      <c r="A180" s="641" t="s">
        <v>6140</v>
      </c>
      <c r="B180" s="642" t="s">
        <v>349</v>
      </c>
      <c r="C180" s="643" t="s">
        <v>5636</v>
      </c>
      <c r="D180" s="644">
        <f>SUMIF('Orcamento RU Viora Build'!$A:$A,A180,'Orcamento RU Viora Build'!$F:$F)</f>
        <v>1</v>
      </c>
      <c r="E180" s="645">
        <f t="shared" si="54"/>
        <v>3266.9</v>
      </c>
      <c r="F180" s="646">
        <f t="shared" si="55"/>
        <v>3266.9</v>
      </c>
      <c r="G180" s="707"/>
      <c r="H180" s="666"/>
      <c r="I180" s="658">
        <v>2513.0</v>
      </c>
      <c r="J180" s="650">
        <v>0.0</v>
      </c>
      <c r="K180" s="649">
        <f t="shared" si="61"/>
        <v>2513</v>
      </c>
      <c r="L180" s="649">
        <f t="shared" si="62"/>
        <v>2513</v>
      </c>
      <c r="M180" s="649">
        <f t="shared" si="63"/>
        <v>753.9</v>
      </c>
      <c r="N180" s="659">
        <f t="shared" si="59"/>
        <v>0.3</v>
      </c>
      <c r="O180" s="675">
        <f t="shared" si="64"/>
        <v>0.2307692308</v>
      </c>
      <c r="P180" s="773"/>
      <c r="Q180" s="696" t="s">
        <v>6127</v>
      </c>
      <c r="R180" s="684"/>
      <c r="S180" s="668"/>
      <c r="T180" s="669"/>
      <c r="U180" s="1"/>
      <c r="V180" s="1"/>
      <c r="W180" s="1"/>
      <c r="X180" s="1"/>
      <c r="Y180" s="1"/>
    </row>
    <row r="181" ht="12.75" customHeight="1" outlineLevel="1">
      <c r="A181" s="641" t="s">
        <v>6141</v>
      </c>
      <c r="B181" s="642" t="s">
        <v>351</v>
      </c>
      <c r="C181" s="643" t="s">
        <v>5636</v>
      </c>
      <c r="D181" s="644">
        <f>SUMIF('Orcamento RU Viora Build'!$A:$A,A181,'Orcamento RU Viora Build'!$F:$F)</f>
        <v>1</v>
      </c>
      <c r="E181" s="645">
        <f t="shared" si="54"/>
        <v>2332.2</v>
      </c>
      <c r="F181" s="646">
        <f t="shared" si="55"/>
        <v>2332.2</v>
      </c>
      <c r="G181" s="707"/>
      <c r="H181" s="666"/>
      <c r="I181" s="658">
        <v>1794.0</v>
      </c>
      <c r="J181" s="650">
        <v>0.0</v>
      </c>
      <c r="K181" s="649">
        <f t="shared" si="61"/>
        <v>1794</v>
      </c>
      <c r="L181" s="649">
        <f t="shared" si="62"/>
        <v>1794</v>
      </c>
      <c r="M181" s="649">
        <f t="shared" si="63"/>
        <v>538.2</v>
      </c>
      <c r="N181" s="659">
        <f t="shared" si="59"/>
        <v>0.3</v>
      </c>
      <c r="O181" s="675">
        <f t="shared" si="64"/>
        <v>0.2307692308</v>
      </c>
      <c r="P181" s="773"/>
      <c r="Q181" s="696" t="s">
        <v>6127</v>
      </c>
      <c r="R181" s="684"/>
      <c r="S181" s="668"/>
      <c r="T181" s="669"/>
      <c r="U181" s="1"/>
      <c r="V181" s="1"/>
      <c r="W181" s="1"/>
      <c r="X181" s="1"/>
      <c r="Y181" s="1"/>
    </row>
    <row r="182" ht="12.75" customHeight="1" outlineLevel="1">
      <c r="A182" s="641" t="s">
        <v>6142</v>
      </c>
      <c r="B182" s="642" t="s">
        <v>353</v>
      </c>
      <c r="C182" s="643" t="s">
        <v>5636</v>
      </c>
      <c r="D182" s="644">
        <f>SUMIF('Orcamento RU Viora Build'!$A:$A,A182,'Orcamento RU Viora Build'!$F:$F)</f>
        <v>1</v>
      </c>
      <c r="E182" s="645">
        <f t="shared" si="54"/>
        <v>780</v>
      </c>
      <c r="F182" s="646">
        <f t="shared" si="55"/>
        <v>780</v>
      </c>
      <c r="G182" s="707"/>
      <c r="H182" s="666"/>
      <c r="I182" s="658">
        <v>600.0</v>
      </c>
      <c r="J182" s="650">
        <v>0.0</v>
      </c>
      <c r="K182" s="649">
        <f t="shared" si="61"/>
        <v>600</v>
      </c>
      <c r="L182" s="649">
        <f t="shared" si="62"/>
        <v>600</v>
      </c>
      <c r="M182" s="649">
        <f t="shared" si="63"/>
        <v>180</v>
      </c>
      <c r="N182" s="659">
        <f t="shared" si="59"/>
        <v>0.3</v>
      </c>
      <c r="O182" s="675">
        <f t="shared" si="64"/>
        <v>0.2307692308</v>
      </c>
      <c r="P182" s="773"/>
      <c r="Q182" s="696" t="s">
        <v>6127</v>
      </c>
      <c r="R182" s="684"/>
      <c r="S182" s="668"/>
      <c r="T182" s="669"/>
      <c r="U182" s="1"/>
      <c r="V182" s="1"/>
      <c r="W182" s="1"/>
      <c r="X182" s="1"/>
      <c r="Y182" s="1"/>
    </row>
    <row r="183" ht="12.75" customHeight="1" outlineLevel="1">
      <c r="A183" s="641" t="s">
        <v>6143</v>
      </c>
      <c r="B183" s="642" t="s">
        <v>357</v>
      </c>
      <c r="C183" s="643" t="s">
        <v>5636</v>
      </c>
      <c r="D183" s="644">
        <f>SUMIF('Orcamento RU Viora Build'!$A:$A,A183,'Orcamento RU Viora Build'!$F:$F)</f>
        <v>1</v>
      </c>
      <c r="E183" s="645">
        <f t="shared" si="54"/>
        <v>3682.9</v>
      </c>
      <c r="F183" s="646">
        <f t="shared" si="55"/>
        <v>3682.9</v>
      </c>
      <c r="G183" s="707"/>
      <c r="H183" s="666"/>
      <c r="I183" s="658">
        <v>2833.0</v>
      </c>
      <c r="J183" s="650">
        <v>0.0</v>
      </c>
      <c r="K183" s="649">
        <f t="shared" si="61"/>
        <v>2833</v>
      </c>
      <c r="L183" s="649">
        <f t="shared" si="62"/>
        <v>2833</v>
      </c>
      <c r="M183" s="649">
        <f t="shared" si="63"/>
        <v>849.9</v>
      </c>
      <c r="N183" s="659">
        <f t="shared" si="59"/>
        <v>0.3</v>
      </c>
      <c r="O183" s="675">
        <f t="shared" si="64"/>
        <v>0.2307692308</v>
      </c>
      <c r="P183" s="773"/>
      <c r="Q183" s="696" t="s">
        <v>6127</v>
      </c>
      <c r="R183" s="684"/>
      <c r="S183" s="668"/>
      <c r="T183" s="669"/>
      <c r="U183" s="1"/>
      <c r="V183" s="1"/>
      <c r="W183" s="1"/>
      <c r="X183" s="1"/>
      <c r="Y183" s="1"/>
    </row>
    <row r="184" ht="12.75" customHeight="1" outlineLevel="1">
      <c r="A184" s="641" t="s">
        <v>6144</v>
      </c>
      <c r="B184" s="642" t="s">
        <v>361</v>
      </c>
      <c r="C184" s="643" t="s">
        <v>5636</v>
      </c>
      <c r="D184" s="644">
        <f>SUMIF('Orcamento RU Viora Build'!$A:$A,A184,'Orcamento RU Viora Build'!$F:$F)</f>
        <v>1</v>
      </c>
      <c r="E184" s="645">
        <f t="shared" si="54"/>
        <v>2817.1</v>
      </c>
      <c r="F184" s="646">
        <f t="shared" si="55"/>
        <v>2817.1</v>
      </c>
      <c r="G184" s="707"/>
      <c r="H184" s="666"/>
      <c r="I184" s="658">
        <v>2167.0</v>
      </c>
      <c r="J184" s="650">
        <v>0.0</v>
      </c>
      <c r="K184" s="649">
        <f t="shared" si="61"/>
        <v>2167</v>
      </c>
      <c r="L184" s="649">
        <f t="shared" si="62"/>
        <v>2167</v>
      </c>
      <c r="M184" s="649">
        <f t="shared" si="63"/>
        <v>650.1</v>
      </c>
      <c r="N184" s="659">
        <f t="shared" si="59"/>
        <v>0.3</v>
      </c>
      <c r="O184" s="675">
        <f t="shared" si="64"/>
        <v>0.2307692308</v>
      </c>
      <c r="P184" s="773"/>
      <c r="Q184" s="696" t="s">
        <v>6127</v>
      </c>
      <c r="R184" s="684"/>
      <c r="S184" s="668"/>
      <c r="T184" s="669"/>
      <c r="U184" s="1"/>
      <c r="V184" s="1"/>
      <c r="W184" s="1"/>
      <c r="X184" s="1"/>
      <c r="Y184" s="1"/>
    </row>
    <row r="185" ht="12.75" customHeight="1" outlineLevel="1">
      <c r="A185" s="641" t="s">
        <v>6145</v>
      </c>
      <c r="B185" s="642" t="s">
        <v>365</v>
      </c>
      <c r="C185" s="643" t="s">
        <v>5636</v>
      </c>
      <c r="D185" s="644">
        <f>SUMIF('Orcamento RU Viora Build'!$A:$A,A185,'Orcamento RU Viora Build'!$F:$F)</f>
        <v>1</v>
      </c>
      <c r="E185" s="645">
        <f t="shared" si="54"/>
        <v>1024.4</v>
      </c>
      <c r="F185" s="646">
        <f t="shared" si="55"/>
        <v>1024.4</v>
      </c>
      <c r="G185" s="707"/>
      <c r="H185" s="666"/>
      <c r="I185" s="658">
        <v>788.0</v>
      </c>
      <c r="J185" s="650">
        <v>0.0</v>
      </c>
      <c r="K185" s="649">
        <f t="shared" si="61"/>
        <v>788</v>
      </c>
      <c r="L185" s="649">
        <f t="shared" si="62"/>
        <v>788</v>
      </c>
      <c r="M185" s="649">
        <f t="shared" si="63"/>
        <v>236.4</v>
      </c>
      <c r="N185" s="659">
        <f t="shared" si="59"/>
        <v>0.3</v>
      </c>
      <c r="O185" s="675">
        <f t="shared" si="64"/>
        <v>0.2307692308</v>
      </c>
      <c r="P185" s="773"/>
      <c r="Q185" s="696" t="s">
        <v>6127</v>
      </c>
      <c r="R185" s="684"/>
      <c r="S185" s="668"/>
      <c r="T185" s="669"/>
      <c r="U185" s="1"/>
      <c r="V185" s="1"/>
      <c r="W185" s="1"/>
      <c r="X185" s="1"/>
      <c r="Y185" s="1"/>
    </row>
    <row r="186" ht="12.75" customHeight="1" outlineLevel="1">
      <c r="A186" s="641" t="s">
        <v>6146</v>
      </c>
      <c r="B186" s="642" t="s">
        <v>369</v>
      </c>
      <c r="C186" s="643" t="s">
        <v>5636</v>
      </c>
      <c r="D186" s="644">
        <f>SUMIF('Orcamento RU Viora Build'!$A:$A,A186,'Orcamento RU Viora Build'!$F:$F)</f>
        <v>1</v>
      </c>
      <c r="E186" s="645">
        <f t="shared" si="54"/>
        <v>2753.4</v>
      </c>
      <c r="F186" s="646">
        <f t="shared" si="55"/>
        <v>2753.4</v>
      </c>
      <c r="G186" s="707"/>
      <c r="H186" s="666"/>
      <c r="I186" s="658">
        <v>2118.0</v>
      </c>
      <c r="J186" s="650">
        <v>0.0</v>
      </c>
      <c r="K186" s="649">
        <f t="shared" si="61"/>
        <v>2118</v>
      </c>
      <c r="L186" s="649">
        <f t="shared" si="62"/>
        <v>2118</v>
      </c>
      <c r="M186" s="649">
        <f t="shared" si="63"/>
        <v>635.4</v>
      </c>
      <c r="N186" s="659">
        <f t="shared" si="59"/>
        <v>0.3</v>
      </c>
      <c r="O186" s="675">
        <f t="shared" si="64"/>
        <v>0.2307692308</v>
      </c>
      <c r="P186" s="773"/>
      <c r="Q186" s="696" t="s">
        <v>6127</v>
      </c>
      <c r="R186" s="684"/>
      <c r="S186" s="668"/>
      <c r="T186" s="669"/>
      <c r="U186" s="1"/>
      <c r="V186" s="1"/>
      <c r="W186" s="1"/>
      <c r="X186" s="1"/>
      <c r="Y186" s="1"/>
    </row>
    <row r="187" ht="12.75" customHeight="1" outlineLevel="1">
      <c r="A187" s="641" t="s">
        <v>6147</v>
      </c>
      <c r="B187" s="642" t="s">
        <v>371</v>
      </c>
      <c r="C187" s="643" t="s">
        <v>5636</v>
      </c>
      <c r="D187" s="644">
        <f>SUMIF('Orcamento RU Viora Build'!$A:$A,A187,'Orcamento RU Viora Build'!$F:$F)</f>
        <v>1</v>
      </c>
      <c r="E187" s="645">
        <f t="shared" si="54"/>
        <v>2753.4</v>
      </c>
      <c r="F187" s="646">
        <f t="shared" si="55"/>
        <v>2753.4</v>
      </c>
      <c r="G187" s="707"/>
      <c r="H187" s="666"/>
      <c r="I187" s="658">
        <v>2118.0</v>
      </c>
      <c r="J187" s="650">
        <v>0.0</v>
      </c>
      <c r="K187" s="649">
        <f t="shared" si="61"/>
        <v>2118</v>
      </c>
      <c r="L187" s="649">
        <f t="shared" si="62"/>
        <v>2118</v>
      </c>
      <c r="M187" s="649">
        <f t="shared" si="63"/>
        <v>635.4</v>
      </c>
      <c r="N187" s="659">
        <f t="shared" si="59"/>
        <v>0.3</v>
      </c>
      <c r="O187" s="675">
        <f t="shared" si="64"/>
        <v>0.2307692308</v>
      </c>
      <c r="P187" s="773"/>
      <c r="Q187" s="696" t="s">
        <v>6127</v>
      </c>
      <c r="R187" s="684"/>
      <c r="S187" s="668"/>
      <c r="T187" s="669"/>
      <c r="U187" s="1"/>
      <c r="V187" s="1"/>
      <c r="W187" s="1"/>
      <c r="X187" s="1"/>
      <c r="Y187" s="1"/>
    </row>
    <row r="188" ht="12.75" customHeight="1" outlineLevel="1">
      <c r="A188" s="641" t="s">
        <v>6148</v>
      </c>
      <c r="B188" s="642" t="s">
        <v>373</v>
      </c>
      <c r="C188" s="643" t="s">
        <v>5636</v>
      </c>
      <c r="D188" s="644">
        <f>SUMIF('Orcamento RU Viora Build'!$A:$A,A188,'Orcamento RU Viora Build'!$F:$F)</f>
        <v>1</v>
      </c>
      <c r="E188" s="645">
        <f t="shared" si="54"/>
        <v>780</v>
      </c>
      <c r="F188" s="646">
        <f t="shared" si="55"/>
        <v>780</v>
      </c>
      <c r="G188" s="707"/>
      <c r="H188" s="666"/>
      <c r="I188" s="658">
        <v>600.0</v>
      </c>
      <c r="J188" s="650">
        <v>0.0</v>
      </c>
      <c r="K188" s="649">
        <f t="shared" si="61"/>
        <v>600</v>
      </c>
      <c r="L188" s="649">
        <f t="shared" si="62"/>
        <v>600</v>
      </c>
      <c r="M188" s="649">
        <f t="shared" si="63"/>
        <v>180</v>
      </c>
      <c r="N188" s="659">
        <f t="shared" si="59"/>
        <v>0.3</v>
      </c>
      <c r="O188" s="675">
        <f t="shared" si="64"/>
        <v>0.2307692308</v>
      </c>
      <c r="P188" s="773"/>
      <c r="Q188" s="696" t="s">
        <v>6127</v>
      </c>
      <c r="R188" s="684"/>
      <c r="S188" s="668"/>
      <c r="T188" s="669"/>
      <c r="U188" s="1"/>
      <c r="V188" s="1"/>
      <c r="W188" s="1"/>
      <c r="X188" s="1"/>
      <c r="Y188" s="1"/>
    </row>
    <row r="189" ht="12.75" customHeight="1" outlineLevel="1">
      <c r="A189" s="641" t="s">
        <v>6149</v>
      </c>
      <c r="B189" s="642" t="s">
        <v>375</v>
      </c>
      <c r="C189" s="643" t="s">
        <v>5636</v>
      </c>
      <c r="D189" s="644">
        <f>SUMIF('Orcamento RU Viora Build'!$A:$A,A189,'Orcamento RU Viora Build'!$F:$F)</f>
        <v>1</v>
      </c>
      <c r="E189" s="645">
        <f t="shared" si="54"/>
        <v>2753.4</v>
      </c>
      <c r="F189" s="646">
        <f t="shared" si="55"/>
        <v>2753.4</v>
      </c>
      <c r="G189" s="707"/>
      <c r="H189" s="666"/>
      <c r="I189" s="658">
        <v>2118.0</v>
      </c>
      <c r="J189" s="650">
        <v>0.0</v>
      </c>
      <c r="K189" s="649">
        <f t="shared" si="61"/>
        <v>2118</v>
      </c>
      <c r="L189" s="649">
        <f t="shared" si="62"/>
        <v>2118</v>
      </c>
      <c r="M189" s="649">
        <f t="shared" si="63"/>
        <v>635.4</v>
      </c>
      <c r="N189" s="659">
        <f t="shared" si="59"/>
        <v>0.3</v>
      </c>
      <c r="O189" s="675">
        <f t="shared" si="64"/>
        <v>0.2307692308</v>
      </c>
      <c r="P189" s="773"/>
      <c r="Q189" s="696" t="s">
        <v>6127</v>
      </c>
      <c r="R189" s="684"/>
      <c r="S189" s="668"/>
      <c r="T189" s="669"/>
      <c r="U189" s="1"/>
      <c r="V189" s="1"/>
      <c r="W189" s="1"/>
      <c r="X189" s="1"/>
      <c r="Y189" s="1"/>
    </row>
    <row r="190" ht="12.75" customHeight="1" outlineLevel="1">
      <c r="A190" s="641" t="s">
        <v>6150</v>
      </c>
      <c r="B190" s="642" t="s">
        <v>377</v>
      </c>
      <c r="C190" s="643" t="s">
        <v>5636</v>
      </c>
      <c r="D190" s="644">
        <f>SUMIF('Orcamento RU Viora Build'!$A:$A,A190,'Orcamento RU Viora Build'!$F:$F)</f>
        <v>1</v>
      </c>
      <c r="E190" s="645">
        <f t="shared" si="54"/>
        <v>2753.4</v>
      </c>
      <c r="F190" s="646">
        <f t="shared" si="55"/>
        <v>2753.4</v>
      </c>
      <c r="G190" s="707"/>
      <c r="H190" s="666"/>
      <c r="I190" s="658">
        <v>2118.0</v>
      </c>
      <c r="J190" s="650">
        <v>0.0</v>
      </c>
      <c r="K190" s="649">
        <f t="shared" si="61"/>
        <v>2118</v>
      </c>
      <c r="L190" s="649">
        <f t="shared" si="62"/>
        <v>2118</v>
      </c>
      <c r="M190" s="649">
        <f t="shared" si="63"/>
        <v>635.4</v>
      </c>
      <c r="N190" s="659">
        <f t="shared" si="59"/>
        <v>0.3</v>
      </c>
      <c r="O190" s="675">
        <f t="shared" si="64"/>
        <v>0.2307692308</v>
      </c>
      <c r="P190" s="773"/>
      <c r="Q190" s="696" t="s">
        <v>6127</v>
      </c>
      <c r="R190" s="1"/>
      <c r="S190" s="668"/>
      <c r="T190" s="669"/>
      <c r="U190" s="1"/>
      <c r="V190" s="1"/>
      <c r="W190" s="1"/>
      <c r="X190" s="1"/>
      <c r="Y190" s="1"/>
    </row>
    <row r="191" ht="12.75" customHeight="1" outlineLevel="1">
      <c r="A191" s="641" t="s">
        <v>6151</v>
      </c>
      <c r="B191" s="642" t="s">
        <v>379</v>
      </c>
      <c r="C191" s="643" t="s">
        <v>5636</v>
      </c>
      <c r="D191" s="644">
        <f>SUMIF('Orcamento RU Viora Build'!$A:$A,A191,'Orcamento RU Viora Build'!$F:$F)</f>
        <v>1</v>
      </c>
      <c r="E191" s="645">
        <f t="shared" si="54"/>
        <v>780</v>
      </c>
      <c r="F191" s="646">
        <f t="shared" si="55"/>
        <v>780</v>
      </c>
      <c r="G191" s="707"/>
      <c r="H191" s="666"/>
      <c r="I191" s="658">
        <v>600.0</v>
      </c>
      <c r="J191" s="650">
        <v>0.0</v>
      </c>
      <c r="K191" s="649">
        <f t="shared" si="61"/>
        <v>600</v>
      </c>
      <c r="L191" s="649">
        <f t="shared" si="62"/>
        <v>600</v>
      </c>
      <c r="M191" s="649">
        <f t="shared" si="63"/>
        <v>180</v>
      </c>
      <c r="N191" s="659">
        <f t="shared" si="59"/>
        <v>0.3</v>
      </c>
      <c r="O191" s="675">
        <f t="shared" si="64"/>
        <v>0.2307692308</v>
      </c>
      <c r="P191" s="773"/>
      <c r="Q191" s="696" t="s">
        <v>6127</v>
      </c>
      <c r="R191" s="1"/>
      <c r="S191" s="668"/>
      <c r="T191" s="669"/>
      <c r="U191" s="1"/>
      <c r="V191" s="1"/>
      <c r="W191" s="1"/>
      <c r="X191" s="1"/>
      <c r="Y191" s="1"/>
    </row>
    <row r="192" ht="12.75" customHeight="1" outlineLevel="1">
      <c r="A192" s="641" t="s">
        <v>6152</v>
      </c>
      <c r="B192" s="642" t="s">
        <v>6153</v>
      </c>
      <c r="C192" s="643" t="s">
        <v>5635</v>
      </c>
      <c r="D192" s="644">
        <f>SUMIF('Orcamento RU Viora Build'!$A:$A,A192,'Orcamento RU Viora Build'!$F:$F)</f>
        <v>158.61</v>
      </c>
      <c r="E192" s="645">
        <f t="shared" si="54"/>
        <v>0</v>
      </c>
      <c r="F192" s="646">
        <f t="shared" si="55"/>
        <v>0</v>
      </c>
      <c r="G192" s="707"/>
      <c r="H192" s="666"/>
      <c r="I192" s="679"/>
      <c r="J192" s="743"/>
      <c r="K192" s="679"/>
      <c r="L192" s="679"/>
      <c r="M192" s="679"/>
      <c r="N192" s="659">
        <f t="shared" si="59"/>
        <v>0.3</v>
      </c>
      <c r="O192" s="744"/>
      <c r="P192" s="775"/>
      <c r="Q192" s="768" t="s">
        <v>6154</v>
      </c>
      <c r="R192" s="1"/>
      <c r="S192" s="685"/>
      <c r="T192" s="686"/>
      <c r="U192" s="1"/>
      <c r="V192" s="1"/>
      <c r="W192" s="1"/>
      <c r="X192" s="1"/>
      <c r="Y192" s="1"/>
    </row>
    <row r="193" ht="12.75" customHeight="1" outlineLevel="1">
      <c r="A193" s="641" t="s">
        <v>6155</v>
      </c>
      <c r="B193" s="642" t="s">
        <v>6156</v>
      </c>
      <c r="C193" s="643" t="s">
        <v>5636</v>
      </c>
      <c r="D193" s="644">
        <f>SUMIF('Orcamento RU Viora Build'!$A:$A,A193,'Orcamento RU Viora Build'!$F:$F)</f>
        <v>1</v>
      </c>
      <c r="E193" s="645">
        <f t="shared" si="54"/>
        <v>0</v>
      </c>
      <c r="F193" s="646">
        <f t="shared" si="55"/>
        <v>0</v>
      </c>
      <c r="G193" s="707"/>
      <c r="H193" s="666"/>
      <c r="I193" s="679"/>
      <c r="J193" s="743"/>
      <c r="K193" s="679"/>
      <c r="L193" s="679"/>
      <c r="M193" s="679"/>
      <c r="N193" s="659">
        <f t="shared" si="59"/>
        <v>0.3</v>
      </c>
      <c r="O193" s="744"/>
      <c r="P193" s="775"/>
      <c r="Q193" s="768" t="s">
        <v>6154</v>
      </c>
      <c r="R193" s="1"/>
      <c r="S193" s="685"/>
      <c r="T193" s="686"/>
      <c r="U193" s="1"/>
      <c r="V193" s="1"/>
      <c r="W193" s="1"/>
      <c r="X193" s="1"/>
      <c r="Y193" s="1"/>
    </row>
    <row r="194" ht="12.75" customHeight="1" outlineLevel="1">
      <c r="A194" s="641" t="s">
        <v>6157</v>
      </c>
      <c r="B194" s="642" t="s">
        <v>6158</v>
      </c>
      <c r="C194" s="643" t="s">
        <v>5636</v>
      </c>
      <c r="D194" s="644">
        <f>SUMIF('Orcamento RU Viora Build'!$A:$A,A194,'Orcamento RU Viora Build'!$F:$F)</f>
        <v>1</v>
      </c>
      <c r="E194" s="645">
        <f t="shared" si="54"/>
        <v>0</v>
      </c>
      <c r="F194" s="646">
        <f t="shared" si="55"/>
        <v>0</v>
      </c>
      <c r="G194" s="707"/>
      <c r="H194" s="666"/>
      <c r="I194" s="679"/>
      <c r="J194" s="743"/>
      <c r="K194" s="679"/>
      <c r="L194" s="679"/>
      <c r="M194" s="679"/>
      <c r="N194" s="659">
        <f t="shared" si="59"/>
        <v>0.3</v>
      </c>
      <c r="O194" s="744"/>
      <c r="P194" s="775"/>
      <c r="Q194" s="768" t="s">
        <v>6154</v>
      </c>
      <c r="R194" s="1"/>
      <c r="S194" s="685"/>
      <c r="T194" s="686"/>
      <c r="U194" s="1"/>
      <c r="V194" s="1"/>
      <c r="W194" s="1"/>
      <c r="X194" s="1"/>
      <c r="Y194" s="1"/>
    </row>
    <row r="195" ht="12.75" customHeight="1" outlineLevel="1">
      <c r="A195" s="641" t="s">
        <v>6159</v>
      </c>
      <c r="B195" s="642" t="s">
        <v>6160</v>
      </c>
      <c r="C195" s="643" t="s">
        <v>5636</v>
      </c>
      <c r="D195" s="644">
        <f>SUMIF('Orcamento RU Viora Build'!$A:$A,A195,'Orcamento RU Viora Build'!$F:$F)</f>
        <v>1</v>
      </c>
      <c r="E195" s="645">
        <f t="shared" si="54"/>
        <v>0</v>
      </c>
      <c r="F195" s="646">
        <f t="shared" si="55"/>
        <v>0</v>
      </c>
      <c r="G195" s="707"/>
      <c r="H195" s="666"/>
      <c r="I195" s="679"/>
      <c r="J195" s="743"/>
      <c r="K195" s="679"/>
      <c r="L195" s="679"/>
      <c r="M195" s="679"/>
      <c r="N195" s="659">
        <f t="shared" si="59"/>
        <v>0.3</v>
      </c>
      <c r="O195" s="744"/>
      <c r="P195" s="775"/>
      <c r="Q195" s="768" t="s">
        <v>6154</v>
      </c>
      <c r="R195" s="1"/>
      <c r="S195" s="685"/>
      <c r="T195" s="686"/>
      <c r="U195" s="1"/>
      <c r="V195" s="1"/>
      <c r="W195" s="1"/>
      <c r="X195" s="1"/>
      <c r="Y195" s="1"/>
    </row>
    <row r="196" ht="12.75" customHeight="1" outlineLevel="1">
      <c r="A196" s="641" t="s">
        <v>6161</v>
      </c>
      <c r="B196" s="642" t="s">
        <v>6162</v>
      </c>
      <c r="C196" s="643" t="s">
        <v>5636</v>
      </c>
      <c r="D196" s="644">
        <f>SUMIF('Orcamento RU Viora Build'!$A:$A,A196,'Orcamento RU Viora Build'!$F:$F)</f>
        <v>1</v>
      </c>
      <c r="E196" s="645">
        <f t="shared" si="54"/>
        <v>0</v>
      </c>
      <c r="F196" s="646">
        <f t="shared" si="55"/>
        <v>0</v>
      </c>
      <c r="G196" s="707"/>
      <c r="H196" s="666"/>
      <c r="I196" s="679"/>
      <c r="J196" s="743"/>
      <c r="K196" s="679"/>
      <c r="L196" s="679"/>
      <c r="M196" s="679"/>
      <c r="N196" s="659">
        <f t="shared" si="59"/>
        <v>0.3</v>
      </c>
      <c r="O196" s="744"/>
      <c r="P196" s="775"/>
      <c r="Q196" s="768" t="s">
        <v>6154</v>
      </c>
      <c r="R196" s="1"/>
      <c r="S196" s="685"/>
      <c r="T196" s="686"/>
      <c r="U196" s="1"/>
      <c r="V196" s="1"/>
      <c r="W196" s="1"/>
      <c r="X196" s="1"/>
      <c r="Y196" s="1"/>
    </row>
    <row r="197" ht="12.75" customHeight="1" outlineLevel="1">
      <c r="A197" s="641" t="s">
        <v>6163</v>
      </c>
      <c r="B197" s="642" t="s">
        <v>6164</v>
      </c>
      <c r="C197" s="643" t="s">
        <v>5636</v>
      </c>
      <c r="D197" s="644">
        <f>SUMIF('Orcamento RU Viora Build'!$A:$A,A197,'Orcamento RU Viora Build'!$F:$F)</f>
        <v>1</v>
      </c>
      <c r="E197" s="645">
        <f t="shared" si="54"/>
        <v>0</v>
      </c>
      <c r="F197" s="646">
        <f t="shared" si="55"/>
        <v>0</v>
      </c>
      <c r="G197" s="707"/>
      <c r="H197" s="666"/>
      <c r="I197" s="679"/>
      <c r="J197" s="743"/>
      <c r="K197" s="679"/>
      <c r="L197" s="679"/>
      <c r="M197" s="679"/>
      <c r="N197" s="659">
        <f t="shared" si="59"/>
        <v>0.3</v>
      </c>
      <c r="O197" s="744"/>
      <c r="P197" s="775"/>
      <c r="Q197" s="768" t="s">
        <v>6154</v>
      </c>
      <c r="R197" s="1"/>
      <c r="S197" s="685"/>
      <c r="T197" s="686"/>
      <c r="U197" s="1"/>
      <c r="V197" s="1"/>
      <c r="W197" s="1"/>
      <c r="X197" s="1"/>
      <c r="Y197" s="1"/>
    </row>
    <row r="198" ht="12.75" customHeight="1" outlineLevel="1">
      <c r="A198" s="641" t="s">
        <v>6165</v>
      </c>
      <c r="B198" s="642" t="s">
        <v>6166</v>
      </c>
      <c r="C198" s="643" t="s">
        <v>5636</v>
      </c>
      <c r="D198" s="644">
        <f>SUMIF('Orcamento RU Viora Build'!$A:$A,A198,'Orcamento RU Viora Build'!$F:$F)</f>
        <v>1</v>
      </c>
      <c r="E198" s="645">
        <f t="shared" si="54"/>
        <v>0</v>
      </c>
      <c r="F198" s="646">
        <f t="shared" si="55"/>
        <v>0</v>
      </c>
      <c r="G198" s="707"/>
      <c r="H198" s="666"/>
      <c r="I198" s="679"/>
      <c r="J198" s="743"/>
      <c r="K198" s="679"/>
      <c r="L198" s="679"/>
      <c r="M198" s="679"/>
      <c r="N198" s="659">
        <f t="shared" si="59"/>
        <v>0.3</v>
      </c>
      <c r="O198" s="744"/>
      <c r="P198" s="775"/>
      <c r="Q198" s="768" t="s">
        <v>6154</v>
      </c>
      <c r="R198" s="1"/>
      <c r="S198" s="685"/>
      <c r="T198" s="686"/>
      <c r="U198" s="1"/>
      <c r="V198" s="1"/>
      <c r="W198" s="1"/>
      <c r="X198" s="1"/>
      <c r="Y198" s="1"/>
    </row>
    <row r="199" ht="12.75" customHeight="1" outlineLevel="1">
      <c r="A199" s="641" t="s">
        <v>6167</v>
      </c>
      <c r="B199" s="642" t="s">
        <v>6168</v>
      </c>
      <c r="C199" s="643" t="s">
        <v>5636</v>
      </c>
      <c r="D199" s="644">
        <f>SUMIF('Orcamento RU Viora Build'!$A:$A,A199,'Orcamento RU Viora Build'!$F:$F)</f>
        <v>1</v>
      </c>
      <c r="E199" s="645">
        <f t="shared" si="54"/>
        <v>0</v>
      </c>
      <c r="F199" s="646">
        <f t="shared" si="55"/>
        <v>0</v>
      </c>
      <c r="G199" s="707"/>
      <c r="H199" s="666"/>
      <c r="I199" s="679"/>
      <c r="J199" s="743"/>
      <c r="K199" s="679"/>
      <c r="L199" s="679"/>
      <c r="M199" s="679"/>
      <c r="N199" s="659">
        <f t="shared" si="59"/>
        <v>0.3</v>
      </c>
      <c r="O199" s="744"/>
      <c r="P199" s="775"/>
      <c r="Q199" s="768" t="s">
        <v>6154</v>
      </c>
      <c r="R199" s="1"/>
      <c r="S199" s="685"/>
      <c r="T199" s="686"/>
      <c r="U199" s="1"/>
      <c r="V199" s="1"/>
      <c r="W199" s="1"/>
      <c r="X199" s="1"/>
      <c r="Y199" s="1"/>
    </row>
    <row r="200" ht="12.75" customHeight="1" outlineLevel="1">
      <c r="A200" s="641" t="s">
        <v>6169</v>
      </c>
      <c r="B200" s="642" t="s">
        <v>6170</v>
      </c>
      <c r="C200" s="643" t="s">
        <v>5636</v>
      </c>
      <c r="D200" s="644">
        <f>SUMIF('Orcamento RU Viora Build'!$A:$A,A200,'Orcamento RU Viora Build'!$F:$F)</f>
        <v>1</v>
      </c>
      <c r="E200" s="645">
        <f t="shared" si="54"/>
        <v>0</v>
      </c>
      <c r="F200" s="646">
        <f t="shared" si="55"/>
        <v>0</v>
      </c>
      <c r="G200" s="707"/>
      <c r="H200" s="666"/>
      <c r="I200" s="679"/>
      <c r="J200" s="743"/>
      <c r="K200" s="679"/>
      <c r="L200" s="679"/>
      <c r="M200" s="679"/>
      <c r="N200" s="659">
        <f t="shared" si="59"/>
        <v>0.3</v>
      </c>
      <c r="O200" s="744"/>
      <c r="P200" s="775"/>
      <c r="Q200" s="768" t="s">
        <v>6154</v>
      </c>
      <c r="R200" s="1"/>
      <c r="S200" s="685"/>
      <c r="T200" s="686"/>
      <c r="U200" s="1"/>
      <c r="V200" s="1"/>
      <c r="W200" s="1"/>
      <c r="X200" s="1"/>
      <c r="Y200" s="1"/>
    </row>
    <row r="201" ht="12.75" customHeight="1" outlineLevel="1">
      <c r="A201" s="641" t="s">
        <v>6171</v>
      </c>
      <c r="B201" s="642" t="s">
        <v>6172</v>
      </c>
      <c r="C201" s="643" t="s">
        <v>5636</v>
      </c>
      <c r="D201" s="644">
        <f>SUMIF('Orcamento RU Viora Build'!$A:$A,A201,'Orcamento RU Viora Build'!$F:$F)</f>
        <v>1</v>
      </c>
      <c r="E201" s="645">
        <f t="shared" si="54"/>
        <v>0</v>
      </c>
      <c r="F201" s="646">
        <f t="shared" si="55"/>
        <v>0</v>
      </c>
      <c r="G201" s="707"/>
      <c r="H201" s="666"/>
      <c r="I201" s="679"/>
      <c r="J201" s="743"/>
      <c r="K201" s="679"/>
      <c r="L201" s="679"/>
      <c r="M201" s="679"/>
      <c r="N201" s="659">
        <f t="shared" si="59"/>
        <v>0.3</v>
      </c>
      <c r="O201" s="744"/>
      <c r="P201" s="775"/>
      <c r="Q201" s="768" t="s">
        <v>6154</v>
      </c>
      <c r="R201" s="1"/>
      <c r="S201" s="685"/>
      <c r="T201" s="686"/>
      <c r="U201" s="1"/>
      <c r="V201" s="1"/>
      <c r="W201" s="1"/>
      <c r="X201" s="1"/>
      <c r="Y201" s="1"/>
    </row>
    <row r="202" ht="12.75" customHeight="1" outlineLevel="1">
      <c r="A202" s="641" t="s">
        <v>6173</v>
      </c>
      <c r="B202" s="642" t="s">
        <v>6174</v>
      </c>
      <c r="C202" s="643" t="s">
        <v>5636</v>
      </c>
      <c r="D202" s="644">
        <f>SUMIF('Orcamento RU Viora Build'!$A:$A,A202,'Orcamento RU Viora Build'!$F:$F)</f>
        <v>1</v>
      </c>
      <c r="E202" s="645">
        <f t="shared" si="54"/>
        <v>0</v>
      </c>
      <c r="F202" s="646">
        <f t="shared" si="55"/>
        <v>0</v>
      </c>
      <c r="G202" s="707"/>
      <c r="H202" s="666"/>
      <c r="I202" s="679"/>
      <c r="J202" s="743"/>
      <c r="K202" s="679"/>
      <c r="L202" s="679"/>
      <c r="M202" s="679"/>
      <c r="N202" s="659">
        <f t="shared" si="59"/>
        <v>0.3</v>
      </c>
      <c r="O202" s="744"/>
      <c r="P202" s="775"/>
      <c r="Q202" s="768" t="s">
        <v>6154</v>
      </c>
      <c r="R202" s="1"/>
      <c r="S202" s="685"/>
      <c r="T202" s="686"/>
      <c r="U202" s="1"/>
      <c r="V202" s="1"/>
      <c r="W202" s="1"/>
      <c r="X202" s="1"/>
      <c r="Y202" s="1"/>
    </row>
    <row r="203" ht="12.75" customHeight="1" outlineLevel="1">
      <c r="A203" s="641" t="s">
        <v>6175</v>
      </c>
      <c r="B203" s="642" t="s">
        <v>6176</v>
      </c>
      <c r="C203" s="643" t="s">
        <v>5636</v>
      </c>
      <c r="D203" s="644">
        <f>SUMIF('Orcamento RU Viora Build'!$A:$A,A203,'Orcamento RU Viora Build'!$F:$F)</f>
        <v>1</v>
      </c>
      <c r="E203" s="645">
        <f t="shared" si="54"/>
        <v>0</v>
      </c>
      <c r="F203" s="646">
        <f t="shared" si="55"/>
        <v>0</v>
      </c>
      <c r="G203" s="707"/>
      <c r="H203" s="666"/>
      <c r="I203" s="679"/>
      <c r="J203" s="743"/>
      <c r="K203" s="679"/>
      <c r="L203" s="679"/>
      <c r="M203" s="679"/>
      <c r="N203" s="659">
        <f t="shared" si="59"/>
        <v>0.3</v>
      </c>
      <c r="O203" s="744"/>
      <c r="P203" s="775"/>
      <c r="Q203" s="768" t="s">
        <v>6154</v>
      </c>
      <c r="R203" s="1"/>
      <c r="S203" s="685"/>
      <c r="T203" s="686"/>
      <c r="U203" s="1"/>
      <c r="V203" s="1"/>
      <c r="W203" s="1"/>
      <c r="X203" s="1"/>
      <c r="Y203" s="1"/>
    </row>
    <row r="204" ht="12.75" customHeight="1" outlineLevel="1">
      <c r="A204" s="641" t="s">
        <v>6177</v>
      </c>
      <c r="B204" s="642" t="s">
        <v>6178</v>
      </c>
      <c r="C204" s="643" t="s">
        <v>5636</v>
      </c>
      <c r="D204" s="644">
        <f>SUMIF('Orcamento RU Viora Build'!$A:$A,A204,'Orcamento RU Viora Build'!$F:$F)</f>
        <v>3</v>
      </c>
      <c r="E204" s="645">
        <f t="shared" si="54"/>
        <v>0</v>
      </c>
      <c r="F204" s="646">
        <f t="shared" si="55"/>
        <v>0</v>
      </c>
      <c r="G204" s="707"/>
      <c r="H204" s="666"/>
      <c r="I204" s="679"/>
      <c r="J204" s="743"/>
      <c r="K204" s="679"/>
      <c r="L204" s="679"/>
      <c r="M204" s="679"/>
      <c r="N204" s="659">
        <f t="shared" si="59"/>
        <v>0.3</v>
      </c>
      <c r="O204" s="744"/>
      <c r="P204" s="775"/>
      <c r="Q204" s="768" t="s">
        <v>6154</v>
      </c>
      <c r="R204" s="1"/>
      <c r="S204" s="779"/>
      <c r="T204" s="780"/>
      <c r="U204" s="1"/>
      <c r="V204" s="1"/>
      <c r="W204" s="1"/>
      <c r="X204" s="1"/>
      <c r="Y204" s="1"/>
    </row>
    <row r="205" ht="15.75" customHeight="1">
      <c r="A205" s="701" t="s">
        <v>6179</v>
      </c>
      <c r="B205" s="702"/>
      <c r="C205" s="703"/>
      <c r="D205" s="781"/>
      <c r="E205" s="390"/>
      <c r="F205" s="388"/>
      <c r="G205" s="782"/>
      <c r="H205" s="666"/>
      <c r="I205" s="632"/>
      <c r="J205" s="633"/>
      <c r="K205" s="634"/>
      <c r="L205" s="634"/>
      <c r="M205" s="635"/>
      <c r="N205" s="390"/>
      <c r="O205" s="390"/>
      <c r="P205" s="636"/>
      <c r="Q205" s="710"/>
      <c r="R205" s="422"/>
      <c r="S205" s="711"/>
      <c r="T205" s="712"/>
      <c r="U205" s="422"/>
      <c r="V205" s="422"/>
      <c r="W205" s="422"/>
      <c r="X205" s="422"/>
      <c r="Y205" s="422"/>
    </row>
    <row r="206" ht="15.75" customHeight="1">
      <c r="A206" s="641" t="s">
        <v>6180</v>
      </c>
      <c r="B206" s="642" t="s">
        <v>6181</v>
      </c>
      <c r="C206" s="643" t="s">
        <v>5635</v>
      </c>
      <c r="D206" s="644">
        <f>SUMIF('Orcamento RU Viora Build'!$A:$A,A206,'Orcamento RU Viora Build'!$F:$F)</f>
        <v>133.854</v>
      </c>
      <c r="E206" s="645">
        <f t="shared" ref="E206:E220" si="65">K206+(K206*N206)</f>
        <v>20.8</v>
      </c>
      <c r="F206" s="646">
        <f t="shared" ref="F206:F220" si="66">D206*E206</f>
        <v>2784.1632</v>
      </c>
      <c r="G206" s="782"/>
      <c r="H206" s="666"/>
      <c r="I206" s="649">
        <v>16.0</v>
      </c>
      <c r="J206" s="650">
        <v>0.0</v>
      </c>
      <c r="K206" s="649">
        <f t="shared" ref="K206:K207" si="67">I206-I206*J206</f>
        <v>16</v>
      </c>
      <c r="L206" s="649">
        <f t="shared" ref="L206:L207" si="68">K206*D206</f>
        <v>2141.664</v>
      </c>
      <c r="M206" s="651">
        <f t="shared" ref="M206:M207" si="69">F206-L206</f>
        <v>642.4992</v>
      </c>
      <c r="N206" s="659">
        <f t="shared" ref="N206:N220" si="70">$N$2</f>
        <v>0.3</v>
      </c>
      <c r="O206" s="675">
        <f t="shared" ref="O206:O207" si="71">M206/F206</f>
        <v>0.2307692308</v>
      </c>
      <c r="P206" s="715" t="s">
        <v>6182</v>
      </c>
      <c r="Q206" s="734"/>
      <c r="R206" s="422"/>
      <c r="S206" s="783"/>
      <c r="T206" s="784"/>
      <c r="U206" s="422"/>
      <c r="V206" s="422"/>
      <c r="W206" s="422"/>
      <c r="X206" s="422"/>
      <c r="Y206" s="422"/>
    </row>
    <row r="207" ht="15.75" customHeight="1">
      <c r="A207" s="641" t="s">
        <v>6183</v>
      </c>
      <c r="B207" s="642" t="s">
        <v>6184</v>
      </c>
      <c r="C207" s="643" t="s">
        <v>5635</v>
      </c>
      <c r="D207" s="644">
        <f>SUMIF('Orcamento RU Viora Build'!$A:$A,A207,'Orcamento RU Viora Build'!$F:$F)</f>
        <v>53.4975</v>
      </c>
      <c r="E207" s="645">
        <f t="shared" si="65"/>
        <v>21.58</v>
      </c>
      <c r="F207" s="646">
        <f t="shared" si="66"/>
        <v>1154.47605</v>
      </c>
      <c r="G207" s="782"/>
      <c r="H207" s="666"/>
      <c r="I207" s="658">
        <v>16.6</v>
      </c>
      <c r="J207" s="650">
        <v>0.0</v>
      </c>
      <c r="K207" s="649">
        <f t="shared" si="67"/>
        <v>16.6</v>
      </c>
      <c r="L207" s="649">
        <f t="shared" si="68"/>
        <v>888.0585</v>
      </c>
      <c r="M207" s="651">
        <f t="shared" si="69"/>
        <v>266.41755</v>
      </c>
      <c r="N207" s="659">
        <f t="shared" si="70"/>
        <v>0.3</v>
      </c>
      <c r="O207" s="675">
        <f t="shared" si="71"/>
        <v>0.2307692308</v>
      </c>
      <c r="P207" s="660" t="s">
        <v>6185</v>
      </c>
      <c r="Q207" s="734"/>
      <c r="R207" s="422"/>
      <c r="S207" s="747"/>
      <c r="T207" s="748"/>
      <c r="U207" s="422"/>
      <c r="V207" s="422"/>
      <c r="W207" s="422"/>
      <c r="X207" s="422"/>
      <c r="Y207" s="422"/>
    </row>
    <row r="208">
      <c r="A208" s="641" t="s">
        <v>6186</v>
      </c>
      <c r="B208" s="642" t="s">
        <v>6187</v>
      </c>
      <c r="C208" s="643" t="s">
        <v>5636</v>
      </c>
      <c r="D208" s="644">
        <f>SUMIF('Orcamento RU Viora Build'!$A:$A,A208,'Orcamento RU Viora Build'!$F:$F)</f>
        <v>3</v>
      </c>
      <c r="E208" s="645">
        <f t="shared" si="65"/>
        <v>0</v>
      </c>
      <c r="F208" s="646">
        <f t="shared" si="66"/>
        <v>0</v>
      </c>
      <c r="G208" s="782"/>
      <c r="H208" s="666"/>
      <c r="I208" s="679"/>
      <c r="J208" s="743"/>
      <c r="K208" s="679"/>
      <c r="L208" s="679"/>
      <c r="M208" s="680"/>
      <c r="N208" s="659">
        <f t="shared" si="70"/>
        <v>0.3</v>
      </c>
      <c r="O208" s="785"/>
      <c r="P208" s="775"/>
      <c r="Q208" s="786" t="s">
        <v>6188</v>
      </c>
      <c r="R208" s="422"/>
      <c r="S208" s="747"/>
      <c r="T208" s="748"/>
      <c r="U208" s="422"/>
      <c r="V208" s="422"/>
      <c r="W208" s="422"/>
      <c r="X208" s="422"/>
      <c r="Y208" s="422"/>
    </row>
    <row r="209" ht="15.75" customHeight="1">
      <c r="A209" s="641" t="s">
        <v>6189</v>
      </c>
      <c r="B209" s="642" t="s">
        <v>6190</v>
      </c>
      <c r="C209" s="643" t="s">
        <v>5636</v>
      </c>
      <c r="D209" s="644">
        <f>SUMIF('Orcamento RU Viora Build'!$A:$A,A209,'Orcamento RU Viora Build'!$F:$F)</f>
        <v>2</v>
      </c>
      <c r="E209" s="645">
        <f t="shared" si="65"/>
        <v>0</v>
      </c>
      <c r="F209" s="646">
        <f t="shared" si="66"/>
        <v>0</v>
      </c>
      <c r="G209" s="782"/>
      <c r="H209" s="666"/>
      <c r="I209" s="679"/>
      <c r="J209" s="743"/>
      <c r="K209" s="679"/>
      <c r="L209" s="679"/>
      <c r="M209" s="680"/>
      <c r="N209" s="659">
        <f t="shared" si="70"/>
        <v>0.3</v>
      </c>
      <c r="O209" s="744"/>
      <c r="P209" s="769" t="s">
        <v>6191</v>
      </c>
      <c r="Q209" s="786" t="s">
        <v>6192</v>
      </c>
      <c r="R209" s="422"/>
      <c r="S209" s="747"/>
      <c r="T209" s="748"/>
      <c r="U209" s="422"/>
      <c r="V209" s="422"/>
      <c r="W209" s="422"/>
      <c r="X209" s="422"/>
      <c r="Y209" s="422"/>
    </row>
    <row r="210" ht="15.75" customHeight="1">
      <c r="A210" s="641" t="s">
        <v>6193</v>
      </c>
      <c r="B210" s="642" t="s">
        <v>6194</v>
      </c>
      <c r="C210" s="643" t="s">
        <v>5636</v>
      </c>
      <c r="D210" s="644">
        <f>SUMIF('Orcamento RU Viora Build'!$A:$A,A210,'Orcamento RU Viora Build'!$F:$F)</f>
        <v>11</v>
      </c>
      <c r="E210" s="645">
        <f t="shared" si="65"/>
        <v>0</v>
      </c>
      <c r="F210" s="646">
        <f t="shared" si="66"/>
        <v>0</v>
      </c>
      <c r="G210" s="782"/>
      <c r="H210" s="666"/>
      <c r="I210" s="679"/>
      <c r="J210" s="743"/>
      <c r="K210" s="679"/>
      <c r="L210" s="679"/>
      <c r="M210" s="680"/>
      <c r="N210" s="659">
        <f t="shared" si="70"/>
        <v>0.3</v>
      </c>
      <c r="O210" s="744"/>
      <c r="P210" s="745"/>
      <c r="Q210" s="786" t="s">
        <v>6192</v>
      </c>
      <c r="R210" s="422"/>
      <c r="S210" s="747"/>
      <c r="T210" s="748"/>
      <c r="U210" s="422"/>
      <c r="V210" s="422"/>
      <c r="W210" s="422"/>
      <c r="X210" s="422"/>
      <c r="Y210" s="422"/>
    </row>
    <row r="211" ht="15.75" customHeight="1">
      <c r="A211" s="641" t="s">
        <v>6195</v>
      </c>
      <c r="B211" s="787" t="s">
        <v>6196</v>
      </c>
      <c r="C211" s="643" t="s">
        <v>5636</v>
      </c>
      <c r="D211" s="644">
        <f>SUMIF('Orcamento RU Viora Build'!$A:$A,A211,'Orcamento RU Viora Build'!$F:$F)</f>
        <v>9</v>
      </c>
      <c r="E211" s="645">
        <f t="shared" si="65"/>
        <v>0</v>
      </c>
      <c r="F211" s="646">
        <f t="shared" si="66"/>
        <v>0</v>
      </c>
      <c r="G211" s="782"/>
      <c r="H211" s="666"/>
      <c r="I211" s="679"/>
      <c r="J211" s="743"/>
      <c r="K211" s="679"/>
      <c r="L211" s="679"/>
      <c r="M211" s="680"/>
      <c r="N211" s="659">
        <f t="shared" si="70"/>
        <v>0.3</v>
      </c>
      <c r="O211" s="744"/>
      <c r="P211" s="745"/>
      <c r="Q211" s="786" t="s">
        <v>6192</v>
      </c>
      <c r="R211" s="422"/>
      <c r="S211" s="747"/>
      <c r="T211" s="748"/>
      <c r="U211" s="422"/>
      <c r="V211" s="422"/>
      <c r="W211" s="422"/>
      <c r="X211" s="422"/>
      <c r="Y211" s="422"/>
    </row>
    <row r="212" ht="15.75" customHeight="1">
      <c r="A212" s="641" t="s">
        <v>6197</v>
      </c>
      <c r="B212" s="642" t="s">
        <v>6198</v>
      </c>
      <c r="C212" s="643" t="s">
        <v>5635</v>
      </c>
      <c r="D212" s="644">
        <f>SUMIF('Orcamento RU Viora Build'!$A:$A,A212,'Orcamento RU Viora Build'!$F:$F)</f>
        <v>122.3145</v>
      </c>
      <c r="E212" s="645">
        <f t="shared" si="65"/>
        <v>0</v>
      </c>
      <c r="F212" s="646">
        <f t="shared" si="66"/>
        <v>0</v>
      </c>
      <c r="G212" s="782"/>
      <c r="H212" s="666"/>
      <c r="I212" s="658">
        <v>8.6</v>
      </c>
      <c r="J212" s="650"/>
      <c r="K212" s="649"/>
      <c r="L212" s="649"/>
      <c r="M212" s="651"/>
      <c r="N212" s="659">
        <f t="shared" si="70"/>
        <v>0.3</v>
      </c>
      <c r="O212" s="675"/>
      <c r="P212" s="660" t="s">
        <v>5965</v>
      </c>
      <c r="Q212" s="734"/>
      <c r="R212" s="422"/>
      <c r="S212" s="661"/>
      <c r="T212" s="662"/>
      <c r="U212" s="422"/>
      <c r="V212" s="422"/>
      <c r="W212" s="422"/>
      <c r="X212" s="422"/>
      <c r="Y212" s="422"/>
    </row>
    <row r="213" ht="15.75" customHeight="1">
      <c r="A213" s="641" t="s">
        <v>6199</v>
      </c>
      <c r="B213" s="642" t="s">
        <v>6200</v>
      </c>
      <c r="C213" s="643" t="s">
        <v>5635</v>
      </c>
      <c r="D213" s="644">
        <f>SUMIF('Orcamento RU Viora Build'!$A:$A,A213,'Orcamento RU Viora Build'!$F:$F)</f>
        <v>52.5</v>
      </c>
      <c r="E213" s="645">
        <f t="shared" si="65"/>
        <v>0</v>
      </c>
      <c r="F213" s="646">
        <f t="shared" si="66"/>
        <v>0</v>
      </c>
      <c r="G213" s="782"/>
      <c r="H213" s="666"/>
      <c r="I213" s="658">
        <v>65.0</v>
      </c>
      <c r="J213" s="650"/>
      <c r="K213" s="649"/>
      <c r="L213" s="649"/>
      <c r="M213" s="651"/>
      <c r="N213" s="659">
        <f t="shared" si="70"/>
        <v>0.3</v>
      </c>
      <c r="O213" s="675"/>
      <c r="P213" s="660" t="s">
        <v>6201</v>
      </c>
      <c r="Q213" s="734"/>
      <c r="R213" s="422"/>
      <c r="S213" s="661"/>
      <c r="T213" s="662"/>
      <c r="U213" s="422"/>
      <c r="V213" s="422"/>
      <c r="W213" s="422"/>
      <c r="X213" s="422"/>
      <c r="Y213" s="422"/>
    </row>
    <row r="214" ht="15.75" customHeight="1">
      <c r="A214" s="641" t="s">
        <v>6202</v>
      </c>
      <c r="B214" s="642" t="s">
        <v>6203</v>
      </c>
      <c r="C214" s="643" t="s">
        <v>5631</v>
      </c>
      <c r="D214" s="644">
        <f>SUMIF('Orcamento RU Viora Build'!$A:$A,A214,'Orcamento RU Viora Build'!$F:$F)</f>
        <v>100</v>
      </c>
      <c r="E214" s="645">
        <f t="shared" si="65"/>
        <v>0</v>
      </c>
      <c r="F214" s="646">
        <f t="shared" si="66"/>
        <v>0</v>
      </c>
      <c r="G214" s="782"/>
      <c r="H214" s="666"/>
      <c r="I214" s="658">
        <v>3.0</v>
      </c>
      <c r="J214" s="650"/>
      <c r="K214" s="649"/>
      <c r="L214" s="649"/>
      <c r="M214" s="651"/>
      <c r="N214" s="659">
        <f t="shared" si="70"/>
        <v>0.3</v>
      </c>
      <c r="O214" s="675"/>
      <c r="P214" s="660" t="s">
        <v>6201</v>
      </c>
      <c r="Q214" s="734"/>
      <c r="R214" s="422"/>
      <c r="S214" s="661"/>
      <c r="T214" s="662"/>
      <c r="U214" s="422"/>
      <c r="V214" s="422"/>
      <c r="W214" s="422"/>
      <c r="X214" s="422"/>
      <c r="Y214" s="422"/>
    </row>
    <row r="215" ht="15.75" customHeight="1">
      <c r="A215" s="641" t="s">
        <v>6204</v>
      </c>
      <c r="B215" s="642" t="s">
        <v>6205</v>
      </c>
      <c r="C215" s="643" t="s">
        <v>5636</v>
      </c>
      <c r="D215" s="644">
        <f>SUMIF('Orcamento RU Viora Build'!$A:$A,A215,'Orcamento RU Viora Build'!$F:$F)</f>
        <v>400</v>
      </c>
      <c r="E215" s="645">
        <f t="shared" si="65"/>
        <v>0</v>
      </c>
      <c r="F215" s="646">
        <f t="shared" si="66"/>
        <v>0</v>
      </c>
      <c r="G215" s="782"/>
      <c r="H215" s="666"/>
      <c r="I215" s="658">
        <v>0.2</v>
      </c>
      <c r="J215" s="650"/>
      <c r="K215" s="649"/>
      <c r="L215" s="649"/>
      <c r="M215" s="651"/>
      <c r="N215" s="659">
        <f t="shared" si="70"/>
        <v>0.3</v>
      </c>
      <c r="O215" s="675"/>
      <c r="P215" s="660" t="s">
        <v>5826</v>
      </c>
      <c r="Q215" s="734"/>
      <c r="R215" s="422"/>
      <c r="S215" s="661"/>
      <c r="T215" s="662"/>
      <c r="U215" s="422"/>
      <c r="V215" s="422"/>
      <c r="W215" s="422"/>
      <c r="X215" s="422"/>
      <c r="Y215" s="422"/>
    </row>
    <row r="216" ht="15.75" customHeight="1">
      <c r="A216" s="641" t="s">
        <v>6206</v>
      </c>
      <c r="B216" s="642" t="s">
        <v>6207</v>
      </c>
      <c r="C216" s="643" t="s">
        <v>5636</v>
      </c>
      <c r="D216" s="644">
        <f>SUMIF('Orcamento RU Viora Build'!$A:$A,A216,'Orcamento RU Viora Build'!$F:$F)</f>
        <v>400</v>
      </c>
      <c r="E216" s="645">
        <f t="shared" si="65"/>
        <v>0</v>
      </c>
      <c r="F216" s="646">
        <f t="shared" si="66"/>
        <v>0</v>
      </c>
      <c r="G216" s="782"/>
      <c r="H216" s="666"/>
      <c r="I216" s="658">
        <v>0.04</v>
      </c>
      <c r="J216" s="650"/>
      <c r="K216" s="649"/>
      <c r="L216" s="649"/>
      <c r="M216" s="651"/>
      <c r="N216" s="659">
        <f t="shared" si="70"/>
        <v>0.3</v>
      </c>
      <c r="O216" s="675"/>
      <c r="P216" s="660" t="s">
        <v>6201</v>
      </c>
      <c r="Q216" s="734"/>
      <c r="R216" s="422"/>
      <c r="S216" s="661"/>
      <c r="T216" s="662"/>
      <c r="U216" s="422"/>
      <c r="V216" s="422"/>
      <c r="W216" s="422"/>
      <c r="X216" s="422"/>
      <c r="Y216" s="422"/>
    </row>
    <row r="217" ht="15.75" customHeight="1">
      <c r="A217" s="641" t="s">
        <v>6208</v>
      </c>
      <c r="B217" s="642" t="s">
        <v>6209</v>
      </c>
      <c r="C217" s="643" t="s">
        <v>5635</v>
      </c>
      <c r="D217" s="644">
        <f>SUMIF('Orcamento RU Viora Build'!$A:$A,A217,'Orcamento RU Viora Build'!$F:$F)</f>
        <v>210.63</v>
      </c>
      <c r="E217" s="645">
        <f t="shared" si="65"/>
        <v>0</v>
      </c>
      <c r="F217" s="646">
        <f t="shared" si="66"/>
        <v>0</v>
      </c>
      <c r="G217" s="782"/>
      <c r="H217" s="666"/>
      <c r="I217" s="679"/>
      <c r="J217" s="743"/>
      <c r="K217" s="679"/>
      <c r="L217" s="679"/>
      <c r="M217" s="680"/>
      <c r="N217" s="659">
        <f t="shared" si="70"/>
        <v>0.3</v>
      </c>
      <c r="O217" s="744"/>
      <c r="P217" s="745"/>
      <c r="Q217" s="768" t="s">
        <v>6154</v>
      </c>
      <c r="R217" s="422"/>
      <c r="S217" s="747"/>
      <c r="T217" s="748"/>
      <c r="U217" s="422"/>
      <c r="V217" s="422"/>
      <c r="W217" s="422"/>
      <c r="X217" s="422"/>
      <c r="Y217" s="422"/>
    </row>
    <row r="218" ht="15.75" customHeight="1">
      <c r="A218" s="641" t="s">
        <v>6210</v>
      </c>
      <c r="B218" s="642" t="s">
        <v>6211</v>
      </c>
      <c r="C218" s="643" t="s">
        <v>5635</v>
      </c>
      <c r="D218" s="644">
        <f>SUMIF('Orcamento RU Viora Build'!$A:$A,A218,'Orcamento RU Viora Build'!$F:$F)</f>
        <v>251.79</v>
      </c>
      <c r="E218" s="645">
        <f t="shared" si="65"/>
        <v>0</v>
      </c>
      <c r="F218" s="646">
        <f t="shared" si="66"/>
        <v>0</v>
      </c>
      <c r="G218" s="782"/>
      <c r="H218" s="666"/>
      <c r="I218" s="679"/>
      <c r="J218" s="743"/>
      <c r="K218" s="679"/>
      <c r="L218" s="679"/>
      <c r="M218" s="680"/>
      <c r="N218" s="659">
        <f t="shared" si="70"/>
        <v>0.3</v>
      </c>
      <c r="O218" s="744"/>
      <c r="P218" s="745"/>
      <c r="Q218" s="768" t="s">
        <v>6154</v>
      </c>
      <c r="R218" s="422"/>
      <c r="S218" s="747"/>
      <c r="T218" s="748"/>
      <c r="U218" s="422"/>
      <c r="V218" s="422"/>
      <c r="W218" s="422"/>
      <c r="X218" s="422"/>
      <c r="Y218" s="422"/>
    </row>
    <row r="219" ht="15.75" customHeight="1">
      <c r="A219" s="641" t="s">
        <v>6212</v>
      </c>
      <c r="B219" s="642" t="s">
        <v>6213</v>
      </c>
      <c r="C219" s="643" t="s">
        <v>5631</v>
      </c>
      <c r="D219" s="644">
        <f>SUMIF('Orcamento RU Viora Build'!$A:$A,A219,'Orcamento RU Viora Build'!$F:$F)</f>
        <v>14.1015</v>
      </c>
      <c r="E219" s="645">
        <f t="shared" si="65"/>
        <v>5.057</v>
      </c>
      <c r="F219" s="646">
        <f t="shared" si="66"/>
        <v>71.3112855</v>
      </c>
      <c r="G219" s="782"/>
      <c r="H219" s="666"/>
      <c r="I219" s="658">
        <v>3.89</v>
      </c>
      <c r="J219" s="650">
        <v>0.0</v>
      </c>
      <c r="K219" s="649">
        <f>I219-I219*J219</f>
        <v>3.89</v>
      </c>
      <c r="L219" s="649">
        <f>K219*D219</f>
        <v>54.854835</v>
      </c>
      <c r="M219" s="651">
        <f>F219-L219</f>
        <v>16.4564505</v>
      </c>
      <c r="N219" s="659">
        <f t="shared" si="70"/>
        <v>0.3</v>
      </c>
      <c r="O219" s="675">
        <f>M219/F219</f>
        <v>0.2307692308</v>
      </c>
      <c r="P219" s="660" t="s">
        <v>5965</v>
      </c>
      <c r="Q219" s="698"/>
      <c r="R219" s="1"/>
      <c r="S219" s="668"/>
      <c r="T219" s="669"/>
      <c r="U219" s="1"/>
      <c r="V219" s="1"/>
      <c r="W219" s="1"/>
      <c r="X219" s="1"/>
      <c r="Y219" s="1"/>
    </row>
    <row r="220" ht="12.75" customHeight="1">
      <c r="A220" s="641" t="s">
        <v>6214</v>
      </c>
      <c r="B220" s="642" t="s">
        <v>6215</v>
      </c>
      <c r="C220" s="643" t="s">
        <v>5631</v>
      </c>
      <c r="D220" s="644">
        <f>SUMIF('Orcamento RU Viora Build'!$A:$A,A220,'Orcamento RU Viora Build'!$F:$F)</f>
        <v>12.6945</v>
      </c>
      <c r="E220" s="645">
        <f t="shared" si="65"/>
        <v>0</v>
      </c>
      <c r="F220" s="646">
        <f t="shared" si="66"/>
        <v>0</v>
      </c>
      <c r="G220" s="782"/>
      <c r="H220" s="666"/>
      <c r="I220" s="788"/>
      <c r="J220" s="789"/>
      <c r="K220" s="788"/>
      <c r="L220" s="788"/>
      <c r="M220" s="790"/>
      <c r="N220" s="659">
        <f t="shared" si="70"/>
        <v>0.3</v>
      </c>
      <c r="O220" s="744"/>
      <c r="P220" s="791"/>
      <c r="Q220" s="792" t="s">
        <v>6216</v>
      </c>
      <c r="R220" s="1"/>
      <c r="S220" s="779"/>
      <c r="T220" s="780"/>
      <c r="U220" s="1"/>
      <c r="V220" s="1"/>
      <c r="W220" s="1"/>
      <c r="X220" s="1"/>
      <c r="Y220" s="1"/>
    </row>
    <row r="221" ht="12.75" customHeight="1">
      <c r="A221" s="701" t="s">
        <v>6217</v>
      </c>
      <c r="B221" s="793"/>
      <c r="C221" s="390"/>
      <c r="D221" s="390"/>
      <c r="E221" s="390"/>
      <c r="F221" s="388"/>
      <c r="G221" s="782"/>
      <c r="H221" s="666"/>
      <c r="I221" s="794"/>
      <c r="J221" s="390"/>
      <c r="K221" s="390"/>
      <c r="L221" s="390"/>
      <c r="M221" s="390"/>
      <c r="N221" s="390"/>
      <c r="O221" s="390"/>
      <c r="P221" s="636"/>
      <c r="Q221" s="795"/>
      <c r="R221" s="684"/>
      <c r="S221" s="796"/>
      <c r="T221" s="797"/>
      <c r="U221" s="1"/>
      <c r="V221" s="1"/>
      <c r="W221" s="1"/>
      <c r="X221" s="1"/>
      <c r="Y221" s="1"/>
    </row>
    <row r="222" ht="12.75" customHeight="1">
      <c r="A222" s="641" t="s">
        <v>6218</v>
      </c>
      <c r="B222" s="798" t="s">
        <v>6219</v>
      </c>
      <c r="C222" s="643" t="s">
        <v>5636</v>
      </c>
      <c r="D222" s="644">
        <f>SUMIF('Orcamento RU Viora Build'!$A:$A,A222,'Orcamento RU Viora Build'!$F:$F)</f>
        <v>7</v>
      </c>
      <c r="E222" s="645">
        <f t="shared" ref="E222:E383" si="72">K222+(K222*N222)</f>
        <v>339.3</v>
      </c>
      <c r="F222" s="646">
        <f t="shared" ref="F222:F383" si="73">D222*E222</f>
        <v>2375.1</v>
      </c>
      <c r="G222" s="782"/>
      <c r="H222" s="666"/>
      <c r="I222" s="658">
        <v>261.0</v>
      </c>
      <c r="J222" s="650">
        <v>0.0</v>
      </c>
      <c r="K222" s="649">
        <f>I222-I222*J222</f>
        <v>261</v>
      </c>
      <c r="L222" s="649">
        <f>K222*D222</f>
        <v>1827</v>
      </c>
      <c r="M222" s="651">
        <f>F222-L222</f>
        <v>548.1</v>
      </c>
      <c r="N222" s="659">
        <f t="shared" ref="N222:N383" si="74">$N$2</f>
        <v>0.3</v>
      </c>
      <c r="O222" s="675">
        <f>M222/F222</f>
        <v>0.2307692308</v>
      </c>
      <c r="P222" s="660" t="s">
        <v>6220</v>
      </c>
      <c r="Q222" s="698"/>
      <c r="R222" s="1"/>
      <c r="S222" s="713"/>
      <c r="T222" s="714"/>
      <c r="U222" s="1"/>
      <c r="V222" s="1"/>
      <c r="W222" s="1"/>
      <c r="X222" s="1"/>
      <c r="Y222" s="1"/>
    </row>
    <row r="223" ht="12.75" customHeight="1">
      <c r="A223" s="641" t="s">
        <v>6221</v>
      </c>
      <c r="B223" s="798" t="s">
        <v>6222</v>
      </c>
      <c r="C223" s="643" t="s">
        <v>5636</v>
      </c>
      <c r="D223" s="644">
        <f>SUMIF('Orcamento RU Viora Build'!$A:$A,A223,'Orcamento RU Viora Build'!$F:$F)</f>
        <v>1</v>
      </c>
      <c r="E223" s="645">
        <f t="shared" si="72"/>
        <v>0</v>
      </c>
      <c r="F223" s="646">
        <f t="shared" si="73"/>
        <v>0</v>
      </c>
      <c r="G223" s="782"/>
      <c r="H223" s="666"/>
      <c r="I223" s="679"/>
      <c r="J223" s="743"/>
      <c r="K223" s="679"/>
      <c r="L223" s="679"/>
      <c r="M223" s="679"/>
      <c r="N223" s="659">
        <f t="shared" si="74"/>
        <v>0.3</v>
      </c>
      <c r="O223" s="744"/>
      <c r="P223" s="744"/>
      <c r="Q223" s="768" t="s">
        <v>6022</v>
      </c>
      <c r="R223" s="1"/>
      <c r="S223" s="685"/>
      <c r="T223" s="686"/>
      <c r="U223" s="1"/>
      <c r="V223" s="1"/>
      <c r="W223" s="1"/>
      <c r="X223" s="1"/>
      <c r="Y223" s="1"/>
    </row>
    <row r="224" ht="12.75" customHeight="1">
      <c r="A224" s="641" t="s">
        <v>6223</v>
      </c>
      <c r="B224" s="798" t="s">
        <v>6224</v>
      </c>
      <c r="C224" s="643" t="s">
        <v>5636</v>
      </c>
      <c r="D224" s="644">
        <f>SUMIF('Orcamento RU Viora Build'!$A:$A,A224,'Orcamento RU Viora Build'!$F:$F)</f>
        <v>6</v>
      </c>
      <c r="E224" s="645">
        <f t="shared" si="72"/>
        <v>461.747</v>
      </c>
      <c r="F224" s="646">
        <f t="shared" si="73"/>
        <v>2770.482</v>
      </c>
      <c r="G224" s="782"/>
      <c r="H224" s="666"/>
      <c r="I224" s="718">
        <v>355.19</v>
      </c>
      <c r="J224" s="719">
        <v>0.0</v>
      </c>
      <c r="K224" s="720">
        <f t="shared" ref="K224:K229" si="75">I224-I224*J224</f>
        <v>355.19</v>
      </c>
      <c r="L224" s="720">
        <f t="shared" ref="L224:L229" si="76">K224*D224</f>
        <v>2131.14</v>
      </c>
      <c r="M224" s="721">
        <f t="shared" ref="M224:M229" si="77">F224-L224</f>
        <v>639.342</v>
      </c>
      <c r="N224" s="659">
        <f t="shared" si="74"/>
        <v>0.3</v>
      </c>
      <c r="O224" s="722">
        <f t="shared" ref="O224:O229" si="78">M224/F224</f>
        <v>0.2307692308</v>
      </c>
      <c r="P224" s="799" t="s">
        <v>6225</v>
      </c>
      <c r="Q224" s="800" t="s">
        <v>6226</v>
      </c>
      <c r="R224" s="1"/>
      <c r="S224" s="729"/>
      <c r="T224" s="730"/>
      <c r="U224" s="1"/>
      <c r="V224" s="1"/>
      <c r="W224" s="1"/>
      <c r="X224" s="1"/>
      <c r="Y224" s="1"/>
    </row>
    <row r="225" ht="12.75" customHeight="1">
      <c r="A225" s="641" t="s">
        <v>6227</v>
      </c>
      <c r="B225" s="798" t="s">
        <v>6228</v>
      </c>
      <c r="C225" s="643" t="s">
        <v>5636</v>
      </c>
      <c r="D225" s="644">
        <f>SUMIF('Orcamento RU Viora Build'!$A:$A,A225,'Orcamento RU Viora Build'!$F:$F)</f>
        <v>2</v>
      </c>
      <c r="E225" s="645">
        <f t="shared" si="72"/>
        <v>96.07</v>
      </c>
      <c r="F225" s="646">
        <f t="shared" si="73"/>
        <v>192.14</v>
      </c>
      <c r="G225" s="782"/>
      <c r="H225" s="666"/>
      <c r="I225" s="718">
        <v>73.9</v>
      </c>
      <c r="J225" s="719">
        <v>0.0</v>
      </c>
      <c r="K225" s="720">
        <f t="shared" si="75"/>
        <v>73.9</v>
      </c>
      <c r="L225" s="720">
        <f t="shared" si="76"/>
        <v>147.8</v>
      </c>
      <c r="M225" s="721">
        <f t="shared" si="77"/>
        <v>44.34</v>
      </c>
      <c r="N225" s="659">
        <f t="shared" si="74"/>
        <v>0.3</v>
      </c>
      <c r="O225" s="722">
        <f t="shared" si="78"/>
        <v>0.2307692308</v>
      </c>
      <c r="P225" s="799" t="s">
        <v>6229</v>
      </c>
      <c r="Q225" s="778" t="s">
        <v>6230</v>
      </c>
      <c r="R225" s="1"/>
      <c r="S225" s="729"/>
      <c r="T225" s="730"/>
      <c r="U225" s="1"/>
      <c r="V225" s="1"/>
      <c r="W225" s="1"/>
      <c r="X225" s="1"/>
      <c r="Y225" s="1"/>
    </row>
    <row r="226" ht="12.75" customHeight="1">
      <c r="A226" s="641" t="s">
        <v>6231</v>
      </c>
      <c r="B226" s="798" t="s">
        <v>6232</v>
      </c>
      <c r="C226" s="643" t="s">
        <v>5636</v>
      </c>
      <c r="D226" s="644">
        <f>SUMIF('Orcamento RU Viora Build'!$A:$A,A226,'Orcamento RU Viora Build'!$F:$F)</f>
        <v>4</v>
      </c>
      <c r="E226" s="645">
        <f t="shared" si="72"/>
        <v>131.3</v>
      </c>
      <c r="F226" s="646">
        <f t="shared" si="73"/>
        <v>525.2</v>
      </c>
      <c r="G226" s="782"/>
      <c r="H226" s="666"/>
      <c r="I226" s="718">
        <v>101.0</v>
      </c>
      <c r="J226" s="719">
        <v>0.0</v>
      </c>
      <c r="K226" s="720">
        <f t="shared" si="75"/>
        <v>101</v>
      </c>
      <c r="L226" s="720">
        <f t="shared" si="76"/>
        <v>404</v>
      </c>
      <c r="M226" s="721">
        <f t="shared" si="77"/>
        <v>121.2</v>
      </c>
      <c r="N226" s="659">
        <f t="shared" si="74"/>
        <v>0.3</v>
      </c>
      <c r="O226" s="722">
        <f t="shared" si="78"/>
        <v>0.2307692308</v>
      </c>
      <c r="P226" s="799" t="s">
        <v>5761</v>
      </c>
      <c r="Q226" s="778" t="s">
        <v>6233</v>
      </c>
      <c r="R226" s="1"/>
      <c r="S226" s="729"/>
      <c r="T226" s="730"/>
      <c r="U226" s="1"/>
      <c r="V226" s="1"/>
      <c r="W226" s="1"/>
      <c r="X226" s="1"/>
      <c r="Y226" s="1"/>
    </row>
    <row r="227" ht="12.75" customHeight="1">
      <c r="A227" s="641" t="s">
        <v>6234</v>
      </c>
      <c r="B227" s="798" t="s">
        <v>6235</v>
      </c>
      <c r="C227" s="643" t="s">
        <v>5636</v>
      </c>
      <c r="D227" s="644">
        <f>SUMIF('Orcamento RU Viora Build'!$A:$A,A227,'Orcamento RU Viora Build'!$F:$F)</f>
        <v>14</v>
      </c>
      <c r="E227" s="645">
        <f t="shared" si="72"/>
        <v>10.27</v>
      </c>
      <c r="F227" s="646">
        <f t="shared" si="73"/>
        <v>143.78</v>
      </c>
      <c r="G227" s="782"/>
      <c r="H227" s="666"/>
      <c r="I227" s="658">
        <v>7.9</v>
      </c>
      <c r="J227" s="650">
        <v>0.0</v>
      </c>
      <c r="K227" s="649">
        <f t="shared" si="75"/>
        <v>7.9</v>
      </c>
      <c r="L227" s="649">
        <f t="shared" si="76"/>
        <v>110.6</v>
      </c>
      <c r="M227" s="651">
        <f t="shared" si="77"/>
        <v>33.18</v>
      </c>
      <c r="N227" s="659">
        <f t="shared" si="74"/>
        <v>0.3</v>
      </c>
      <c r="O227" s="675">
        <f t="shared" si="78"/>
        <v>0.2307692308</v>
      </c>
      <c r="P227" s="673" t="s">
        <v>5992</v>
      </c>
      <c r="Q227" s="698"/>
      <c r="R227" s="1"/>
      <c r="S227" s="668"/>
      <c r="T227" s="669"/>
      <c r="U227" s="1"/>
      <c r="V227" s="1"/>
      <c r="W227" s="1"/>
      <c r="X227" s="1"/>
      <c r="Y227" s="1"/>
    </row>
    <row r="228" ht="12.75" customHeight="1">
      <c r="A228" s="641" t="s">
        <v>6236</v>
      </c>
      <c r="B228" s="798" t="s">
        <v>6237</v>
      </c>
      <c r="C228" s="643" t="s">
        <v>5636</v>
      </c>
      <c r="D228" s="644">
        <f>SUMIF('Orcamento RU Viora Build'!$A:$A,A228,'Orcamento RU Viora Build'!$F:$F)</f>
        <v>6</v>
      </c>
      <c r="E228" s="645">
        <f t="shared" si="72"/>
        <v>15.99</v>
      </c>
      <c r="F228" s="646">
        <f t="shared" si="73"/>
        <v>95.94</v>
      </c>
      <c r="G228" s="782"/>
      <c r="H228" s="666"/>
      <c r="I228" s="658">
        <v>12.3</v>
      </c>
      <c r="J228" s="650">
        <v>0.0</v>
      </c>
      <c r="K228" s="649">
        <f t="shared" si="75"/>
        <v>12.3</v>
      </c>
      <c r="L228" s="649">
        <f t="shared" si="76"/>
        <v>73.8</v>
      </c>
      <c r="M228" s="651">
        <f t="shared" si="77"/>
        <v>22.14</v>
      </c>
      <c r="N228" s="659">
        <f t="shared" si="74"/>
        <v>0.3</v>
      </c>
      <c r="O228" s="675">
        <f t="shared" si="78"/>
        <v>0.2307692308</v>
      </c>
      <c r="P228" s="673" t="s">
        <v>6238</v>
      </c>
      <c r="Q228" s="698"/>
      <c r="R228" s="1"/>
      <c r="S228" s="668"/>
      <c r="T228" s="669"/>
      <c r="U228" s="1"/>
      <c r="V228" s="1"/>
      <c r="W228" s="1"/>
      <c r="X228" s="1"/>
      <c r="Y228" s="1"/>
    </row>
    <row r="229" ht="12.75" customHeight="1">
      <c r="A229" s="641" t="s">
        <v>6239</v>
      </c>
      <c r="B229" s="798" t="s">
        <v>6240</v>
      </c>
      <c r="C229" s="643" t="s">
        <v>5636</v>
      </c>
      <c r="D229" s="644">
        <f>SUMIF('Orcamento RU Viora Build'!$A:$A,A229,'Orcamento RU Viora Build'!$F:$F)</f>
        <v>6</v>
      </c>
      <c r="E229" s="645">
        <f t="shared" si="72"/>
        <v>55.874</v>
      </c>
      <c r="F229" s="646">
        <f t="shared" si="73"/>
        <v>335.244</v>
      </c>
      <c r="G229" s="782"/>
      <c r="H229" s="666"/>
      <c r="I229" s="658">
        <v>42.98</v>
      </c>
      <c r="J229" s="650">
        <v>0.0</v>
      </c>
      <c r="K229" s="649">
        <f t="shared" si="75"/>
        <v>42.98</v>
      </c>
      <c r="L229" s="649">
        <f t="shared" si="76"/>
        <v>257.88</v>
      </c>
      <c r="M229" s="651">
        <f t="shared" si="77"/>
        <v>77.364</v>
      </c>
      <c r="N229" s="659">
        <f t="shared" si="74"/>
        <v>0.3</v>
      </c>
      <c r="O229" s="675">
        <f t="shared" si="78"/>
        <v>0.2307692308</v>
      </c>
      <c r="P229" s="673" t="s">
        <v>6241</v>
      </c>
      <c r="Q229" s="698"/>
      <c r="R229" s="1"/>
      <c r="S229" s="668"/>
      <c r="T229" s="669"/>
      <c r="U229" s="1"/>
      <c r="V229" s="1"/>
      <c r="W229" s="1"/>
      <c r="X229" s="1"/>
      <c r="Y229" s="1"/>
    </row>
    <row r="230" ht="12.75" customHeight="1">
      <c r="A230" s="641" t="s">
        <v>6242</v>
      </c>
      <c r="B230" s="798" t="s">
        <v>6243</v>
      </c>
      <c r="C230" s="643" t="s">
        <v>5636</v>
      </c>
      <c r="D230" s="644">
        <f>SUMIF('Orcamento RU Viora Build'!$A:$A,A230,'Orcamento RU Viora Build'!$F:$F)</f>
        <v>1</v>
      </c>
      <c r="E230" s="645">
        <f t="shared" si="72"/>
        <v>0</v>
      </c>
      <c r="F230" s="646">
        <f t="shared" si="73"/>
        <v>0</v>
      </c>
      <c r="G230" s="782"/>
      <c r="H230" s="666"/>
      <c r="I230" s="774"/>
      <c r="J230" s="743"/>
      <c r="K230" s="679"/>
      <c r="L230" s="679"/>
      <c r="M230" s="680"/>
      <c r="N230" s="659">
        <f t="shared" si="74"/>
        <v>0.3</v>
      </c>
      <c r="O230" s="744"/>
      <c r="P230" s="769" t="s">
        <v>6244</v>
      </c>
      <c r="Q230" s="768" t="s">
        <v>6022</v>
      </c>
      <c r="R230" s="1"/>
      <c r="S230" s="685"/>
      <c r="T230" s="686"/>
      <c r="U230" s="1"/>
      <c r="V230" s="1"/>
      <c r="W230" s="1"/>
      <c r="X230" s="1"/>
      <c r="Y230" s="1"/>
    </row>
    <row r="231" ht="12.75" customHeight="1">
      <c r="A231" s="641" t="s">
        <v>6245</v>
      </c>
      <c r="B231" s="798" t="s">
        <v>6246</v>
      </c>
      <c r="C231" s="643" t="s">
        <v>5636</v>
      </c>
      <c r="D231" s="644">
        <f>SUMIF('Orcamento RU Viora Build'!$A:$A,A231,'Orcamento RU Viora Build'!$F:$F)</f>
        <v>6</v>
      </c>
      <c r="E231" s="645">
        <f t="shared" si="72"/>
        <v>85.67</v>
      </c>
      <c r="F231" s="646">
        <f t="shared" si="73"/>
        <v>514.02</v>
      </c>
      <c r="G231" s="782"/>
      <c r="H231" s="666"/>
      <c r="I231" s="658">
        <v>65.9</v>
      </c>
      <c r="J231" s="650">
        <v>0.0</v>
      </c>
      <c r="K231" s="649">
        <f t="shared" ref="K231:K236" si="79">I231-I231*J231</f>
        <v>65.9</v>
      </c>
      <c r="L231" s="649">
        <f t="shared" ref="L231:L236" si="80">K231*D231</f>
        <v>395.4</v>
      </c>
      <c r="M231" s="651">
        <f t="shared" ref="M231:M236" si="81">F231-L231</f>
        <v>118.62</v>
      </c>
      <c r="N231" s="659">
        <f t="shared" si="74"/>
        <v>0.3</v>
      </c>
      <c r="O231" s="675">
        <f t="shared" ref="O231:O236" si="82">M231/F231</f>
        <v>0.2307692308</v>
      </c>
      <c r="P231" s="660" t="s">
        <v>6247</v>
      </c>
      <c r="Q231" s="698"/>
      <c r="R231" s="1"/>
      <c r="S231" s="668"/>
      <c r="T231" s="669"/>
      <c r="U231" s="1"/>
      <c r="V231" s="1"/>
      <c r="W231" s="1"/>
      <c r="X231" s="1"/>
      <c r="Y231" s="1"/>
    </row>
    <row r="232" ht="12.75" customHeight="1">
      <c r="A232" s="641" t="s">
        <v>6248</v>
      </c>
      <c r="B232" s="798" t="s">
        <v>6249</v>
      </c>
      <c r="C232" s="643" t="s">
        <v>5636</v>
      </c>
      <c r="D232" s="644">
        <f>SUMIF('Orcamento RU Viora Build'!$A:$A,A232,'Orcamento RU Viora Build'!$F:$F)</f>
        <v>7</v>
      </c>
      <c r="E232" s="645">
        <f t="shared" si="72"/>
        <v>279.37</v>
      </c>
      <c r="F232" s="646">
        <f t="shared" si="73"/>
        <v>1955.59</v>
      </c>
      <c r="G232" s="782"/>
      <c r="H232" s="666"/>
      <c r="I232" s="658">
        <v>214.9</v>
      </c>
      <c r="J232" s="650">
        <v>0.0</v>
      </c>
      <c r="K232" s="649">
        <f t="shared" si="79"/>
        <v>214.9</v>
      </c>
      <c r="L232" s="649">
        <f t="shared" si="80"/>
        <v>1504.3</v>
      </c>
      <c r="M232" s="651">
        <f t="shared" si="81"/>
        <v>451.29</v>
      </c>
      <c r="N232" s="659">
        <f t="shared" si="74"/>
        <v>0.3</v>
      </c>
      <c r="O232" s="675">
        <f t="shared" si="82"/>
        <v>0.2307692308</v>
      </c>
      <c r="P232" s="660" t="s">
        <v>5999</v>
      </c>
      <c r="Q232" s="698"/>
      <c r="R232" s="1"/>
      <c r="S232" s="668"/>
      <c r="T232" s="669"/>
      <c r="U232" s="1"/>
      <c r="V232" s="1"/>
      <c r="W232" s="1"/>
      <c r="X232" s="1"/>
      <c r="Y232" s="1"/>
    </row>
    <row r="233" ht="12.75" customHeight="1">
      <c r="A233" s="641" t="s">
        <v>6250</v>
      </c>
      <c r="B233" s="798" t="s">
        <v>6251</v>
      </c>
      <c r="C233" s="643" t="s">
        <v>5636</v>
      </c>
      <c r="D233" s="644">
        <f>SUMIF('Orcamento RU Viora Build'!$A:$A,A233,'Orcamento RU Viora Build'!$F:$F)</f>
        <v>6</v>
      </c>
      <c r="E233" s="645">
        <f t="shared" si="72"/>
        <v>35.1</v>
      </c>
      <c r="F233" s="646">
        <f t="shared" si="73"/>
        <v>210.6</v>
      </c>
      <c r="G233" s="782"/>
      <c r="H233" s="666"/>
      <c r="I233" s="658">
        <v>27.0</v>
      </c>
      <c r="J233" s="650">
        <v>0.0</v>
      </c>
      <c r="K233" s="649">
        <f t="shared" si="79"/>
        <v>27</v>
      </c>
      <c r="L233" s="649">
        <f t="shared" si="80"/>
        <v>162</v>
      </c>
      <c r="M233" s="651">
        <f t="shared" si="81"/>
        <v>48.6</v>
      </c>
      <c r="N233" s="659">
        <f t="shared" si="74"/>
        <v>0.3</v>
      </c>
      <c r="O233" s="675">
        <f t="shared" si="82"/>
        <v>0.2307692308</v>
      </c>
      <c r="P233" s="660" t="s">
        <v>6252</v>
      </c>
      <c r="Q233" s="698"/>
      <c r="R233" s="1"/>
      <c r="S233" s="668"/>
      <c r="T233" s="669"/>
      <c r="U233" s="1"/>
      <c r="V233" s="1"/>
      <c r="W233" s="1"/>
      <c r="X233" s="1"/>
      <c r="Y233" s="1"/>
    </row>
    <row r="234" ht="12.75" customHeight="1">
      <c r="A234" s="641" t="s">
        <v>6253</v>
      </c>
      <c r="B234" s="798" t="s">
        <v>6254</v>
      </c>
      <c r="C234" s="643" t="s">
        <v>5636</v>
      </c>
      <c r="D234" s="644">
        <f>SUMIF('Orcamento RU Viora Build'!$A:$A,A234,'Orcamento RU Viora Build'!$F:$F)</f>
        <v>11</v>
      </c>
      <c r="E234" s="645">
        <f t="shared" si="72"/>
        <v>74.1</v>
      </c>
      <c r="F234" s="646">
        <f t="shared" si="73"/>
        <v>815.1</v>
      </c>
      <c r="G234" s="782"/>
      <c r="H234" s="666"/>
      <c r="I234" s="718">
        <v>57.0</v>
      </c>
      <c r="J234" s="719">
        <v>0.0</v>
      </c>
      <c r="K234" s="720">
        <f t="shared" si="79"/>
        <v>57</v>
      </c>
      <c r="L234" s="720">
        <f t="shared" si="80"/>
        <v>627</v>
      </c>
      <c r="M234" s="721">
        <f t="shared" si="81"/>
        <v>188.1</v>
      </c>
      <c r="N234" s="659">
        <f t="shared" si="74"/>
        <v>0.3</v>
      </c>
      <c r="O234" s="722">
        <f t="shared" si="82"/>
        <v>0.2307692308</v>
      </c>
      <c r="P234" s="723" t="s">
        <v>6252</v>
      </c>
      <c r="Q234" s="732"/>
      <c r="R234" s="1"/>
      <c r="S234" s="729"/>
      <c r="T234" s="730"/>
      <c r="U234" s="1"/>
      <c r="V234" s="1"/>
      <c r="W234" s="1"/>
      <c r="X234" s="1"/>
      <c r="Y234" s="1"/>
    </row>
    <row r="235" ht="12.75" customHeight="1">
      <c r="A235" s="641" t="s">
        <v>6255</v>
      </c>
      <c r="B235" s="798" t="s">
        <v>6256</v>
      </c>
      <c r="C235" s="643" t="s">
        <v>5636</v>
      </c>
      <c r="D235" s="644">
        <f>SUMIF('Orcamento RU Viora Build'!$A:$A,A235,'Orcamento RU Viora Build'!$F:$F)</f>
        <v>3</v>
      </c>
      <c r="E235" s="645">
        <f t="shared" si="72"/>
        <v>54.21</v>
      </c>
      <c r="F235" s="646">
        <f t="shared" si="73"/>
        <v>162.63</v>
      </c>
      <c r="G235" s="782"/>
      <c r="H235" s="666"/>
      <c r="I235" s="718">
        <v>41.7</v>
      </c>
      <c r="J235" s="719">
        <v>0.0</v>
      </c>
      <c r="K235" s="720">
        <f t="shared" si="79"/>
        <v>41.7</v>
      </c>
      <c r="L235" s="720">
        <f t="shared" si="80"/>
        <v>125.1</v>
      </c>
      <c r="M235" s="721">
        <f t="shared" si="81"/>
        <v>37.53</v>
      </c>
      <c r="N235" s="659">
        <f t="shared" si="74"/>
        <v>0.3</v>
      </c>
      <c r="O235" s="722">
        <f t="shared" si="82"/>
        <v>0.2307692308</v>
      </c>
      <c r="P235" s="723" t="s">
        <v>6257</v>
      </c>
      <c r="Q235" s="732"/>
      <c r="R235" s="1"/>
      <c r="S235" s="729"/>
      <c r="T235" s="730"/>
      <c r="U235" s="1"/>
      <c r="V235" s="1"/>
      <c r="W235" s="1"/>
      <c r="X235" s="1"/>
      <c r="Y235" s="1"/>
    </row>
    <row r="236" ht="12.75" customHeight="1">
      <c r="A236" s="641" t="s">
        <v>6258</v>
      </c>
      <c r="B236" s="798" t="s">
        <v>6259</v>
      </c>
      <c r="C236" s="643" t="s">
        <v>5636</v>
      </c>
      <c r="D236" s="644">
        <f>SUMIF('Orcamento RU Viora Build'!$A:$A,A236,'Orcamento RU Viora Build'!$F:$F)</f>
        <v>3</v>
      </c>
      <c r="E236" s="645">
        <f t="shared" si="72"/>
        <v>31.616</v>
      </c>
      <c r="F236" s="646">
        <f t="shared" si="73"/>
        <v>94.848</v>
      </c>
      <c r="G236" s="782"/>
      <c r="H236" s="666"/>
      <c r="I236" s="718">
        <v>24.32</v>
      </c>
      <c r="J236" s="719">
        <v>0.0</v>
      </c>
      <c r="K236" s="720">
        <f t="shared" si="79"/>
        <v>24.32</v>
      </c>
      <c r="L236" s="720">
        <f t="shared" si="80"/>
        <v>72.96</v>
      </c>
      <c r="M236" s="721">
        <f t="shared" si="81"/>
        <v>21.888</v>
      </c>
      <c r="N236" s="659">
        <f t="shared" si="74"/>
        <v>0.3</v>
      </c>
      <c r="O236" s="722">
        <f t="shared" si="82"/>
        <v>0.2307692308</v>
      </c>
      <c r="P236" s="723" t="s">
        <v>6260</v>
      </c>
      <c r="Q236" s="732"/>
      <c r="R236" s="1"/>
      <c r="S236" s="729"/>
      <c r="T236" s="730"/>
      <c r="U236" s="1"/>
      <c r="V236" s="1"/>
      <c r="W236" s="1"/>
      <c r="X236" s="1"/>
      <c r="Y236" s="1"/>
    </row>
    <row r="237" ht="12.75" customHeight="1">
      <c r="A237" s="641" t="s">
        <v>6261</v>
      </c>
      <c r="B237" s="798" t="s">
        <v>6262</v>
      </c>
      <c r="C237" s="643" t="s">
        <v>5636</v>
      </c>
      <c r="D237" s="644">
        <f>SUMIF('Orcamento RU Viora Build'!$A:$A,A237,'Orcamento RU Viora Build'!$F:$F)</f>
        <v>1</v>
      </c>
      <c r="E237" s="645">
        <f t="shared" si="72"/>
        <v>0</v>
      </c>
      <c r="F237" s="646">
        <f t="shared" si="73"/>
        <v>0</v>
      </c>
      <c r="G237" s="782"/>
      <c r="H237" s="666"/>
      <c r="I237" s="679"/>
      <c r="J237" s="743"/>
      <c r="K237" s="679"/>
      <c r="L237" s="679"/>
      <c r="M237" s="679"/>
      <c r="N237" s="659">
        <f t="shared" si="74"/>
        <v>0.3</v>
      </c>
      <c r="O237" s="744"/>
      <c r="P237" s="744"/>
      <c r="Q237" s="768" t="s">
        <v>6022</v>
      </c>
      <c r="R237" s="1"/>
      <c r="S237" s="685"/>
      <c r="T237" s="686"/>
      <c r="U237" s="1"/>
      <c r="V237" s="1"/>
      <c r="W237" s="1"/>
      <c r="X237" s="1"/>
      <c r="Y237" s="1"/>
    </row>
    <row r="238" ht="12.75" customHeight="1">
      <c r="A238" s="641" t="s">
        <v>6263</v>
      </c>
      <c r="B238" s="798" t="s">
        <v>6264</v>
      </c>
      <c r="C238" s="643" t="s">
        <v>5635</v>
      </c>
      <c r="D238" s="644">
        <f>SUMIF('Orcamento RU Viora Build'!$A:$A,A238,'Orcamento RU Viora Build'!$F:$F)</f>
        <v>21.85</v>
      </c>
      <c r="E238" s="645">
        <f t="shared" si="72"/>
        <v>0</v>
      </c>
      <c r="F238" s="646">
        <f t="shared" si="73"/>
        <v>0</v>
      </c>
      <c r="G238" s="782"/>
      <c r="H238" s="666"/>
      <c r="I238" s="679"/>
      <c r="J238" s="743"/>
      <c r="K238" s="679"/>
      <c r="L238" s="679"/>
      <c r="M238" s="679"/>
      <c r="N238" s="659">
        <f t="shared" si="74"/>
        <v>0.3</v>
      </c>
      <c r="O238" s="744"/>
      <c r="P238" s="744"/>
      <c r="Q238" s="768" t="s">
        <v>6022</v>
      </c>
      <c r="R238" s="1"/>
      <c r="S238" s="685"/>
      <c r="T238" s="686"/>
      <c r="U238" s="1"/>
      <c r="V238" s="1"/>
      <c r="W238" s="1"/>
      <c r="X238" s="1"/>
      <c r="Y238" s="1"/>
    </row>
    <row r="239" ht="12.75" customHeight="1">
      <c r="A239" s="641" t="s">
        <v>6265</v>
      </c>
      <c r="B239" s="798" t="s">
        <v>6266</v>
      </c>
      <c r="C239" s="643" t="s">
        <v>5636</v>
      </c>
      <c r="D239" s="644">
        <f>SUMIF('Orcamento RU Viora Build'!$A:$A,A239,'Orcamento RU Viora Build'!$F:$F)</f>
        <v>2</v>
      </c>
      <c r="E239" s="645">
        <f t="shared" si="72"/>
        <v>105.3</v>
      </c>
      <c r="F239" s="646">
        <f t="shared" si="73"/>
        <v>210.6</v>
      </c>
      <c r="G239" s="782"/>
      <c r="H239" s="666"/>
      <c r="I239" s="658">
        <v>81.0</v>
      </c>
      <c r="J239" s="650">
        <v>0.0</v>
      </c>
      <c r="K239" s="649">
        <f t="shared" ref="K239:K278" si="83">I239-I239*J239</f>
        <v>81</v>
      </c>
      <c r="L239" s="649">
        <f t="shared" ref="L239:L278" si="84">K239*D239</f>
        <v>162</v>
      </c>
      <c r="M239" s="651">
        <f t="shared" ref="M239:M278" si="85">F239-L239</f>
        <v>48.6</v>
      </c>
      <c r="N239" s="659">
        <f t="shared" si="74"/>
        <v>0.3</v>
      </c>
      <c r="O239" s="675">
        <f t="shared" ref="O239:O278" si="86">M239/F239</f>
        <v>0.2307692308</v>
      </c>
      <c r="P239" s="660" t="s">
        <v>6185</v>
      </c>
      <c r="Q239" s="698"/>
      <c r="R239" s="1"/>
      <c r="S239" s="668"/>
      <c r="T239" s="669"/>
      <c r="U239" s="1"/>
      <c r="V239" s="1"/>
      <c r="W239" s="1"/>
      <c r="X239" s="1"/>
      <c r="Y239" s="1"/>
    </row>
    <row r="240" ht="12.75" customHeight="1">
      <c r="A240" s="641" t="s">
        <v>6267</v>
      </c>
      <c r="B240" s="798" t="s">
        <v>6268</v>
      </c>
      <c r="C240" s="643" t="s">
        <v>5635</v>
      </c>
      <c r="D240" s="644">
        <f>SUMIF('Orcamento RU Viora Build'!$A:$A,A240,'Orcamento RU Viora Build'!$F:$F)</f>
        <v>22.6</v>
      </c>
      <c r="E240" s="645">
        <f t="shared" si="72"/>
        <v>88.998</v>
      </c>
      <c r="F240" s="646">
        <f t="shared" si="73"/>
        <v>2011.3548</v>
      </c>
      <c r="G240" s="782"/>
      <c r="H240" s="666"/>
      <c r="I240" s="658">
        <v>68.46</v>
      </c>
      <c r="J240" s="650">
        <v>0.0</v>
      </c>
      <c r="K240" s="649">
        <f t="shared" si="83"/>
        <v>68.46</v>
      </c>
      <c r="L240" s="649">
        <f t="shared" si="84"/>
        <v>1547.196</v>
      </c>
      <c r="M240" s="651">
        <f t="shared" si="85"/>
        <v>464.1588</v>
      </c>
      <c r="N240" s="659">
        <f t="shared" si="74"/>
        <v>0.3</v>
      </c>
      <c r="O240" s="675">
        <f t="shared" si="86"/>
        <v>0.2307692308</v>
      </c>
      <c r="P240" s="660" t="s">
        <v>6269</v>
      </c>
      <c r="Q240" s="698"/>
      <c r="R240" s="1"/>
      <c r="S240" s="668"/>
      <c r="T240" s="669"/>
      <c r="U240" s="1"/>
      <c r="V240" s="1"/>
      <c r="W240" s="1"/>
      <c r="X240" s="1"/>
      <c r="Y240" s="1"/>
    </row>
    <row r="241" ht="12.75" customHeight="1">
      <c r="A241" s="641" t="s">
        <v>6270</v>
      </c>
      <c r="B241" s="798" t="s">
        <v>6271</v>
      </c>
      <c r="C241" s="643" t="s">
        <v>5636</v>
      </c>
      <c r="D241" s="644">
        <f>SUMIF('Orcamento RU Viora Build'!$A:$A,A241,'Orcamento RU Viora Build'!$F:$F)</f>
        <v>1</v>
      </c>
      <c r="E241" s="645">
        <f t="shared" si="72"/>
        <v>1124.69175</v>
      </c>
      <c r="F241" s="646">
        <f t="shared" si="73"/>
        <v>1124.69175</v>
      </c>
      <c r="G241" s="782"/>
      <c r="H241" s="666"/>
      <c r="I241" s="658">
        <v>1153.53</v>
      </c>
      <c r="J241" s="695">
        <v>0.25</v>
      </c>
      <c r="K241" s="649">
        <f t="shared" si="83"/>
        <v>865.1475</v>
      </c>
      <c r="L241" s="649">
        <f t="shared" si="84"/>
        <v>865.1475</v>
      </c>
      <c r="M241" s="651">
        <f t="shared" si="85"/>
        <v>259.54425</v>
      </c>
      <c r="N241" s="659">
        <f t="shared" si="74"/>
        <v>0.3</v>
      </c>
      <c r="O241" s="675">
        <f t="shared" si="86"/>
        <v>0.2307692308</v>
      </c>
      <c r="P241" s="660" t="s">
        <v>6272</v>
      </c>
      <c r="Q241" s="698"/>
      <c r="R241" s="1"/>
      <c r="S241" s="668"/>
      <c r="T241" s="669"/>
      <c r="U241" s="1"/>
      <c r="V241" s="1"/>
      <c r="W241" s="1"/>
      <c r="X241" s="1"/>
      <c r="Y241" s="1"/>
    </row>
    <row r="242" ht="12.75" customHeight="1">
      <c r="A242" s="641" t="s">
        <v>6273</v>
      </c>
      <c r="B242" s="798" t="s">
        <v>6274</v>
      </c>
      <c r="C242" s="643" t="s">
        <v>5636</v>
      </c>
      <c r="D242" s="644">
        <f>SUMIF('Orcamento RU Viora Build'!$A:$A,A242,'Orcamento RU Viora Build'!$F:$F)</f>
        <v>1</v>
      </c>
      <c r="E242" s="645">
        <f t="shared" si="72"/>
        <v>443.248</v>
      </c>
      <c r="F242" s="646">
        <f t="shared" si="73"/>
        <v>443.248</v>
      </c>
      <c r="G242" s="782"/>
      <c r="H242" s="666"/>
      <c r="I242" s="658">
        <v>340.96</v>
      </c>
      <c r="J242" s="650">
        <v>0.0</v>
      </c>
      <c r="K242" s="649">
        <f t="shared" si="83"/>
        <v>340.96</v>
      </c>
      <c r="L242" s="649">
        <f t="shared" si="84"/>
        <v>340.96</v>
      </c>
      <c r="M242" s="651">
        <f t="shared" si="85"/>
        <v>102.288</v>
      </c>
      <c r="N242" s="659">
        <f t="shared" si="74"/>
        <v>0.3</v>
      </c>
      <c r="O242" s="675">
        <f t="shared" si="86"/>
        <v>0.2307692308</v>
      </c>
      <c r="P242" s="660" t="s">
        <v>6275</v>
      </c>
      <c r="Q242" s="698"/>
      <c r="R242" s="1"/>
      <c r="S242" s="668"/>
      <c r="T242" s="669"/>
      <c r="U242" s="1"/>
      <c r="V242" s="1"/>
      <c r="W242" s="1"/>
      <c r="X242" s="1"/>
      <c r="Y242" s="1"/>
    </row>
    <row r="243" ht="12.75" customHeight="1">
      <c r="A243" s="641" t="s">
        <v>6276</v>
      </c>
      <c r="B243" s="798" t="s">
        <v>6277</v>
      </c>
      <c r="C243" s="643" t="s">
        <v>5631</v>
      </c>
      <c r="D243" s="644">
        <f>SUMIF('Orcamento RU Viora Build'!$A:$A,A243,'Orcamento RU Viora Build'!$F:$F)</f>
        <v>113.577</v>
      </c>
      <c r="E243" s="645">
        <f t="shared" si="72"/>
        <v>0.845</v>
      </c>
      <c r="F243" s="646">
        <f t="shared" si="73"/>
        <v>95.972565</v>
      </c>
      <c r="G243" s="782"/>
      <c r="H243" s="666"/>
      <c r="I243" s="658">
        <v>0.65</v>
      </c>
      <c r="J243" s="650">
        <v>0.0</v>
      </c>
      <c r="K243" s="649">
        <f t="shared" si="83"/>
        <v>0.65</v>
      </c>
      <c r="L243" s="649">
        <f t="shared" si="84"/>
        <v>73.82505</v>
      </c>
      <c r="M243" s="651">
        <f t="shared" si="85"/>
        <v>22.147515</v>
      </c>
      <c r="N243" s="659">
        <f t="shared" si="74"/>
        <v>0.3</v>
      </c>
      <c r="O243" s="675">
        <f t="shared" si="86"/>
        <v>0.2307692308</v>
      </c>
      <c r="P243" s="660" t="s">
        <v>6278</v>
      </c>
      <c r="Q243" s="698"/>
      <c r="R243" s="1"/>
      <c r="S243" s="668"/>
      <c r="T243" s="669"/>
      <c r="U243" s="1"/>
      <c r="V243" s="1"/>
      <c r="W243" s="1"/>
      <c r="X243" s="1"/>
      <c r="Y243" s="1"/>
    </row>
    <row r="244" ht="12.75" customHeight="1">
      <c r="A244" s="641" t="s">
        <v>6279</v>
      </c>
      <c r="B244" s="798" t="s">
        <v>6280</v>
      </c>
      <c r="C244" s="643" t="s">
        <v>5631</v>
      </c>
      <c r="D244" s="644">
        <f>SUMIF('Orcamento RU Viora Build'!$A:$A,A244,'Orcamento RU Viora Build'!$F:$F)</f>
        <v>1.734</v>
      </c>
      <c r="E244" s="645">
        <f t="shared" si="72"/>
        <v>1.378</v>
      </c>
      <c r="F244" s="646">
        <f t="shared" si="73"/>
        <v>2.389452</v>
      </c>
      <c r="G244" s="782"/>
      <c r="H244" s="666"/>
      <c r="I244" s="658">
        <v>1.06</v>
      </c>
      <c r="J244" s="650">
        <v>0.0</v>
      </c>
      <c r="K244" s="649">
        <f t="shared" si="83"/>
        <v>1.06</v>
      </c>
      <c r="L244" s="649">
        <f t="shared" si="84"/>
        <v>1.83804</v>
      </c>
      <c r="M244" s="651">
        <f t="shared" si="85"/>
        <v>0.551412</v>
      </c>
      <c r="N244" s="659">
        <f t="shared" si="74"/>
        <v>0.3</v>
      </c>
      <c r="O244" s="675">
        <f t="shared" si="86"/>
        <v>0.2307692308</v>
      </c>
      <c r="P244" s="660" t="s">
        <v>6281</v>
      </c>
      <c r="Q244" s="698"/>
      <c r="R244" s="1"/>
      <c r="S244" s="668"/>
      <c r="T244" s="669"/>
      <c r="U244" s="1"/>
      <c r="V244" s="1"/>
      <c r="W244" s="1"/>
      <c r="X244" s="1"/>
      <c r="Y244" s="1"/>
    </row>
    <row r="245" ht="12.75" customHeight="1">
      <c r="A245" s="641" t="s">
        <v>6282</v>
      </c>
      <c r="B245" s="798" t="s">
        <v>6283</v>
      </c>
      <c r="C245" s="643" t="s">
        <v>5631</v>
      </c>
      <c r="D245" s="644">
        <f>SUMIF('Orcamento RU Viora Build'!$A:$A,A245,'Orcamento RU Viora Build'!$F:$F)</f>
        <v>43.248</v>
      </c>
      <c r="E245" s="645">
        <f t="shared" si="72"/>
        <v>4.576</v>
      </c>
      <c r="F245" s="646">
        <f t="shared" si="73"/>
        <v>197.902848</v>
      </c>
      <c r="G245" s="782"/>
      <c r="H245" s="666"/>
      <c r="I245" s="658">
        <v>3.52</v>
      </c>
      <c r="J245" s="650">
        <v>0.0</v>
      </c>
      <c r="K245" s="649">
        <f t="shared" si="83"/>
        <v>3.52</v>
      </c>
      <c r="L245" s="649">
        <f t="shared" si="84"/>
        <v>152.23296</v>
      </c>
      <c r="M245" s="651">
        <f t="shared" si="85"/>
        <v>45.669888</v>
      </c>
      <c r="N245" s="659">
        <f t="shared" si="74"/>
        <v>0.3</v>
      </c>
      <c r="O245" s="675">
        <f t="shared" si="86"/>
        <v>0.2307692308</v>
      </c>
      <c r="P245" s="660" t="s">
        <v>6284</v>
      </c>
      <c r="Q245" s="698"/>
      <c r="R245" s="1"/>
      <c r="S245" s="668"/>
      <c r="T245" s="669"/>
      <c r="U245" s="1"/>
      <c r="V245" s="1"/>
      <c r="W245" s="1"/>
      <c r="X245" s="1"/>
      <c r="Y245" s="1"/>
    </row>
    <row r="246" ht="12.75" customHeight="1">
      <c r="A246" s="641" t="s">
        <v>6285</v>
      </c>
      <c r="B246" s="798" t="s">
        <v>6286</v>
      </c>
      <c r="C246" s="643" t="s">
        <v>5631</v>
      </c>
      <c r="D246" s="644">
        <f>SUMIF('Orcamento RU Viora Build'!$A:$A,A246,'Orcamento RU Viora Build'!$F:$F)</f>
        <v>223.9716</v>
      </c>
      <c r="E246" s="645">
        <f t="shared" si="72"/>
        <v>3.627</v>
      </c>
      <c r="F246" s="646">
        <f t="shared" si="73"/>
        <v>812.3449932</v>
      </c>
      <c r="G246" s="782"/>
      <c r="H246" s="666"/>
      <c r="I246" s="658">
        <v>2.79</v>
      </c>
      <c r="J246" s="688">
        <v>0.0</v>
      </c>
      <c r="K246" s="689">
        <f t="shared" si="83"/>
        <v>2.79</v>
      </c>
      <c r="L246" s="689">
        <f t="shared" si="84"/>
        <v>624.880764</v>
      </c>
      <c r="M246" s="690">
        <f t="shared" si="85"/>
        <v>187.4642292</v>
      </c>
      <c r="N246" s="659">
        <f t="shared" si="74"/>
        <v>0.3</v>
      </c>
      <c r="O246" s="675">
        <f t="shared" si="86"/>
        <v>0.2307692308</v>
      </c>
      <c r="P246" s="660" t="s">
        <v>6287</v>
      </c>
      <c r="Q246" s="698"/>
      <c r="R246" s="1"/>
      <c r="S246" s="668"/>
      <c r="T246" s="669"/>
      <c r="U246" s="1"/>
      <c r="V246" s="1"/>
      <c r="W246" s="1"/>
      <c r="X246" s="1"/>
      <c r="Y246" s="1"/>
    </row>
    <row r="247" ht="12.75" customHeight="1">
      <c r="A247" s="641" t="s">
        <v>6288</v>
      </c>
      <c r="B247" s="798" t="s">
        <v>6289</v>
      </c>
      <c r="C247" s="643" t="s">
        <v>5631</v>
      </c>
      <c r="D247" s="644">
        <f>SUMIF('Orcamento RU Viora Build'!$A:$A,A247,'Orcamento RU Viora Build'!$F:$F)</f>
        <v>224.9202</v>
      </c>
      <c r="E247" s="645">
        <f t="shared" si="72"/>
        <v>5.395</v>
      </c>
      <c r="F247" s="646">
        <f t="shared" si="73"/>
        <v>1213.444479</v>
      </c>
      <c r="G247" s="782"/>
      <c r="H247" s="666"/>
      <c r="I247" s="658">
        <v>4.15</v>
      </c>
      <c r="J247" s="688">
        <v>0.0</v>
      </c>
      <c r="K247" s="689">
        <f t="shared" si="83"/>
        <v>4.15</v>
      </c>
      <c r="L247" s="689">
        <f t="shared" si="84"/>
        <v>933.41883</v>
      </c>
      <c r="M247" s="690">
        <f t="shared" si="85"/>
        <v>280.025649</v>
      </c>
      <c r="N247" s="659">
        <f t="shared" si="74"/>
        <v>0.3</v>
      </c>
      <c r="O247" s="675">
        <f t="shared" si="86"/>
        <v>0.2307692308</v>
      </c>
      <c r="P247" s="660" t="s">
        <v>6287</v>
      </c>
      <c r="Q247" s="698"/>
      <c r="R247" s="1"/>
      <c r="S247" s="668"/>
      <c r="T247" s="669"/>
      <c r="U247" s="1"/>
      <c r="V247" s="1"/>
      <c r="W247" s="1"/>
      <c r="X247" s="1"/>
      <c r="Y247" s="1"/>
    </row>
    <row r="248" ht="12.75" customHeight="1">
      <c r="A248" s="641" t="s">
        <v>6290</v>
      </c>
      <c r="B248" s="798" t="s">
        <v>6291</v>
      </c>
      <c r="C248" s="643" t="s">
        <v>5631</v>
      </c>
      <c r="D248" s="644">
        <f>SUMIF('Orcamento RU Viora Build'!$A:$A,A248,'Orcamento RU Viora Build'!$F:$F)</f>
        <v>139.9746</v>
      </c>
      <c r="E248" s="645">
        <f t="shared" si="72"/>
        <v>7.722</v>
      </c>
      <c r="F248" s="646">
        <f t="shared" si="73"/>
        <v>1080.883861</v>
      </c>
      <c r="G248" s="782"/>
      <c r="H248" s="666"/>
      <c r="I248" s="658">
        <v>5.94</v>
      </c>
      <c r="J248" s="688">
        <v>0.0</v>
      </c>
      <c r="K248" s="689">
        <f t="shared" si="83"/>
        <v>5.94</v>
      </c>
      <c r="L248" s="689">
        <f t="shared" si="84"/>
        <v>831.449124</v>
      </c>
      <c r="M248" s="690">
        <f t="shared" si="85"/>
        <v>249.4347372</v>
      </c>
      <c r="N248" s="659">
        <f t="shared" si="74"/>
        <v>0.3</v>
      </c>
      <c r="O248" s="675">
        <f t="shared" si="86"/>
        <v>0.2307692308</v>
      </c>
      <c r="P248" s="660" t="s">
        <v>6287</v>
      </c>
      <c r="Q248" s="698"/>
      <c r="R248" s="1"/>
      <c r="S248" s="668"/>
      <c r="T248" s="669"/>
      <c r="U248" s="1"/>
      <c r="V248" s="1"/>
      <c r="W248" s="1"/>
      <c r="X248" s="1"/>
      <c r="Y248" s="1"/>
    </row>
    <row r="249" ht="12.75" customHeight="1">
      <c r="A249" s="641" t="s">
        <v>6292</v>
      </c>
      <c r="B249" s="798" t="s">
        <v>6293</v>
      </c>
      <c r="C249" s="643" t="s">
        <v>5631</v>
      </c>
      <c r="D249" s="644">
        <f>SUMIF('Orcamento RU Viora Build'!$A:$A,A249,'Orcamento RU Viora Build'!$F:$F)</f>
        <v>120.0948</v>
      </c>
      <c r="E249" s="645">
        <f t="shared" si="72"/>
        <v>10.647</v>
      </c>
      <c r="F249" s="646">
        <f t="shared" si="73"/>
        <v>1278.649336</v>
      </c>
      <c r="G249" s="782"/>
      <c r="H249" s="666"/>
      <c r="I249" s="658">
        <v>13.65</v>
      </c>
      <c r="J249" s="695">
        <v>0.4</v>
      </c>
      <c r="K249" s="689">
        <f t="shared" si="83"/>
        <v>8.19</v>
      </c>
      <c r="L249" s="689">
        <f t="shared" si="84"/>
        <v>983.576412</v>
      </c>
      <c r="M249" s="690">
        <f t="shared" si="85"/>
        <v>295.0729236</v>
      </c>
      <c r="N249" s="659">
        <f t="shared" si="74"/>
        <v>0.3</v>
      </c>
      <c r="O249" s="675">
        <f t="shared" si="86"/>
        <v>0.2307692308</v>
      </c>
      <c r="P249" s="660" t="s">
        <v>6287</v>
      </c>
      <c r="Q249" s="698"/>
      <c r="R249" s="1"/>
      <c r="S249" s="668"/>
      <c r="T249" s="669"/>
      <c r="U249" s="1"/>
      <c r="V249" s="1"/>
      <c r="W249" s="1"/>
      <c r="X249" s="1"/>
      <c r="Y249" s="1"/>
    </row>
    <row r="250" ht="12.75" customHeight="1">
      <c r="A250" s="641" t="s">
        <v>6294</v>
      </c>
      <c r="B250" s="798" t="s">
        <v>6295</v>
      </c>
      <c r="C250" s="643" t="s">
        <v>5631</v>
      </c>
      <c r="D250" s="644">
        <f>SUMIF('Orcamento RU Viora Build'!$A:$A,A250,'Orcamento RU Viora Build'!$F:$F)</f>
        <v>38.0256</v>
      </c>
      <c r="E250" s="645">
        <f t="shared" si="72"/>
        <v>19.032</v>
      </c>
      <c r="F250" s="646">
        <f t="shared" si="73"/>
        <v>723.7032192</v>
      </c>
      <c r="G250" s="782"/>
      <c r="H250" s="666"/>
      <c r="I250" s="658">
        <v>24.4</v>
      </c>
      <c r="J250" s="695">
        <v>0.4</v>
      </c>
      <c r="K250" s="689">
        <f t="shared" si="83"/>
        <v>14.64</v>
      </c>
      <c r="L250" s="689">
        <f t="shared" si="84"/>
        <v>556.694784</v>
      </c>
      <c r="M250" s="690">
        <f t="shared" si="85"/>
        <v>167.0084352</v>
      </c>
      <c r="N250" s="659">
        <f t="shared" si="74"/>
        <v>0.3</v>
      </c>
      <c r="O250" s="675">
        <f t="shared" si="86"/>
        <v>0.2307692308</v>
      </c>
      <c r="P250" s="660" t="s">
        <v>6287</v>
      </c>
      <c r="Q250" s="698"/>
      <c r="R250" s="1"/>
      <c r="S250" s="668"/>
      <c r="T250" s="669"/>
      <c r="U250" s="1"/>
      <c r="V250" s="1"/>
      <c r="W250" s="1"/>
      <c r="X250" s="1"/>
      <c r="Y250" s="1"/>
    </row>
    <row r="251" ht="12.75" customHeight="1">
      <c r="A251" s="641" t="s">
        <v>6296</v>
      </c>
      <c r="B251" s="798" t="s">
        <v>6297</v>
      </c>
      <c r="C251" s="643" t="s">
        <v>5631</v>
      </c>
      <c r="D251" s="644">
        <f>SUMIF('Orcamento RU Viora Build'!$A:$A,A251,'Orcamento RU Viora Build'!$F:$F)</f>
        <v>88.7604</v>
      </c>
      <c r="E251" s="645">
        <f t="shared" si="72"/>
        <v>5.369</v>
      </c>
      <c r="F251" s="646">
        <f t="shared" si="73"/>
        <v>476.5545876</v>
      </c>
      <c r="G251" s="782"/>
      <c r="H251" s="666"/>
      <c r="I251" s="658">
        <v>4.13</v>
      </c>
      <c r="J251" s="695">
        <v>0.0</v>
      </c>
      <c r="K251" s="689">
        <f t="shared" si="83"/>
        <v>4.13</v>
      </c>
      <c r="L251" s="689">
        <f t="shared" si="84"/>
        <v>366.580452</v>
      </c>
      <c r="M251" s="690">
        <f t="shared" si="85"/>
        <v>109.9741356</v>
      </c>
      <c r="N251" s="659">
        <f t="shared" si="74"/>
        <v>0.3</v>
      </c>
      <c r="O251" s="675">
        <f t="shared" si="86"/>
        <v>0.2307692308</v>
      </c>
      <c r="P251" s="660" t="s">
        <v>6287</v>
      </c>
      <c r="Q251" s="698"/>
      <c r="R251" s="1"/>
      <c r="S251" s="668"/>
      <c r="T251" s="669"/>
      <c r="U251" s="1"/>
      <c r="V251" s="1"/>
      <c r="W251" s="1"/>
      <c r="X251" s="1"/>
      <c r="Y251" s="1"/>
    </row>
    <row r="252" ht="12.75" customHeight="1">
      <c r="A252" s="641" t="s">
        <v>6298</v>
      </c>
      <c r="B252" s="798" t="s">
        <v>6299</v>
      </c>
      <c r="C252" s="643" t="s">
        <v>5631</v>
      </c>
      <c r="D252" s="644">
        <f>SUMIF('Orcamento RU Viora Build'!$A:$A,A252,'Orcamento RU Viora Build'!$F:$F)</f>
        <v>170.2992</v>
      </c>
      <c r="E252" s="645">
        <f t="shared" si="72"/>
        <v>21.697</v>
      </c>
      <c r="F252" s="646">
        <f t="shared" si="73"/>
        <v>3694.981742</v>
      </c>
      <c r="G252" s="782"/>
      <c r="H252" s="666"/>
      <c r="I252" s="658">
        <v>16.69</v>
      </c>
      <c r="J252" s="695">
        <v>0.0</v>
      </c>
      <c r="K252" s="689">
        <f t="shared" si="83"/>
        <v>16.69</v>
      </c>
      <c r="L252" s="689">
        <f t="shared" si="84"/>
        <v>2842.293648</v>
      </c>
      <c r="M252" s="690">
        <f t="shared" si="85"/>
        <v>852.6880944</v>
      </c>
      <c r="N252" s="659">
        <f t="shared" si="74"/>
        <v>0.3</v>
      </c>
      <c r="O252" s="675">
        <f t="shared" si="86"/>
        <v>0.2307692308</v>
      </c>
      <c r="P252" s="660" t="s">
        <v>6287</v>
      </c>
      <c r="Q252" s="698"/>
      <c r="R252" s="1"/>
      <c r="S252" s="668"/>
      <c r="T252" s="669"/>
      <c r="U252" s="1"/>
      <c r="V252" s="1"/>
      <c r="W252" s="1"/>
      <c r="X252" s="1"/>
      <c r="Y252" s="1"/>
    </row>
    <row r="253" ht="12.75" customHeight="1">
      <c r="A253" s="641" t="s">
        <v>6300</v>
      </c>
      <c r="B253" s="798" t="s">
        <v>6301</v>
      </c>
      <c r="C253" s="643" t="s">
        <v>5631</v>
      </c>
      <c r="D253" s="644">
        <f>SUMIF('Orcamento RU Viora Build'!$A:$A,A253,'Orcamento RU Viora Build'!$F:$F)</f>
        <v>19.5738</v>
      </c>
      <c r="E253" s="645">
        <f t="shared" si="72"/>
        <v>1.547</v>
      </c>
      <c r="F253" s="646">
        <f t="shared" si="73"/>
        <v>30.2806686</v>
      </c>
      <c r="G253" s="782"/>
      <c r="H253" s="666"/>
      <c r="I253" s="658">
        <v>1.19</v>
      </c>
      <c r="J253" s="695">
        <v>0.0</v>
      </c>
      <c r="K253" s="689">
        <f t="shared" si="83"/>
        <v>1.19</v>
      </c>
      <c r="L253" s="689">
        <f t="shared" si="84"/>
        <v>23.292822</v>
      </c>
      <c r="M253" s="690">
        <f t="shared" si="85"/>
        <v>6.9878466</v>
      </c>
      <c r="N253" s="659">
        <f t="shared" si="74"/>
        <v>0.3</v>
      </c>
      <c r="O253" s="675">
        <f t="shared" si="86"/>
        <v>0.2307692308</v>
      </c>
      <c r="P253" s="660" t="s">
        <v>6287</v>
      </c>
      <c r="Q253" s="698"/>
      <c r="R253" s="1"/>
      <c r="S253" s="668"/>
      <c r="T253" s="669"/>
      <c r="U253" s="1"/>
      <c r="V253" s="1"/>
      <c r="W253" s="1"/>
      <c r="X253" s="1"/>
      <c r="Y253" s="1"/>
    </row>
    <row r="254" ht="12.75" customHeight="1">
      <c r="A254" s="641" t="s">
        <v>6302</v>
      </c>
      <c r="B254" s="798" t="s">
        <v>6303</v>
      </c>
      <c r="C254" s="643" t="s">
        <v>5631</v>
      </c>
      <c r="D254" s="644">
        <f>SUMIF('Orcamento RU Viora Build'!$A:$A,A254,'Orcamento RU Viora Build'!$F:$F)</f>
        <v>14.1882</v>
      </c>
      <c r="E254" s="645">
        <f t="shared" si="72"/>
        <v>2.86</v>
      </c>
      <c r="F254" s="646">
        <f t="shared" si="73"/>
        <v>40.578252</v>
      </c>
      <c r="G254" s="782"/>
      <c r="H254" s="666"/>
      <c r="I254" s="658">
        <v>2.2</v>
      </c>
      <c r="J254" s="695">
        <v>0.0</v>
      </c>
      <c r="K254" s="689">
        <f t="shared" si="83"/>
        <v>2.2</v>
      </c>
      <c r="L254" s="689">
        <f t="shared" si="84"/>
        <v>31.21404</v>
      </c>
      <c r="M254" s="690">
        <f t="shared" si="85"/>
        <v>9.364212</v>
      </c>
      <c r="N254" s="659">
        <f t="shared" si="74"/>
        <v>0.3</v>
      </c>
      <c r="O254" s="675">
        <f t="shared" si="86"/>
        <v>0.2307692308</v>
      </c>
      <c r="P254" s="660" t="s">
        <v>6287</v>
      </c>
      <c r="Q254" s="698"/>
      <c r="R254" s="1"/>
      <c r="S254" s="668"/>
      <c r="T254" s="669"/>
      <c r="U254" s="1"/>
      <c r="V254" s="1"/>
      <c r="W254" s="1"/>
      <c r="X254" s="1"/>
      <c r="Y254" s="1"/>
    </row>
    <row r="255" ht="12.75" customHeight="1">
      <c r="A255" s="641" t="s">
        <v>6304</v>
      </c>
      <c r="B255" s="798" t="s">
        <v>6305</v>
      </c>
      <c r="C255" s="643" t="s">
        <v>5631</v>
      </c>
      <c r="D255" s="644">
        <f>SUMIF('Orcamento RU Viora Build'!$A:$A,A255,'Orcamento RU Viora Build'!$F:$F)</f>
        <v>15.8712</v>
      </c>
      <c r="E255" s="645">
        <f t="shared" si="72"/>
        <v>4.433</v>
      </c>
      <c r="F255" s="646">
        <f t="shared" si="73"/>
        <v>70.3570296</v>
      </c>
      <c r="G255" s="782"/>
      <c r="H255" s="666"/>
      <c r="I255" s="658">
        <v>3.41</v>
      </c>
      <c r="J255" s="695">
        <v>0.0</v>
      </c>
      <c r="K255" s="689">
        <f t="shared" si="83"/>
        <v>3.41</v>
      </c>
      <c r="L255" s="689">
        <f t="shared" si="84"/>
        <v>54.120792</v>
      </c>
      <c r="M255" s="690">
        <f t="shared" si="85"/>
        <v>16.2362376</v>
      </c>
      <c r="N255" s="659">
        <f t="shared" si="74"/>
        <v>0.3</v>
      </c>
      <c r="O255" s="675">
        <f t="shared" si="86"/>
        <v>0.2307692308</v>
      </c>
      <c r="P255" s="660" t="s">
        <v>6287</v>
      </c>
      <c r="Q255" s="698"/>
      <c r="R255" s="1"/>
      <c r="S255" s="668"/>
      <c r="T255" s="669"/>
      <c r="U255" s="1"/>
      <c r="V255" s="1"/>
      <c r="W255" s="1"/>
      <c r="X255" s="1"/>
      <c r="Y255" s="1"/>
    </row>
    <row r="256" ht="12.75" customHeight="1">
      <c r="A256" s="641" t="s">
        <v>6306</v>
      </c>
      <c r="B256" s="798" t="s">
        <v>6307</v>
      </c>
      <c r="C256" s="643" t="s">
        <v>5631</v>
      </c>
      <c r="D256" s="644">
        <f>SUMIF('Orcamento RU Viora Build'!$A:$A,A256,'Orcamento RU Viora Build'!$F:$F)</f>
        <v>53.0196</v>
      </c>
      <c r="E256" s="645">
        <f t="shared" si="72"/>
        <v>4.433</v>
      </c>
      <c r="F256" s="646">
        <f t="shared" si="73"/>
        <v>235.0358868</v>
      </c>
      <c r="G256" s="782"/>
      <c r="H256" s="666"/>
      <c r="I256" s="658">
        <v>3.41</v>
      </c>
      <c r="J256" s="695">
        <v>0.0</v>
      </c>
      <c r="K256" s="689">
        <f t="shared" si="83"/>
        <v>3.41</v>
      </c>
      <c r="L256" s="689">
        <f t="shared" si="84"/>
        <v>180.796836</v>
      </c>
      <c r="M256" s="690">
        <f t="shared" si="85"/>
        <v>54.2390508</v>
      </c>
      <c r="N256" s="659">
        <f t="shared" si="74"/>
        <v>0.3</v>
      </c>
      <c r="O256" s="675">
        <f t="shared" si="86"/>
        <v>0.2307692308</v>
      </c>
      <c r="P256" s="660" t="s">
        <v>6287</v>
      </c>
      <c r="Q256" s="698"/>
      <c r="R256" s="1"/>
      <c r="S256" s="668"/>
      <c r="T256" s="669"/>
      <c r="U256" s="1"/>
      <c r="V256" s="1"/>
      <c r="W256" s="1"/>
      <c r="X256" s="1"/>
      <c r="Y256" s="1"/>
    </row>
    <row r="257" ht="12.75" customHeight="1">
      <c r="A257" s="641" t="s">
        <v>6308</v>
      </c>
      <c r="B257" s="798" t="s">
        <v>6309</v>
      </c>
      <c r="C257" s="643" t="s">
        <v>5631</v>
      </c>
      <c r="D257" s="644">
        <f>SUMIF('Orcamento RU Viora Build'!$A:$A,A257,'Orcamento RU Viora Build'!$F:$F)</f>
        <v>37.077</v>
      </c>
      <c r="E257" s="645">
        <f t="shared" si="72"/>
        <v>10.998</v>
      </c>
      <c r="F257" s="646">
        <f t="shared" si="73"/>
        <v>407.772846</v>
      </c>
      <c r="G257" s="782"/>
      <c r="H257" s="666"/>
      <c r="I257" s="658">
        <v>8.46</v>
      </c>
      <c r="J257" s="695">
        <v>0.0</v>
      </c>
      <c r="K257" s="689">
        <f t="shared" si="83"/>
        <v>8.46</v>
      </c>
      <c r="L257" s="689">
        <f t="shared" si="84"/>
        <v>313.67142</v>
      </c>
      <c r="M257" s="690">
        <f t="shared" si="85"/>
        <v>94.101426</v>
      </c>
      <c r="N257" s="659">
        <f t="shared" si="74"/>
        <v>0.3</v>
      </c>
      <c r="O257" s="675">
        <f t="shared" si="86"/>
        <v>0.2307692308</v>
      </c>
      <c r="P257" s="660" t="s">
        <v>6287</v>
      </c>
      <c r="Q257" s="698"/>
      <c r="R257" s="1"/>
      <c r="S257" s="668"/>
      <c r="T257" s="669"/>
      <c r="U257" s="1"/>
      <c r="V257" s="1"/>
      <c r="W257" s="1"/>
      <c r="X257" s="1"/>
      <c r="Y257" s="1"/>
    </row>
    <row r="258" ht="12.75" customHeight="1">
      <c r="A258" s="641" t="s">
        <v>6310</v>
      </c>
      <c r="B258" s="798" t="s">
        <v>6311</v>
      </c>
      <c r="C258" s="643" t="s">
        <v>5631</v>
      </c>
      <c r="D258" s="644">
        <f>SUMIF('Orcamento RU Viora Build'!$A:$A,A258,'Orcamento RU Viora Build'!$F:$F)</f>
        <v>167.5554</v>
      </c>
      <c r="E258" s="645">
        <f t="shared" si="72"/>
        <v>17.875</v>
      </c>
      <c r="F258" s="646">
        <f t="shared" si="73"/>
        <v>2995.052775</v>
      </c>
      <c r="G258" s="782"/>
      <c r="H258" s="666"/>
      <c r="I258" s="658">
        <v>13.75</v>
      </c>
      <c r="J258" s="695">
        <v>0.0</v>
      </c>
      <c r="K258" s="689">
        <f t="shared" si="83"/>
        <v>13.75</v>
      </c>
      <c r="L258" s="689">
        <f t="shared" si="84"/>
        <v>2303.88675</v>
      </c>
      <c r="M258" s="690">
        <f t="shared" si="85"/>
        <v>691.166025</v>
      </c>
      <c r="N258" s="659">
        <f t="shared" si="74"/>
        <v>0.3</v>
      </c>
      <c r="O258" s="675">
        <f t="shared" si="86"/>
        <v>0.2307692308</v>
      </c>
      <c r="P258" s="660" t="s">
        <v>6287</v>
      </c>
      <c r="Q258" s="698"/>
      <c r="R258" s="1"/>
      <c r="S258" s="668"/>
      <c r="T258" s="669"/>
      <c r="U258" s="1"/>
      <c r="V258" s="1"/>
      <c r="W258" s="1"/>
      <c r="X258" s="1"/>
      <c r="Y258" s="1"/>
    </row>
    <row r="259" ht="12.75" customHeight="1">
      <c r="A259" s="641" t="s">
        <v>6312</v>
      </c>
      <c r="B259" s="798" t="s">
        <v>6313</v>
      </c>
      <c r="C259" s="643" t="s">
        <v>5631</v>
      </c>
      <c r="D259" s="644">
        <f>SUMIF('Orcamento RU Viora Build'!$A:$A,A259,'Orcamento RU Viora Build'!$F:$F)</f>
        <v>17.9724</v>
      </c>
      <c r="E259" s="645">
        <f t="shared" si="72"/>
        <v>13.754</v>
      </c>
      <c r="F259" s="646">
        <f t="shared" si="73"/>
        <v>247.1923896</v>
      </c>
      <c r="G259" s="782"/>
      <c r="H259" s="666"/>
      <c r="I259" s="658">
        <v>10.58</v>
      </c>
      <c r="J259" s="695">
        <v>0.0</v>
      </c>
      <c r="K259" s="689">
        <f t="shared" si="83"/>
        <v>10.58</v>
      </c>
      <c r="L259" s="689">
        <f t="shared" si="84"/>
        <v>190.147992</v>
      </c>
      <c r="M259" s="690">
        <f t="shared" si="85"/>
        <v>57.0443976</v>
      </c>
      <c r="N259" s="659">
        <f t="shared" si="74"/>
        <v>0.3</v>
      </c>
      <c r="O259" s="675">
        <f t="shared" si="86"/>
        <v>0.2307692308</v>
      </c>
      <c r="P259" s="660" t="s">
        <v>6284</v>
      </c>
      <c r="Q259" s="696" t="s">
        <v>6314</v>
      </c>
      <c r="R259" s="1"/>
      <c r="S259" s="668"/>
      <c r="T259" s="669"/>
      <c r="U259" s="1"/>
      <c r="V259" s="1"/>
      <c r="W259" s="1"/>
      <c r="X259" s="1"/>
      <c r="Y259" s="1"/>
    </row>
    <row r="260" ht="12.75" customHeight="1">
      <c r="A260" s="641" t="s">
        <v>6315</v>
      </c>
      <c r="B260" s="798" t="s">
        <v>6316</v>
      </c>
      <c r="C260" s="643" t="s">
        <v>5631</v>
      </c>
      <c r="D260" s="644">
        <f>SUMIF('Orcamento RU Viora Build'!$A:$A,A260,'Orcamento RU Viora Build'!$F:$F)</f>
        <v>36.2712</v>
      </c>
      <c r="E260" s="645">
        <f t="shared" si="72"/>
        <v>20.54</v>
      </c>
      <c r="F260" s="646">
        <f t="shared" si="73"/>
        <v>745.010448</v>
      </c>
      <c r="G260" s="782"/>
      <c r="H260" s="666"/>
      <c r="I260" s="658">
        <v>15.8</v>
      </c>
      <c r="J260" s="695">
        <v>0.0</v>
      </c>
      <c r="K260" s="689">
        <f t="shared" si="83"/>
        <v>15.8</v>
      </c>
      <c r="L260" s="689">
        <f t="shared" si="84"/>
        <v>573.08496</v>
      </c>
      <c r="M260" s="690">
        <f t="shared" si="85"/>
        <v>171.925488</v>
      </c>
      <c r="N260" s="659">
        <f t="shared" si="74"/>
        <v>0.3</v>
      </c>
      <c r="O260" s="675">
        <f t="shared" si="86"/>
        <v>0.2307692308</v>
      </c>
      <c r="P260" s="660" t="s">
        <v>6317</v>
      </c>
      <c r="Q260" s="698"/>
      <c r="R260" s="1"/>
      <c r="S260" s="668"/>
      <c r="T260" s="669"/>
      <c r="U260" s="1"/>
      <c r="V260" s="1"/>
      <c r="W260" s="1"/>
      <c r="X260" s="1"/>
      <c r="Y260" s="1"/>
    </row>
    <row r="261" ht="12.75" customHeight="1">
      <c r="A261" s="641" t="s">
        <v>6318</v>
      </c>
      <c r="B261" s="798" t="s">
        <v>6319</v>
      </c>
      <c r="C261" s="643" t="s">
        <v>5631</v>
      </c>
      <c r="D261" s="644">
        <f>SUMIF('Orcamento RU Viora Build'!$A:$A,A261,'Orcamento RU Viora Build'!$F:$F)</f>
        <v>53.0196</v>
      </c>
      <c r="E261" s="645">
        <f t="shared" si="72"/>
        <v>7.54</v>
      </c>
      <c r="F261" s="646">
        <f t="shared" si="73"/>
        <v>399.767784</v>
      </c>
      <c r="G261" s="782"/>
      <c r="H261" s="666"/>
      <c r="I261" s="658">
        <v>5.8</v>
      </c>
      <c r="J261" s="695">
        <v>0.0</v>
      </c>
      <c r="K261" s="689">
        <f t="shared" si="83"/>
        <v>5.8</v>
      </c>
      <c r="L261" s="689">
        <f t="shared" si="84"/>
        <v>307.51368</v>
      </c>
      <c r="M261" s="690">
        <f t="shared" si="85"/>
        <v>92.254104</v>
      </c>
      <c r="N261" s="659">
        <f t="shared" si="74"/>
        <v>0.3</v>
      </c>
      <c r="O261" s="675">
        <f t="shared" si="86"/>
        <v>0.2307692308</v>
      </c>
      <c r="P261" s="660" t="s">
        <v>6287</v>
      </c>
      <c r="Q261" s="698"/>
      <c r="R261" s="1"/>
      <c r="S261" s="668"/>
      <c r="T261" s="669"/>
      <c r="U261" s="1"/>
      <c r="V261" s="1"/>
      <c r="W261" s="1"/>
      <c r="X261" s="1"/>
      <c r="Y261" s="1"/>
    </row>
    <row r="262" ht="12.75" customHeight="1">
      <c r="A262" s="641" t="s">
        <v>6320</v>
      </c>
      <c r="B262" s="798" t="s">
        <v>6321</v>
      </c>
      <c r="C262" s="643" t="s">
        <v>5631</v>
      </c>
      <c r="D262" s="644">
        <f>SUMIF('Orcamento RU Viora Build'!$A:$A,A262,'Orcamento RU Viora Build'!$F:$F)</f>
        <v>37.077</v>
      </c>
      <c r="E262" s="645">
        <f t="shared" si="72"/>
        <v>4.94</v>
      </c>
      <c r="F262" s="646">
        <f t="shared" si="73"/>
        <v>183.16038</v>
      </c>
      <c r="G262" s="782"/>
      <c r="H262" s="666"/>
      <c r="I262" s="658">
        <v>3.8</v>
      </c>
      <c r="J262" s="695">
        <v>0.0</v>
      </c>
      <c r="K262" s="689">
        <f t="shared" si="83"/>
        <v>3.8</v>
      </c>
      <c r="L262" s="689">
        <f t="shared" si="84"/>
        <v>140.8926</v>
      </c>
      <c r="M262" s="690">
        <f t="shared" si="85"/>
        <v>42.26778</v>
      </c>
      <c r="N262" s="659">
        <f t="shared" si="74"/>
        <v>0.3</v>
      </c>
      <c r="O262" s="675">
        <f t="shared" si="86"/>
        <v>0.2307692308</v>
      </c>
      <c r="P262" s="660" t="s">
        <v>6287</v>
      </c>
      <c r="Q262" s="698"/>
      <c r="R262" s="1"/>
      <c r="S262" s="668"/>
      <c r="T262" s="669"/>
      <c r="U262" s="1"/>
      <c r="V262" s="1"/>
      <c r="W262" s="1"/>
      <c r="X262" s="1"/>
      <c r="Y262" s="1"/>
    </row>
    <row r="263" ht="12.75" customHeight="1">
      <c r="A263" s="641" t="s">
        <v>6322</v>
      </c>
      <c r="B263" s="798" t="s">
        <v>6323</v>
      </c>
      <c r="C263" s="643" t="s">
        <v>5631</v>
      </c>
      <c r="D263" s="644">
        <f>SUMIF('Orcamento RU Viora Build'!$A:$A,A263,'Orcamento RU Viora Build'!$F:$F)</f>
        <v>167.5554</v>
      </c>
      <c r="E263" s="645">
        <f t="shared" si="72"/>
        <v>16.562</v>
      </c>
      <c r="F263" s="646">
        <f t="shared" si="73"/>
        <v>2775.052535</v>
      </c>
      <c r="G263" s="782"/>
      <c r="H263" s="666"/>
      <c r="I263" s="658">
        <v>12.74</v>
      </c>
      <c r="J263" s="695">
        <v>0.0</v>
      </c>
      <c r="K263" s="689">
        <f t="shared" si="83"/>
        <v>12.74</v>
      </c>
      <c r="L263" s="689">
        <f t="shared" si="84"/>
        <v>2134.655796</v>
      </c>
      <c r="M263" s="690">
        <f t="shared" si="85"/>
        <v>640.3967388</v>
      </c>
      <c r="N263" s="659">
        <f t="shared" si="74"/>
        <v>0.3</v>
      </c>
      <c r="O263" s="675">
        <f t="shared" si="86"/>
        <v>0.2307692308</v>
      </c>
      <c r="P263" s="660" t="s">
        <v>5805</v>
      </c>
      <c r="Q263" s="698"/>
      <c r="R263" s="1"/>
      <c r="S263" s="668"/>
      <c r="T263" s="669"/>
      <c r="U263" s="1"/>
      <c r="V263" s="1"/>
      <c r="W263" s="1"/>
      <c r="X263" s="1"/>
      <c r="Y263" s="1"/>
    </row>
    <row r="264" ht="12.75" customHeight="1">
      <c r="A264" s="641" t="s">
        <v>6324</v>
      </c>
      <c r="B264" s="798" t="s">
        <v>6325</v>
      </c>
      <c r="C264" s="643" t="s">
        <v>5631</v>
      </c>
      <c r="D264" s="644">
        <f>SUMIF('Orcamento RU Viora Build'!$A:$A,A264,'Orcamento RU Viora Build'!$F:$F)</f>
        <v>12.852</v>
      </c>
      <c r="E264" s="645">
        <f t="shared" si="72"/>
        <v>19.435</v>
      </c>
      <c r="F264" s="646">
        <f t="shared" si="73"/>
        <v>249.77862</v>
      </c>
      <c r="G264" s="782"/>
      <c r="H264" s="666"/>
      <c r="I264" s="658">
        <v>14.95</v>
      </c>
      <c r="J264" s="695">
        <v>0.0</v>
      </c>
      <c r="K264" s="689">
        <f t="shared" si="83"/>
        <v>14.95</v>
      </c>
      <c r="L264" s="689">
        <f t="shared" si="84"/>
        <v>192.1374</v>
      </c>
      <c r="M264" s="690">
        <f t="shared" si="85"/>
        <v>57.64122</v>
      </c>
      <c r="N264" s="659">
        <f t="shared" si="74"/>
        <v>0.3</v>
      </c>
      <c r="O264" s="675">
        <f t="shared" si="86"/>
        <v>0.2307692308</v>
      </c>
      <c r="P264" s="660" t="s">
        <v>6287</v>
      </c>
      <c r="Q264" s="698"/>
      <c r="R264" s="1"/>
      <c r="S264" s="668"/>
      <c r="T264" s="669"/>
      <c r="U264" s="1"/>
      <c r="V264" s="1"/>
      <c r="W264" s="1"/>
      <c r="X264" s="1"/>
      <c r="Y264" s="1"/>
    </row>
    <row r="265" ht="12.75" customHeight="1">
      <c r="A265" s="641" t="s">
        <v>6326</v>
      </c>
      <c r="B265" s="798" t="s">
        <v>6327</v>
      </c>
      <c r="C265" s="643" t="s">
        <v>5631</v>
      </c>
      <c r="D265" s="644">
        <f>SUMIF('Orcamento RU Viora Build'!$A:$A,A265,'Orcamento RU Viora Build'!$F:$F)</f>
        <v>8.9148</v>
      </c>
      <c r="E265" s="645">
        <f t="shared" si="72"/>
        <v>3.978</v>
      </c>
      <c r="F265" s="646">
        <f t="shared" si="73"/>
        <v>35.4630744</v>
      </c>
      <c r="G265" s="782"/>
      <c r="H265" s="666"/>
      <c r="I265" s="658">
        <v>3.06</v>
      </c>
      <c r="J265" s="695">
        <v>0.0</v>
      </c>
      <c r="K265" s="689">
        <f t="shared" si="83"/>
        <v>3.06</v>
      </c>
      <c r="L265" s="689">
        <f t="shared" si="84"/>
        <v>27.279288</v>
      </c>
      <c r="M265" s="690">
        <f t="shared" si="85"/>
        <v>8.1837864</v>
      </c>
      <c r="N265" s="659">
        <f t="shared" si="74"/>
        <v>0.3</v>
      </c>
      <c r="O265" s="675">
        <f t="shared" si="86"/>
        <v>0.2307692308</v>
      </c>
      <c r="P265" s="660" t="s">
        <v>5999</v>
      </c>
      <c r="Q265" s="696" t="s">
        <v>6328</v>
      </c>
      <c r="R265" s="1"/>
      <c r="S265" s="668"/>
      <c r="T265" s="669"/>
      <c r="U265" s="1"/>
      <c r="V265" s="1"/>
      <c r="W265" s="1"/>
      <c r="X265" s="1"/>
      <c r="Y265" s="1"/>
    </row>
    <row r="266" ht="12.75" customHeight="1">
      <c r="A266" s="641" t="s">
        <v>6329</v>
      </c>
      <c r="B266" s="798" t="s">
        <v>6330</v>
      </c>
      <c r="C266" s="643" t="s">
        <v>5631</v>
      </c>
      <c r="D266" s="644">
        <f>SUMIF('Orcamento RU Viora Build'!$A:$A,A266,'Orcamento RU Viora Build'!$F:$F)</f>
        <v>8.4048</v>
      </c>
      <c r="E266" s="645">
        <f t="shared" si="72"/>
        <v>24.882</v>
      </c>
      <c r="F266" s="646">
        <f t="shared" si="73"/>
        <v>209.1282336</v>
      </c>
      <c r="G266" s="782"/>
      <c r="H266" s="666"/>
      <c r="I266" s="658">
        <v>19.14</v>
      </c>
      <c r="J266" s="695">
        <v>0.0</v>
      </c>
      <c r="K266" s="689">
        <f t="shared" si="83"/>
        <v>19.14</v>
      </c>
      <c r="L266" s="689">
        <f t="shared" si="84"/>
        <v>160.867872</v>
      </c>
      <c r="M266" s="690">
        <f t="shared" si="85"/>
        <v>48.2603616</v>
      </c>
      <c r="N266" s="659">
        <f t="shared" si="74"/>
        <v>0.3</v>
      </c>
      <c r="O266" s="675">
        <f t="shared" si="86"/>
        <v>0.2307692308</v>
      </c>
      <c r="P266" s="660" t="s">
        <v>6287</v>
      </c>
      <c r="Q266" s="698"/>
      <c r="R266" s="1"/>
      <c r="S266" s="668"/>
      <c r="T266" s="669"/>
      <c r="U266" s="1"/>
      <c r="V266" s="1"/>
      <c r="W266" s="1"/>
      <c r="X266" s="1"/>
      <c r="Y266" s="1"/>
    </row>
    <row r="267" ht="12.75" customHeight="1">
      <c r="A267" s="641" t="s">
        <v>6331</v>
      </c>
      <c r="B267" s="798" t="s">
        <v>6332</v>
      </c>
      <c r="C267" s="643" t="s">
        <v>5631</v>
      </c>
      <c r="D267" s="644">
        <f>SUMIF('Orcamento RU Viora Build'!$A:$A,A267,'Orcamento RU Viora Build'!$F:$F)</f>
        <v>45.288</v>
      </c>
      <c r="E267" s="645">
        <f t="shared" si="72"/>
        <v>4.004</v>
      </c>
      <c r="F267" s="646">
        <f t="shared" si="73"/>
        <v>181.333152</v>
      </c>
      <c r="G267" s="782"/>
      <c r="H267" s="666"/>
      <c r="I267" s="658">
        <v>3.08</v>
      </c>
      <c r="J267" s="695">
        <v>0.0</v>
      </c>
      <c r="K267" s="689">
        <f t="shared" si="83"/>
        <v>3.08</v>
      </c>
      <c r="L267" s="689">
        <f t="shared" si="84"/>
        <v>139.48704</v>
      </c>
      <c r="M267" s="690">
        <f t="shared" si="85"/>
        <v>41.846112</v>
      </c>
      <c r="N267" s="659">
        <f t="shared" si="74"/>
        <v>0.3</v>
      </c>
      <c r="O267" s="675">
        <f t="shared" si="86"/>
        <v>0.2307692308</v>
      </c>
      <c r="P267" s="660" t="s">
        <v>6287</v>
      </c>
      <c r="Q267" s="698"/>
      <c r="R267" s="1"/>
      <c r="S267" s="668"/>
      <c r="T267" s="669"/>
      <c r="U267" s="1"/>
      <c r="V267" s="1"/>
      <c r="W267" s="1"/>
      <c r="X267" s="1"/>
      <c r="Y267" s="1"/>
    </row>
    <row r="268" ht="12.75" customHeight="1">
      <c r="A268" s="641" t="s">
        <v>6333</v>
      </c>
      <c r="B268" s="798" t="s">
        <v>6334</v>
      </c>
      <c r="C268" s="643" t="s">
        <v>5636</v>
      </c>
      <c r="D268" s="644">
        <f>SUMIF('Orcamento RU Viora Build'!$A:$A,A268,'Orcamento RU Viora Build'!$F:$F)</f>
        <v>1</v>
      </c>
      <c r="E268" s="645">
        <f t="shared" si="72"/>
        <v>107.367</v>
      </c>
      <c r="F268" s="646">
        <f t="shared" si="73"/>
        <v>107.367</v>
      </c>
      <c r="G268" s="782"/>
      <c r="H268" s="666"/>
      <c r="I268" s="658">
        <v>82.59</v>
      </c>
      <c r="J268" s="695">
        <v>0.0</v>
      </c>
      <c r="K268" s="689">
        <f t="shared" si="83"/>
        <v>82.59</v>
      </c>
      <c r="L268" s="689">
        <f t="shared" si="84"/>
        <v>82.59</v>
      </c>
      <c r="M268" s="690">
        <f t="shared" si="85"/>
        <v>24.777</v>
      </c>
      <c r="N268" s="659">
        <f t="shared" si="74"/>
        <v>0.3</v>
      </c>
      <c r="O268" s="675">
        <f t="shared" si="86"/>
        <v>0.2307692308</v>
      </c>
      <c r="P268" s="660" t="s">
        <v>6335</v>
      </c>
      <c r="Q268" s="696" t="s">
        <v>6336</v>
      </c>
      <c r="R268" s="1"/>
      <c r="S268" s="668"/>
      <c r="T268" s="669"/>
      <c r="U268" s="1"/>
      <c r="V268" s="1"/>
      <c r="W268" s="1"/>
      <c r="X268" s="1"/>
      <c r="Y268" s="1"/>
    </row>
    <row r="269" ht="12.75" customHeight="1">
      <c r="A269" s="641" t="s">
        <v>6337</v>
      </c>
      <c r="B269" s="798" t="s">
        <v>6338</v>
      </c>
      <c r="C269" s="643" t="s">
        <v>5636</v>
      </c>
      <c r="D269" s="644">
        <f>SUMIF('Orcamento RU Viora Build'!$A:$A,A269,'Orcamento RU Viora Build'!$F:$F)</f>
        <v>1</v>
      </c>
      <c r="E269" s="645">
        <f t="shared" si="72"/>
        <v>80.6</v>
      </c>
      <c r="F269" s="646">
        <f t="shared" si="73"/>
        <v>80.6</v>
      </c>
      <c r="G269" s="782"/>
      <c r="H269" s="666"/>
      <c r="I269" s="658">
        <v>62.0</v>
      </c>
      <c r="J269" s="695">
        <v>0.0</v>
      </c>
      <c r="K269" s="689">
        <f t="shared" si="83"/>
        <v>62</v>
      </c>
      <c r="L269" s="689">
        <f t="shared" si="84"/>
        <v>62</v>
      </c>
      <c r="M269" s="690">
        <f t="shared" si="85"/>
        <v>18.6</v>
      </c>
      <c r="N269" s="659">
        <f t="shared" si="74"/>
        <v>0.3</v>
      </c>
      <c r="O269" s="675">
        <f t="shared" si="86"/>
        <v>0.2307692308</v>
      </c>
      <c r="P269" s="660" t="s">
        <v>6257</v>
      </c>
      <c r="Q269" s="698"/>
      <c r="R269" s="1"/>
      <c r="S269" s="668"/>
      <c r="T269" s="669"/>
      <c r="U269" s="1"/>
      <c r="V269" s="1"/>
      <c r="W269" s="1"/>
      <c r="X269" s="1"/>
      <c r="Y269" s="1"/>
    </row>
    <row r="270" ht="12.75" customHeight="1">
      <c r="A270" s="641" t="s">
        <v>6339</v>
      </c>
      <c r="B270" s="798" t="s">
        <v>6340</v>
      </c>
      <c r="C270" s="643" t="s">
        <v>5636</v>
      </c>
      <c r="D270" s="644">
        <f>SUMIF('Orcamento RU Viora Build'!$A:$A,A270,'Orcamento RU Viora Build'!$F:$F)</f>
        <v>1</v>
      </c>
      <c r="E270" s="645">
        <f t="shared" si="72"/>
        <v>323.7</v>
      </c>
      <c r="F270" s="646">
        <f t="shared" si="73"/>
        <v>323.7</v>
      </c>
      <c r="G270" s="782"/>
      <c r="H270" s="666"/>
      <c r="I270" s="658">
        <v>249.0</v>
      </c>
      <c r="J270" s="695">
        <v>0.0</v>
      </c>
      <c r="K270" s="689">
        <f t="shared" si="83"/>
        <v>249</v>
      </c>
      <c r="L270" s="689">
        <f t="shared" si="84"/>
        <v>249</v>
      </c>
      <c r="M270" s="690">
        <f t="shared" si="85"/>
        <v>74.7</v>
      </c>
      <c r="N270" s="659">
        <f t="shared" si="74"/>
        <v>0.3</v>
      </c>
      <c r="O270" s="675">
        <f t="shared" si="86"/>
        <v>0.2307692308</v>
      </c>
      <c r="P270" s="660" t="s">
        <v>5965</v>
      </c>
      <c r="Q270" s="698"/>
      <c r="R270" s="1"/>
      <c r="S270" s="668"/>
      <c r="T270" s="669"/>
      <c r="U270" s="1"/>
      <c r="V270" s="1"/>
      <c r="W270" s="1"/>
      <c r="X270" s="1"/>
      <c r="Y270" s="1"/>
    </row>
    <row r="271" ht="12.75" customHeight="1">
      <c r="A271" s="641" t="s">
        <v>6341</v>
      </c>
      <c r="B271" s="798" t="s">
        <v>6342</v>
      </c>
      <c r="C271" s="643" t="s">
        <v>5636</v>
      </c>
      <c r="D271" s="644">
        <f>SUMIF('Orcamento RU Viora Build'!$A:$A,A271,'Orcamento RU Viora Build'!$F:$F)</f>
        <v>1</v>
      </c>
      <c r="E271" s="645">
        <f t="shared" si="72"/>
        <v>258.7</v>
      </c>
      <c r="F271" s="646">
        <f t="shared" si="73"/>
        <v>258.7</v>
      </c>
      <c r="G271" s="782"/>
      <c r="H271" s="666"/>
      <c r="I271" s="658">
        <v>199.0</v>
      </c>
      <c r="J271" s="695">
        <v>0.0</v>
      </c>
      <c r="K271" s="689">
        <f t="shared" si="83"/>
        <v>199</v>
      </c>
      <c r="L271" s="689">
        <f t="shared" si="84"/>
        <v>199</v>
      </c>
      <c r="M271" s="690">
        <f t="shared" si="85"/>
        <v>59.7</v>
      </c>
      <c r="N271" s="659">
        <f t="shared" si="74"/>
        <v>0.3</v>
      </c>
      <c r="O271" s="675">
        <f t="shared" si="86"/>
        <v>0.2307692308</v>
      </c>
      <c r="P271" s="660" t="s">
        <v>6343</v>
      </c>
      <c r="Q271" s="698"/>
      <c r="R271" s="1"/>
      <c r="S271" s="668"/>
      <c r="T271" s="669"/>
      <c r="U271" s="1"/>
      <c r="V271" s="1"/>
      <c r="W271" s="1"/>
      <c r="X271" s="1"/>
      <c r="Y271" s="1"/>
    </row>
    <row r="272" ht="12.75" customHeight="1">
      <c r="A272" s="641" t="s">
        <v>6344</v>
      </c>
      <c r="B272" s="798" t="s">
        <v>6345</v>
      </c>
      <c r="C272" s="643" t="s">
        <v>5636</v>
      </c>
      <c r="D272" s="644">
        <f>SUMIF('Orcamento RU Viora Build'!$A:$A,A272,'Orcamento RU Viora Build'!$F:$F)</f>
        <v>3</v>
      </c>
      <c r="E272" s="645">
        <f t="shared" si="72"/>
        <v>8.32</v>
      </c>
      <c r="F272" s="646">
        <f t="shared" si="73"/>
        <v>24.96</v>
      </c>
      <c r="G272" s="782"/>
      <c r="H272" s="666"/>
      <c r="I272" s="658">
        <v>6.4</v>
      </c>
      <c r="J272" s="695">
        <v>0.0</v>
      </c>
      <c r="K272" s="689">
        <f t="shared" si="83"/>
        <v>6.4</v>
      </c>
      <c r="L272" s="689">
        <f t="shared" si="84"/>
        <v>19.2</v>
      </c>
      <c r="M272" s="690">
        <f t="shared" si="85"/>
        <v>5.76</v>
      </c>
      <c r="N272" s="659">
        <f t="shared" si="74"/>
        <v>0.3</v>
      </c>
      <c r="O272" s="675">
        <f t="shared" si="86"/>
        <v>0.2307692308</v>
      </c>
      <c r="P272" s="660" t="s">
        <v>6346</v>
      </c>
      <c r="Q272" s="698"/>
      <c r="R272" s="1"/>
      <c r="S272" s="668"/>
      <c r="T272" s="669"/>
      <c r="U272" s="1"/>
      <c r="V272" s="1"/>
      <c r="W272" s="1"/>
      <c r="X272" s="1"/>
      <c r="Y272" s="1"/>
    </row>
    <row r="273" ht="12.75" customHeight="1">
      <c r="A273" s="641" t="s">
        <v>6347</v>
      </c>
      <c r="B273" s="798" t="s">
        <v>6348</v>
      </c>
      <c r="C273" s="643" t="s">
        <v>5636</v>
      </c>
      <c r="D273" s="644">
        <f>SUMIF('Orcamento RU Viora Build'!$A:$A,A273,'Orcamento RU Viora Build'!$F:$F)</f>
        <v>1</v>
      </c>
      <c r="E273" s="645">
        <f t="shared" si="72"/>
        <v>81.9</v>
      </c>
      <c r="F273" s="646">
        <f t="shared" si="73"/>
        <v>81.9</v>
      </c>
      <c r="G273" s="782"/>
      <c r="H273" s="666"/>
      <c r="I273" s="658">
        <v>63.0</v>
      </c>
      <c r="J273" s="695">
        <v>0.0</v>
      </c>
      <c r="K273" s="689">
        <f t="shared" si="83"/>
        <v>63</v>
      </c>
      <c r="L273" s="689">
        <f t="shared" si="84"/>
        <v>63</v>
      </c>
      <c r="M273" s="690">
        <f t="shared" si="85"/>
        <v>18.9</v>
      </c>
      <c r="N273" s="659">
        <f t="shared" si="74"/>
        <v>0.3</v>
      </c>
      <c r="O273" s="675">
        <f t="shared" si="86"/>
        <v>0.2307692308</v>
      </c>
      <c r="P273" s="660" t="s">
        <v>6349</v>
      </c>
      <c r="Q273" s="698"/>
      <c r="R273" s="1"/>
      <c r="S273" s="668"/>
      <c r="T273" s="669"/>
      <c r="U273" s="1"/>
      <c r="V273" s="1"/>
      <c r="W273" s="1"/>
      <c r="X273" s="1"/>
      <c r="Y273" s="1"/>
    </row>
    <row r="274" ht="12.75" customHeight="1">
      <c r="A274" s="641" t="s">
        <v>6350</v>
      </c>
      <c r="B274" s="798" t="s">
        <v>6351</v>
      </c>
      <c r="C274" s="643" t="s">
        <v>5636</v>
      </c>
      <c r="D274" s="644">
        <f>SUMIF('Orcamento RU Viora Build'!$A:$A,A274,'Orcamento RU Viora Build'!$F:$F)</f>
        <v>19</v>
      </c>
      <c r="E274" s="645">
        <f t="shared" si="72"/>
        <v>36.4</v>
      </c>
      <c r="F274" s="646">
        <f t="shared" si="73"/>
        <v>691.6</v>
      </c>
      <c r="G274" s="782"/>
      <c r="H274" s="666"/>
      <c r="I274" s="658">
        <v>28.0</v>
      </c>
      <c r="J274" s="695">
        <v>0.0</v>
      </c>
      <c r="K274" s="689">
        <f t="shared" si="83"/>
        <v>28</v>
      </c>
      <c r="L274" s="689">
        <f t="shared" si="84"/>
        <v>532</v>
      </c>
      <c r="M274" s="690">
        <f t="shared" si="85"/>
        <v>159.6</v>
      </c>
      <c r="N274" s="659">
        <f t="shared" si="74"/>
        <v>0.3</v>
      </c>
      <c r="O274" s="675">
        <f t="shared" si="86"/>
        <v>0.2307692308</v>
      </c>
      <c r="P274" s="660" t="s">
        <v>6352</v>
      </c>
      <c r="Q274" s="698"/>
      <c r="R274" s="1"/>
      <c r="S274" s="668"/>
      <c r="T274" s="669"/>
      <c r="U274" s="1"/>
      <c r="V274" s="1"/>
      <c r="W274" s="1"/>
      <c r="X274" s="1"/>
      <c r="Y274" s="1"/>
    </row>
    <row r="275" ht="12.75" customHeight="1">
      <c r="A275" s="641" t="s">
        <v>6353</v>
      </c>
      <c r="B275" s="798" t="s">
        <v>6354</v>
      </c>
      <c r="C275" s="643" t="s">
        <v>5636</v>
      </c>
      <c r="D275" s="644">
        <f>SUMIF('Orcamento RU Viora Build'!$A:$A,A275,'Orcamento RU Viora Build'!$F:$F)</f>
        <v>4</v>
      </c>
      <c r="E275" s="645">
        <f t="shared" si="72"/>
        <v>47.437</v>
      </c>
      <c r="F275" s="646">
        <f t="shared" si="73"/>
        <v>189.748</v>
      </c>
      <c r="G275" s="782"/>
      <c r="H275" s="666"/>
      <c r="I275" s="658">
        <v>36.49</v>
      </c>
      <c r="J275" s="695">
        <v>0.0</v>
      </c>
      <c r="K275" s="689">
        <f t="shared" si="83"/>
        <v>36.49</v>
      </c>
      <c r="L275" s="689">
        <f t="shared" si="84"/>
        <v>145.96</v>
      </c>
      <c r="M275" s="690">
        <f t="shared" si="85"/>
        <v>43.788</v>
      </c>
      <c r="N275" s="659">
        <f t="shared" si="74"/>
        <v>0.3</v>
      </c>
      <c r="O275" s="675">
        <f t="shared" si="86"/>
        <v>0.2307692308</v>
      </c>
      <c r="P275" s="660" t="s">
        <v>5973</v>
      </c>
      <c r="Q275" s="698"/>
      <c r="R275" s="1"/>
      <c r="S275" s="668"/>
      <c r="T275" s="669"/>
      <c r="U275" s="1"/>
      <c r="V275" s="1"/>
      <c r="W275" s="1"/>
      <c r="X275" s="1"/>
      <c r="Y275" s="1"/>
    </row>
    <row r="276" ht="12.75" customHeight="1">
      <c r="A276" s="641" t="s">
        <v>6355</v>
      </c>
      <c r="B276" s="798" t="s">
        <v>6356</v>
      </c>
      <c r="C276" s="643" t="s">
        <v>5636</v>
      </c>
      <c r="D276" s="644">
        <f>SUMIF('Orcamento RU Viora Build'!$A:$A,A276,'Orcamento RU Viora Build'!$F:$F)</f>
        <v>1</v>
      </c>
      <c r="E276" s="645">
        <f t="shared" si="72"/>
        <v>1378</v>
      </c>
      <c r="F276" s="646">
        <f t="shared" si="73"/>
        <v>1378</v>
      </c>
      <c r="G276" s="782"/>
      <c r="H276" s="666"/>
      <c r="I276" s="658">
        <v>1060.0</v>
      </c>
      <c r="J276" s="695">
        <v>0.0</v>
      </c>
      <c r="K276" s="689">
        <f t="shared" si="83"/>
        <v>1060</v>
      </c>
      <c r="L276" s="689">
        <f t="shared" si="84"/>
        <v>1060</v>
      </c>
      <c r="M276" s="690">
        <f t="shared" si="85"/>
        <v>318</v>
      </c>
      <c r="N276" s="659">
        <f t="shared" si="74"/>
        <v>0.3</v>
      </c>
      <c r="O276" s="675">
        <f t="shared" si="86"/>
        <v>0.2307692308</v>
      </c>
      <c r="P276" s="660" t="s">
        <v>6357</v>
      </c>
      <c r="Q276" s="698"/>
      <c r="R276" s="1"/>
      <c r="S276" s="668"/>
      <c r="T276" s="669"/>
      <c r="U276" s="1"/>
      <c r="V276" s="1"/>
      <c r="W276" s="1"/>
      <c r="X276" s="1"/>
      <c r="Y276" s="1"/>
    </row>
    <row r="277" ht="12.75" customHeight="1">
      <c r="A277" s="641" t="s">
        <v>6358</v>
      </c>
      <c r="B277" s="798" t="s">
        <v>993</v>
      </c>
      <c r="C277" s="643" t="s">
        <v>5636</v>
      </c>
      <c r="D277" s="644">
        <f>SUMIF('Orcamento RU Viora Build'!$A:$A,A277,'Orcamento RU Viora Build'!$F:$F)</f>
        <v>1</v>
      </c>
      <c r="E277" s="645">
        <f t="shared" si="72"/>
        <v>4602.494</v>
      </c>
      <c r="F277" s="646">
        <f t="shared" si="73"/>
        <v>4602.494</v>
      </c>
      <c r="G277" s="782"/>
      <c r="H277" s="666"/>
      <c r="I277" s="658">
        <v>3540.38</v>
      </c>
      <c r="J277" s="695">
        <v>0.0</v>
      </c>
      <c r="K277" s="689">
        <f t="shared" si="83"/>
        <v>3540.38</v>
      </c>
      <c r="L277" s="689">
        <f t="shared" si="84"/>
        <v>3540.38</v>
      </c>
      <c r="M277" s="690">
        <f t="shared" si="85"/>
        <v>1062.114</v>
      </c>
      <c r="N277" s="659">
        <f t="shared" si="74"/>
        <v>0.3</v>
      </c>
      <c r="O277" s="675">
        <f t="shared" si="86"/>
        <v>0.2307692308</v>
      </c>
      <c r="P277" s="770" t="s">
        <v>6359</v>
      </c>
      <c r="Q277" s="698"/>
      <c r="R277" s="1"/>
      <c r="S277" s="668"/>
      <c r="T277" s="669"/>
      <c r="U277" s="1"/>
      <c r="V277" s="1"/>
      <c r="W277" s="1"/>
      <c r="X277" s="1"/>
      <c r="Y277" s="1"/>
    </row>
    <row r="278" ht="12.75" customHeight="1">
      <c r="A278" s="641" t="s">
        <v>6360</v>
      </c>
      <c r="B278" s="798" t="s">
        <v>997</v>
      </c>
      <c r="C278" s="643" t="s">
        <v>5636</v>
      </c>
      <c r="D278" s="644">
        <f>SUMIF('Orcamento RU Viora Build'!$A:$A,A278,'Orcamento RU Viora Build'!$F:$F)</f>
        <v>1</v>
      </c>
      <c r="E278" s="645">
        <f t="shared" si="72"/>
        <v>3432</v>
      </c>
      <c r="F278" s="646">
        <f t="shared" si="73"/>
        <v>3432</v>
      </c>
      <c r="G278" s="782"/>
      <c r="H278" s="666"/>
      <c r="I278" s="658">
        <v>2640.0</v>
      </c>
      <c r="J278" s="695">
        <v>0.0</v>
      </c>
      <c r="K278" s="689">
        <f t="shared" si="83"/>
        <v>2640</v>
      </c>
      <c r="L278" s="689">
        <f t="shared" si="84"/>
        <v>2640</v>
      </c>
      <c r="M278" s="690">
        <f t="shared" si="85"/>
        <v>792</v>
      </c>
      <c r="N278" s="659">
        <f t="shared" si="74"/>
        <v>0.3</v>
      </c>
      <c r="O278" s="675">
        <f t="shared" si="86"/>
        <v>0.2307692308</v>
      </c>
      <c r="P278" s="660" t="s">
        <v>6281</v>
      </c>
      <c r="Q278" s="698"/>
      <c r="R278" s="1"/>
      <c r="S278" s="668"/>
      <c r="T278" s="669"/>
      <c r="U278" s="1"/>
      <c r="V278" s="1"/>
      <c r="W278" s="1"/>
      <c r="X278" s="1"/>
      <c r="Y278" s="1"/>
    </row>
    <row r="279" ht="12.75" customHeight="1">
      <c r="A279" s="641" t="s">
        <v>6361</v>
      </c>
      <c r="B279" s="798" t="s">
        <v>999</v>
      </c>
      <c r="C279" s="643" t="s">
        <v>5636</v>
      </c>
      <c r="D279" s="644">
        <f>SUMIF('Orcamento RU Viora Build'!$A:$A,A279,'Orcamento RU Viora Build'!$F:$F)</f>
        <v>1</v>
      </c>
      <c r="E279" s="645">
        <f t="shared" si="72"/>
        <v>0</v>
      </c>
      <c r="F279" s="646">
        <f t="shared" si="73"/>
        <v>0</v>
      </c>
      <c r="G279" s="782"/>
      <c r="H279" s="666"/>
      <c r="I279" s="679"/>
      <c r="J279" s="678"/>
      <c r="K279" s="801"/>
      <c r="L279" s="801"/>
      <c r="M279" s="802"/>
      <c r="N279" s="659">
        <f t="shared" si="74"/>
        <v>0.3</v>
      </c>
      <c r="O279" s="744"/>
      <c r="P279" s="744"/>
      <c r="Q279" s="768" t="s">
        <v>6362</v>
      </c>
      <c r="R279" s="1"/>
      <c r="S279" s="685"/>
      <c r="T279" s="686"/>
      <c r="U279" s="1"/>
      <c r="V279" s="1"/>
      <c r="W279" s="1"/>
      <c r="X279" s="1"/>
      <c r="Y279" s="1"/>
    </row>
    <row r="280" ht="12.75" customHeight="1">
      <c r="A280" s="641" t="s">
        <v>6363</v>
      </c>
      <c r="B280" s="798" t="s">
        <v>1001</v>
      </c>
      <c r="C280" s="643" t="s">
        <v>5636</v>
      </c>
      <c r="D280" s="644">
        <f>SUMIF('Orcamento RU Viora Build'!$A:$A,A280,'Orcamento RU Viora Build'!$F:$F)</f>
        <v>5</v>
      </c>
      <c r="E280" s="645">
        <f t="shared" si="72"/>
        <v>59.007</v>
      </c>
      <c r="F280" s="646">
        <f t="shared" si="73"/>
        <v>295.035</v>
      </c>
      <c r="G280" s="782"/>
      <c r="H280" s="666"/>
      <c r="I280" s="658">
        <v>45.39</v>
      </c>
      <c r="J280" s="695">
        <v>0.0</v>
      </c>
      <c r="K280" s="689">
        <f t="shared" ref="K280:K312" si="87">I280-I280*J280</f>
        <v>45.39</v>
      </c>
      <c r="L280" s="689">
        <f t="shared" ref="L280:L312" si="88">K280*D280</f>
        <v>226.95</v>
      </c>
      <c r="M280" s="690">
        <f t="shared" ref="M280:M312" si="89">F280-L280</f>
        <v>68.085</v>
      </c>
      <c r="N280" s="659">
        <f t="shared" si="74"/>
        <v>0.3</v>
      </c>
      <c r="O280" s="675">
        <f t="shared" ref="O280:O312" si="90">M280/F280</f>
        <v>0.2307692308</v>
      </c>
      <c r="P280" s="673" t="s">
        <v>6364</v>
      </c>
      <c r="Q280" s="698"/>
      <c r="R280" s="1"/>
      <c r="S280" s="668"/>
      <c r="T280" s="669"/>
      <c r="U280" s="1"/>
      <c r="V280" s="1"/>
      <c r="W280" s="1"/>
      <c r="X280" s="1"/>
      <c r="Y280" s="1"/>
    </row>
    <row r="281" ht="12.75" customHeight="1">
      <c r="A281" s="641" t="s">
        <v>6365</v>
      </c>
      <c r="B281" s="798" t="s">
        <v>1005</v>
      </c>
      <c r="C281" s="643" t="s">
        <v>5636</v>
      </c>
      <c r="D281" s="644">
        <f>SUMIF('Orcamento RU Viora Build'!$A:$A,A281,'Orcamento RU Viora Build'!$F:$F)</f>
        <v>1</v>
      </c>
      <c r="E281" s="645">
        <f t="shared" si="72"/>
        <v>12.948</v>
      </c>
      <c r="F281" s="646">
        <f t="shared" si="73"/>
        <v>12.948</v>
      </c>
      <c r="G281" s="782"/>
      <c r="H281" s="666"/>
      <c r="I281" s="658">
        <v>9.96</v>
      </c>
      <c r="J281" s="695">
        <v>0.0</v>
      </c>
      <c r="K281" s="689">
        <f t="shared" si="87"/>
        <v>9.96</v>
      </c>
      <c r="L281" s="689">
        <f t="shared" si="88"/>
        <v>9.96</v>
      </c>
      <c r="M281" s="690">
        <f t="shared" si="89"/>
        <v>2.988</v>
      </c>
      <c r="N281" s="659">
        <f t="shared" si="74"/>
        <v>0.3</v>
      </c>
      <c r="O281" s="675">
        <f t="shared" si="90"/>
        <v>0.2307692308</v>
      </c>
      <c r="P281" s="673" t="s">
        <v>6364</v>
      </c>
      <c r="Q281" s="698"/>
      <c r="R281" s="1"/>
      <c r="S281" s="668"/>
      <c r="T281" s="669"/>
      <c r="U281" s="1"/>
      <c r="V281" s="1"/>
      <c r="W281" s="1"/>
      <c r="X281" s="1"/>
      <c r="Y281" s="1"/>
    </row>
    <row r="282" ht="12.75" customHeight="1">
      <c r="A282" s="641" t="s">
        <v>6366</v>
      </c>
      <c r="B282" s="798" t="s">
        <v>1007</v>
      </c>
      <c r="C282" s="643" t="s">
        <v>5636</v>
      </c>
      <c r="D282" s="644">
        <f>SUMIF('Orcamento RU Viora Build'!$A:$A,A282,'Orcamento RU Viora Build'!$F:$F)</f>
        <v>5</v>
      </c>
      <c r="E282" s="645">
        <f t="shared" si="72"/>
        <v>17.55</v>
      </c>
      <c r="F282" s="646">
        <f t="shared" si="73"/>
        <v>87.75</v>
      </c>
      <c r="G282" s="782"/>
      <c r="H282" s="666"/>
      <c r="I282" s="658">
        <v>13.5</v>
      </c>
      <c r="J282" s="695">
        <v>0.0</v>
      </c>
      <c r="K282" s="689">
        <f t="shared" si="87"/>
        <v>13.5</v>
      </c>
      <c r="L282" s="689">
        <f t="shared" si="88"/>
        <v>67.5</v>
      </c>
      <c r="M282" s="690">
        <f t="shared" si="89"/>
        <v>20.25</v>
      </c>
      <c r="N282" s="659">
        <f t="shared" si="74"/>
        <v>0.3</v>
      </c>
      <c r="O282" s="675">
        <f t="shared" si="90"/>
        <v>0.2307692308</v>
      </c>
      <c r="P282" s="673" t="s">
        <v>6367</v>
      </c>
      <c r="Q282" s="696" t="s">
        <v>6368</v>
      </c>
      <c r="R282" s="1"/>
      <c r="S282" s="668"/>
      <c r="T282" s="669"/>
      <c r="U282" s="1"/>
      <c r="V282" s="1"/>
      <c r="W282" s="1"/>
      <c r="X282" s="1"/>
      <c r="Y282" s="1"/>
    </row>
    <row r="283" ht="12.75" customHeight="1">
      <c r="A283" s="641" t="s">
        <v>6369</v>
      </c>
      <c r="B283" s="798" t="s">
        <v>1009</v>
      </c>
      <c r="C283" s="643" t="s">
        <v>5636</v>
      </c>
      <c r="D283" s="644">
        <f>SUMIF('Orcamento RU Viora Build'!$A:$A,A283,'Orcamento RU Viora Build'!$F:$F)</f>
        <v>1</v>
      </c>
      <c r="E283" s="645">
        <f t="shared" si="72"/>
        <v>101.543</v>
      </c>
      <c r="F283" s="646">
        <f t="shared" si="73"/>
        <v>101.543</v>
      </c>
      <c r="G283" s="782"/>
      <c r="H283" s="666"/>
      <c r="I283" s="658">
        <v>78.11</v>
      </c>
      <c r="J283" s="695">
        <v>0.0</v>
      </c>
      <c r="K283" s="689">
        <f t="shared" si="87"/>
        <v>78.11</v>
      </c>
      <c r="L283" s="689">
        <f t="shared" si="88"/>
        <v>78.11</v>
      </c>
      <c r="M283" s="690">
        <f t="shared" si="89"/>
        <v>23.433</v>
      </c>
      <c r="N283" s="659">
        <f t="shared" si="74"/>
        <v>0.3</v>
      </c>
      <c r="O283" s="675">
        <f t="shared" si="90"/>
        <v>0.2307692308</v>
      </c>
      <c r="P283" s="673" t="s">
        <v>6370</v>
      </c>
      <c r="Q283" s="698"/>
      <c r="R283" s="1"/>
      <c r="S283" s="668"/>
      <c r="T283" s="669"/>
      <c r="U283" s="1"/>
      <c r="V283" s="1"/>
      <c r="W283" s="1"/>
      <c r="X283" s="1"/>
      <c r="Y283" s="1"/>
    </row>
    <row r="284" ht="12.75" customHeight="1">
      <c r="A284" s="641" t="s">
        <v>6371</v>
      </c>
      <c r="B284" s="798" t="s">
        <v>1011</v>
      </c>
      <c r="C284" s="643" t="s">
        <v>5636</v>
      </c>
      <c r="D284" s="644">
        <f>SUMIF('Orcamento RU Viora Build'!$A:$A,A284,'Orcamento RU Viora Build'!$F:$F)</f>
        <v>1</v>
      </c>
      <c r="E284" s="645">
        <f t="shared" si="72"/>
        <v>636.935</v>
      </c>
      <c r="F284" s="646">
        <f t="shared" si="73"/>
        <v>636.935</v>
      </c>
      <c r="G284" s="782"/>
      <c r="H284" s="666"/>
      <c r="I284" s="658">
        <v>489.95</v>
      </c>
      <c r="J284" s="695">
        <v>0.0</v>
      </c>
      <c r="K284" s="689">
        <f t="shared" si="87"/>
        <v>489.95</v>
      </c>
      <c r="L284" s="689">
        <f t="shared" si="88"/>
        <v>489.95</v>
      </c>
      <c r="M284" s="690">
        <f t="shared" si="89"/>
        <v>146.985</v>
      </c>
      <c r="N284" s="659">
        <f t="shared" si="74"/>
        <v>0.3</v>
      </c>
      <c r="O284" s="675">
        <f t="shared" si="90"/>
        <v>0.2307692308</v>
      </c>
      <c r="P284" s="673" t="s">
        <v>6364</v>
      </c>
      <c r="Q284" s="698"/>
      <c r="R284" s="1"/>
      <c r="S284" s="668"/>
      <c r="T284" s="669"/>
      <c r="U284" s="1"/>
      <c r="V284" s="1"/>
      <c r="W284" s="1"/>
      <c r="X284" s="1"/>
      <c r="Y284" s="1"/>
    </row>
    <row r="285" ht="12.75" customHeight="1">
      <c r="A285" s="641" t="s">
        <v>6372</v>
      </c>
      <c r="B285" s="798" t="s">
        <v>1013</v>
      </c>
      <c r="C285" s="643" t="s">
        <v>5636</v>
      </c>
      <c r="D285" s="644">
        <f>SUMIF('Orcamento RU Viora Build'!$A:$A,A285,'Orcamento RU Viora Build'!$F:$F)</f>
        <v>15</v>
      </c>
      <c r="E285" s="645">
        <f t="shared" si="72"/>
        <v>39</v>
      </c>
      <c r="F285" s="646">
        <f t="shared" si="73"/>
        <v>585</v>
      </c>
      <c r="G285" s="782"/>
      <c r="H285" s="666"/>
      <c r="I285" s="658">
        <v>30.0</v>
      </c>
      <c r="J285" s="695">
        <v>0.0</v>
      </c>
      <c r="K285" s="689">
        <f t="shared" si="87"/>
        <v>30</v>
      </c>
      <c r="L285" s="689">
        <f t="shared" si="88"/>
        <v>450</v>
      </c>
      <c r="M285" s="690">
        <f t="shared" si="89"/>
        <v>135</v>
      </c>
      <c r="N285" s="803">
        <f t="shared" si="74"/>
        <v>0.3</v>
      </c>
      <c r="O285" s="675">
        <f t="shared" si="90"/>
        <v>0.2307692308</v>
      </c>
      <c r="P285" s="804"/>
      <c r="Q285" s="696" t="s">
        <v>6373</v>
      </c>
      <c r="R285" s="1"/>
      <c r="S285" s="668"/>
      <c r="T285" s="669"/>
      <c r="U285" s="1"/>
      <c r="V285" s="1"/>
      <c r="W285" s="1"/>
      <c r="X285" s="1"/>
      <c r="Y285" s="1"/>
    </row>
    <row r="286" ht="12.75" customHeight="1">
      <c r="A286" s="641" t="s">
        <v>6374</v>
      </c>
      <c r="B286" s="798" t="s">
        <v>1015</v>
      </c>
      <c r="C286" s="643" t="s">
        <v>5636</v>
      </c>
      <c r="D286" s="644">
        <f>SUMIF('Orcamento RU Viora Build'!$A:$A,A286,'Orcamento RU Viora Build'!$F:$F)</f>
        <v>1</v>
      </c>
      <c r="E286" s="645">
        <f t="shared" si="72"/>
        <v>50.7</v>
      </c>
      <c r="F286" s="646">
        <f t="shared" si="73"/>
        <v>50.7</v>
      </c>
      <c r="G286" s="782"/>
      <c r="H286" s="666"/>
      <c r="I286" s="658">
        <v>39.0</v>
      </c>
      <c r="J286" s="695">
        <v>0.0</v>
      </c>
      <c r="K286" s="689">
        <f t="shared" si="87"/>
        <v>39</v>
      </c>
      <c r="L286" s="689">
        <f t="shared" si="88"/>
        <v>39</v>
      </c>
      <c r="M286" s="690">
        <f t="shared" si="89"/>
        <v>11.7</v>
      </c>
      <c r="N286" s="659">
        <f t="shared" si="74"/>
        <v>0.3</v>
      </c>
      <c r="O286" s="675">
        <f t="shared" si="90"/>
        <v>0.2307692308</v>
      </c>
      <c r="P286" s="673" t="s">
        <v>6375</v>
      </c>
      <c r="Q286" s="698"/>
      <c r="R286" s="1"/>
      <c r="S286" s="668"/>
      <c r="T286" s="669"/>
      <c r="U286" s="1"/>
      <c r="V286" s="1"/>
      <c r="W286" s="1"/>
      <c r="X286" s="1"/>
      <c r="Y286" s="1"/>
    </row>
    <row r="287" ht="12.75" customHeight="1">
      <c r="A287" s="641" t="s">
        <v>6376</v>
      </c>
      <c r="B287" s="202" t="s">
        <v>1023</v>
      </c>
      <c r="C287" s="643" t="s">
        <v>5636</v>
      </c>
      <c r="D287" s="644">
        <f>SUMIF('Orcamento RU Viora Build'!$A:$A,A287,'Orcamento RU Viora Build'!$F:$F)</f>
        <v>1</v>
      </c>
      <c r="E287" s="645">
        <f t="shared" si="72"/>
        <v>563.667</v>
      </c>
      <c r="F287" s="646">
        <f t="shared" si="73"/>
        <v>563.667</v>
      </c>
      <c r="G287" s="782"/>
      <c r="H287" s="666"/>
      <c r="I287" s="658">
        <v>433.59</v>
      </c>
      <c r="J287" s="695">
        <v>0.0</v>
      </c>
      <c r="K287" s="689">
        <f t="shared" si="87"/>
        <v>433.59</v>
      </c>
      <c r="L287" s="689">
        <f t="shared" si="88"/>
        <v>433.59</v>
      </c>
      <c r="M287" s="690">
        <f t="shared" si="89"/>
        <v>130.077</v>
      </c>
      <c r="N287" s="659">
        <f t="shared" si="74"/>
        <v>0.3</v>
      </c>
      <c r="O287" s="675">
        <f t="shared" si="90"/>
        <v>0.2307692308</v>
      </c>
      <c r="P287" s="673" t="s">
        <v>6377</v>
      </c>
      <c r="Q287" s="698"/>
      <c r="R287" s="1"/>
      <c r="S287" s="668"/>
      <c r="T287" s="669"/>
      <c r="U287" s="1"/>
      <c r="V287" s="1"/>
      <c r="W287" s="1"/>
      <c r="X287" s="1"/>
      <c r="Y287" s="1"/>
    </row>
    <row r="288" ht="12.75" customHeight="1">
      <c r="A288" s="641" t="s">
        <v>6378</v>
      </c>
      <c r="B288" s="202" t="s">
        <v>1025</v>
      </c>
      <c r="C288" s="643" t="s">
        <v>5636</v>
      </c>
      <c r="D288" s="644">
        <f>SUMIF('Orcamento RU Viora Build'!$A:$A,A288,'Orcamento RU Viora Build'!$F:$F)</f>
        <v>1</v>
      </c>
      <c r="E288" s="645">
        <f t="shared" si="72"/>
        <v>406.9</v>
      </c>
      <c r="F288" s="646">
        <f t="shared" si="73"/>
        <v>406.9</v>
      </c>
      <c r="G288" s="782"/>
      <c r="H288" s="666"/>
      <c r="I288" s="658">
        <v>313.0</v>
      </c>
      <c r="J288" s="695">
        <v>0.0</v>
      </c>
      <c r="K288" s="689">
        <f t="shared" si="87"/>
        <v>313</v>
      </c>
      <c r="L288" s="689">
        <f t="shared" si="88"/>
        <v>313</v>
      </c>
      <c r="M288" s="690">
        <f t="shared" si="89"/>
        <v>93.9</v>
      </c>
      <c r="N288" s="659">
        <f t="shared" si="74"/>
        <v>0.3</v>
      </c>
      <c r="O288" s="675">
        <f t="shared" si="90"/>
        <v>0.2307692308</v>
      </c>
      <c r="P288" s="673" t="s">
        <v>6281</v>
      </c>
      <c r="Q288" s="698"/>
      <c r="R288" s="1"/>
      <c r="S288" s="668"/>
      <c r="T288" s="669"/>
      <c r="U288" s="1"/>
      <c r="V288" s="1"/>
      <c r="W288" s="1"/>
      <c r="X288" s="1"/>
      <c r="Y288" s="1"/>
    </row>
    <row r="289" ht="12.75" customHeight="1">
      <c r="A289" s="641" t="s">
        <v>6379</v>
      </c>
      <c r="B289" s="202" t="s">
        <v>1027</v>
      </c>
      <c r="C289" s="643" t="s">
        <v>5636</v>
      </c>
      <c r="D289" s="644">
        <f>SUMIF('Orcamento RU Viora Build'!$A:$A,A289,'Orcamento RU Viora Build'!$F:$F)</f>
        <v>4</v>
      </c>
      <c r="E289" s="645">
        <f t="shared" si="72"/>
        <v>20.15</v>
      </c>
      <c r="F289" s="646">
        <f t="shared" si="73"/>
        <v>80.6</v>
      </c>
      <c r="G289" s="782"/>
      <c r="H289" s="666"/>
      <c r="I289" s="658">
        <v>15.5</v>
      </c>
      <c r="J289" s="695">
        <v>0.0</v>
      </c>
      <c r="K289" s="689">
        <f t="shared" si="87"/>
        <v>15.5</v>
      </c>
      <c r="L289" s="689">
        <f t="shared" si="88"/>
        <v>62</v>
      </c>
      <c r="M289" s="690">
        <f t="shared" si="89"/>
        <v>18.6</v>
      </c>
      <c r="N289" s="659">
        <f t="shared" si="74"/>
        <v>0.3</v>
      </c>
      <c r="O289" s="675">
        <f t="shared" si="90"/>
        <v>0.2307692308</v>
      </c>
      <c r="P289" s="673" t="s">
        <v>6380</v>
      </c>
      <c r="Q289" s="698"/>
      <c r="R289" s="1"/>
      <c r="S289" s="668"/>
      <c r="T289" s="669"/>
      <c r="U289" s="1"/>
      <c r="V289" s="1"/>
      <c r="W289" s="1"/>
      <c r="X289" s="1"/>
      <c r="Y289" s="1"/>
    </row>
    <row r="290" ht="12.75" customHeight="1">
      <c r="A290" s="641" t="s">
        <v>6381</v>
      </c>
      <c r="B290" s="202" t="s">
        <v>1029</v>
      </c>
      <c r="C290" s="643" t="s">
        <v>5636</v>
      </c>
      <c r="D290" s="644">
        <f>SUMIF('Orcamento RU Viora Build'!$A:$A,A290,'Orcamento RU Viora Build'!$F:$F)</f>
        <v>1</v>
      </c>
      <c r="E290" s="645">
        <f t="shared" si="72"/>
        <v>19.5</v>
      </c>
      <c r="F290" s="646">
        <f t="shared" si="73"/>
        <v>19.5</v>
      </c>
      <c r="G290" s="782"/>
      <c r="H290" s="666"/>
      <c r="I290" s="658">
        <v>15.0</v>
      </c>
      <c r="J290" s="695">
        <v>0.0</v>
      </c>
      <c r="K290" s="689">
        <f t="shared" si="87"/>
        <v>15</v>
      </c>
      <c r="L290" s="689">
        <f t="shared" si="88"/>
        <v>15</v>
      </c>
      <c r="M290" s="690">
        <f t="shared" si="89"/>
        <v>4.5</v>
      </c>
      <c r="N290" s="659">
        <f t="shared" si="74"/>
        <v>0.3</v>
      </c>
      <c r="O290" s="675">
        <f t="shared" si="90"/>
        <v>0.2307692308</v>
      </c>
      <c r="P290" s="673" t="s">
        <v>6382</v>
      </c>
      <c r="Q290" s="698"/>
      <c r="R290" s="1"/>
      <c r="S290" s="668"/>
      <c r="T290" s="669"/>
      <c r="U290" s="1"/>
      <c r="V290" s="1"/>
      <c r="W290" s="1"/>
      <c r="X290" s="1"/>
      <c r="Y290" s="1"/>
    </row>
    <row r="291" ht="12.75" customHeight="1">
      <c r="A291" s="641" t="s">
        <v>6383</v>
      </c>
      <c r="B291" s="202" t="s">
        <v>1031</v>
      </c>
      <c r="C291" s="643" t="s">
        <v>5636</v>
      </c>
      <c r="D291" s="644">
        <f>SUMIF('Orcamento RU Viora Build'!$A:$A,A291,'Orcamento RU Viora Build'!$F:$F)</f>
        <v>1</v>
      </c>
      <c r="E291" s="645">
        <f t="shared" si="72"/>
        <v>692.367</v>
      </c>
      <c r="F291" s="646">
        <f t="shared" si="73"/>
        <v>692.367</v>
      </c>
      <c r="G291" s="782"/>
      <c r="H291" s="666"/>
      <c r="I291" s="658">
        <v>532.59</v>
      </c>
      <c r="J291" s="695">
        <v>0.0</v>
      </c>
      <c r="K291" s="689">
        <f t="shared" si="87"/>
        <v>532.59</v>
      </c>
      <c r="L291" s="689">
        <f t="shared" si="88"/>
        <v>532.59</v>
      </c>
      <c r="M291" s="690">
        <f t="shared" si="89"/>
        <v>159.777</v>
      </c>
      <c r="N291" s="659">
        <f t="shared" si="74"/>
        <v>0.3</v>
      </c>
      <c r="O291" s="675">
        <f t="shared" si="90"/>
        <v>0.2307692308</v>
      </c>
      <c r="P291" s="673" t="s">
        <v>6384</v>
      </c>
      <c r="Q291" s="698"/>
      <c r="R291" s="1"/>
      <c r="S291" s="668"/>
      <c r="T291" s="669"/>
      <c r="U291" s="1"/>
      <c r="V291" s="1"/>
      <c r="W291" s="1"/>
      <c r="X291" s="1"/>
      <c r="Y291" s="1"/>
    </row>
    <row r="292" ht="12.75" customHeight="1">
      <c r="A292" s="641" t="s">
        <v>6385</v>
      </c>
      <c r="B292" s="202" t="s">
        <v>1033</v>
      </c>
      <c r="C292" s="643" t="s">
        <v>5636</v>
      </c>
      <c r="D292" s="644">
        <f>SUMIF('Orcamento RU Viora Build'!$A:$A,A292,'Orcamento RU Viora Build'!$F:$F)</f>
        <v>1</v>
      </c>
      <c r="E292" s="645">
        <f t="shared" si="72"/>
        <v>204.828</v>
      </c>
      <c r="F292" s="646">
        <f t="shared" si="73"/>
        <v>204.828</v>
      </c>
      <c r="G292" s="782"/>
      <c r="H292" s="666"/>
      <c r="I292" s="658">
        <v>157.56</v>
      </c>
      <c r="J292" s="695">
        <v>0.0</v>
      </c>
      <c r="K292" s="689">
        <f t="shared" si="87"/>
        <v>157.56</v>
      </c>
      <c r="L292" s="689">
        <f t="shared" si="88"/>
        <v>157.56</v>
      </c>
      <c r="M292" s="690">
        <f t="shared" si="89"/>
        <v>47.268</v>
      </c>
      <c r="N292" s="659">
        <f t="shared" si="74"/>
        <v>0.3</v>
      </c>
      <c r="O292" s="675">
        <f t="shared" si="90"/>
        <v>0.2307692308</v>
      </c>
      <c r="P292" s="673" t="s">
        <v>6370</v>
      </c>
      <c r="Q292" s="698"/>
      <c r="R292" s="1"/>
      <c r="S292" s="668"/>
      <c r="T292" s="669"/>
      <c r="U292" s="1"/>
      <c r="V292" s="1"/>
      <c r="W292" s="1"/>
      <c r="X292" s="1"/>
      <c r="Y292" s="1"/>
    </row>
    <row r="293" ht="12.75" customHeight="1">
      <c r="A293" s="641" t="s">
        <v>6386</v>
      </c>
      <c r="B293" s="798" t="s">
        <v>6387</v>
      </c>
      <c r="C293" s="643" t="s">
        <v>5636</v>
      </c>
      <c r="D293" s="644">
        <f>SUMIF('Orcamento RU Viora Build'!$A:$A,A293,'Orcamento RU Viora Build'!$F:$F)</f>
        <v>1</v>
      </c>
      <c r="E293" s="645">
        <f t="shared" si="72"/>
        <v>127.049</v>
      </c>
      <c r="F293" s="646">
        <f t="shared" si="73"/>
        <v>127.049</v>
      </c>
      <c r="G293" s="782"/>
      <c r="H293" s="666"/>
      <c r="I293" s="658">
        <v>97.73</v>
      </c>
      <c r="J293" s="695">
        <v>0.0</v>
      </c>
      <c r="K293" s="689">
        <f t="shared" si="87"/>
        <v>97.73</v>
      </c>
      <c r="L293" s="689">
        <f t="shared" si="88"/>
        <v>97.73</v>
      </c>
      <c r="M293" s="690">
        <f t="shared" si="89"/>
        <v>29.319</v>
      </c>
      <c r="N293" s="659">
        <f t="shared" si="74"/>
        <v>0.3</v>
      </c>
      <c r="O293" s="675">
        <f t="shared" si="90"/>
        <v>0.2307692308</v>
      </c>
      <c r="P293" s="673" t="s">
        <v>6287</v>
      </c>
      <c r="Q293" s="698"/>
      <c r="R293" s="1"/>
      <c r="S293" s="668"/>
      <c r="T293" s="669"/>
      <c r="U293" s="1"/>
      <c r="V293" s="1"/>
      <c r="W293" s="1"/>
      <c r="X293" s="1"/>
      <c r="Y293" s="1"/>
    </row>
    <row r="294" ht="12.75" customHeight="1">
      <c r="A294" s="641" t="s">
        <v>6388</v>
      </c>
      <c r="B294" s="798" t="s">
        <v>6389</v>
      </c>
      <c r="C294" s="643" t="s">
        <v>5636</v>
      </c>
      <c r="D294" s="644">
        <f>SUMIF('Orcamento RU Viora Build'!$A:$A,A294,'Orcamento RU Viora Build'!$F:$F)</f>
        <v>1</v>
      </c>
      <c r="E294" s="645">
        <f t="shared" si="72"/>
        <v>147.459</v>
      </c>
      <c r="F294" s="646">
        <f t="shared" si="73"/>
        <v>147.459</v>
      </c>
      <c r="G294" s="782"/>
      <c r="H294" s="666"/>
      <c r="I294" s="658">
        <v>113.43</v>
      </c>
      <c r="J294" s="695">
        <v>0.0</v>
      </c>
      <c r="K294" s="689">
        <f t="shared" si="87"/>
        <v>113.43</v>
      </c>
      <c r="L294" s="689">
        <f t="shared" si="88"/>
        <v>113.43</v>
      </c>
      <c r="M294" s="690">
        <f t="shared" si="89"/>
        <v>34.029</v>
      </c>
      <c r="N294" s="659">
        <f t="shared" si="74"/>
        <v>0.3</v>
      </c>
      <c r="O294" s="675">
        <f t="shared" si="90"/>
        <v>0.2307692308</v>
      </c>
      <c r="P294" s="673" t="s">
        <v>6287</v>
      </c>
      <c r="Q294" s="698"/>
      <c r="R294" s="1"/>
      <c r="S294" s="668"/>
      <c r="T294" s="669"/>
      <c r="U294" s="1"/>
      <c r="V294" s="1"/>
      <c r="W294" s="1"/>
      <c r="X294" s="1"/>
      <c r="Y294" s="1"/>
    </row>
    <row r="295" ht="12.75" customHeight="1">
      <c r="A295" s="641" t="s">
        <v>6390</v>
      </c>
      <c r="B295" s="798" t="s">
        <v>6391</v>
      </c>
      <c r="C295" s="643" t="s">
        <v>5636</v>
      </c>
      <c r="D295" s="644">
        <f>SUMIF('Orcamento RU Viora Build'!$A:$A,A295,'Orcamento RU Viora Build'!$F:$F)</f>
        <v>2</v>
      </c>
      <c r="E295" s="645">
        <f t="shared" si="72"/>
        <v>64.675</v>
      </c>
      <c r="F295" s="646">
        <f t="shared" si="73"/>
        <v>129.35</v>
      </c>
      <c r="G295" s="782"/>
      <c r="H295" s="666"/>
      <c r="I295" s="658">
        <v>49.75</v>
      </c>
      <c r="J295" s="695">
        <v>0.0</v>
      </c>
      <c r="K295" s="689">
        <f t="shared" si="87"/>
        <v>49.75</v>
      </c>
      <c r="L295" s="689">
        <f t="shared" si="88"/>
        <v>99.5</v>
      </c>
      <c r="M295" s="690">
        <f t="shared" si="89"/>
        <v>29.85</v>
      </c>
      <c r="N295" s="659">
        <f t="shared" si="74"/>
        <v>0.3</v>
      </c>
      <c r="O295" s="675">
        <f t="shared" si="90"/>
        <v>0.2307692308</v>
      </c>
      <c r="P295" s="673" t="s">
        <v>6392</v>
      </c>
      <c r="Q295" s="696" t="s">
        <v>6393</v>
      </c>
      <c r="R295" s="1"/>
      <c r="S295" s="668"/>
      <c r="T295" s="669"/>
      <c r="U295" s="1"/>
      <c r="V295" s="1"/>
      <c r="W295" s="1"/>
      <c r="X295" s="1"/>
      <c r="Y295" s="1"/>
    </row>
    <row r="296" ht="12.75" customHeight="1">
      <c r="A296" s="641" t="s">
        <v>6394</v>
      </c>
      <c r="B296" s="798" t="s">
        <v>6395</v>
      </c>
      <c r="C296" s="643" t="s">
        <v>5636</v>
      </c>
      <c r="D296" s="644">
        <f>SUMIF('Orcamento RU Viora Build'!$A:$A,A296,'Orcamento RU Viora Build'!$F:$F)</f>
        <v>1</v>
      </c>
      <c r="E296" s="645">
        <f t="shared" si="72"/>
        <v>13608.621</v>
      </c>
      <c r="F296" s="646">
        <f t="shared" si="73"/>
        <v>13608.621</v>
      </c>
      <c r="G296" s="782"/>
      <c r="H296" s="666"/>
      <c r="I296" s="658">
        <v>10468.17</v>
      </c>
      <c r="J296" s="695">
        <v>0.0</v>
      </c>
      <c r="K296" s="689">
        <f t="shared" si="87"/>
        <v>10468.17</v>
      </c>
      <c r="L296" s="689">
        <f t="shared" si="88"/>
        <v>10468.17</v>
      </c>
      <c r="M296" s="690">
        <f t="shared" si="89"/>
        <v>3140.451</v>
      </c>
      <c r="N296" s="659">
        <f t="shared" si="74"/>
        <v>0.3</v>
      </c>
      <c r="O296" s="675">
        <f t="shared" si="90"/>
        <v>0.2307692308</v>
      </c>
      <c r="P296" s="673" t="s">
        <v>5805</v>
      </c>
      <c r="Q296" s="698"/>
      <c r="R296" s="1"/>
      <c r="S296" s="668"/>
      <c r="T296" s="669"/>
      <c r="U296" s="1"/>
      <c r="V296" s="1"/>
      <c r="W296" s="1"/>
      <c r="X296" s="1"/>
      <c r="Y296" s="1"/>
    </row>
    <row r="297" ht="12.75" customHeight="1">
      <c r="A297" s="641" t="s">
        <v>6396</v>
      </c>
      <c r="B297" s="798" t="s">
        <v>6397</v>
      </c>
      <c r="C297" s="643" t="s">
        <v>5636</v>
      </c>
      <c r="D297" s="644">
        <f>SUMIF('Orcamento RU Viora Build'!$A:$A,A297,'Orcamento RU Viora Build'!$F:$F)</f>
        <v>2</v>
      </c>
      <c r="E297" s="645">
        <f t="shared" si="72"/>
        <v>1909.7</v>
      </c>
      <c r="F297" s="646">
        <f t="shared" si="73"/>
        <v>3819.4</v>
      </c>
      <c r="G297" s="782"/>
      <c r="H297" s="666"/>
      <c r="I297" s="658">
        <v>1469.0</v>
      </c>
      <c r="J297" s="695">
        <v>0.0</v>
      </c>
      <c r="K297" s="689">
        <f t="shared" si="87"/>
        <v>1469</v>
      </c>
      <c r="L297" s="689">
        <f t="shared" si="88"/>
        <v>2938</v>
      </c>
      <c r="M297" s="690">
        <f t="shared" si="89"/>
        <v>881.4</v>
      </c>
      <c r="N297" s="659">
        <f t="shared" si="74"/>
        <v>0.3</v>
      </c>
      <c r="O297" s="675">
        <f t="shared" si="90"/>
        <v>0.2307692308</v>
      </c>
      <c r="P297" s="673" t="s">
        <v>6398</v>
      </c>
      <c r="Q297" s="698"/>
      <c r="R297" s="1"/>
      <c r="S297" s="668"/>
      <c r="T297" s="669"/>
      <c r="U297" s="1"/>
      <c r="V297" s="1"/>
      <c r="W297" s="1"/>
      <c r="X297" s="1"/>
      <c r="Y297" s="1"/>
    </row>
    <row r="298" ht="12.75" customHeight="1">
      <c r="A298" s="641" t="s">
        <v>6399</v>
      </c>
      <c r="B298" s="798" t="s">
        <v>6400</v>
      </c>
      <c r="C298" s="643" t="s">
        <v>5636</v>
      </c>
      <c r="D298" s="644">
        <f>SUMIF('Orcamento RU Viora Build'!$A:$A,A298,'Orcamento RU Viora Build'!$F:$F)</f>
        <v>4</v>
      </c>
      <c r="E298" s="645">
        <f t="shared" si="72"/>
        <v>2707.172</v>
      </c>
      <c r="F298" s="646">
        <f t="shared" si="73"/>
        <v>10828.688</v>
      </c>
      <c r="G298" s="782"/>
      <c r="H298" s="666"/>
      <c r="I298" s="658">
        <v>2082.44</v>
      </c>
      <c r="J298" s="695">
        <v>0.0</v>
      </c>
      <c r="K298" s="689">
        <f t="shared" si="87"/>
        <v>2082.44</v>
      </c>
      <c r="L298" s="689">
        <f t="shared" si="88"/>
        <v>8329.76</v>
      </c>
      <c r="M298" s="690">
        <f t="shared" si="89"/>
        <v>2498.928</v>
      </c>
      <c r="N298" s="659">
        <f t="shared" si="74"/>
        <v>0.3</v>
      </c>
      <c r="O298" s="675">
        <f t="shared" si="90"/>
        <v>0.2307692308</v>
      </c>
      <c r="P298" s="673" t="s">
        <v>5805</v>
      </c>
      <c r="Q298" s="698"/>
      <c r="R298" s="1"/>
      <c r="S298" s="668"/>
      <c r="T298" s="669"/>
      <c r="U298" s="1"/>
      <c r="V298" s="1"/>
      <c r="W298" s="1"/>
      <c r="X298" s="1"/>
      <c r="Y298" s="1"/>
    </row>
    <row r="299" ht="12.75" customHeight="1">
      <c r="A299" s="641" t="s">
        <v>6401</v>
      </c>
      <c r="B299" s="798" t="s">
        <v>6402</v>
      </c>
      <c r="C299" s="643" t="s">
        <v>5636</v>
      </c>
      <c r="D299" s="644">
        <f>SUMIF('Orcamento RU Viora Build'!$A:$A,A299,'Orcamento RU Viora Build'!$F:$F)</f>
        <v>1</v>
      </c>
      <c r="E299" s="645">
        <f t="shared" si="72"/>
        <v>2293.044</v>
      </c>
      <c r="F299" s="646">
        <f t="shared" si="73"/>
        <v>2293.044</v>
      </c>
      <c r="G299" s="782"/>
      <c r="H299" s="666"/>
      <c r="I299" s="658">
        <v>1763.88</v>
      </c>
      <c r="J299" s="695">
        <v>0.0</v>
      </c>
      <c r="K299" s="689">
        <f t="shared" si="87"/>
        <v>1763.88</v>
      </c>
      <c r="L299" s="689">
        <f t="shared" si="88"/>
        <v>1763.88</v>
      </c>
      <c r="M299" s="690">
        <f t="shared" si="89"/>
        <v>529.164</v>
      </c>
      <c r="N299" s="659">
        <f t="shared" si="74"/>
        <v>0.3</v>
      </c>
      <c r="O299" s="675">
        <f t="shared" si="90"/>
        <v>0.2307692308</v>
      </c>
      <c r="P299" s="673" t="s">
        <v>6403</v>
      </c>
      <c r="Q299" s="698"/>
      <c r="R299" s="1"/>
      <c r="S299" s="668"/>
      <c r="T299" s="669"/>
      <c r="U299" s="1"/>
      <c r="V299" s="1"/>
      <c r="W299" s="1"/>
      <c r="X299" s="1"/>
      <c r="Y299" s="1"/>
    </row>
    <row r="300" ht="12.75" customHeight="1">
      <c r="A300" s="641" t="s">
        <v>6404</v>
      </c>
      <c r="B300" s="798" t="s">
        <v>6405</v>
      </c>
      <c r="C300" s="643" t="s">
        <v>5636</v>
      </c>
      <c r="D300" s="644">
        <f>SUMIF('Orcamento RU Viora Build'!$A:$A,A300,'Orcamento RU Viora Build'!$F:$F)</f>
        <v>7</v>
      </c>
      <c r="E300" s="645">
        <f t="shared" si="72"/>
        <v>36.4</v>
      </c>
      <c r="F300" s="646">
        <f t="shared" si="73"/>
        <v>254.8</v>
      </c>
      <c r="G300" s="782"/>
      <c r="H300" s="666"/>
      <c r="I300" s="658">
        <v>28.0</v>
      </c>
      <c r="J300" s="695">
        <v>0.0</v>
      </c>
      <c r="K300" s="689">
        <f t="shared" si="87"/>
        <v>28</v>
      </c>
      <c r="L300" s="689">
        <f t="shared" si="88"/>
        <v>196</v>
      </c>
      <c r="M300" s="690">
        <f t="shared" si="89"/>
        <v>58.8</v>
      </c>
      <c r="N300" s="659">
        <f t="shared" si="74"/>
        <v>0.3</v>
      </c>
      <c r="O300" s="675">
        <f t="shared" si="90"/>
        <v>0.2307692308</v>
      </c>
      <c r="P300" s="673" t="s">
        <v>6278</v>
      </c>
      <c r="Q300" s="698"/>
      <c r="R300" s="1"/>
      <c r="S300" s="668"/>
      <c r="T300" s="669"/>
      <c r="U300" s="1"/>
      <c r="V300" s="1"/>
      <c r="W300" s="1"/>
      <c r="X300" s="1"/>
      <c r="Y300" s="1"/>
    </row>
    <row r="301" ht="12.75" customHeight="1">
      <c r="A301" s="641" t="s">
        <v>6406</v>
      </c>
      <c r="B301" s="798" t="s">
        <v>6407</v>
      </c>
      <c r="C301" s="643" t="s">
        <v>5636</v>
      </c>
      <c r="D301" s="644">
        <f>SUMIF('Orcamento RU Viora Build'!$A:$A,A301,'Orcamento RU Viora Build'!$F:$F)</f>
        <v>6</v>
      </c>
      <c r="E301" s="645">
        <f t="shared" si="72"/>
        <v>274.846</v>
      </c>
      <c r="F301" s="646">
        <f t="shared" si="73"/>
        <v>1649.076</v>
      </c>
      <c r="G301" s="782"/>
      <c r="H301" s="666"/>
      <c r="I301" s="658">
        <v>211.42</v>
      </c>
      <c r="J301" s="695">
        <v>0.0</v>
      </c>
      <c r="K301" s="689">
        <f t="shared" si="87"/>
        <v>211.42</v>
      </c>
      <c r="L301" s="689">
        <f t="shared" si="88"/>
        <v>1268.52</v>
      </c>
      <c r="M301" s="690">
        <f t="shared" si="89"/>
        <v>380.556</v>
      </c>
      <c r="N301" s="659">
        <f t="shared" si="74"/>
        <v>0.3</v>
      </c>
      <c r="O301" s="675">
        <f t="shared" si="90"/>
        <v>0.2307692308</v>
      </c>
      <c r="P301" s="673" t="s">
        <v>5805</v>
      </c>
      <c r="Q301" s="698"/>
      <c r="R301" s="1"/>
      <c r="S301" s="668"/>
      <c r="T301" s="669"/>
      <c r="U301" s="1"/>
      <c r="V301" s="1"/>
      <c r="W301" s="1"/>
      <c r="X301" s="1"/>
      <c r="Y301" s="1"/>
    </row>
    <row r="302" ht="12.75" customHeight="1">
      <c r="A302" s="641" t="s">
        <v>6408</v>
      </c>
      <c r="B302" s="798" t="s">
        <v>6409</v>
      </c>
      <c r="C302" s="643" t="s">
        <v>5636</v>
      </c>
      <c r="D302" s="644">
        <f>SUMIF('Orcamento RU Viora Build'!$A:$A,A302,'Orcamento RU Viora Build'!$F:$F)</f>
        <v>1</v>
      </c>
      <c r="E302" s="645">
        <f t="shared" si="72"/>
        <v>4549.896</v>
      </c>
      <c r="F302" s="646">
        <f t="shared" si="73"/>
        <v>4549.896</v>
      </c>
      <c r="G302" s="782"/>
      <c r="H302" s="666"/>
      <c r="I302" s="658">
        <v>3499.92</v>
      </c>
      <c r="J302" s="695">
        <v>0.0</v>
      </c>
      <c r="K302" s="689">
        <f t="shared" si="87"/>
        <v>3499.92</v>
      </c>
      <c r="L302" s="689">
        <f t="shared" si="88"/>
        <v>3499.92</v>
      </c>
      <c r="M302" s="690">
        <f t="shared" si="89"/>
        <v>1049.976</v>
      </c>
      <c r="N302" s="659">
        <f t="shared" si="74"/>
        <v>0.3</v>
      </c>
      <c r="O302" s="675">
        <f t="shared" si="90"/>
        <v>0.2307692308</v>
      </c>
      <c r="P302" s="673" t="s">
        <v>6410</v>
      </c>
      <c r="Q302" s="698"/>
      <c r="R302" s="1"/>
      <c r="S302" s="668"/>
      <c r="T302" s="669"/>
      <c r="U302" s="1"/>
      <c r="V302" s="1"/>
      <c r="W302" s="1"/>
      <c r="X302" s="1"/>
      <c r="Y302" s="1"/>
    </row>
    <row r="303" ht="12.75" customHeight="1">
      <c r="A303" s="641" t="s">
        <v>6411</v>
      </c>
      <c r="B303" s="798" t="s">
        <v>6412</v>
      </c>
      <c r="C303" s="643" t="s">
        <v>5636</v>
      </c>
      <c r="D303" s="644">
        <f>SUMIF('Orcamento RU Viora Build'!$A:$A,A303,'Orcamento RU Viora Build'!$F:$F)</f>
        <v>1</v>
      </c>
      <c r="E303" s="645">
        <f t="shared" si="72"/>
        <v>102.7</v>
      </c>
      <c r="F303" s="646">
        <f t="shared" si="73"/>
        <v>102.7</v>
      </c>
      <c r="G303" s="782"/>
      <c r="H303" s="666"/>
      <c r="I303" s="658">
        <v>79.0</v>
      </c>
      <c r="J303" s="695">
        <v>0.0</v>
      </c>
      <c r="K303" s="689">
        <f t="shared" si="87"/>
        <v>79</v>
      </c>
      <c r="L303" s="689">
        <f t="shared" si="88"/>
        <v>79</v>
      </c>
      <c r="M303" s="690">
        <f t="shared" si="89"/>
        <v>23.7</v>
      </c>
      <c r="N303" s="659">
        <f t="shared" si="74"/>
        <v>0.3</v>
      </c>
      <c r="O303" s="675">
        <f t="shared" si="90"/>
        <v>0.2307692308</v>
      </c>
      <c r="P303" s="673" t="s">
        <v>6413</v>
      </c>
      <c r="Q303" s="698"/>
      <c r="R303" s="1"/>
      <c r="S303" s="668"/>
      <c r="T303" s="669"/>
      <c r="U303" s="1"/>
      <c r="V303" s="1"/>
      <c r="W303" s="1"/>
      <c r="X303" s="1"/>
      <c r="Y303" s="1"/>
    </row>
    <row r="304" ht="12.75" customHeight="1">
      <c r="A304" s="641" t="s">
        <v>6414</v>
      </c>
      <c r="B304" s="798" t="s">
        <v>6415</v>
      </c>
      <c r="C304" s="643" t="s">
        <v>5636</v>
      </c>
      <c r="D304" s="644">
        <f>SUMIF('Orcamento RU Viora Build'!$A:$A,A304,'Orcamento RU Viora Build'!$F:$F)</f>
        <v>7</v>
      </c>
      <c r="E304" s="645">
        <f t="shared" si="72"/>
        <v>191.88</v>
      </c>
      <c r="F304" s="646">
        <f t="shared" si="73"/>
        <v>1343.16</v>
      </c>
      <c r="G304" s="782"/>
      <c r="H304" s="666"/>
      <c r="I304" s="658">
        <v>147.6</v>
      </c>
      <c r="J304" s="695">
        <v>0.0</v>
      </c>
      <c r="K304" s="689">
        <f t="shared" si="87"/>
        <v>147.6</v>
      </c>
      <c r="L304" s="689">
        <f t="shared" si="88"/>
        <v>1033.2</v>
      </c>
      <c r="M304" s="690">
        <f t="shared" si="89"/>
        <v>309.96</v>
      </c>
      <c r="N304" s="659">
        <f t="shared" si="74"/>
        <v>0.3</v>
      </c>
      <c r="O304" s="675">
        <f t="shared" si="90"/>
        <v>0.2307692308</v>
      </c>
      <c r="P304" s="673" t="s">
        <v>6416</v>
      </c>
      <c r="Q304" s="698"/>
      <c r="R304" s="1"/>
      <c r="S304" s="668"/>
      <c r="T304" s="669"/>
      <c r="U304" s="1"/>
      <c r="V304" s="1"/>
      <c r="W304" s="1"/>
      <c r="X304" s="1"/>
      <c r="Y304" s="1"/>
    </row>
    <row r="305" ht="12.75" customHeight="1">
      <c r="A305" s="641" t="s">
        <v>6417</v>
      </c>
      <c r="B305" s="798" t="s">
        <v>6418</v>
      </c>
      <c r="C305" s="643" t="s">
        <v>5631</v>
      </c>
      <c r="D305" s="644">
        <f>SUMIF('Orcamento RU Viora Build'!$A:$A,A305,'Orcamento RU Viora Build'!$F:$F)</f>
        <v>55.08</v>
      </c>
      <c r="E305" s="645">
        <f t="shared" si="72"/>
        <v>5.59</v>
      </c>
      <c r="F305" s="646">
        <f t="shared" si="73"/>
        <v>307.8972</v>
      </c>
      <c r="G305" s="782"/>
      <c r="H305" s="666"/>
      <c r="I305" s="658">
        <v>4.3</v>
      </c>
      <c r="J305" s="695">
        <v>0.0</v>
      </c>
      <c r="K305" s="689">
        <f t="shared" si="87"/>
        <v>4.3</v>
      </c>
      <c r="L305" s="689">
        <f t="shared" si="88"/>
        <v>236.844</v>
      </c>
      <c r="M305" s="690">
        <f t="shared" si="89"/>
        <v>71.0532</v>
      </c>
      <c r="N305" s="659">
        <f t="shared" si="74"/>
        <v>0.3</v>
      </c>
      <c r="O305" s="675">
        <f t="shared" si="90"/>
        <v>0.2307692308</v>
      </c>
      <c r="P305" s="673" t="s">
        <v>6419</v>
      </c>
      <c r="Q305" s="698"/>
      <c r="R305" s="1"/>
      <c r="S305" s="668"/>
      <c r="T305" s="669"/>
      <c r="U305" s="1"/>
      <c r="V305" s="1"/>
      <c r="W305" s="1"/>
      <c r="X305" s="1"/>
      <c r="Y305" s="1"/>
    </row>
    <row r="306" ht="12.75" customHeight="1">
      <c r="A306" s="641" t="s">
        <v>6420</v>
      </c>
      <c r="B306" s="798" t="s">
        <v>6421</v>
      </c>
      <c r="C306" s="643" t="s">
        <v>5631</v>
      </c>
      <c r="D306" s="644">
        <f>SUMIF('Orcamento RU Viora Build'!$A:$A,A306,'Orcamento RU Viora Build'!$F:$F)</f>
        <v>22.44</v>
      </c>
      <c r="E306" s="645">
        <f t="shared" si="72"/>
        <v>6.812</v>
      </c>
      <c r="F306" s="646">
        <f t="shared" si="73"/>
        <v>152.86128</v>
      </c>
      <c r="G306" s="782"/>
      <c r="H306" s="666"/>
      <c r="I306" s="658">
        <v>5.24</v>
      </c>
      <c r="J306" s="695">
        <v>0.0</v>
      </c>
      <c r="K306" s="689">
        <f t="shared" si="87"/>
        <v>5.24</v>
      </c>
      <c r="L306" s="689">
        <f t="shared" si="88"/>
        <v>117.5856</v>
      </c>
      <c r="M306" s="690">
        <f t="shared" si="89"/>
        <v>35.27568</v>
      </c>
      <c r="N306" s="659">
        <f t="shared" si="74"/>
        <v>0.3</v>
      </c>
      <c r="O306" s="675">
        <f t="shared" si="90"/>
        <v>0.2307692308</v>
      </c>
      <c r="P306" s="673" t="s">
        <v>6403</v>
      </c>
      <c r="Q306" s="696" t="s">
        <v>6422</v>
      </c>
      <c r="R306" s="1"/>
      <c r="S306" s="668"/>
      <c r="T306" s="669"/>
      <c r="U306" s="1"/>
      <c r="V306" s="1"/>
      <c r="W306" s="1"/>
      <c r="X306" s="1"/>
      <c r="Y306" s="1"/>
    </row>
    <row r="307" ht="12.75" customHeight="1">
      <c r="A307" s="641" t="s">
        <v>6423</v>
      </c>
      <c r="B307" s="798" t="s">
        <v>6424</v>
      </c>
      <c r="C307" s="643" t="s">
        <v>5631</v>
      </c>
      <c r="D307" s="644">
        <f>SUMIF('Orcamento RU Viora Build'!$A:$A,A307,'Orcamento RU Viora Build'!$F:$F)</f>
        <v>73.44</v>
      </c>
      <c r="E307" s="645">
        <f t="shared" si="72"/>
        <v>11.7</v>
      </c>
      <c r="F307" s="646">
        <f t="shared" si="73"/>
        <v>859.248</v>
      </c>
      <c r="G307" s="782"/>
      <c r="H307" s="666"/>
      <c r="I307" s="658">
        <v>9.0</v>
      </c>
      <c r="J307" s="695">
        <v>0.0</v>
      </c>
      <c r="K307" s="689">
        <f t="shared" si="87"/>
        <v>9</v>
      </c>
      <c r="L307" s="689">
        <f t="shared" si="88"/>
        <v>660.96</v>
      </c>
      <c r="M307" s="690">
        <f t="shared" si="89"/>
        <v>198.288</v>
      </c>
      <c r="N307" s="659">
        <f t="shared" si="74"/>
        <v>0.3</v>
      </c>
      <c r="O307" s="675">
        <f t="shared" si="90"/>
        <v>0.2307692308</v>
      </c>
      <c r="P307" s="673" t="s">
        <v>6425</v>
      </c>
      <c r="Q307" s="696" t="s">
        <v>6422</v>
      </c>
      <c r="R307" s="1"/>
      <c r="S307" s="668"/>
      <c r="T307" s="669"/>
      <c r="U307" s="1"/>
      <c r="V307" s="1"/>
      <c r="W307" s="1"/>
      <c r="X307" s="1"/>
      <c r="Y307" s="1"/>
    </row>
    <row r="308" ht="12.75" customHeight="1">
      <c r="A308" s="641" t="s">
        <v>6426</v>
      </c>
      <c r="B308" s="798" t="s">
        <v>6427</v>
      </c>
      <c r="C308" s="643" t="s">
        <v>5631</v>
      </c>
      <c r="D308" s="644">
        <f>SUMIF('Orcamento RU Viora Build'!$A:$A,A308,'Orcamento RU Viora Build'!$F:$F)</f>
        <v>57.12</v>
      </c>
      <c r="E308" s="645">
        <f t="shared" si="72"/>
        <v>12.987</v>
      </c>
      <c r="F308" s="646">
        <f t="shared" si="73"/>
        <v>741.81744</v>
      </c>
      <c r="G308" s="782"/>
      <c r="H308" s="666"/>
      <c r="I308" s="658">
        <v>9.99</v>
      </c>
      <c r="J308" s="695">
        <v>0.0</v>
      </c>
      <c r="K308" s="689">
        <f t="shared" si="87"/>
        <v>9.99</v>
      </c>
      <c r="L308" s="689">
        <f t="shared" si="88"/>
        <v>570.6288</v>
      </c>
      <c r="M308" s="690">
        <f t="shared" si="89"/>
        <v>171.18864</v>
      </c>
      <c r="N308" s="659">
        <f t="shared" si="74"/>
        <v>0.3</v>
      </c>
      <c r="O308" s="675">
        <f t="shared" si="90"/>
        <v>0.2307692308</v>
      </c>
      <c r="P308" s="673" t="s">
        <v>6278</v>
      </c>
      <c r="Q308" s="698"/>
      <c r="R308" s="1"/>
      <c r="S308" s="668"/>
      <c r="T308" s="669"/>
      <c r="U308" s="1"/>
      <c r="V308" s="1"/>
      <c r="W308" s="1"/>
      <c r="X308" s="1"/>
      <c r="Y308" s="1"/>
    </row>
    <row r="309" ht="12.75" customHeight="1">
      <c r="A309" s="641" t="s">
        <v>6428</v>
      </c>
      <c r="B309" s="798" t="s">
        <v>6429</v>
      </c>
      <c r="C309" s="643" t="s">
        <v>5631</v>
      </c>
      <c r="D309" s="644">
        <f>SUMIF('Orcamento RU Viora Build'!$A:$A,A309,'Orcamento RU Viora Build'!$F:$F)</f>
        <v>10.2</v>
      </c>
      <c r="E309" s="645">
        <f t="shared" si="72"/>
        <v>9.295</v>
      </c>
      <c r="F309" s="646">
        <f t="shared" si="73"/>
        <v>94.809</v>
      </c>
      <c r="G309" s="782"/>
      <c r="H309" s="666"/>
      <c r="I309" s="658">
        <v>7.15</v>
      </c>
      <c r="J309" s="695">
        <v>0.0</v>
      </c>
      <c r="K309" s="689">
        <f t="shared" si="87"/>
        <v>7.15</v>
      </c>
      <c r="L309" s="689">
        <f t="shared" si="88"/>
        <v>72.93</v>
      </c>
      <c r="M309" s="690">
        <f t="shared" si="89"/>
        <v>21.879</v>
      </c>
      <c r="N309" s="659">
        <f t="shared" si="74"/>
        <v>0.3</v>
      </c>
      <c r="O309" s="675">
        <f t="shared" si="90"/>
        <v>0.2307692308</v>
      </c>
      <c r="P309" s="673" t="s">
        <v>6430</v>
      </c>
      <c r="Q309" s="698"/>
      <c r="R309" s="1"/>
      <c r="S309" s="668"/>
      <c r="T309" s="669"/>
      <c r="U309" s="1"/>
      <c r="V309" s="1"/>
      <c r="W309" s="1"/>
      <c r="X309" s="1"/>
      <c r="Y309" s="1"/>
    </row>
    <row r="310" ht="12.75" customHeight="1">
      <c r="A310" s="641" t="s">
        <v>6431</v>
      </c>
      <c r="B310" s="798" t="s">
        <v>6432</v>
      </c>
      <c r="C310" s="643" t="s">
        <v>5631</v>
      </c>
      <c r="D310" s="644">
        <f>SUMIF('Orcamento RU Viora Build'!$A:$A,A310,'Orcamento RU Viora Build'!$F:$F)</f>
        <v>8.16</v>
      </c>
      <c r="E310" s="645">
        <f t="shared" si="72"/>
        <v>12.844</v>
      </c>
      <c r="F310" s="646">
        <f t="shared" si="73"/>
        <v>104.80704</v>
      </c>
      <c r="G310" s="782"/>
      <c r="H310" s="666"/>
      <c r="I310" s="658">
        <v>9.88</v>
      </c>
      <c r="J310" s="695">
        <v>0.0</v>
      </c>
      <c r="K310" s="689">
        <f t="shared" si="87"/>
        <v>9.88</v>
      </c>
      <c r="L310" s="689">
        <f t="shared" si="88"/>
        <v>80.6208</v>
      </c>
      <c r="M310" s="690">
        <f t="shared" si="89"/>
        <v>24.18624</v>
      </c>
      <c r="N310" s="659">
        <f t="shared" si="74"/>
        <v>0.3</v>
      </c>
      <c r="O310" s="675">
        <f t="shared" si="90"/>
        <v>0.2307692308</v>
      </c>
      <c r="P310" s="673" t="s">
        <v>6287</v>
      </c>
      <c r="Q310" s="698"/>
      <c r="R310" s="1"/>
      <c r="S310" s="668"/>
      <c r="T310" s="669"/>
      <c r="U310" s="1"/>
      <c r="V310" s="1"/>
      <c r="W310" s="1"/>
      <c r="X310" s="1"/>
      <c r="Y310" s="1"/>
    </row>
    <row r="311" ht="12.75" customHeight="1">
      <c r="A311" s="641" t="s">
        <v>6433</v>
      </c>
      <c r="B311" s="798" t="s">
        <v>6434</v>
      </c>
      <c r="C311" s="643" t="s">
        <v>5631</v>
      </c>
      <c r="D311" s="644">
        <f>SUMIF('Orcamento RU Viora Build'!$A:$A,A311,'Orcamento RU Viora Build'!$F:$F)</f>
        <v>34.68</v>
      </c>
      <c r="E311" s="645">
        <f t="shared" si="72"/>
        <v>18.187</v>
      </c>
      <c r="F311" s="646">
        <f t="shared" si="73"/>
        <v>630.72516</v>
      </c>
      <c r="G311" s="782"/>
      <c r="H311" s="666"/>
      <c r="I311" s="658">
        <v>13.99</v>
      </c>
      <c r="J311" s="695">
        <v>0.0</v>
      </c>
      <c r="K311" s="689">
        <f t="shared" si="87"/>
        <v>13.99</v>
      </c>
      <c r="L311" s="689">
        <f t="shared" si="88"/>
        <v>485.1732</v>
      </c>
      <c r="M311" s="690">
        <f t="shared" si="89"/>
        <v>145.55196</v>
      </c>
      <c r="N311" s="659">
        <f t="shared" si="74"/>
        <v>0.3</v>
      </c>
      <c r="O311" s="675">
        <f t="shared" si="90"/>
        <v>0.2307692308</v>
      </c>
      <c r="P311" s="673" t="s">
        <v>6287</v>
      </c>
      <c r="Q311" s="698"/>
      <c r="R311" s="1"/>
      <c r="S311" s="668"/>
      <c r="T311" s="669"/>
      <c r="U311" s="1"/>
      <c r="V311" s="1"/>
      <c r="W311" s="1"/>
      <c r="X311" s="1"/>
      <c r="Y311" s="1"/>
    </row>
    <row r="312" ht="12.75" customHeight="1">
      <c r="A312" s="641" t="s">
        <v>6435</v>
      </c>
      <c r="B312" s="798" t="s">
        <v>6436</v>
      </c>
      <c r="C312" s="643" t="s">
        <v>5631</v>
      </c>
      <c r="D312" s="644">
        <f>SUMIF('Orcamento RU Viora Build'!$A:$A,A312,'Orcamento RU Viora Build'!$F:$F)</f>
        <v>56.7</v>
      </c>
      <c r="E312" s="645">
        <f t="shared" si="72"/>
        <v>3.887</v>
      </c>
      <c r="F312" s="646">
        <f t="shared" si="73"/>
        <v>220.3929</v>
      </c>
      <c r="G312" s="782"/>
      <c r="H312" s="666"/>
      <c r="I312" s="658">
        <v>2.99</v>
      </c>
      <c r="J312" s="695">
        <v>0.0</v>
      </c>
      <c r="K312" s="689">
        <f t="shared" si="87"/>
        <v>2.99</v>
      </c>
      <c r="L312" s="689">
        <f t="shared" si="88"/>
        <v>169.533</v>
      </c>
      <c r="M312" s="690">
        <f t="shared" si="89"/>
        <v>50.8599</v>
      </c>
      <c r="N312" s="659">
        <f t="shared" si="74"/>
        <v>0.3</v>
      </c>
      <c r="O312" s="675">
        <f t="shared" si="90"/>
        <v>0.2307692308</v>
      </c>
      <c r="P312" s="660" t="s">
        <v>5999</v>
      </c>
      <c r="Q312" s="698"/>
      <c r="R312" s="1"/>
      <c r="S312" s="668"/>
      <c r="T312" s="669"/>
      <c r="U312" s="1"/>
      <c r="V312" s="1"/>
      <c r="W312" s="1"/>
      <c r="X312" s="1"/>
      <c r="Y312" s="1"/>
    </row>
    <row r="313" ht="12.75" customHeight="1">
      <c r="A313" s="641" t="s">
        <v>6437</v>
      </c>
      <c r="B313" s="798" t="s">
        <v>6438</v>
      </c>
      <c r="C313" s="643" t="s">
        <v>5631</v>
      </c>
      <c r="D313" s="644">
        <f>SUMIF('Orcamento RU Viora Build'!$A:$A,A313,'Orcamento RU Viora Build'!$F:$F)</f>
        <v>23.1</v>
      </c>
      <c r="E313" s="645">
        <f t="shared" si="72"/>
        <v>0</v>
      </c>
      <c r="F313" s="646">
        <f t="shared" si="73"/>
        <v>0</v>
      </c>
      <c r="G313" s="782"/>
      <c r="H313" s="666"/>
      <c r="I313" s="679"/>
      <c r="J313" s="743"/>
      <c r="K313" s="679"/>
      <c r="L313" s="679"/>
      <c r="M313" s="679"/>
      <c r="N313" s="659">
        <f t="shared" si="74"/>
        <v>0.3</v>
      </c>
      <c r="O313" s="744"/>
      <c r="P313" s="744"/>
      <c r="Q313" s="764"/>
      <c r="R313" s="1"/>
      <c r="S313" s="685"/>
      <c r="T313" s="686"/>
      <c r="U313" s="1"/>
      <c r="V313" s="1"/>
      <c r="W313" s="1"/>
      <c r="X313" s="1"/>
      <c r="Y313" s="1"/>
    </row>
    <row r="314" ht="12.75" customHeight="1">
      <c r="A314" s="641" t="s">
        <v>6439</v>
      </c>
      <c r="B314" s="798" t="s">
        <v>6440</v>
      </c>
      <c r="C314" s="643" t="s">
        <v>5631</v>
      </c>
      <c r="D314" s="644">
        <f>SUMIF('Orcamento RU Viora Build'!$A:$A,A314,'Orcamento RU Viora Build'!$F:$F)</f>
        <v>75.6</v>
      </c>
      <c r="E314" s="645">
        <f t="shared" si="72"/>
        <v>1.352</v>
      </c>
      <c r="F314" s="646">
        <f t="shared" si="73"/>
        <v>102.2112</v>
      </c>
      <c r="G314" s="782"/>
      <c r="H314" s="666"/>
      <c r="I314" s="658">
        <v>1.04</v>
      </c>
      <c r="J314" s="695">
        <v>0.0</v>
      </c>
      <c r="K314" s="689">
        <f t="shared" ref="K314:K315" si="91">I314-I314*J314</f>
        <v>1.04</v>
      </c>
      <c r="L314" s="689">
        <f t="shared" ref="L314:L315" si="92">K314*D314</f>
        <v>78.624</v>
      </c>
      <c r="M314" s="690">
        <f t="shared" ref="M314:M315" si="93">F314-L314</f>
        <v>23.5872</v>
      </c>
      <c r="N314" s="659">
        <f t="shared" si="74"/>
        <v>0.3</v>
      </c>
      <c r="O314" s="675">
        <f t="shared" ref="O314:O315" si="94">M314/F314</f>
        <v>0.2307692308</v>
      </c>
      <c r="P314" s="660" t="s">
        <v>6441</v>
      </c>
      <c r="Q314" s="698"/>
      <c r="R314" s="1"/>
      <c r="S314" s="668"/>
      <c r="T314" s="669"/>
      <c r="U314" s="1"/>
      <c r="V314" s="1"/>
      <c r="W314" s="1"/>
      <c r="X314" s="1"/>
      <c r="Y314" s="1"/>
    </row>
    <row r="315" ht="12.75" customHeight="1">
      <c r="A315" s="641" t="s">
        <v>6442</v>
      </c>
      <c r="B315" s="798" t="s">
        <v>6443</v>
      </c>
      <c r="C315" s="643" t="s">
        <v>5631</v>
      </c>
      <c r="D315" s="644">
        <f>SUMIF('Orcamento RU Viora Build'!$A:$A,A315,'Orcamento RU Viora Build'!$F:$F)</f>
        <v>58.8</v>
      </c>
      <c r="E315" s="645">
        <f t="shared" si="72"/>
        <v>6.422</v>
      </c>
      <c r="F315" s="646">
        <f t="shared" si="73"/>
        <v>377.6136</v>
      </c>
      <c r="G315" s="782"/>
      <c r="H315" s="666"/>
      <c r="I315" s="658">
        <v>4.94</v>
      </c>
      <c r="J315" s="695">
        <v>0.0</v>
      </c>
      <c r="K315" s="689">
        <f t="shared" si="91"/>
        <v>4.94</v>
      </c>
      <c r="L315" s="689">
        <f t="shared" si="92"/>
        <v>290.472</v>
      </c>
      <c r="M315" s="690">
        <f t="shared" si="93"/>
        <v>87.1416</v>
      </c>
      <c r="N315" s="659">
        <f t="shared" si="74"/>
        <v>0.3</v>
      </c>
      <c r="O315" s="675">
        <f t="shared" si="94"/>
        <v>0.2307692308</v>
      </c>
      <c r="P315" s="660" t="s">
        <v>6444</v>
      </c>
      <c r="Q315" s="698"/>
      <c r="R315" s="1"/>
      <c r="S315" s="668"/>
      <c r="T315" s="669"/>
      <c r="U315" s="1"/>
      <c r="V315" s="1"/>
      <c r="W315" s="1"/>
      <c r="X315" s="1"/>
      <c r="Y315" s="1"/>
    </row>
    <row r="316" ht="12.75" customHeight="1">
      <c r="A316" s="641" t="s">
        <v>6445</v>
      </c>
      <c r="B316" s="798" t="s">
        <v>6446</v>
      </c>
      <c r="C316" s="643" t="s">
        <v>5631</v>
      </c>
      <c r="D316" s="644">
        <f>SUMIF('Orcamento RU Viora Build'!$A:$A,A316,'Orcamento RU Viora Build'!$F:$F)</f>
        <v>10.5</v>
      </c>
      <c r="E316" s="645">
        <f t="shared" si="72"/>
        <v>0</v>
      </c>
      <c r="F316" s="646">
        <f t="shared" si="73"/>
        <v>0</v>
      </c>
      <c r="G316" s="782"/>
      <c r="H316" s="666"/>
      <c r="I316" s="774"/>
      <c r="J316" s="743"/>
      <c r="K316" s="679"/>
      <c r="L316" s="679"/>
      <c r="M316" s="679"/>
      <c r="N316" s="659">
        <f t="shared" si="74"/>
        <v>0.3</v>
      </c>
      <c r="O316" s="744"/>
      <c r="P316" s="744"/>
      <c r="Q316" s="764"/>
      <c r="R316" s="1"/>
      <c r="S316" s="685"/>
      <c r="T316" s="686"/>
      <c r="U316" s="1"/>
      <c r="V316" s="1"/>
      <c r="W316" s="1"/>
      <c r="X316" s="1"/>
      <c r="Y316" s="1"/>
    </row>
    <row r="317" ht="12.75" customHeight="1">
      <c r="A317" s="641" t="s">
        <v>6447</v>
      </c>
      <c r="B317" s="798" t="s">
        <v>6448</v>
      </c>
      <c r="C317" s="643" t="s">
        <v>5631</v>
      </c>
      <c r="D317" s="644">
        <f>SUMIF('Orcamento RU Viora Build'!$A:$A,A317,'Orcamento RU Viora Build'!$F:$F)</f>
        <v>8.4</v>
      </c>
      <c r="E317" s="645">
        <f t="shared" si="72"/>
        <v>2.158</v>
      </c>
      <c r="F317" s="646">
        <f t="shared" si="73"/>
        <v>18.1272</v>
      </c>
      <c r="G317" s="782"/>
      <c r="H317" s="666"/>
      <c r="I317" s="658">
        <v>1.66</v>
      </c>
      <c r="J317" s="695">
        <v>0.0</v>
      </c>
      <c r="K317" s="689">
        <f t="shared" ref="K317:K383" si="95">I317-I317*J317</f>
        <v>1.66</v>
      </c>
      <c r="L317" s="689">
        <f t="shared" ref="L317:L383" si="96">K317*D317</f>
        <v>13.944</v>
      </c>
      <c r="M317" s="690">
        <f t="shared" ref="M317:M383" si="97">F317-L317</f>
        <v>4.1832</v>
      </c>
      <c r="N317" s="659">
        <f t="shared" si="74"/>
        <v>0.3</v>
      </c>
      <c r="O317" s="675">
        <f t="shared" ref="O317:O383" si="98">M317/F317</f>
        <v>0.2307692308</v>
      </c>
      <c r="P317" s="673" t="s">
        <v>6185</v>
      </c>
      <c r="Q317" s="698"/>
      <c r="R317" s="1"/>
      <c r="S317" s="668"/>
      <c r="T317" s="669"/>
      <c r="U317" s="1"/>
      <c r="V317" s="1"/>
      <c r="W317" s="1"/>
      <c r="X317" s="1"/>
      <c r="Y317" s="1"/>
    </row>
    <row r="318" ht="12.75" customHeight="1">
      <c r="A318" s="641" t="s">
        <v>6449</v>
      </c>
      <c r="B318" s="798" t="s">
        <v>6450</v>
      </c>
      <c r="C318" s="643" t="s">
        <v>5631</v>
      </c>
      <c r="D318" s="644">
        <f>SUMIF('Orcamento RU Viora Build'!$A:$A,A318,'Orcamento RU Viora Build'!$F:$F)</f>
        <v>35.7</v>
      </c>
      <c r="E318" s="645">
        <f t="shared" si="72"/>
        <v>1.456</v>
      </c>
      <c r="F318" s="646">
        <f t="shared" si="73"/>
        <v>51.9792</v>
      </c>
      <c r="G318" s="782"/>
      <c r="H318" s="666"/>
      <c r="I318" s="658">
        <v>1.12</v>
      </c>
      <c r="J318" s="695">
        <v>0.0</v>
      </c>
      <c r="K318" s="689">
        <f t="shared" si="95"/>
        <v>1.12</v>
      </c>
      <c r="L318" s="689">
        <f t="shared" si="96"/>
        <v>39.984</v>
      </c>
      <c r="M318" s="690">
        <f t="shared" si="97"/>
        <v>11.9952</v>
      </c>
      <c r="N318" s="659">
        <f t="shared" si="74"/>
        <v>0.3</v>
      </c>
      <c r="O318" s="675">
        <f t="shared" si="98"/>
        <v>0.2307692308</v>
      </c>
      <c r="P318" s="673" t="s">
        <v>6441</v>
      </c>
      <c r="Q318" s="698"/>
      <c r="R318" s="1"/>
      <c r="S318" s="668"/>
      <c r="T318" s="669"/>
      <c r="U318" s="1"/>
      <c r="V318" s="1"/>
      <c r="W318" s="1"/>
      <c r="X318" s="1"/>
      <c r="Y318" s="1"/>
    </row>
    <row r="319" ht="12.75" customHeight="1">
      <c r="A319" s="641" t="s">
        <v>6451</v>
      </c>
      <c r="B319" s="798" t="s">
        <v>6452</v>
      </c>
      <c r="C319" s="643" t="s">
        <v>5631</v>
      </c>
      <c r="D319" s="644">
        <f>SUMIF('Orcamento RU Viora Build'!$A:$A,A319,'Orcamento RU Viora Build'!$F:$F)</f>
        <v>108.324</v>
      </c>
      <c r="E319" s="645">
        <f t="shared" si="72"/>
        <v>3.822</v>
      </c>
      <c r="F319" s="646">
        <f t="shared" si="73"/>
        <v>414.014328</v>
      </c>
      <c r="G319" s="782"/>
      <c r="H319" s="666"/>
      <c r="I319" s="658">
        <v>2.94</v>
      </c>
      <c r="J319" s="695">
        <v>0.0</v>
      </c>
      <c r="K319" s="689">
        <f t="shared" si="95"/>
        <v>2.94</v>
      </c>
      <c r="L319" s="689">
        <f t="shared" si="96"/>
        <v>318.47256</v>
      </c>
      <c r="M319" s="690">
        <f t="shared" si="97"/>
        <v>95.541768</v>
      </c>
      <c r="N319" s="659">
        <f t="shared" si="74"/>
        <v>0.3</v>
      </c>
      <c r="O319" s="675">
        <f t="shared" si="98"/>
        <v>0.2307692308</v>
      </c>
      <c r="P319" s="673" t="s">
        <v>6287</v>
      </c>
      <c r="Q319" s="698"/>
      <c r="R319" s="1"/>
      <c r="S319" s="668"/>
      <c r="T319" s="669"/>
      <c r="U319" s="1"/>
      <c r="V319" s="1"/>
      <c r="W319" s="1"/>
      <c r="X319" s="1"/>
      <c r="Y319" s="1"/>
    </row>
    <row r="320" ht="12.75" customHeight="1">
      <c r="A320" s="641" t="s">
        <v>6453</v>
      </c>
      <c r="B320" s="798" t="s">
        <v>6454</v>
      </c>
      <c r="C320" s="643" t="s">
        <v>5631</v>
      </c>
      <c r="D320" s="644">
        <f>SUMIF('Orcamento RU Viora Build'!$A:$A,A320,'Orcamento RU Viora Build'!$F:$F)</f>
        <v>28.56</v>
      </c>
      <c r="E320" s="645">
        <f t="shared" si="72"/>
        <v>2.652</v>
      </c>
      <c r="F320" s="646">
        <f t="shared" si="73"/>
        <v>75.74112</v>
      </c>
      <c r="G320" s="782"/>
      <c r="H320" s="666"/>
      <c r="I320" s="658">
        <v>2.04</v>
      </c>
      <c r="J320" s="695">
        <v>0.0</v>
      </c>
      <c r="K320" s="689">
        <f t="shared" si="95"/>
        <v>2.04</v>
      </c>
      <c r="L320" s="689">
        <f t="shared" si="96"/>
        <v>58.2624</v>
      </c>
      <c r="M320" s="690">
        <f t="shared" si="97"/>
        <v>17.47872</v>
      </c>
      <c r="N320" s="659">
        <f t="shared" si="74"/>
        <v>0.3</v>
      </c>
      <c r="O320" s="675">
        <f t="shared" si="98"/>
        <v>0.2307692308</v>
      </c>
      <c r="P320" s="673" t="s">
        <v>6444</v>
      </c>
      <c r="Q320" s="698"/>
      <c r="R320" s="1"/>
      <c r="S320" s="668"/>
      <c r="T320" s="669"/>
      <c r="U320" s="1"/>
      <c r="V320" s="1"/>
      <c r="W320" s="1"/>
      <c r="X320" s="1"/>
      <c r="Y320" s="1"/>
    </row>
    <row r="321" ht="12.75" customHeight="1">
      <c r="A321" s="641" t="s">
        <v>6455</v>
      </c>
      <c r="B321" s="798" t="s">
        <v>6456</v>
      </c>
      <c r="C321" s="643" t="s">
        <v>5631</v>
      </c>
      <c r="D321" s="644">
        <f>SUMIF('Orcamento RU Viora Build'!$A:$A,A321,'Orcamento RU Viora Build'!$F:$F)</f>
        <v>53.04</v>
      </c>
      <c r="E321" s="645">
        <f t="shared" si="72"/>
        <v>3.172</v>
      </c>
      <c r="F321" s="646">
        <f t="shared" si="73"/>
        <v>168.24288</v>
      </c>
      <c r="G321" s="782"/>
      <c r="H321" s="666"/>
      <c r="I321" s="658">
        <v>2.44</v>
      </c>
      <c r="J321" s="695">
        <v>0.0</v>
      </c>
      <c r="K321" s="689">
        <f t="shared" si="95"/>
        <v>2.44</v>
      </c>
      <c r="L321" s="689">
        <f t="shared" si="96"/>
        <v>129.4176</v>
      </c>
      <c r="M321" s="690">
        <f t="shared" si="97"/>
        <v>38.82528</v>
      </c>
      <c r="N321" s="659">
        <f t="shared" si="74"/>
        <v>0.3</v>
      </c>
      <c r="O321" s="675">
        <f t="shared" si="98"/>
        <v>0.2307692308</v>
      </c>
      <c r="P321" s="673" t="s">
        <v>6278</v>
      </c>
      <c r="Q321" s="698"/>
      <c r="R321" s="1"/>
      <c r="S321" s="668"/>
      <c r="T321" s="669"/>
      <c r="U321" s="1"/>
      <c r="V321" s="1"/>
      <c r="W321" s="1"/>
      <c r="X321" s="1"/>
      <c r="Y321" s="1"/>
    </row>
    <row r="322" ht="12.75" customHeight="1">
      <c r="A322" s="641" t="s">
        <v>6457</v>
      </c>
      <c r="B322" s="798" t="s">
        <v>6458</v>
      </c>
      <c r="C322" s="643" t="s">
        <v>5631</v>
      </c>
      <c r="D322" s="644">
        <f>SUMIF('Orcamento RU Viora Build'!$A:$A,A322,'Orcamento RU Viora Build'!$F:$F)</f>
        <v>77.52</v>
      </c>
      <c r="E322" s="645">
        <f t="shared" si="72"/>
        <v>0.78</v>
      </c>
      <c r="F322" s="646">
        <f t="shared" si="73"/>
        <v>60.4656</v>
      </c>
      <c r="G322" s="782"/>
      <c r="H322" s="666"/>
      <c r="I322" s="658">
        <v>0.6</v>
      </c>
      <c r="J322" s="695">
        <v>0.0</v>
      </c>
      <c r="K322" s="689">
        <f t="shared" si="95"/>
        <v>0.6</v>
      </c>
      <c r="L322" s="689">
        <f t="shared" si="96"/>
        <v>46.512</v>
      </c>
      <c r="M322" s="690">
        <f t="shared" si="97"/>
        <v>13.9536</v>
      </c>
      <c r="N322" s="659">
        <f t="shared" si="74"/>
        <v>0.3</v>
      </c>
      <c r="O322" s="675">
        <f t="shared" si="98"/>
        <v>0.2307692308</v>
      </c>
      <c r="P322" s="673" t="s">
        <v>6459</v>
      </c>
      <c r="Q322" s="698"/>
      <c r="R322" s="1"/>
      <c r="S322" s="668"/>
      <c r="T322" s="669"/>
      <c r="U322" s="1"/>
      <c r="V322" s="1"/>
      <c r="W322" s="1"/>
      <c r="X322" s="1"/>
      <c r="Y322" s="1"/>
    </row>
    <row r="323" ht="12.75" customHeight="1">
      <c r="A323" s="641" t="s">
        <v>6460</v>
      </c>
      <c r="B323" s="798" t="s">
        <v>6461</v>
      </c>
      <c r="C323" s="643" t="s">
        <v>877</v>
      </c>
      <c r="D323" s="644">
        <f>SUMIF('Orcamento RU Viora Build'!$A:$A,A323,'Orcamento RU Viora Build'!$F:$F)</f>
        <v>2200</v>
      </c>
      <c r="E323" s="645">
        <f t="shared" si="72"/>
        <v>1.95</v>
      </c>
      <c r="F323" s="646">
        <f t="shared" si="73"/>
        <v>4290</v>
      </c>
      <c r="G323" s="782"/>
      <c r="H323" s="666"/>
      <c r="I323" s="658">
        <v>1.5</v>
      </c>
      <c r="J323" s="695">
        <v>0.0</v>
      </c>
      <c r="K323" s="689">
        <f t="shared" si="95"/>
        <v>1.5</v>
      </c>
      <c r="L323" s="689">
        <f t="shared" si="96"/>
        <v>3300</v>
      </c>
      <c r="M323" s="690">
        <f t="shared" si="97"/>
        <v>990</v>
      </c>
      <c r="N323" s="659">
        <f t="shared" si="74"/>
        <v>0.3</v>
      </c>
      <c r="O323" s="675">
        <f t="shared" si="98"/>
        <v>0.2307692308</v>
      </c>
      <c r="P323" s="673" t="s">
        <v>6459</v>
      </c>
      <c r="Q323" s="698"/>
      <c r="R323" s="1"/>
      <c r="S323" s="668"/>
      <c r="T323" s="669"/>
      <c r="U323" s="1"/>
      <c r="V323" s="1"/>
      <c r="W323" s="1"/>
      <c r="X323" s="1"/>
      <c r="Y323" s="1"/>
    </row>
    <row r="324" ht="12.75" customHeight="1">
      <c r="A324" s="641" t="s">
        <v>6462</v>
      </c>
      <c r="B324" s="798" t="s">
        <v>1175</v>
      </c>
      <c r="C324" s="643" t="s">
        <v>40</v>
      </c>
      <c r="D324" s="644">
        <f>SUMIF('Orcamento RU Viora Build'!$A:$A,A324,'Orcamento RU Viora Build'!$F:$F)</f>
        <v>300</v>
      </c>
      <c r="E324" s="645">
        <f t="shared" si="72"/>
        <v>9.087</v>
      </c>
      <c r="F324" s="646">
        <f t="shared" si="73"/>
        <v>2726.1</v>
      </c>
      <c r="G324" s="782"/>
      <c r="H324" s="666"/>
      <c r="I324" s="658">
        <v>6.99</v>
      </c>
      <c r="J324" s="695">
        <v>0.0</v>
      </c>
      <c r="K324" s="689">
        <f t="shared" si="95"/>
        <v>6.99</v>
      </c>
      <c r="L324" s="689">
        <f t="shared" si="96"/>
        <v>2097</v>
      </c>
      <c r="M324" s="690">
        <f t="shared" si="97"/>
        <v>629.1</v>
      </c>
      <c r="N324" s="659">
        <f t="shared" si="74"/>
        <v>0.3</v>
      </c>
      <c r="O324" s="675">
        <f t="shared" si="98"/>
        <v>0.2307692308</v>
      </c>
      <c r="P324" s="673" t="s">
        <v>5999</v>
      </c>
      <c r="Q324" s="698"/>
      <c r="R324" s="1"/>
      <c r="S324" s="668"/>
      <c r="T324" s="669"/>
      <c r="U324" s="1"/>
      <c r="V324" s="1"/>
      <c r="W324" s="1"/>
      <c r="X324" s="1"/>
      <c r="Y324" s="1"/>
    </row>
    <row r="325" ht="12.75" customHeight="1">
      <c r="A325" s="641" t="s">
        <v>6463</v>
      </c>
      <c r="B325" s="798" t="s">
        <v>1176</v>
      </c>
      <c r="C325" s="643" t="s">
        <v>877</v>
      </c>
      <c r="D325" s="644">
        <f>SUMIF('Orcamento RU Viora Build'!$A:$A,A325,'Orcamento RU Viora Build'!$F:$F)</f>
        <v>270</v>
      </c>
      <c r="E325" s="645">
        <f t="shared" si="72"/>
        <v>1.807</v>
      </c>
      <c r="F325" s="646">
        <f t="shared" si="73"/>
        <v>487.89</v>
      </c>
      <c r="G325" s="782"/>
      <c r="H325" s="666"/>
      <c r="I325" s="658">
        <v>1.39</v>
      </c>
      <c r="J325" s="695">
        <v>0.0</v>
      </c>
      <c r="K325" s="689">
        <f t="shared" si="95"/>
        <v>1.39</v>
      </c>
      <c r="L325" s="689">
        <f t="shared" si="96"/>
        <v>375.3</v>
      </c>
      <c r="M325" s="690">
        <f t="shared" si="97"/>
        <v>112.59</v>
      </c>
      <c r="N325" s="659">
        <f t="shared" si="74"/>
        <v>0.3</v>
      </c>
      <c r="O325" s="675">
        <f t="shared" si="98"/>
        <v>0.2307692308</v>
      </c>
      <c r="P325" s="805" t="s">
        <v>5973</v>
      </c>
      <c r="Q325" s="698"/>
      <c r="R325" s="1"/>
      <c r="S325" s="668"/>
      <c r="T325" s="669"/>
      <c r="U325" s="1"/>
      <c r="V325" s="1"/>
      <c r="W325" s="1"/>
      <c r="X325" s="1"/>
      <c r="Y325" s="1"/>
    </row>
    <row r="326" ht="12.75" customHeight="1">
      <c r="A326" s="641" t="s">
        <v>6464</v>
      </c>
      <c r="B326" s="798" t="s">
        <v>1177</v>
      </c>
      <c r="C326" s="643" t="s">
        <v>75</v>
      </c>
      <c r="D326" s="644">
        <f>SUMIF('Orcamento RU Viora Build'!$A:$A,A326,'Orcamento RU Viora Build'!$F:$F)</f>
        <v>3</v>
      </c>
      <c r="E326" s="645">
        <f t="shared" si="72"/>
        <v>67.6</v>
      </c>
      <c r="F326" s="646">
        <f t="shared" si="73"/>
        <v>202.8</v>
      </c>
      <c r="G326" s="782"/>
      <c r="H326" s="666"/>
      <c r="I326" s="658">
        <v>52.0</v>
      </c>
      <c r="J326" s="695">
        <v>0.0</v>
      </c>
      <c r="K326" s="689">
        <f t="shared" si="95"/>
        <v>52</v>
      </c>
      <c r="L326" s="689">
        <f t="shared" si="96"/>
        <v>156</v>
      </c>
      <c r="M326" s="690">
        <f t="shared" si="97"/>
        <v>46.8</v>
      </c>
      <c r="N326" s="659">
        <f t="shared" si="74"/>
        <v>0.3</v>
      </c>
      <c r="O326" s="675">
        <f t="shared" si="98"/>
        <v>0.2307692308</v>
      </c>
      <c r="P326" s="805" t="s">
        <v>6465</v>
      </c>
      <c r="Q326" s="698"/>
      <c r="R326" s="1"/>
      <c r="S326" s="668"/>
      <c r="T326" s="669"/>
      <c r="U326" s="1"/>
      <c r="V326" s="1"/>
      <c r="W326" s="1"/>
      <c r="X326" s="1"/>
      <c r="Y326" s="1"/>
    </row>
    <row r="327" ht="12.75" customHeight="1">
      <c r="A327" s="641" t="s">
        <v>6466</v>
      </c>
      <c r="B327" s="798" t="s">
        <v>1178</v>
      </c>
      <c r="C327" s="643" t="s">
        <v>75</v>
      </c>
      <c r="D327" s="644">
        <f>SUMIF('Orcamento RU Viora Build'!$A:$A,A327,'Orcamento RU Viora Build'!$F:$F)</f>
        <v>300</v>
      </c>
      <c r="E327" s="645">
        <f t="shared" si="72"/>
        <v>0.234</v>
      </c>
      <c r="F327" s="646">
        <f t="shared" si="73"/>
        <v>70.2</v>
      </c>
      <c r="G327" s="782"/>
      <c r="H327" s="666"/>
      <c r="I327" s="658">
        <v>0.18</v>
      </c>
      <c r="J327" s="695">
        <v>0.0</v>
      </c>
      <c r="K327" s="689">
        <f t="shared" si="95"/>
        <v>0.18</v>
      </c>
      <c r="L327" s="689">
        <f t="shared" si="96"/>
        <v>54</v>
      </c>
      <c r="M327" s="690">
        <f t="shared" si="97"/>
        <v>16.2</v>
      </c>
      <c r="N327" s="659">
        <f t="shared" si="74"/>
        <v>0.3</v>
      </c>
      <c r="O327" s="675">
        <f t="shared" si="98"/>
        <v>0.2307692308</v>
      </c>
      <c r="P327" s="805" t="s">
        <v>6238</v>
      </c>
      <c r="Q327" s="698"/>
      <c r="R327" s="1"/>
      <c r="S327" s="668"/>
      <c r="T327" s="669"/>
      <c r="U327" s="1"/>
      <c r="V327" s="1"/>
      <c r="W327" s="1"/>
      <c r="X327" s="1"/>
      <c r="Y327" s="1"/>
    </row>
    <row r="328" ht="12.75" customHeight="1">
      <c r="A328" s="641" t="s">
        <v>6467</v>
      </c>
      <c r="B328" s="798" t="s">
        <v>1179</v>
      </c>
      <c r="C328" s="643" t="s">
        <v>1180</v>
      </c>
      <c r="D328" s="644">
        <f>SUMIF('Orcamento RU Viora Build'!$A:$A,A328,'Orcamento RU Viora Build'!$F:$F)</f>
        <v>4</v>
      </c>
      <c r="E328" s="645">
        <f t="shared" si="72"/>
        <v>70.2</v>
      </c>
      <c r="F328" s="646">
        <f t="shared" si="73"/>
        <v>280.8</v>
      </c>
      <c r="G328" s="782"/>
      <c r="H328" s="666"/>
      <c r="I328" s="658">
        <v>54.0</v>
      </c>
      <c r="J328" s="695">
        <v>0.0</v>
      </c>
      <c r="K328" s="689">
        <f t="shared" si="95"/>
        <v>54</v>
      </c>
      <c r="L328" s="689">
        <f t="shared" si="96"/>
        <v>216</v>
      </c>
      <c r="M328" s="690">
        <f t="shared" si="97"/>
        <v>64.8</v>
      </c>
      <c r="N328" s="659">
        <f t="shared" si="74"/>
        <v>0.3</v>
      </c>
      <c r="O328" s="675">
        <f t="shared" si="98"/>
        <v>0.2307692308</v>
      </c>
      <c r="P328" s="805" t="s">
        <v>6468</v>
      </c>
      <c r="Q328" s="698"/>
      <c r="R328" s="1"/>
      <c r="S328" s="668"/>
      <c r="T328" s="669"/>
      <c r="U328" s="1"/>
      <c r="V328" s="1"/>
      <c r="W328" s="1"/>
      <c r="X328" s="1"/>
      <c r="Y328" s="1"/>
    </row>
    <row r="329" ht="12.75" customHeight="1">
      <c r="A329" s="641" t="s">
        <v>6469</v>
      </c>
      <c r="B329" s="798" t="s">
        <v>1181</v>
      </c>
      <c r="C329" s="643" t="s">
        <v>75</v>
      </c>
      <c r="D329" s="644">
        <f>SUMIF('Orcamento RU Viora Build'!$A:$A,A329,'Orcamento RU Viora Build'!$F:$F)</f>
        <v>1</v>
      </c>
      <c r="E329" s="645">
        <f t="shared" si="72"/>
        <v>328.094</v>
      </c>
      <c r="F329" s="646">
        <f t="shared" si="73"/>
        <v>328.094</v>
      </c>
      <c r="G329" s="782"/>
      <c r="H329" s="666"/>
      <c r="I329" s="658">
        <v>252.38</v>
      </c>
      <c r="J329" s="695">
        <v>0.0</v>
      </c>
      <c r="K329" s="689">
        <f t="shared" si="95"/>
        <v>252.38</v>
      </c>
      <c r="L329" s="689">
        <f t="shared" si="96"/>
        <v>252.38</v>
      </c>
      <c r="M329" s="690">
        <f t="shared" si="97"/>
        <v>75.714</v>
      </c>
      <c r="N329" s="659">
        <f t="shared" si="74"/>
        <v>0.3</v>
      </c>
      <c r="O329" s="675">
        <f t="shared" si="98"/>
        <v>0.2307692308</v>
      </c>
      <c r="P329" s="806" t="s">
        <v>6470</v>
      </c>
      <c r="Q329" s="698"/>
      <c r="R329" s="1"/>
      <c r="S329" s="668"/>
      <c r="T329" s="669"/>
      <c r="U329" s="1"/>
      <c r="V329" s="1"/>
      <c r="W329" s="1"/>
      <c r="X329" s="1"/>
      <c r="Y329" s="1"/>
    </row>
    <row r="330" ht="12.75" customHeight="1">
      <c r="A330" s="641" t="s">
        <v>6471</v>
      </c>
      <c r="B330" s="798" t="s">
        <v>1182</v>
      </c>
      <c r="C330" s="643" t="s">
        <v>75</v>
      </c>
      <c r="D330" s="644">
        <f>SUMIF('Orcamento RU Viora Build'!$A:$A,A330,'Orcamento RU Viora Build'!$F:$F)</f>
        <v>2</v>
      </c>
      <c r="E330" s="645">
        <f t="shared" si="72"/>
        <v>311.87</v>
      </c>
      <c r="F330" s="646">
        <f t="shared" si="73"/>
        <v>623.74</v>
      </c>
      <c r="G330" s="782"/>
      <c r="H330" s="666"/>
      <c r="I330" s="658">
        <v>239.9</v>
      </c>
      <c r="J330" s="695">
        <v>0.0</v>
      </c>
      <c r="K330" s="689">
        <f t="shared" si="95"/>
        <v>239.9</v>
      </c>
      <c r="L330" s="689">
        <f t="shared" si="96"/>
        <v>479.8</v>
      </c>
      <c r="M330" s="690">
        <f t="shared" si="97"/>
        <v>143.94</v>
      </c>
      <c r="N330" s="659">
        <f t="shared" si="74"/>
        <v>0.3</v>
      </c>
      <c r="O330" s="675">
        <f t="shared" si="98"/>
        <v>0.2307692308</v>
      </c>
      <c r="P330" s="806" t="s">
        <v>6472</v>
      </c>
      <c r="Q330" s="698"/>
      <c r="R330" s="1"/>
      <c r="S330" s="668"/>
      <c r="T330" s="669"/>
      <c r="U330" s="1"/>
      <c r="V330" s="1"/>
      <c r="W330" s="1"/>
      <c r="X330" s="1"/>
      <c r="Y330" s="1"/>
    </row>
    <row r="331" ht="12.75" customHeight="1">
      <c r="A331" s="641" t="s">
        <v>6473</v>
      </c>
      <c r="B331" s="798" t="s">
        <v>1183</v>
      </c>
      <c r="C331" s="643" t="s">
        <v>75</v>
      </c>
      <c r="D331" s="644">
        <f>SUMIF('Orcamento RU Viora Build'!$A:$A,A331,'Orcamento RU Viora Build'!$F:$F)</f>
        <v>1</v>
      </c>
      <c r="E331" s="645">
        <f t="shared" si="72"/>
        <v>770.809</v>
      </c>
      <c r="F331" s="646">
        <f t="shared" si="73"/>
        <v>770.809</v>
      </c>
      <c r="G331" s="782"/>
      <c r="H331" s="666"/>
      <c r="I331" s="658">
        <v>592.93</v>
      </c>
      <c r="J331" s="695">
        <v>0.0</v>
      </c>
      <c r="K331" s="689">
        <f t="shared" si="95"/>
        <v>592.93</v>
      </c>
      <c r="L331" s="689">
        <f t="shared" si="96"/>
        <v>592.93</v>
      </c>
      <c r="M331" s="690">
        <f t="shared" si="97"/>
        <v>177.879</v>
      </c>
      <c r="N331" s="659">
        <f t="shared" si="74"/>
        <v>0.3</v>
      </c>
      <c r="O331" s="675">
        <f t="shared" si="98"/>
        <v>0.2307692308</v>
      </c>
      <c r="P331" s="807" t="s">
        <v>6474</v>
      </c>
      <c r="Q331" s="698"/>
      <c r="R331" s="1"/>
      <c r="S331" s="668"/>
      <c r="T331" s="669"/>
      <c r="U331" s="1"/>
      <c r="V331" s="1"/>
      <c r="W331" s="1"/>
      <c r="X331" s="1"/>
      <c r="Y331" s="1"/>
    </row>
    <row r="332" ht="12.75" customHeight="1">
      <c r="A332" s="641" t="s">
        <v>6475</v>
      </c>
      <c r="B332" s="798" t="s">
        <v>1184</v>
      </c>
      <c r="C332" s="643" t="s">
        <v>75</v>
      </c>
      <c r="D332" s="644">
        <f>SUMIF('Orcamento RU Viora Build'!$A:$A,A332,'Orcamento RU Viora Build'!$F:$F)</f>
        <v>1</v>
      </c>
      <c r="E332" s="645">
        <f t="shared" si="72"/>
        <v>230.607</v>
      </c>
      <c r="F332" s="646">
        <f t="shared" si="73"/>
        <v>230.607</v>
      </c>
      <c r="G332" s="782"/>
      <c r="H332" s="666"/>
      <c r="I332" s="658">
        <v>177.39</v>
      </c>
      <c r="J332" s="695">
        <v>0.0</v>
      </c>
      <c r="K332" s="689">
        <f t="shared" si="95"/>
        <v>177.39</v>
      </c>
      <c r="L332" s="689">
        <f t="shared" si="96"/>
        <v>177.39</v>
      </c>
      <c r="M332" s="690">
        <f t="shared" si="97"/>
        <v>53.217</v>
      </c>
      <c r="N332" s="659">
        <f t="shared" si="74"/>
        <v>0.3</v>
      </c>
      <c r="O332" s="675">
        <f t="shared" si="98"/>
        <v>0.2307692308</v>
      </c>
      <c r="P332" s="807" t="s">
        <v>6476</v>
      </c>
      <c r="Q332" s="698"/>
      <c r="R332" s="1"/>
      <c r="S332" s="668"/>
      <c r="T332" s="669"/>
      <c r="U332" s="1"/>
      <c r="V332" s="1"/>
      <c r="W332" s="1"/>
      <c r="X332" s="1"/>
      <c r="Y332" s="1"/>
    </row>
    <row r="333" ht="12.75" customHeight="1">
      <c r="A333" s="641" t="s">
        <v>6477</v>
      </c>
      <c r="B333" s="798" t="s">
        <v>1185</v>
      </c>
      <c r="C333" s="643" t="s">
        <v>75</v>
      </c>
      <c r="D333" s="644">
        <f>SUMIF('Orcamento RU Viora Build'!$A:$A,A333,'Orcamento RU Viora Build'!$F:$F)</f>
        <v>3</v>
      </c>
      <c r="E333" s="645">
        <f t="shared" si="72"/>
        <v>295.1</v>
      </c>
      <c r="F333" s="646">
        <f t="shared" si="73"/>
        <v>885.3</v>
      </c>
      <c r="G333" s="782"/>
      <c r="H333" s="666"/>
      <c r="I333" s="658">
        <v>227.0</v>
      </c>
      <c r="J333" s="695">
        <v>0.0</v>
      </c>
      <c r="K333" s="689">
        <f t="shared" si="95"/>
        <v>227</v>
      </c>
      <c r="L333" s="689">
        <f t="shared" si="96"/>
        <v>681</v>
      </c>
      <c r="M333" s="690">
        <f t="shared" si="97"/>
        <v>204.3</v>
      </c>
      <c r="N333" s="659">
        <f t="shared" si="74"/>
        <v>0.3</v>
      </c>
      <c r="O333" s="675">
        <f t="shared" si="98"/>
        <v>0.2307692308</v>
      </c>
      <c r="P333" s="807" t="s">
        <v>6478</v>
      </c>
      <c r="Q333" s="698"/>
      <c r="R333" s="1"/>
      <c r="S333" s="668"/>
      <c r="T333" s="669"/>
      <c r="U333" s="1"/>
      <c r="V333" s="1"/>
      <c r="W333" s="1"/>
      <c r="X333" s="1"/>
      <c r="Y333" s="1"/>
    </row>
    <row r="334" ht="12.75" customHeight="1">
      <c r="A334" s="641" t="s">
        <v>6479</v>
      </c>
      <c r="B334" s="798" t="s">
        <v>1186</v>
      </c>
      <c r="C334" s="643" t="s">
        <v>75</v>
      </c>
      <c r="D334" s="644">
        <f>SUMIF('Orcamento RU Viora Build'!$A:$A,A334,'Orcamento RU Viora Build'!$F:$F)</f>
        <v>8</v>
      </c>
      <c r="E334" s="645">
        <f t="shared" si="72"/>
        <v>13.065</v>
      </c>
      <c r="F334" s="646">
        <f t="shared" si="73"/>
        <v>104.52</v>
      </c>
      <c r="G334" s="782"/>
      <c r="H334" s="666"/>
      <c r="I334" s="658">
        <v>10.05</v>
      </c>
      <c r="J334" s="695">
        <v>0.0</v>
      </c>
      <c r="K334" s="689">
        <f t="shared" si="95"/>
        <v>10.05</v>
      </c>
      <c r="L334" s="689">
        <f t="shared" si="96"/>
        <v>80.4</v>
      </c>
      <c r="M334" s="690">
        <f t="shared" si="97"/>
        <v>24.12</v>
      </c>
      <c r="N334" s="659">
        <f t="shared" si="74"/>
        <v>0.3</v>
      </c>
      <c r="O334" s="675">
        <f t="shared" si="98"/>
        <v>0.2307692308</v>
      </c>
      <c r="P334" s="807" t="s">
        <v>6480</v>
      </c>
      <c r="Q334" s="698"/>
      <c r="R334" s="1"/>
      <c r="S334" s="668"/>
      <c r="T334" s="669"/>
      <c r="U334" s="1"/>
      <c r="V334" s="1"/>
      <c r="W334" s="1"/>
      <c r="X334" s="1"/>
      <c r="Y334" s="1"/>
    </row>
    <row r="335" ht="12.75" customHeight="1">
      <c r="A335" s="641" t="s">
        <v>6481</v>
      </c>
      <c r="B335" s="798" t="s">
        <v>1187</v>
      </c>
      <c r="C335" s="643" t="s">
        <v>75</v>
      </c>
      <c r="D335" s="644">
        <f>SUMIF('Orcamento RU Viora Build'!$A:$A,A335,'Orcamento RU Viora Build'!$F:$F)</f>
        <v>48</v>
      </c>
      <c r="E335" s="645">
        <f t="shared" si="72"/>
        <v>5.46</v>
      </c>
      <c r="F335" s="646">
        <f t="shared" si="73"/>
        <v>262.08</v>
      </c>
      <c r="G335" s="782"/>
      <c r="H335" s="666"/>
      <c r="I335" s="658">
        <v>4.2</v>
      </c>
      <c r="J335" s="695">
        <v>0.0</v>
      </c>
      <c r="K335" s="689">
        <f t="shared" si="95"/>
        <v>4.2</v>
      </c>
      <c r="L335" s="689">
        <f t="shared" si="96"/>
        <v>201.6</v>
      </c>
      <c r="M335" s="690">
        <f t="shared" si="97"/>
        <v>60.48</v>
      </c>
      <c r="N335" s="659">
        <f t="shared" si="74"/>
        <v>0.3</v>
      </c>
      <c r="O335" s="675">
        <f t="shared" si="98"/>
        <v>0.2307692308</v>
      </c>
      <c r="P335" s="807" t="s">
        <v>6482</v>
      </c>
      <c r="Q335" s="698"/>
      <c r="R335" s="1"/>
      <c r="S335" s="668"/>
      <c r="T335" s="669"/>
      <c r="U335" s="1"/>
      <c r="V335" s="1"/>
      <c r="W335" s="1"/>
      <c r="X335" s="1"/>
      <c r="Y335" s="1"/>
    </row>
    <row r="336" ht="12.75" customHeight="1">
      <c r="A336" s="641" t="s">
        <v>6483</v>
      </c>
      <c r="B336" s="798" t="s">
        <v>1188</v>
      </c>
      <c r="C336" s="643" t="s">
        <v>75</v>
      </c>
      <c r="D336" s="644">
        <f>SUMIF('Orcamento RU Viora Build'!$A:$A,A336,'Orcamento RU Viora Build'!$F:$F)</f>
        <v>1</v>
      </c>
      <c r="E336" s="645">
        <f t="shared" si="72"/>
        <v>439.79</v>
      </c>
      <c r="F336" s="646">
        <f t="shared" si="73"/>
        <v>439.79</v>
      </c>
      <c r="G336" s="782"/>
      <c r="H336" s="666"/>
      <c r="I336" s="658">
        <v>338.3</v>
      </c>
      <c r="J336" s="695">
        <v>0.0</v>
      </c>
      <c r="K336" s="689">
        <f t="shared" si="95"/>
        <v>338.3</v>
      </c>
      <c r="L336" s="689">
        <f t="shared" si="96"/>
        <v>338.3</v>
      </c>
      <c r="M336" s="690">
        <f t="shared" si="97"/>
        <v>101.49</v>
      </c>
      <c r="N336" s="659">
        <f t="shared" si="74"/>
        <v>0.3</v>
      </c>
      <c r="O336" s="675">
        <f t="shared" si="98"/>
        <v>0.2307692308</v>
      </c>
      <c r="P336" s="805" t="s">
        <v>6484</v>
      </c>
      <c r="Q336" s="698"/>
      <c r="R336" s="1"/>
      <c r="S336" s="668"/>
      <c r="T336" s="669"/>
      <c r="U336" s="1"/>
      <c r="V336" s="1"/>
      <c r="W336" s="1"/>
      <c r="X336" s="1"/>
      <c r="Y336" s="1"/>
    </row>
    <row r="337" ht="12.75" customHeight="1">
      <c r="A337" s="641" t="s">
        <v>6485</v>
      </c>
      <c r="B337" s="798" t="s">
        <v>1189</v>
      </c>
      <c r="C337" s="643" t="s">
        <v>75</v>
      </c>
      <c r="D337" s="644">
        <f>SUMIF('Orcamento RU Viora Build'!$A:$A,A337,'Orcamento RU Viora Build'!$F:$F)</f>
        <v>1</v>
      </c>
      <c r="E337" s="645">
        <f t="shared" si="72"/>
        <v>11.427</v>
      </c>
      <c r="F337" s="646">
        <f t="shared" si="73"/>
        <v>11.427</v>
      </c>
      <c r="G337" s="782"/>
      <c r="H337" s="666"/>
      <c r="I337" s="658">
        <v>8.79</v>
      </c>
      <c r="J337" s="695">
        <v>0.0</v>
      </c>
      <c r="K337" s="689">
        <f t="shared" si="95"/>
        <v>8.79</v>
      </c>
      <c r="L337" s="689">
        <f t="shared" si="96"/>
        <v>8.79</v>
      </c>
      <c r="M337" s="690">
        <f t="shared" si="97"/>
        <v>2.637</v>
      </c>
      <c r="N337" s="659">
        <f t="shared" si="74"/>
        <v>0.3</v>
      </c>
      <c r="O337" s="675">
        <f t="shared" si="98"/>
        <v>0.2307692308</v>
      </c>
      <c r="P337" s="805" t="s">
        <v>6486</v>
      </c>
      <c r="Q337" s="698"/>
      <c r="R337" s="1"/>
      <c r="S337" s="668"/>
      <c r="T337" s="669"/>
      <c r="U337" s="1"/>
      <c r="V337" s="1"/>
      <c r="W337" s="1"/>
      <c r="X337" s="1"/>
      <c r="Y337" s="1"/>
    </row>
    <row r="338" ht="12.75" customHeight="1">
      <c r="A338" s="641" t="s">
        <v>6487</v>
      </c>
      <c r="B338" s="798" t="s">
        <v>1190</v>
      </c>
      <c r="C338" s="643" t="s">
        <v>75</v>
      </c>
      <c r="D338" s="644">
        <f>SUMIF('Orcamento RU Viora Build'!$A:$A,A338,'Orcamento RU Viora Build'!$F:$F)</f>
        <v>1</v>
      </c>
      <c r="E338" s="645">
        <f t="shared" si="72"/>
        <v>65</v>
      </c>
      <c r="F338" s="646">
        <f t="shared" si="73"/>
        <v>65</v>
      </c>
      <c r="G338" s="782"/>
      <c r="H338" s="666"/>
      <c r="I338" s="658">
        <v>50.0</v>
      </c>
      <c r="J338" s="695">
        <v>0.0</v>
      </c>
      <c r="K338" s="689">
        <f t="shared" si="95"/>
        <v>50</v>
      </c>
      <c r="L338" s="689">
        <f t="shared" si="96"/>
        <v>50</v>
      </c>
      <c r="M338" s="690">
        <f t="shared" si="97"/>
        <v>15</v>
      </c>
      <c r="N338" s="659">
        <f t="shared" si="74"/>
        <v>0.3</v>
      </c>
      <c r="O338" s="675">
        <f t="shared" si="98"/>
        <v>0.2307692308</v>
      </c>
      <c r="P338" s="808" t="s">
        <v>6488</v>
      </c>
      <c r="Q338" s="696" t="s">
        <v>6489</v>
      </c>
      <c r="R338" s="1"/>
      <c r="S338" s="668"/>
      <c r="T338" s="669"/>
      <c r="U338" s="1"/>
      <c r="V338" s="1"/>
      <c r="W338" s="1"/>
      <c r="X338" s="1"/>
      <c r="Y338" s="1"/>
    </row>
    <row r="339" ht="12.75" customHeight="1">
      <c r="A339" s="641" t="s">
        <v>6490</v>
      </c>
      <c r="B339" s="798" t="s">
        <v>1192</v>
      </c>
      <c r="C339" s="643" t="s">
        <v>75</v>
      </c>
      <c r="D339" s="644">
        <f>SUMIF('Orcamento RU Viora Build'!$A:$A,A339,'Orcamento RU Viora Build'!$F:$F)</f>
        <v>24</v>
      </c>
      <c r="E339" s="645">
        <f t="shared" si="72"/>
        <v>26</v>
      </c>
      <c r="F339" s="646">
        <f t="shared" si="73"/>
        <v>624</v>
      </c>
      <c r="G339" s="782"/>
      <c r="H339" s="666"/>
      <c r="I339" s="658">
        <v>20.0</v>
      </c>
      <c r="J339" s="695">
        <v>0.0</v>
      </c>
      <c r="K339" s="689">
        <f t="shared" si="95"/>
        <v>20</v>
      </c>
      <c r="L339" s="689">
        <f t="shared" si="96"/>
        <v>480</v>
      </c>
      <c r="M339" s="690">
        <f t="shared" si="97"/>
        <v>144</v>
      </c>
      <c r="N339" s="659">
        <f t="shared" si="74"/>
        <v>0.3</v>
      </c>
      <c r="O339" s="675">
        <f t="shared" si="98"/>
        <v>0.2307692308</v>
      </c>
      <c r="P339" s="805" t="s">
        <v>6491</v>
      </c>
      <c r="Q339" s="696" t="s">
        <v>6492</v>
      </c>
      <c r="R339" s="1"/>
      <c r="S339" s="668"/>
      <c r="T339" s="669"/>
      <c r="U339" s="1"/>
      <c r="V339" s="1"/>
      <c r="W339" s="1"/>
      <c r="X339" s="1"/>
      <c r="Y339" s="1"/>
    </row>
    <row r="340" ht="12.75" customHeight="1">
      <c r="A340" s="641" t="s">
        <v>6493</v>
      </c>
      <c r="B340" s="798" t="s">
        <v>1193</v>
      </c>
      <c r="C340" s="643" t="s">
        <v>75</v>
      </c>
      <c r="D340" s="644">
        <f>SUMIF('Orcamento RU Viora Build'!$A:$A,A340,'Orcamento RU Viora Build'!$F:$F)</f>
        <v>2</v>
      </c>
      <c r="E340" s="645">
        <f t="shared" si="72"/>
        <v>690.3</v>
      </c>
      <c r="F340" s="646">
        <f t="shared" si="73"/>
        <v>1380.6</v>
      </c>
      <c r="G340" s="782"/>
      <c r="H340" s="666"/>
      <c r="I340" s="658">
        <v>531.0</v>
      </c>
      <c r="J340" s="695">
        <v>0.0</v>
      </c>
      <c r="K340" s="689">
        <f t="shared" si="95"/>
        <v>531</v>
      </c>
      <c r="L340" s="689">
        <f t="shared" si="96"/>
        <v>1062</v>
      </c>
      <c r="M340" s="690">
        <f t="shared" si="97"/>
        <v>318.6</v>
      </c>
      <c r="N340" s="659">
        <f t="shared" si="74"/>
        <v>0.3</v>
      </c>
      <c r="O340" s="675">
        <f t="shared" si="98"/>
        <v>0.2307692308</v>
      </c>
      <c r="P340" s="805" t="s">
        <v>6491</v>
      </c>
      <c r="Q340" s="809" t="s">
        <v>6494</v>
      </c>
      <c r="R340" s="1"/>
      <c r="S340" s="668"/>
      <c r="T340" s="669"/>
      <c r="U340" s="1"/>
      <c r="V340" s="1"/>
      <c r="W340" s="1"/>
      <c r="X340" s="1"/>
      <c r="Y340" s="1"/>
    </row>
    <row r="341" ht="12.75" customHeight="1">
      <c r="A341" s="641" t="s">
        <v>6495</v>
      </c>
      <c r="B341" s="798" t="s">
        <v>1195</v>
      </c>
      <c r="C341" s="643" t="s">
        <v>75</v>
      </c>
      <c r="D341" s="644">
        <f>SUMIF('Orcamento RU Viora Build'!$A:$A,A341,'Orcamento RU Viora Build'!$F:$F)</f>
        <v>2</v>
      </c>
      <c r="E341" s="645">
        <f t="shared" si="72"/>
        <v>107.952</v>
      </c>
      <c r="F341" s="646">
        <f t="shared" si="73"/>
        <v>215.904</v>
      </c>
      <c r="G341" s="782"/>
      <c r="H341" s="666"/>
      <c r="I341" s="658">
        <v>83.04</v>
      </c>
      <c r="J341" s="695">
        <v>0.0</v>
      </c>
      <c r="K341" s="689">
        <f t="shared" si="95"/>
        <v>83.04</v>
      </c>
      <c r="L341" s="689">
        <f t="shared" si="96"/>
        <v>166.08</v>
      </c>
      <c r="M341" s="690">
        <f t="shared" si="97"/>
        <v>49.824</v>
      </c>
      <c r="N341" s="659">
        <f t="shared" si="74"/>
        <v>0.3</v>
      </c>
      <c r="O341" s="675">
        <f t="shared" si="98"/>
        <v>0.2307692308</v>
      </c>
      <c r="P341" s="807" t="s">
        <v>6496</v>
      </c>
      <c r="Q341" s="698"/>
      <c r="R341" s="1"/>
      <c r="S341" s="668"/>
      <c r="T341" s="669"/>
      <c r="U341" s="1"/>
      <c r="V341" s="1"/>
      <c r="W341" s="1"/>
      <c r="X341" s="1"/>
      <c r="Y341" s="1"/>
    </row>
    <row r="342" ht="12.75" customHeight="1">
      <c r="A342" s="641" t="s">
        <v>6497</v>
      </c>
      <c r="B342" s="798" t="s">
        <v>1198</v>
      </c>
      <c r="C342" s="643" t="s">
        <v>33</v>
      </c>
      <c r="D342" s="644">
        <f>SUMIF('Orcamento RU Viora Build'!$A:$A,A342,'Orcamento RU Viora Build'!$F:$F)</f>
        <v>1</v>
      </c>
      <c r="E342" s="645">
        <f t="shared" si="72"/>
        <v>195</v>
      </c>
      <c r="F342" s="646">
        <f t="shared" si="73"/>
        <v>195</v>
      </c>
      <c r="G342" s="782"/>
      <c r="H342" s="666"/>
      <c r="I342" s="658">
        <v>150.0</v>
      </c>
      <c r="J342" s="695">
        <v>0.0</v>
      </c>
      <c r="K342" s="689">
        <f t="shared" si="95"/>
        <v>150</v>
      </c>
      <c r="L342" s="689">
        <f t="shared" si="96"/>
        <v>150</v>
      </c>
      <c r="M342" s="690">
        <f t="shared" si="97"/>
        <v>45</v>
      </c>
      <c r="N342" s="659">
        <f t="shared" si="74"/>
        <v>0.3</v>
      </c>
      <c r="O342" s="675">
        <f t="shared" si="98"/>
        <v>0.2307692308</v>
      </c>
      <c r="P342" s="807" t="s">
        <v>6498</v>
      </c>
      <c r="Q342" s="698"/>
      <c r="R342" s="1"/>
      <c r="S342" s="668"/>
      <c r="T342" s="669"/>
      <c r="U342" s="1"/>
      <c r="V342" s="1"/>
      <c r="W342" s="1"/>
      <c r="X342" s="1"/>
      <c r="Y342" s="1"/>
    </row>
    <row r="343" ht="12.75" customHeight="1">
      <c r="A343" s="641" t="s">
        <v>6499</v>
      </c>
      <c r="B343" s="798" t="s">
        <v>1201</v>
      </c>
      <c r="C343" s="643" t="s">
        <v>1202</v>
      </c>
      <c r="D343" s="644">
        <f>SUMIF('Orcamento RU Viora Build'!$A:$A,A343,'Orcamento RU Viora Build'!$F:$F)</f>
        <v>3</v>
      </c>
      <c r="E343" s="645">
        <f t="shared" si="72"/>
        <v>731.64</v>
      </c>
      <c r="F343" s="646">
        <f t="shared" si="73"/>
        <v>2194.92</v>
      </c>
      <c r="G343" s="782"/>
      <c r="H343" s="666"/>
      <c r="I343" s="658">
        <v>562.8</v>
      </c>
      <c r="J343" s="695">
        <v>0.0</v>
      </c>
      <c r="K343" s="689">
        <f t="shared" si="95"/>
        <v>562.8</v>
      </c>
      <c r="L343" s="689">
        <f t="shared" si="96"/>
        <v>1688.4</v>
      </c>
      <c r="M343" s="690">
        <f t="shared" si="97"/>
        <v>506.52</v>
      </c>
      <c r="N343" s="659">
        <f t="shared" si="74"/>
        <v>0.3</v>
      </c>
      <c r="O343" s="675">
        <f t="shared" si="98"/>
        <v>0.2307692308</v>
      </c>
      <c r="P343" s="807" t="s">
        <v>6500</v>
      </c>
      <c r="Q343" s="698"/>
      <c r="R343" s="1"/>
      <c r="S343" s="668"/>
      <c r="T343" s="669"/>
      <c r="U343" s="1"/>
      <c r="V343" s="1"/>
      <c r="W343" s="1"/>
      <c r="X343" s="1"/>
      <c r="Y343" s="1"/>
    </row>
    <row r="344" ht="12.75" customHeight="1">
      <c r="A344" s="641" t="s">
        <v>6501</v>
      </c>
      <c r="B344" s="798" t="s">
        <v>1203</v>
      </c>
      <c r="C344" s="643" t="s">
        <v>1202</v>
      </c>
      <c r="D344" s="644">
        <f>SUMIF('Orcamento RU Viora Build'!$A:$A,A344,'Orcamento RU Viora Build'!$F:$F)</f>
        <v>3</v>
      </c>
      <c r="E344" s="645">
        <f t="shared" si="72"/>
        <v>374.53</v>
      </c>
      <c r="F344" s="646">
        <f t="shared" si="73"/>
        <v>1123.59</v>
      </c>
      <c r="G344" s="782"/>
      <c r="H344" s="666"/>
      <c r="I344" s="658">
        <v>288.1</v>
      </c>
      <c r="J344" s="695">
        <v>0.0</v>
      </c>
      <c r="K344" s="689">
        <f t="shared" si="95"/>
        <v>288.1</v>
      </c>
      <c r="L344" s="689">
        <f t="shared" si="96"/>
        <v>864.3</v>
      </c>
      <c r="M344" s="690">
        <f t="shared" si="97"/>
        <v>259.29</v>
      </c>
      <c r="N344" s="659">
        <f t="shared" si="74"/>
        <v>0.3</v>
      </c>
      <c r="O344" s="675">
        <f t="shared" si="98"/>
        <v>0.2307692308</v>
      </c>
      <c r="P344" s="807" t="s">
        <v>6502</v>
      </c>
      <c r="Q344" s="698"/>
      <c r="R344" s="1"/>
      <c r="S344" s="668"/>
      <c r="T344" s="669"/>
      <c r="U344" s="1"/>
      <c r="V344" s="1"/>
      <c r="W344" s="1"/>
      <c r="X344" s="1"/>
      <c r="Y344" s="1"/>
    </row>
    <row r="345" ht="12.75" customHeight="1">
      <c r="A345" s="641" t="s">
        <v>6503</v>
      </c>
      <c r="B345" s="798" t="s">
        <v>1204</v>
      </c>
      <c r="C345" s="643" t="s">
        <v>75</v>
      </c>
      <c r="D345" s="644">
        <f>SUMIF('Orcamento RU Viora Build'!$A:$A,A345,'Orcamento RU Viora Build'!$F:$F)</f>
        <v>1</v>
      </c>
      <c r="E345" s="645">
        <f t="shared" si="72"/>
        <v>3133</v>
      </c>
      <c r="F345" s="646">
        <f t="shared" si="73"/>
        <v>3133</v>
      </c>
      <c r="G345" s="782"/>
      <c r="H345" s="666"/>
      <c r="I345" s="658">
        <v>2410.0</v>
      </c>
      <c r="J345" s="695">
        <v>0.0</v>
      </c>
      <c r="K345" s="689">
        <f t="shared" si="95"/>
        <v>2410</v>
      </c>
      <c r="L345" s="689">
        <f t="shared" si="96"/>
        <v>2410</v>
      </c>
      <c r="M345" s="690">
        <f t="shared" si="97"/>
        <v>723</v>
      </c>
      <c r="N345" s="659">
        <f t="shared" si="74"/>
        <v>0.3</v>
      </c>
      <c r="O345" s="675">
        <f t="shared" si="98"/>
        <v>0.2307692308</v>
      </c>
      <c r="P345" s="807" t="s">
        <v>6504</v>
      </c>
      <c r="Q345" s="698"/>
      <c r="R345" s="1"/>
      <c r="S345" s="668"/>
      <c r="T345" s="669"/>
      <c r="U345" s="1"/>
      <c r="V345" s="1"/>
      <c r="W345" s="1"/>
      <c r="X345" s="1"/>
      <c r="Y345" s="1"/>
    </row>
    <row r="346" ht="12.75" customHeight="1">
      <c r="A346" s="641" t="s">
        <v>6505</v>
      </c>
      <c r="B346" s="798" t="s">
        <v>1205</v>
      </c>
      <c r="C346" s="643" t="s">
        <v>75</v>
      </c>
      <c r="D346" s="644">
        <f>SUMIF('Orcamento RU Viora Build'!$A:$A,A346,'Orcamento RU Viora Build'!$F:$F)</f>
        <v>1</v>
      </c>
      <c r="E346" s="645">
        <f t="shared" si="72"/>
        <v>978.224</v>
      </c>
      <c r="F346" s="646">
        <f t="shared" si="73"/>
        <v>978.224</v>
      </c>
      <c r="G346" s="782"/>
      <c r="H346" s="666"/>
      <c r="I346" s="658">
        <v>752.48</v>
      </c>
      <c r="J346" s="695">
        <v>0.0</v>
      </c>
      <c r="K346" s="689">
        <f t="shared" si="95"/>
        <v>752.48</v>
      </c>
      <c r="L346" s="689">
        <f t="shared" si="96"/>
        <v>752.48</v>
      </c>
      <c r="M346" s="690">
        <f t="shared" si="97"/>
        <v>225.744</v>
      </c>
      <c r="N346" s="659">
        <f t="shared" si="74"/>
        <v>0.3</v>
      </c>
      <c r="O346" s="675">
        <f t="shared" si="98"/>
        <v>0.2307692308</v>
      </c>
      <c r="P346" s="805" t="s">
        <v>6506</v>
      </c>
      <c r="Q346" s="698"/>
      <c r="R346" s="1"/>
      <c r="S346" s="668"/>
      <c r="T346" s="669"/>
      <c r="U346" s="1"/>
      <c r="V346" s="1"/>
      <c r="W346" s="1"/>
      <c r="X346" s="1"/>
      <c r="Y346" s="1"/>
    </row>
    <row r="347" ht="12.75" customHeight="1">
      <c r="A347" s="641" t="s">
        <v>6507</v>
      </c>
      <c r="B347" s="798" t="s">
        <v>1206</v>
      </c>
      <c r="C347" s="643" t="s">
        <v>75</v>
      </c>
      <c r="D347" s="644">
        <f>SUMIF('Orcamento RU Viora Build'!$A:$A,A347,'Orcamento RU Viora Build'!$F:$F)</f>
        <v>1</v>
      </c>
      <c r="E347" s="645">
        <f t="shared" si="72"/>
        <v>169</v>
      </c>
      <c r="F347" s="646">
        <f t="shared" si="73"/>
        <v>169</v>
      </c>
      <c r="G347" s="782"/>
      <c r="H347" s="666"/>
      <c r="I347" s="658">
        <v>130.0</v>
      </c>
      <c r="J347" s="695">
        <v>0.0</v>
      </c>
      <c r="K347" s="689">
        <f t="shared" si="95"/>
        <v>130</v>
      </c>
      <c r="L347" s="689">
        <f t="shared" si="96"/>
        <v>130</v>
      </c>
      <c r="M347" s="690">
        <f t="shared" si="97"/>
        <v>39</v>
      </c>
      <c r="N347" s="659">
        <f t="shared" si="74"/>
        <v>0.3</v>
      </c>
      <c r="O347" s="675">
        <f t="shared" si="98"/>
        <v>0.2307692308</v>
      </c>
      <c r="P347" s="807" t="s">
        <v>6508</v>
      </c>
      <c r="Q347" s="698"/>
      <c r="R347" s="1"/>
      <c r="S347" s="668"/>
      <c r="T347" s="669"/>
      <c r="U347" s="1"/>
      <c r="V347" s="1"/>
      <c r="W347" s="1"/>
      <c r="X347" s="1"/>
      <c r="Y347" s="1"/>
    </row>
    <row r="348" ht="12.75" customHeight="1">
      <c r="A348" s="641" t="s">
        <v>6509</v>
      </c>
      <c r="B348" s="798" t="s">
        <v>1207</v>
      </c>
      <c r="C348" s="643" t="s">
        <v>1180</v>
      </c>
      <c r="D348" s="644">
        <f>SUMIF('Orcamento RU Viora Build'!$A:$A,A348,'Orcamento RU Viora Build'!$F:$F)</f>
        <v>3</v>
      </c>
      <c r="E348" s="645">
        <f t="shared" si="72"/>
        <v>5.993</v>
      </c>
      <c r="F348" s="646">
        <f t="shared" si="73"/>
        <v>17.979</v>
      </c>
      <c r="G348" s="782"/>
      <c r="H348" s="666"/>
      <c r="I348" s="658">
        <v>4.61</v>
      </c>
      <c r="J348" s="695">
        <v>0.0</v>
      </c>
      <c r="K348" s="689">
        <f t="shared" si="95"/>
        <v>4.61</v>
      </c>
      <c r="L348" s="689">
        <f t="shared" si="96"/>
        <v>13.83</v>
      </c>
      <c r="M348" s="690">
        <f t="shared" si="97"/>
        <v>4.149</v>
      </c>
      <c r="N348" s="659">
        <f t="shared" si="74"/>
        <v>0.3</v>
      </c>
      <c r="O348" s="675">
        <f t="shared" si="98"/>
        <v>0.2307692308</v>
      </c>
      <c r="P348" s="808" t="s">
        <v>6510</v>
      </c>
      <c r="Q348" s="696" t="s">
        <v>6511</v>
      </c>
      <c r="R348" s="1"/>
      <c r="S348" s="668"/>
      <c r="T348" s="669"/>
      <c r="U348" s="1"/>
      <c r="V348" s="1"/>
      <c r="W348" s="1"/>
      <c r="X348" s="1"/>
      <c r="Y348" s="1"/>
    </row>
    <row r="349" ht="12.75" customHeight="1">
      <c r="A349" s="641" t="s">
        <v>6512</v>
      </c>
      <c r="B349" s="798" t="s">
        <v>1208</v>
      </c>
      <c r="C349" s="643" t="s">
        <v>75</v>
      </c>
      <c r="D349" s="644">
        <f>SUMIF('Orcamento RU Viora Build'!$A:$A,A349,'Orcamento RU Viora Build'!$F:$F)</f>
        <v>1</v>
      </c>
      <c r="E349" s="645">
        <f t="shared" si="72"/>
        <v>220.545</v>
      </c>
      <c r="F349" s="646">
        <f t="shared" si="73"/>
        <v>220.545</v>
      </c>
      <c r="G349" s="782"/>
      <c r="H349" s="666"/>
      <c r="I349" s="658">
        <v>169.65</v>
      </c>
      <c r="J349" s="695">
        <v>0.0</v>
      </c>
      <c r="K349" s="689">
        <f t="shared" si="95"/>
        <v>169.65</v>
      </c>
      <c r="L349" s="689">
        <f t="shared" si="96"/>
        <v>169.65</v>
      </c>
      <c r="M349" s="690">
        <f t="shared" si="97"/>
        <v>50.895</v>
      </c>
      <c r="N349" s="659">
        <f t="shared" si="74"/>
        <v>0.3</v>
      </c>
      <c r="O349" s="675">
        <f t="shared" si="98"/>
        <v>0.2307692308</v>
      </c>
      <c r="P349" s="805" t="s">
        <v>6513</v>
      </c>
      <c r="Q349" s="698"/>
      <c r="R349" s="1"/>
      <c r="S349" s="668"/>
      <c r="T349" s="669"/>
      <c r="U349" s="1"/>
      <c r="V349" s="1"/>
      <c r="W349" s="1"/>
      <c r="X349" s="1"/>
      <c r="Y349" s="1"/>
    </row>
    <row r="350" ht="12.75" customHeight="1">
      <c r="A350" s="641" t="s">
        <v>6514</v>
      </c>
      <c r="B350" s="798" t="s">
        <v>1209</v>
      </c>
      <c r="C350" s="643" t="s">
        <v>75</v>
      </c>
      <c r="D350" s="644">
        <f>SUMIF('Orcamento RU Viora Build'!$A:$A,A350,'Orcamento RU Viora Build'!$F:$F)</f>
        <v>1</v>
      </c>
      <c r="E350" s="645">
        <f t="shared" si="72"/>
        <v>91.299</v>
      </c>
      <c r="F350" s="646">
        <f t="shared" si="73"/>
        <v>91.299</v>
      </c>
      <c r="G350" s="782"/>
      <c r="H350" s="666"/>
      <c r="I350" s="658">
        <v>70.23</v>
      </c>
      <c r="J350" s="695">
        <v>0.0</v>
      </c>
      <c r="K350" s="689">
        <f t="shared" si="95"/>
        <v>70.23</v>
      </c>
      <c r="L350" s="689">
        <f t="shared" si="96"/>
        <v>70.23</v>
      </c>
      <c r="M350" s="690">
        <f t="shared" si="97"/>
        <v>21.069</v>
      </c>
      <c r="N350" s="659">
        <f t="shared" si="74"/>
        <v>0.3</v>
      </c>
      <c r="O350" s="675">
        <f t="shared" si="98"/>
        <v>0.2307692308</v>
      </c>
      <c r="P350" s="805" t="s">
        <v>6515</v>
      </c>
      <c r="Q350" s="698"/>
      <c r="R350" s="1"/>
      <c r="S350" s="668"/>
      <c r="T350" s="669"/>
      <c r="U350" s="1"/>
      <c r="V350" s="1"/>
      <c r="W350" s="1"/>
      <c r="X350" s="1"/>
      <c r="Y350" s="1"/>
    </row>
    <row r="351" ht="12.75" customHeight="1">
      <c r="A351" s="641" t="s">
        <v>6516</v>
      </c>
      <c r="B351" s="798" t="s">
        <v>6517</v>
      </c>
      <c r="C351" s="643" t="s">
        <v>75</v>
      </c>
      <c r="D351" s="644">
        <f>SUMIF('Orcamento RU Viora Build'!$A:$A,A351,'Orcamento RU Viora Build'!$F:$F)</f>
        <v>1</v>
      </c>
      <c r="E351" s="645">
        <f t="shared" si="72"/>
        <v>87.087</v>
      </c>
      <c r="F351" s="646">
        <f t="shared" si="73"/>
        <v>87.087</v>
      </c>
      <c r="G351" s="782"/>
      <c r="H351" s="666"/>
      <c r="I351" s="658">
        <v>66.99</v>
      </c>
      <c r="J351" s="695">
        <v>0.0</v>
      </c>
      <c r="K351" s="689">
        <f t="shared" si="95"/>
        <v>66.99</v>
      </c>
      <c r="L351" s="689">
        <f t="shared" si="96"/>
        <v>66.99</v>
      </c>
      <c r="M351" s="690">
        <f t="shared" si="97"/>
        <v>20.097</v>
      </c>
      <c r="N351" s="659">
        <f t="shared" si="74"/>
        <v>0.3</v>
      </c>
      <c r="O351" s="675">
        <f t="shared" si="98"/>
        <v>0.2307692308</v>
      </c>
      <c r="P351" s="807" t="s">
        <v>6518</v>
      </c>
      <c r="Q351" s="698"/>
      <c r="R351" s="1"/>
      <c r="S351" s="668"/>
      <c r="T351" s="669"/>
      <c r="U351" s="1"/>
      <c r="V351" s="1"/>
      <c r="W351" s="1"/>
      <c r="X351" s="1"/>
      <c r="Y351" s="1"/>
    </row>
    <row r="352" ht="12.75" customHeight="1">
      <c r="A352" s="641" t="s">
        <v>6519</v>
      </c>
      <c r="B352" s="798" t="s">
        <v>6520</v>
      </c>
      <c r="C352" s="643" t="s">
        <v>877</v>
      </c>
      <c r="D352" s="644">
        <f>SUMIF('Orcamento RU Viora Build'!$A:$A,A352,'Orcamento RU Viora Build'!$F:$F)</f>
        <v>40</v>
      </c>
      <c r="E352" s="645">
        <f t="shared" si="72"/>
        <v>13.091</v>
      </c>
      <c r="F352" s="646">
        <f t="shared" si="73"/>
        <v>523.64</v>
      </c>
      <c r="G352" s="782"/>
      <c r="H352" s="666"/>
      <c r="I352" s="658">
        <v>10.07</v>
      </c>
      <c r="J352" s="695">
        <v>0.0</v>
      </c>
      <c r="K352" s="689">
        <f t="shared" si="95"/>
        <v>10.07</v>
      </c>
      <c r="L352" s="689">
        <f t="shared" si="96"/>
        <v>402.8</v>
      </c>
      <c r="M352" s="690">
        <f t="shared" si="97"/>
        <v>120.84</v>
      </c>
      <c r="N352" s="659">
        <f t="shared" si="74"/>
        <v>0.3</v>
      </c>
      <c r="O352" s="675">
        <f t="shared" si="98"/>
        <v>0.2307692308</v>
      </c>
      <c r="P352" s="808" t="s">
        <v>6521</v>
      </c>
      <c r="Q352" s="698"/>
      <c r="R352" s="1"/>
      <c r="S352" s="668"/>
      <c r="T352" s="669"/>
      <c r="U352" s="1"/>
      <c r="V352" s="1"/>
      <c r="W352" s="1"/>
      <c r="X352" s="1"/>
      <c r="Y352" s="1"/>
    </row>
    <row r="353" ht="12.75" customHeight="1">
      <c r="A353" s="641" t="s">
        <v>6522</v>
      </c>
      <c r="B353" s="798" t="s">
        <v>1212</v>
      </c>
      <c r="C353" s="643" t="s">
        <v>75</v>
      </c>
      <c r="D353" s="644">
        <f>SUMIF('Orcamento RU Viora Build'!$A:$A,A353,'Orcamento RU Viora Build'!$F:$F)</f>
        <v>1</v>
      </c>
      <c r="E353" s="645">
        <f t="shared" si="72"/>
        <v>62.686</v>
      </c>
      <c r="F353" s="646">
        <f t="shared" si="73"/>
        <v>62.686</v>
      </c>
      <c r="G353" s="782"/>
      <c r="H353" s="666"/>
      <c r="I353" s="658">
        <v>48.22</v>
      </c>
      <c r="J353" s="695">
        <v>0.0</v>
      </c>
      <c r="K353" s="689">
        <f t="shared" si="95"/>
        <v>48.22</v>
      </c>
      <c r="L353" s="689">
        <f t="shared" si="96"/>
        <v>48.22</v>
      </c>
      <c r="M353" s="690">
        <f t="shared" si="97"/>
        <v>14.466</v>
      </c>
      <c r="N353" s="659">
        <f t="shared" si="74"/>
        <v>0.3</v>
      </c>
      <c r="O353" s="675">
        <f t="shared" si="98"/>
        <v>0.2307692308</v>
      </c>
      <c r="P353" s="807" t="s">
        <v>6523</v>
      </c>
      <c r="Q353" s="698"/>
      <c r="R353" s="1"/>
      <c r="S353" s="668"/>
      <c r="T353" s="669"/>
      <c r="U353" s="1"/>
      <c r="V353" s="1"/>
      <c r="W353" s="1"/>
      <c r="X353" s="1"/>
      <c r="Y353" s="1"/>
    </row>
    <row r="354" ht="12.75" customHeight="1">
      <c r="A354" s="641" t="s">
        <v>6524</v>
      </c>
      <c r="B354" s="798" t="s">
        <v>1214</v>
      </c>
      <c r="C354" s="643" t="s">
        <v>75</v>
      </c>
      <c r="D354" s="644">
        <f>SUMIF('Orcamento RU Viora Build'!$A:$A,A354,'Orcamento RU Viora Build'!$F:$F)</f>
        <v>1</v>
      </c>
      <c r="E354" s="645">
        <f t="shared" si="72"/>
        <v>236.288</v>
      </c>
      <c r="F354" s="646">
        <f t="shared" si="73"/>
        <v>236.288</v>
      </c>
      <c r="G354" s="782"/>
      <c r="H354" s="666"/>
      <c r="I354" s="658">
        <v>181.76</v>
      </c>
      <c r="J354" s="695">
        <v>0.0</v>
      </c>
      <c r="K354" s="689">
        <f t="shared" si="95"/>
        <v>181.76</v>
      </c>
      <c r="L354" s="689">
        <f t="shared" si="96"/>
        <v>181.76</v>
      </c>
      <c r="M354" s="690">
        <f t="shared" si="97"/>
        <v>54.528</v>
      </c>
      <c r="N354" s="659">
        <f t="shared" si="74"/>
        <v>0.3</v>
      </c>
      <c r="O354" s="675">
        <f t="shared" si="98"/>
        <v>0.2307692308</v>
      </c>
      <c r="P354" s="807" t="s">
        <v>6525</v>
      </c>
      <c r="Q354" s="698"/>
      <c r="R354" s="1"/>
      <c r="S354" s="668"/>
      <c r="T354" s="669"/>
      <c r="U354" s="1"/>
      <c r="V354" s="1"/>
      <c r="W354" s="1"/>
      <c r="X354" s="1"/>
      <c r="Y354" s="1"/>
    </row>
    <row r="355" ht="12.75" customHeight="1">
      <c r="A355" s="641" t="s">
        <v>6526</v>
      </c>
      <c r="B355" s="798" t="s">
        <v>1215</v>
      </c>
      <c r="C355" s="643" t="s">
        <v>75</v>
      </c>
      <c r="D355" s="644">
        <f>SUMIF('Orcamento RU Viora Build'!$A:$A,A355,'Orcamento RU Viora Build'!$F:$F)</f>
        <v>1</v>
      </c>
      <c r="E355" s="645">
        <f t="shared" si="72"/>
        <v>447.33</v>
      </c>
      <c r="F355" s="646">
        <f t="shared" si="73"/>
        <v>447.33</v>
      </c>
      <c r="G355" s="782"/>
      <c r="H355" s="666"/>
      <c r="I355" s="658">
        <v>344.1</v>
      </c>
      <c r="J355" s="695">
        <v>0.0</v>
      </c>
      <c r="K355" s="689">
        <f t="shared" si="95"/>
        <v>344.1</v>
      </c>
      <c r="L355" s="689">
        <f t="shared" si="96"/>
        <v>344.1</v>
      </c>
      <c r="M355" s="690">
        <f t="shared" si="97"/>
        <v>103.23</v>
      </c>
      <c r="N355" s="659">
        <f t="shared" si="74"/>
        <v>0.3</v>
      </c>
      <c r="O355" s="675">
        <f t="shared" si="98"/>
        <v>0.2307692308</v>
      </c>
      <c r="P355" s="805" t="s">
        <v>6513</v>
      </c>
      <c r="Q355" s="698"/>
      <c r="R355" s="1"/>
      <c r="S355" s="668"/>
      <c r="T355" s="669"/>
      <c r="U355" s="1"/>
      <c r="V355" s="1"/>
      <c r="W355" s="1"/>
      <c r="X355" s="1"/>
      <c r="Y355" s="1"/>
    </row>
    <row r="356" ht="12.75" customHeight="1">
      <c r="A356" s="641" t="s">
        <v>6527</v>
      </c>
      <c r="B356" s="798" t="s">
        <v>1216</v>
      </c>
      <c r="C356" s="643" t="s">
        <v>75</v>
      </c>
      <c r="D356" s="644">
        <f>SUMIF('Orcamento RU Viora Build'!$A:$A,A356,'Orcamento RU Viora Build'!$F:$F)</f>
        <v>1</v>
      </c>
      <c r="E356" s="645">
        <f t="shared" si="72"/>
        <v>934.7</v>
      </c>
      <c r="F356" s="646">
        <f t="shared" si="73"/>
        <v>934.7</v>
      </c>
      <c r="G356" s="782"/>
      <c r="H356" s="666"/>
      <c r="I356" s="658">
        <v>719.0</v>
      </c>
      <c r="J356" s="695">
        <v>0.0</v>
      </c>
      <c r="K356" s="689">
        <f t="shared" si="95"/>
        <v>719</v>
      </c>
      <c r="L356" s="689">
        <f t="shared" si="96"/>
        <v>719</v>
      </c>
      <c r="M356" s="690">
        <f t="shared" si="97"/>
        <v>215.7</v>
      </c>
      <c r="N356" s="659">
        <f t="shared" si="74"/>
        <v>0.3</v>
      </c>
      <c r="O356" s="675">
        <f t="shared" si="98"/>
        <v>0.2307692308</v>
      </c>
      <c r="P356" s="808" t="s">
        <v>6528</v>
      </c>
      <c r="Q356" s="698"/>
      <c r="R356" s="1"/>
      <c r="S356" s="668"/>
      <c r="T356" s="669"/>
      <c r="U356" s="1"/>
      <c r="V356" s="1"/>
      <c r="W356" s="1"/>
      <c r="X356" s="1"/>
      <c r="Y356" s="1"/>
    </row>
    <row r="357" ht="12.75" customHeight="1">
      <c r="A357" s="641" t="s">
        <v>6529</v>
      </c>
      <c r="B357" s="798" t="s">
        <v>1217</v>
      </c>
      <c r="C357" s="643" t="s">
        <v>75</v>
      </c>
      <c r="D357" s="644">
        <f>SUMIF('Orcamento RU Viora Build'!$A:$A,A357,'Orcamento RU Viora Build'!$F:$F)</f>
        <v>1</v>
      </c>
      <c r="E357" s="645">
        <f t="shared" si="72"/>
        <v>494</v>
      </c>
      <c r="F357" s="646">
        <f t="shared" si="73"/>
        <v>494</v>
      </c>
      <c r="G357" s="782"/>
      <c r="H357" s="666"/>
      <c r="I357" s="658">
        <v>380.0</v>
      </c>
      <c r="J357" s="695">
        <v>0.0</v>
      </c>
      <c r="K357" s="689">
        <f t="shared" si="95"/>
        <v>380</v>
      </c>
      <c r="L357" s="689">
        <f t="shared" si="96"/>
        <v>380</v>
      </c>
      <c r="M357" s="690">
        <f t="shared" si="97"/>
        <v>114</v>
      </c>
      <c r="N357" s="659">
        <f t="shared" si="74"/>
        <v>0.3</v>
      </c>
      <c r="O357" s="675">
        <f t="shared" si="98"/>
        <v>0.2307692308</v>
      </c>
      <c r="P357" s="808" t="s">
        <v>6530</v>
      </c>
      <c r="Q357" s="698"/>
      <c r="R357" s="1"/>
      <c r="S357" s="668"/>
      <c r="T357" s="669"/>
      <c r="U357" s="1"/>
      <c r="V357" s="1"/>
      <c r="W357" s="1"/>
      <c r="X357" s="1"/>
      <c r="Y357" s="1"/>
    </row>
    <row r="358" ht="12.75" customHeight="1">
      <c r="A358" s="641" t="s">
        <v>6531</v>
      </c>
      <c r="B358" s="798" t="s">
        <v>1218</v>
      </c>
      <c r="C358" s="643" t="s">
        <v>75</v>
      </c>
      <c r="D358" s="644">
        <f>SUMIF('Orcamento RU Viora Build'!$A:$A,A358,'Orcamento RU Viora Build'!$F:$F)</f>
        <v>1</v>
      </c>
      <c r="E358" s="645">
        <f t="shared" si="72"/>
        <v>1467.7</v>
      </c>
      <c r="F358" s="646">
        <f t="shared" si="73"/>
        <v>1467.7</v>
      </c>
      <c r="G358" s="782"/>
      <c r="H358" s="666"/>
      <c r="I358" s="658">
        <v>1129.0</v>
      </c>
      <c r="J358" s="695">
        <v>0.0</v>
      </c>
      <c r="K358" s="689">
        <f t="shared" si="95"/>
        <v>1129</v>
      </c>
      <c r="L358" s="689">
        <f t="shared" si="96"/>
        <v>1129</v>
      </c>
      <c r="M358" s="690">
        <f t="shared" si="97"/>
        <v>338.7</v>
      </c>
      <c r="N358" s="659">
        <f t="shared" si="74"/>
        <v>0.3</v>
      </c>
      <c r="O358" s="675">
        <f t="shared" si="98"/>
        <v>0.2307692308</v>
      </c>
      <c r="P358" s="808" t="s">
        <v>6532</v>
      </c>
      <c r="Q358" s="698"/>
      <c r="R358" s="1"/>
      <c r="S358" s="668"/>
      <c r="T358" s="669"/>
      <c r="U358" s="1"/>
      <c r="V358" s="1"/>
      <c r="W358" s="1"/>
      <c r="X358" s="1"/>
      <c r="Y358" s="1"/>
    </row>
    <row r="359" ht="12.75" customHeight="1">
      <c r="A359" s="641" t="s">
        <v>6533</v>
      </c>
      <c r="B359" s="798" t="s">
        <v>1219</v>
      </c>
      <c r="C359" s="643" t="s">
        <v>75</v>
      </c>
      <c r="D359" s="644">
        <f>SUMIF('Orcamento RU Viora Build'!$A:$A,A359,'Orcamento RU Viora Build'!$F:$F)</f>
        <v>1</v>
      </c>
      <c r="E359" s="645">
        <f t="shared" si="72"/>
        <v>109.694</v>
      </c>
      <c r="F359" s="646">
        <f t="shared" si="73"/>
        <v>109.694</v>
      </c>
      <c r="G359" s="782"/>
      <c r="H359" s="666"/>
      <c r="I359" s="658">
        <v>84.38</v>
      </c>
      <c r="J359" s="695">
        <v>0.0</v>
      </c>
      <c r="K359" s="689">
        <f t="shared" si="95"/>
        <v>84.38</v>
      </c>
      <c r="L359" s="689">
        <f t="shared" si="96"/>
        <v>84.38</v>
      </c>
      <c r="M359" s="690">
        <f t="shared" si="97"/>
        <v>25.314</v>
      </c>
      <c r="N359" s="659">
        <f t="shared" si="74"/>
        <v>0.3</v>
      </c>
      <c r="O359" s="675">
        <f t="shared" si="98"/>
        <v>0.2307692308</v>
      </c>
      <c r="P359" s="808" t="s">
        <v>6534</v>
      </c>
      <c r="Q359" s="698"/>
      <c r="R359" s="1"/>
      <c r="S359" s="668"/>
      <c r="T359" s="669"/>
      <c r="U359" s="1"/>
      <c r="V359" s="1"/>
      <c r="W359" s="1"/>
      <c r="X359" s="1"/>
      <c r="Y359" s="1"/>
    </row>
    <row r="360" ht="12.75" customHeight="1">
      <c r="A360" s="641" t="s">
        <v>6535</v>
      </c>
      <c r="B360" s="798" t="s">
        <v>1220</v>
      </c>
      <c r="C360" s="643" t="s">
        <v>75</v>
      </c>
      <c r="D360" s="644">
        <f>SUMIF('Orcamento RU Viora Build'!$A:$A,A360,'Orcamento RU Viora Build'!$F:$F)</f>
        <v>1</v>
      </c>
      <c r="E360" s="645">
        <f t="shared" si="72"/>
        <v>201.76</v>
      </c>
      <c r="F360" s="646">
        <f t="shared" si="73"/>
        <v>201.76</v>
      </c>
      <c r="G360" s="782"/>
      <c r="H360" s="666"/>
      <c r="I360" s="658">
        <v>155.2</v>
      </c>
      <c r="J360" s="695">
        <v>0.0</v>
      </c>
      <c r="K360" s="689">
        <f t="shared" si="95"/>
        <v>155.2</v>
      </c>
      <c r="L360" s="689">
        <f t="shared" si="96"/>
        <v>155.2</v>
      </c>
      <c r="M360" s="690">
        <f t="shared" si="97"/>
        <v>46.56</v>
      </c>
      <c r="N360" s="659">
        <f t="shared" si="74"/>
        <v>0.3</v>
      </c>
      <c r="O360" s="675">
        <f t="shared" si="98"/>
        <v>0.2307692308</v>
      </c>
      <c r="P360" s="808" t="s">
        <v>6536</v>
      </c>
      <c r="Q360" s="698"/>
      <c r="R360" s="1"/>
      <c r="S360" s="668"/>
      <c r="T360" s="669"/>
      <c r="U360" s="1"/>
      <c r="V360" s="1"/>
      <c r="W360" s="1"/>
      <c r="X360" s="1"/>
      <c r="Y360" s="1"/>
    </row>
    <row r="361" ht="12.75" customHeight="1">
      <c r="A361" s="641" t="s">
        <v>6537</v>
      </c>
      <c r="B361" s="798" t="s">
        <v>1198</v>
      </c>
      <c r="C361" s="643" t="s">
        <v>33</v>
      </c>
      <c r="D361" s="644">
        <f>SUMIF('Orcamento RU Viora Build'!$A:$A,A361,'Orcamento RU Viora Build'!$F:$F)</f>
        <v>1</v>
      </c>
      <c r="E361" s="645">
        <f t="shared" si="72"/>
        <v>110.5</v>
      </c>
      <c r="F361" s="646">
        <f t="shared" si="73"/>
        <v>110.5</v>
      </c>
      <c r="G361" s="782"/>
      <c r="H361" s="666"/>
      <c r="I361" s="658">
        <v>85.0</v>
      </c>
      <c r="J361" s="695">
        <v>0.0</v>
      </c>
      <c r="K361" s="689">
        <f t="shared" si="95"/>
        <v>85</v>
      </c>
      <c r="L361" s="689">
        <f t="shared" si="96"/>
        <v>85</v>
      </c>
      <c r="M361" s="690">
        <f t="shared" si="97"/>
        <v>25.5</v>
      </c>
      <c r="N361" s="659">
        <f t="shared" si="74"/>
        <v>0.3</v>
      </c>
      <c r="O361" s="675">
        <f t="shared" si="98"/>
        <v>0.2307692308</v>
      </c>
      <c r="P361" s="808" t="s">
        <v>6538</v>
      </c>
      <c r="Q361" s="698"/>
      <c r="R361" s="1"/>
      <c r="S361" s="668"/>
      <c r="T361" s="669"/>
      <c r="U361" s="1"/>
      <c r="V361" s="1"/>
      <c r="W361" s="1"/>
      <c r="X361" s="1"/>
      <c r="Y361" s="1"/>
    </row>
    <row r="362" ht="12.75" customHeight="1">
      <c r="A362" s="641" t="s">
        <v>6539</v>
      </c>
      <c r="B362" s="798" t="s">
        <v>6540</v>
      </c>
      <c r="C362" s="643" t="s">
        <v>5636</v>
      </c>
      <c r="D362" s="644">
        <f>SUMIF('Orcamento RU Viora Build'!$A:$A,A362,'Orcamento RU Viora Build'!$F:$F)</f>
        <v>1</v>
      </c>
      <c r="E362" s="645">
        <f t="shared" si="72"/>
        <v>1625</v>
      </c>
      <c r="F362" s="646">
        <f t="shared" si="73"/>
        <v>1625</v>
      </c>
      <c r="G362" s="782"/>
      <c r="H362" s="666"/>
      <c r="I362" s="658">
        <v>1250.0</v>
      </c>
      <c r="J362" s="695">
        <v>0.0</v>
      </c>
      <c r="K362" s="689">
        <f t="shared" si="95"/>
        <v>1250</v>
      </c>
      <c r="L362" s="689">
        <f t="shared" si="96"/>
        <v>1250</v>
      </c>
      <c r="M362" s="690">
        <f t="shared" si="97"/>
        <v>375</v>
      </c>
      <c r="N362" s="659">
        <f t="shared" si="74"/>
        <v>0.3</v>
      </c>
      <c r="O362" s="675">
        <f t="shared" si="98"/>
        <v>0.2307692308</v>
      </c>
      <c r="P362" s="808" t="s">
        <v>6541</v>
      </c>
      <c r="Q362" s="698"/>
      <c r="R362" s="1"/>
      <c r="S362" s="668"/>
      <c r="T362" s="669"/>
      <c r="U362" s="1"/>
      <c r="V362" s="1"/>
      <c r="W362" s="1"/>
      <c r="X362" s="1"/>
      <c r="Y362" s="1"/>
    </row>
    <row r="363" ht="12.75" customHeight="1">
      <c r="A363" s="641" t="s">
        <v>6542</v>
      </c>
      <c r="B363" s="798" t="s">
        <v>6543</v>
      </c>
      <c r="C363" s="643" t="s">
        <v>5631</v>
      </c>
      <c r="D363" s="644">
        <f>SUMIF('Orcamento RU Viora Build'!$A:$A,A363,'Orcamento RU Viora Build'!$F:$F)</f>
        <v>21</v>
      </c>
      <c r="E363" s="645">
        <f t="shared" si="72"/>
        <v>66.95</v>
      </c>
      <c r="F363" s="646">
        <f t="shared" si="73"/>
        <v>1405.95</v>
      </c>
      <c r="G363" s="782"/>
      <c r="H363" s="666"/>
      <c r="I363" s="658">
        <v>51.5</v>
      </c>
      <c r="J363" s="695">
        <v>0.0</v>
      </c>
      <c r="K363" s="689">
        <f t="shared" si="95"/>
        <v>51.5</v>
      </c>
      <c r="L363" s="689">
        <f t="shared" si="96"/>
        <v>1081.5</v>
      </c>
      <c r="M363" s="690">
        <f t="shared" si="97"/>
        <v>324.45</v>
      </c>
      <c r="N363" s="659">
        <f t="shared" si="74"/>
        <v>0.3</v>
      </c>
      <c r="O363" s="675">
        <f t="shared" si="98"/>
        <v>0.2307692308</v>
      </c>
      <c r="P363" s="808" t="s">
        <v>6544</v>
      </c>
      <c r="Q363" s="698"/>
      <c r="R363" s="1"/>
      <c r="S363" s="668"/>
      <c r="T363" s="669"/>
      <c r="U363" s="1"/>
      <c r="V363" s="1"/>
      <c r="W363" s="1"/>
      <c r="X363" s="1"/>
      <c r="Y363" s="1"/>
    </row>
    <row r="364" ht="12.75" customHeight="1">
      <c r="A364" s="641" t="s">
        <v>6545</v>
      </c>
      <c r="B364" s="798" t="s">
        <v>6546</v>
      </c>
      <c r="C364" s="643" t="s">
        <v>5631</v>
      </c>
      <c r="D364" s="644">
        <f>SUMIF('Orcamento RU Viora Build'!$A:$A,A364,'Orcamento RU Viora Build'!$F:$F)</f>
        <v>23.1</v>
      </c>
      <c r="E364" s="645">
        <f t="shared" si="72"/>
        <v>39</v>
      </c>
      <c r="F364" s="646">
        <f t="shared" si="73"/>
        <v>900.9</v>
      </c>
      <c r="G364" s="782"/>
      <c r="H364" s="666"/>
      <c r="I364" s="658">
        <v>30.0</v>
      </c>
      <c r="J364" s="695">
        <v>0.0</v>
      </c>
      <c r="K364" s="689">
        <f t="shared" si="95"/>
        <v>30</v>
      </c>
      <c r="L364" s="689">
        <f t="shared" si="96"/>
        <v>693</v>
      </c>
      <c r="M364" s="690">
        <f t="shared" si="97"/>
        <v>207.9</v>
      </c>
      <c r="N364" s="659">
        <f t="shared" si="74"/>
        <v>0.3</v>
      </c>
      <c r="O364" s="675">
        <f t="shared" si="98"/>
        <v>0.2307692308</v>
      </c>
      <c r="P364" s="808" t="s">
        <v>6547</v>
      </c>
      <c r="Q364" s="698"/>
      <c r="R364" s="1"/>
      <c r="S364" s="668"/>
      <c r="T364" s="669"/>
      <c r="U364" s="1"/>
      <c r="V364" s="1"/>
      <c r="W364" s="1"/>
      <c r="X364" s="1"/>
      <c r="Y364" s="1"/>
    </row>
    <row r="365" ht="12.75" customHeight="1">
      <c r="A365" s="641" t="s">
        <v>6548</v>
      </c>
      <c r="B365" s="798" t="s">
        <v>6549</v>
      </c>
      <c r="C365" s="643" t="s">
        <v>5631</v>
      </c>
      <c r="D365" s="644">
        <f>SUMIF('Orcamento RU Viora Build'!$A:$A,A365,'Orcamento RU Viora Build'!$F:$F)</f>
        <v>247.8</v>
      </c>
      <c r="E365" s="645">
        <f t="shared" si="72"/>
        <v>24.687</v>
      </c>
      <c r="F365" s="646">
        <f t="shared" si="73"/>
        <v>6117.4386</v>
      </c>
      <c r="G365" s="782"/>
      <c r="H365" s="666"/>
      <c r="I365" s="658">
        <v>18.99</v>
      </c>
      <c r="J365" s="695">
        <v>0.0</v>
      </c>
      <c r="K365" s="689">
        <f t="shared" si="95"/>
        <v>18.99</v>
      </c>
      <c r="L365" s="689">
        <f t="shared" si="96"/>
        <v>4705.722</v>
      </c>
      <c r="M365" s="690">
        <f t="shared" si="97"/>
        <v>1411.7166</v>
      </c>
      <c r="N365" s="659">
        <f t="shared" si="74"/>
        <v>0.3</v>
      </c>
      <c r="O365" s="675">
        <f t="shared" si="98"/>
        <v>0.2307692308</v>
      </c>
      <c r="P365" s="808" t="s">
        <v>6550</v>
      </c>
      <c r="Q365" s="698"/>
      <c r="R365" s="1"/>
      <c r="S365" s="668"/>
      <c r="T365" s="669"/>
      <c r="U365" s="1"/>
      <c r="V365" s="1"/>
      <c r="W365" s="1"/>
      <c r="X365" s="1"/>
      <c r="Y365" s="1"/>
    </row>
    <row r="366" ht="12.75" customHeight="1">
      <c r="A366" s="641" t="s">
        <v>6551</v>
      </c>
      <c r="B366" s="798" t="s">
        <v>6552</v>
      </c>
      <c r="C366" s="643" t="s">
        <v>5631</v>
      </c>
      <c r="D366" s="644">
        <f>SUMIF('Orcamento RU Viora Build'!$A:$A,A366,'Orcamento RU Viora Build'!$F:$F)</f>
        <v>8.4</v>
      </c>
      <c r="E366" s="645">
        <f t="shared" si="72"/>
        <v>18.369</v>
      </c>
      <c r="F366" s="646">
        <f t="shared" si="73"/>
        <v>154.2996</v>
      </c>
      <c r="G366" s="782"/>
      <c r="H366" s="666"/>
      <c r="I366" s="658">
        <v>14.13</v>
      </c>
      <c r="J366" s="695">
        <v>0.0</v>
      </c>
      <c r="K366" s="689">
        <f t="shared" si="95"/>
        <v>14.13</v>
      </c>
      <c r="L366" s="689">
        <f t="shared" si="96"/>
        <v>118.692</v>
      </c>
      <c r="M366" s="690">
        <f t="shared" si="97"/>
        <v>35.6076</v>
      </c>
      <c r="N366" s="659">
        <f t="shared" si="74"/>
        <v>0.3</v>
      </c>
      <c r="O366" s="675">
        <f t="shared" si="98"/>
        <v>0.2307692308</v>
      </c>
      <c r="P366" s="810" t="s">
        <v>6513</v>
      </c>
      <c r="Q366" s="698"/>
      <c r="R366" s="1"/>
      <c r="S366" s="668"/>
      <c r="T366" s="669"/>
      <c r="U366" s="1"/>
      <c r="V366" s="1"/>
      <c r="W366" s="1"/>
      <c r="X366" s="1"/>
      <c r="Y366" s="1"/>
    </row>
    <row r="367" ht="12.75" customHeight="1">
      <c r="A367" s="641" t="s">
        <v>6553</v>
      </c>
      <c r="B367" s="798" t="s">
        <v>6554</v>
      </c>
      <c r="C367" s="643" t="s">
        <v>5631</v>
      </c>
      <c r="D367" s="644">
        <f>SUMIF('Orcamento RU Viora Build'!$A:$A,A367,'Orcamento RU Viora Build'!$F:$F)</f>
        <v>4.2</v>
      </c>
      <c r="E367" s="645">
        <f t="shared" si="72"/>
        <v>31.564</v>
      </c>
      <c r="F367" s="646">
        <f t="shared" si="73"/>
        <v>132.5688</v>
      </c>
      <c r="G367" s="782"/>
      <c r="H367" s="666"/>
      <c r="I367" s="658">
        <v>24.28</v>
      </c>
      <c r="J367" s="695">
        <v>0.0</v>
      </c>
      <c r="K367" s="689">
        <f t="shared" si="95"/>
        <v>24.28</v>
      </c>
      <c r="L367" s="689">
        <f t="shared" si="96"/>
        <v>101.976</v>
      </c>
      <c r="M367" s="690">
        <f t="shared" si="97"/>
        <v>30.5928</v>
      </c>
      <c r="N367" s="659">
        <f t="shared" si="74"/>
        <v>0.3</v>
      </c>
      <c r="O367" s="675">
        <f t="shared" si="98"/>
        <v>0.2307692308</v>
      </c>
      <c r="P367" s="807" t="s">
        <v>6555</v>
      </c>
      <c r="Q367" s="698"/>
      <c r="R367" s="1"/>
      <c r="S367" s="668"/>
      <c r="T367" s="669"/>
      <c r="U367" s="1"/>
      <c r="V367" s="1"/>
      <c r="W367" s="1"/>
      <c r="X367" s="1"/>
      <c r="Y367" s="1"/>
    </row>
    <row r="368" ht="12.75" customHeight="1">
      <c r="A368" s="641" t="s">
        <v>6556</v>
      </c>
      <c r="B368" s="798" t="s">
        <v>6557</v>
      </c>
      <c r="C368" s="643" t="s">
        <v>5635</v>
      </c>
      <c r="D368" s="644">
        <f>SUMIF('Orcamento RU Viora Build'!$A:$A,A368,'Orcamento RU Viora Build'!$F:$F)</f>
        <v>115.5</v>
      </c>
      <c r="E368" s="645">
        <f t="shared" si="72"/>
        <v>34.749</v>
      </c>
      <c r="F368" s="646">
        <f t="shared" si="73"/>
        <v>4013.5095</v>
      </c>
      <c r="G368" s="782"/>
      <c r="H368" s="666"/>
      <c r="I368" s="658">
        <v>26.73</v>
      </c>
      <c r="J368" s="695">
        <v>0.0</v>
      </c>
      <c r="K368" s="689">
        <f t="shared" si="95"/>
        <v>26.73</v>
      </c>
      <c r="L368" s="689">
        <f t="shared" si="96"/>
        <v>3087.315</v>
      </c>
      <c r="M368" s="690">
        <f t="shared" si="97"/>
        <v>926.1945</v>
      </c>
      <c r="N368" s="659">
        <f t="shared" si="74"/>
        <v>0.3</v>
      </c>
      <c r="O368" s="675">
        <f t="shared" si="98"/>
        <v>0.2307692308</v>
      </c>
      <c r="P368" s="807" t="s">
        <v>6558</v>
      </c>
      <c r="Q368" s="698"/>
      <c r="R368" s="1"/>
      <c r="S368" s="668"/>
      <c r="T368" s="669"/>
      <c r="U368" s="1"/>
      <c r="V368" s="1"/>
      <c r="W368" s="1"/>
      <c r="X368" s="1"/>
      <c r="Y368" s="1"/>
    </row>
    <row r="369" ht="12.75" customHeight="1">
      <c r="A369" s="641" t="s">
        <v>6559</v>
      </c>
      <c r="B369" s="798" t="s">
        <v>6560</v>
      </c>
      <c r="C369" s="643" t="s">
        <v>5636</v>
      </c>
      <c r="D369" s="644">
        <f>SUMIF('Orcamento RU Viora Build'!$A:$A,A369,'Orcamento RU Viora Build'!$F:$F)</f>
        <v>1</v>
      </c>
      <c r="E369" s="645">
        <f t="shared" si="72"/>
        <v>1978.6</v>
      </c>
      <c r="F369" s="646">
        <f t="shared" si="73"/>
        <v>1978.6</v>
      </c>
      <c r="G369" s="782"/>
      <c r="H369" s="666"/>
      <c r="I369" s="658">
        <v>1522.0</v>
      </c>
      <c r="J369" s="695">
        <v>0.0</v>
      </c>
      <c r="K369" s="689">
        <f t="shared" si="95"/>
        <v>1522</v>
      </c>
      <c r="L369" s="689">
        <f t="shared" si="96"/>
        <v>1522</v>
      </c>
      <c r="M369" s="690">
        <f t="shared" si="97"/>
        <v>456.6</v>
      </c>
      <c r="N369" s="659">
        <f t="shared" si="74"/>
        <v>0.3</v>
      </c>
      <c r="O369" s="675">
        <f t="shared" si="98"/>
        <v>0.2307692308</v>
      </c>
      <c r="P369" s="807" t="s">
        <v>6561</v>
      </c>
      <c r="Q369" s="698"/>
      <c r="R369" s="1"/>
      <c r="S369" s="668"/>
      <c r="T369" s="669"/>
      <c r="U369" s="1"/>
      <c r="V369" s="1"/>
      <c r="W369" s="1"/>
      <c r="X369" s="1"/>
      <c r="Y369" s="1"/>
    </row>
    <row r="370" ht="12.75" customHeight="1">
      <c r="A370" s="641" t="s">
        <v>6562</v>
      </c>
      <c r="B370" s="798" t="s">
        <v>6563</v>
      </c>
      <c r="C370" s="643" t="s">
        <v>5636</v>
      </c>
      <c r="D370" s="644">
        <f>SUMIF('Orcamento RU Viora Build'!$A:$A,A370,'Orcamento RU Viora Build'!$F:$F)</f>
        <v>1</v>
      </c>
      <c r="E370" s="645">
        <f t="shared" si="72"/>
        <v>106.34</v>
      </c>
      <c r="F370" s="646">
        <f t="shared" si="73"/>
        <v>106.34</v>
      </c>
      <c r="G370" s="782"/>
      <c r="H370" s="666"/>
      <c r="I370" s="658">
        <v>81.8</v>
      </c>
      <c r="J370" s="695">
        <v>0.0</v>
      </c>
      <c r="K370" s="689">
        <f t="shared" si="95"/>
        <v>81.8</v>
      </c>
      <c r="L370" s="689">
        <f t="shared" si="96"/>
        <v>81.8</v>
      </c>
      <c r="M370" s="690">
        <f t="shared" si="97"/>
        <v>24.54</v>
      </c>
      <c r="N370" s="659">
        <f t="shared" si="74"/>
        <v>0.3</v>
      </c>
      <c r="O370" s="675">
        <f t="shared" si="98"/>
        <v>0.2307692308</v>
      </c>
      <c r="P370" s="807" t="s">
        <v>6564</v>
      </c>
      <c r="Q370" s="698"/>
      <c r="R370" s="1"/>
      <c r="S370" s="668"/>
      <c r="T370" s="669"/>
      <c r="U370" s="1"/>
      <c r="V370" s="1"/>
      <c r="W370" s="1"/>
      <c r="X370" s="1"/>
      <c r="Y370" s="1"/>
    </row>
    <row r="371" ht="12.75" customHeight="1">
      <c r="A371" s="641" t="s">
        <v>6565</v>
      </c>
      <c r="B371" s="798" t="s">
        <v>6566</v>
      </c>
      <c r="C371" s="643" t="s">
        <v>5636</v>
      </c>
      <c r="D371" s="644">
        <f>SUMIF('Orcamento RU Viora Build'!$A:$A,A371,'Orcamento RU Viora Build'!$F:$F)</f>
        <v>1</v>
      </c>
      <c r="E371" s="645">
        <f t="shared" si="72"/>
        <v>10.556</v>
      </c>
      <c r="F371" s="646">
        <f t="shared" si="73"/>
        <v>10.556</v>
      </c>
      <c r="G371" s="782"/>
      <c r="H371" s="666"/>
      <c r="I371" s="658">
        <v>8.12</v>
      </c>
      <c r="J371" s="695">
        <v>0.0</v>
      </c>
      <c r="K371" s="689">
        <f t="shared" si="95"/>
        <v>8.12</v>
      </c>
      <c r="L371" s="689">
        <f t="shared" si="96"/>
        <v>8.12</v>
      </c>
      <c r="M371" s="690">
        <f t="shared" si="97"/>
        <v>2.436</v>
      </c>
      <c r="N371" s="659">
        <f t="shared" si="74"/>
        <v>0.3</v>
      </c>
      <c r="O371" s="675">
        <f t="shared" si="98"/>
        <v>0.2307692308</v>
      </c>
      <c r="P371" s="808" t="s">
        <v>6567</v>
      </c>
      <c r="Q371" s="698"/>
      <c r="R371" s="1"/>
      <c r="S371" s="668"/>
      <c r="T371" s="669"/>
      <c r="U371" s="1"/>
      <c r="V371" s="1"/>
      <c r="W371" s="1"/>
      <c r="X371" s="1"/>
      <c r="Y371" s="1"/>
    </row>
    <row r="372" ht="12.75" customHeight="1">
      <c r="A372" s="641" t="s">
        <v>6568</v>
      </c>
      <c r="B372" s="798" t="s">
        <v>6569</v>
      </c>
      <c r="C372" s="643" t="s">
        <v>5636</v>
      </c>
      <c r="D372" s="644">
        <f>SUMIF('Orcamento RU Viora Build'!$A:$A,A372,'Orcamento RU Viora Build'!$F:$F)</f>
        <v>10</v>
      </c>
      <c r="E372" s="645">
        <f t="shared" si="72"/>
        <v>12.987</v>
      </c>
      <c r="F372" s="646">
        <f t="shared" si="73"/>
        <v>129.87</v>
      </c>
      <c r="G372" s="782"/>
      <c r="H372" s="666"/>
      <c r="I372" s="658">
        <v>9.99</v>
      </c>
      <c r="J372" s="695">
        <v>0.0</v>
      </c>
      <c r="K372" s="689">
        <f t="shared" si="95"/>
        <v>9.99</v>
      </c>
      <c r="L372" s="689">
        <f t="shared" si="96"/>
        <v>99.9</v>
      </c>
      <c r="M372" s="690">
        <f t="shared" si="97"/>
        <v>29.97</v>
      </c>
      <c r="N372" s="659">
        <f t="shared" si="74"/>
        <v>0.3</v>
      </c>
      <c r="O372" s="675">
        <f t="shared" si="98"/>
        <v>0.2307692308</v>
      </c>
      <c r="P372" s="808" t="s">
        <v>6570</v>
      </c>
      <c r="Q372" s="698"/>
      <c r="R372" s="1"/>
      <c r="S372" s="668"/>
      <c r="T372" s="669"/>
      <c r="U372" s="1"/>
      <c r="V372" s="1"/>
      <c r="W372" s="1"/>
      <c r="X372" s="1"/>
      <c r="Y372" s="1"/>
    </row>
    <row r="373" ht="12.75" customHeight="1">
      <c r="A373" s="641" t="s">
        <v>6571</v>
      </c>
      <c r="B373" s="798" t="s">
        <v>6572</v>
      </c>
      <c r="C373" s="643" t="s">
        <v>5636</v>
      </c>
      <c r="D373" s="644">
        <f>SUMIF('Orcamento RU Viora Build'!$A:$A,A373,'Orcamento RU Viora Build'!$F:$F)</f>
        <v>1</v>
      </c>
      <c r="E373" s="645">
        <f t="shared" si="72"/>
        <v>56.901</v>
      </c>
      <c r="F373" s="646">
        <f t="shared" si="73"/>
        <v>56.901</v>
      </c>
      <c r="G373" s="782"/>
      <c r="H373" s="666"/>
      <c r="I373" s="658">
        <v>43.77</v>
      </c>
      <c r="J373" s="695">
        <v>0.0</v>
      </c>
      <c r="K373" s="689">
        <f t="shared" si="95"/>
        <v>43.77</v>
      </c>
      <c r="L373" s="689">
        <f t="shared" si="96"/>
        <v>43.77</v>
      </c>
      <c r="M373" s="690">
        <f t="shared" si="97"/>
        <v>13.131</v>
      </c>
      <c r="N373" s="659">
        <f t="shared" si="74"/>
        <v>0.3</v>
      </c>
      <c r="O373" s="675">
        <f t="shared" si="98"/>
        <v>0.2307692308</v>
      </c>
      <c r="P373" s="808" t="s">
        <v>6573</v>
      </c>
      <c r="Q373" s="698"/>
      <c r="R373" s="1"/>
      <c r="S373" s="668"/>
      <c r="T373" s="669"/>
      <c r="U373" s="1"/>
      <c r="V373" s="1"/>
      <c r="W373" s="1"/>
      <c r="X373" s="1"/>
      <c r="Y373" s="1"/>
    </row>
    <row r="374" ht="12.75" customHeight="1">
      <c r="A374" s="641" t="s">
        <v>6574</v>
      </c>
      <c r="B374" s="798" t="s">
        <v>6575</v>
      </c>
      <c r="C374" s="643" t="s">
        <v>5636</v>
      </c>
      <c r="D374" s="644">
        <f>SUMIF('Orcamento RU Viora Build'!$A:$A,A374,'Orcamento RU Viora Build'!$F:$F)</f>
        <v>1</v>
      </c>
      <c r="E374" s="645">
        <f t="shared" si="72"/>
        <v>113.802</v>
      </c>
      <c r="F374" s="646">
        <f t="shared" si="73"/>
        <v>113.802</v>
      </c>
      <c r="G374" s="782"/>
      <c r="H374" s="666"/>
      <c r="I374" s="658">
        <v>87.54</v>
      </c>
      <c r="J374" s="695">
        <v>0.0</v>
      </c>
      <c r="K374" s="689">
        <f t="shared" si="95"/>
        <v>87.54</v>
      </c>
      <c r="L374" s="689">
        <f t="shared" si="96"/>
        <v>87.54</v>
      </c>
      <c r="M374" s="690">
        <f t="shared" si="97"/>
        <v>26.262</v>
      </c>
      <c r="N374" s="659">
        <f t="shared" si="74"/>
        <v>0.3</v>
      </c>
      <c r="O374" s="675">
        <f t="shared" si="98"/>
        <v>0.2307692308</v>
      </c>
      <c r="P374" s="808" t="s">
        <v>6576</v>
      </c>
      <c r="Q374" s="698"/>
      <c r="R374" s="1"/>
      <c r="S374" s="668"/>
      <c r="T374" s="669"/>
      <c r="U374" s="1"/>
      <c r="V374" s="1"/>
      <c r="W374" s="1"/>
      <c r="X374" s="1"/>
      <c r="Y374" s="1"/>
    </row>
    <row r="375" ht="12.75" customHeight="1">
      <c r="A375" s="641" t="s">
        <v>6577</v>
      </c>
      <c r="B375" s="798" t="s">
        <v>6578</v>
      </c>
      <c r="C375" s="643" t="s">
        <v>5636</v>
      </c>
      <c r="D375" s="644">
        <f>SUMIF('Orcamento RU Viora Build'!$A:$A,A375,'Orcamento RU Viora Build'!$F:$F)</f>
        <v>1</v>
      </c>
      <c r="E375" s="645">
        <f t="shared" si="72"/>
        <v>58.5</v>
      </c>
      <c r="F375" s="646">
        <f t="shared" si="73"/>
        <v>58.5</v>
      </c>
      <c r="G375" s="782"/>
      <c r="H375" s="666"/>
      <c r="I375" s="658">
        <v>45.0</v>
      </c>
      <c r="J375" s="695">
        <v>0.0</v>
      </c>
      <c r="K375" s="689">
        <f t="shared" si="95"/>
        <v>45</v>
      </c>
      <c r="L375" s="689">
        <f t="shared" si="96"/>
        <v>45</v>
      </c>
      <c r="M375" s="690">
        <f t="shared" si="97"/>
        <v>13.5</v>
      </c>
      <c r="N375" s="659">
        <f t="shared" si="74"/>
        <v>0.3</v>
      </c>
      <c r="O375" s="675">
        <f t="shared" si="98"/>
        <v>0.2307692308</v>
      </c>
      <c r="P375" s="808" t="s">
        <v>6579</v>
      </c>
      <c r="Q375" s="698"/>
      <c r="R375" s="1"/>
      <c r="S375" s="668"/>
      <c r="T375" s="669"/>
      <c r="U375" s="1"/>
      <c r="V375" s="1"/>
      <c r="W375" s="1"/>
      <c r="X375" s="1"/>
      <c r="Y375" s="1"/>
    </row>
    <row r="376" ht="12.75" customHeight="1">
      <c r="A376" s="641" t="s">
        <v>6580</v>
      </c>
      <c r="B376" s="798" t="s">
        <v>6581</v>
      </c>
      <c r="C376" s="643" t="s">
        <v>5636</v>
      </c>
      <c r="D376" s="644">
        <f>SUMIF('Orcamento RU Viora Build'!$A:$A,A376,'Orcamento RU Viora Build'!$F:$F)</f>
        <v>3</v>
      </c>
      <c r="E376" s="645">
        <f t="shared" si="72"/>
        <v>143</v>
      </c>
      <c r="F376" s="646">
        <f t="shared" si="73"/>
        <v>429</v>
      </c>
      <c r="G376" s="782"/>
      <c r="H376" s="666"/>
      <c r="I376" s="774">
        <v>110.0</v>
      </c>
      <c r="J376" s="678">
        <v>0.0</v>
      </c>
      <c r="K376" s="801">
        <f t="shared" si="95"/>
        <v>110</v>
      </c>
      <c r="L376" s="801">
        <f t="shared" si="96"/>
        <v>330</v>
      </c>
      <c r="M376" s="802">
        <f t="shared" si="97"/>
        <v>99</v>
      </c>
      <c r="N376" s="659">
        <f t="shared" si="74"/>
        <v>0.3</v>
      </c>
      <c r="O376" s="744">
        <f t="shared" si="98"/>
        <v>0.2307692308</v>
      </c>
      <c r="P376" s="811"/>
      <c r="Q376" s="768" t="s">
        <v>6582</v>
      </c>
      <c r="R376" s="1"/>
      <c r="S376" s="685"/>
      <c r="T376" s="686"/>
      <c r="U376" s="1"/>
      <c r="V376" s="1"/>
      <c r="W376" s="1"/>
      <c r="X376" s="1"/>
      <c r="Y376" s="1"/>
    </row>
    <row r="377" ht="12.75" customHeight="1">
      <c r="A377" s="641" t="s">
        <v>6583</v>
      </c>
      <c r="B377" s="798" t="s">
        <v>6584</v>
      </c>
      <c r="C377" s="643" t="s">
        <v>5636</v>
      </c>
      <c r="D377" s="644">
        <f>SUMIF('Orcamento RU Viora Build'!$A:$A,A377,'Orcamento RU Viora Build'!$F:$F)</f>
        <v>6</v>
      </c>
      <c r="E377" s="645">
        <f t="shared" si="72"/>
        <v>162.5</v>
      </c>
      <c r="F377" s="646">
        <f t="shared" si="73"/>
        <v>975</v>
      </c>
      <c r="G377" s="782"/>
      <c r="H377" s="666"/>
      <c r="I377" s="774">
        <v>125.0</v>
      </c>
      <c r="J377" s="678">
        <v>0.0</v>
      </c>
      <c r="K377" s="801">
        <f t="shared" si="95"/>
        <v>125</v>
      </c>
      <c r="L377" s="801">
        <f t="shared" si="96"/>
        <v>750</v>
      </c>
      <c r="M377" s="802">
        <f t="shared" si="97"/>
        <v>225</v>
      </c>
      <c r="N377" s="659">
        <f t="shared" si="74"/>
        <v>0.3</v>
      </c>
      <c r="O377" s="744">
        <f t="shared" si="98"/>
        <v>0.2307692308</v>
      </c>
      <c r="P377" s="811"/>
      <c r="Q377" s="768" t="s">
        <v>6582</v>
      </c>
      <c r="R377" s="1"/>
      <c r="S377" s="685"/>
      <c r="T377" s="686"/>
      <c r="U377" s="1"/>
      <c r="V377" s="1"/>
      <c r="W377" s="1"/>
      <c r="X377" s="1"/>
      <c r="Y377" s="1"/>
    </row>
    <row r="378" ht="12.75" customHeight="1">
      <c r="A378" s="641" t="s">
        <v>6585</v>
      </c>
      <c r="B378" s="798" t="s">
        <v>6586</v>
      </c>
      <c r="C378" s="643" t="s">
        <v>5636</v>
      </c>
      <c r="D378" s="644">
        <f>SUMIF('Orcamento RU Viora Build'!$A:$A,A378,'Orcamento RU Viora Build'!$F:$F)</f>
        <v>2</v>
      </c>
      <c r="E378" s="645">
        <f t="shared" si="72"/>
        <v>33.904</v>
      </c>
      <c r="F378" s="646">
        <f t="shared" si="73"/>
        <v>67.808</v>
      </c>
      <c r="G378" s="782"/>
      <c r="H378" s="666"/>
      <c r="I378" s="658">
        <v>26.08</v>
      </c>
      <c r="J378" s="695">
        <v>0.0</v>
      </c>
      <c r="K378" s="689">
        <f t="shared" si="95"/>
        <v>26.08</v>
      </c>
      <c r="L378" s="689">
        <f t="shared" si="96"/>
        <v>52.16</v>
      </c>
      <c r="M378" s="690">
        <f t="shared" si="97"/>
        <v>15.648</v>
      </c>
      <c r="N378" s="659">
        <f t="shared" si="74"/>
        <v>0.3</v>
      </c>
      <c r="O378" s="675">
        <f t="shared" si="98"/>
        <v>0.2307692308</v>
      </c>
      <c r="P378" s="808" t="s">
        <v>6587</v>
      </c>
      <c r="Q378" s="698"/>
      <c r="R378" s="1"/>
      <c r="S378" s="668"/>
      <c r="T378" s="669"/>
      <c r="U378" s="1"/>
      <c r="V378" s="1"/>
      <c r="W378" s="1"/>
      <c r="X378" s="1"/>
      <c r="Y378" s="1"/>
    </row>
    <row r="379" ht="12.75" customHeight="1">
      <c r="A379" s="641" t="s">
        <v>6588</v>
      </c>
      <c r="B379" s="798" t="s">
        <v>6589</v>
      </c>
      <c r="C379" s="643" t="s">
        <v>5636</v>
      </c>
      <c r="D379" s="644">
        <f>SUMIF('Orcamento RU Viora Build'!$A:$A,A379,'Orcamento RU Viora Build'!$F:$F)</f>
        <v>2</v>
      </c>
      <c r="E379" s="645">
        <f t="shared" si="72"/>
        <v>48.1</v>
      </c>
      <c r="F379" s="646">
        <f t="shared" si="73"/>
        <v>96.2</v>
      </c>
      <c r="G379" s="782"/>
      <c r="H379" s="666"/>
      <c r="I379" s="658">
        <v>37.0</v>
      </c>
      <c r="J379" s="695">
        <v>0.0</v>
      </c>
      <c r="K379" s="689">
        <f t="shared" si="95"/>
        <v>37</v>
      </c>
      <c r="L379" s="689">
        <f t="shared" si="96"/>
        <v>74</v>
      </c>
      <c r="M379" s="690">
        <f t="shared" si="97"/>
        <v>22.2</v>
      </c>
      <c r="N379" s="659">
        <f t="shared" si="74"/>
        <v>0.3</v>
      </c>
      <c r="O379" s="675">
        <f t="shared" si="98"/>
        <v>0.2307692308</v>
      </c>
      <c r="P379" s="808" t="s">
        <v>6590</v>
      </c>
      <c r="Q379" s="698"/>
      <c r="R379" s="1"/>
      <c r="S379" s="668"/>
      <c r="T379" s="669"/>
      <c r="U379" s="1"/>
      <c r="V379" s="1"/>
      <c r="W379" s="1"/>
      <c r="X379" s="1"/>
      <c r="Y379" s="1"/>
    </row>
    <row r="380" ht="12.75" customHeight="1">
      <c r="A380" s="641" t="s">
        <v>6591</v>
      </c>
      <c r="B380" s="798" t="s">
        <v>6592</v>
      </c>
      <c r="C380" s="643" t="s">
        <v>5636</v>
      </c>
      <c r="D380" s="644">
        <f>SUMIF('Orcamento RU Viora Build'!$A:$A,A380,'Orcamento RU Viora Build'!$F:$F)</f>
        <v>1</v>
      </c>
      <c r="E380" s="645">
        <f t="shared" si="72"/>
        <v>103.194</v>
      </c>
      <c r="F380" s="646">
        <f t="shared" si="73"/>
        <v>103.194</v>
      </c>
      <c r="G380" s="782"/>
      <c r="H380" s="666"/>
      <c r="I380" s="658">
        <v>79.38</v>
      </c>
      <c r="J380" s="695">
        <v>0.0</v>
      </c>
      <c r="K380" s="689">
        <f t="shared" si="95"/>
        <v>79.38</v>
      </c>
      <c r="L380" s="689">
        <f t="shared" si="96"/>
        <v>79.38</v>
      </c>
      <c r="M380" s="690">
        <f t="shared" si="97"/>
        <v>23.814</v>
      </c>
      <c r="N380" s="659">
        <f t="shared" si="74"/>
        <v>0.3</v>
      </c>
      <c r="O380" s="675">
        <f t="shared" si="98"/>
        <v>0.2307692308</v>
      </c>
      <c r="P380" s="808" t="s">
        <v>6593</v>
      </c>
      <c r="Q380" s="698"/>
      <c r="R380" s="1"/>
      <c r="S380" s="668"/>
      <c r="T380" s="669"/>
      <c r="U380" s="1"/>
      <c r="V380" s="1"/>
      <c r="W380" s="1"/>
      <c r="X380" s="1"/>
      <c r="Y380" s="1"/>
    </row>
    <row r="381" ht="12.75" customHeight="1">
      <c r="A381" s="641" t="s">
        <v>6594</v>
      </c>
      <c r="B381" s="798" t="s">
        <v>6595</v>
      </c>
      <c r="C381" s="643" t="s">
        <v>5636</v>
      </c>
      <c r="D381" s="644">
        <f>SUMIF('Orcamento RU Viora Build'!$A:$A,A381,'Orcamento RU Viora Build'!$F:$F)</f>
        <v>1</v>
      </c>
      <c r="E381" s="645">
        <f t="shared" si="72"/>
        <v>10.595</v>
      </c>
      <c r="F381" s="646">
        <f t="shared" si="73"/>
        <v>10.595</v>
      </c>
      <c r="G381" s="782"/>
      <c r="H381" s="666"/>
      <c r="I381" s="658">
        <v>8.15</v>
      </c>
      <c r="J381" s="695">
        <v>0.0</v>
      </c>
      <c r="K381" s="689">
        <f t="shared" si="95"/>
        <v>8.15</v>
      </c>
      <c r="L381" s="689">
        <f t="shared" si="96"/>
        <v>8.15</v>
      </c>
      <c r="M381" s="690">
        <f t="shared" si="97"/>
        <v>2.445</v>
      </c>
      <c r="N381" s="659">
        <f t="shared" si="74"/>
        <v>0.3</v>
      </c>
      <c r="O381" s="675">
        <f t="shared" si="98"/>
        <v>0.2307692308</v>
      </c>
      <c r="P381" s="808" t="s">
        <v>6596</v>
      </c>
      <c r="Q381" s="698"/>
      <c r="R381" s="1"/>
      <c r="S381" s="668"/>
      <c r="T381" s="669"/>
      <c r="U381" s="1"/>
      <c r="V381" s="1"/>
      <c r="W381" s="1"/>
      <c r="X381" s="1"/>
      <c r="Y381" s="1"/>
    </row>
    <row r="382" ht="12.75" customHeight="1">
      <c r="A382" s="641" t="s">
        <v>6597</v>
      </c>
      <c r="B382" s="798" t="s">
        <v>6598</v>
      </c>
      <c r="C382" s="643" t="s">
        <v>5636</v>
      </c>
      <c r="D382" s="644">
        <f>SUMIF('Orcamento RU Viora Build'!$A:$A,A382,'Orcamento RU Viora Build'!$F:$F)</f>
        <v>3</v>
      </c>
      <c r="E382" s="645">
        <f t="shared" si="72"/>
        <v>45.708</v>
      </c>
      <c r="F382" s="646">
        <f t="shared" si="73"/>
        <v>137.124</v>
      </c>
      <c r="G382" s="782"/>
      <c r="H382" s="666"/>
      <c r="I382" s="658">
        <v>35.16</v>
      </c>
      <c r="J382" s="695">
        <v>0.0</v>
      </c>
      <c r="K382" s="689">
        <f t="shared" si="95"/>
        <v>35.16</v>
      </c>
      <c r="L382" s="689">
        <f t="shared" si="96"/>
        <v>105.48</v>
      </c>
      <c r="M382" s="690">
        <f t="shared" si="97"/>
        <v>31.644</v>
      </c>
      <c r="N382" s="659">
        <f t="shared" si="74"/>
        <v>0.3</v>
      </c>
      <c r="O382" s="675">
        <f t="shared" si="98"/>
        <v>0.2307692308</v>
      </c>
      <c r="P382" s="808" t="s">
        <v>6599</v>
      </c>
      <c r="Q382" s="698"/>
      <c r="R382" s="1"/>
      <c r="S382" s="668"/>
      <c r="T382" s="669"/>
      <c r="U382" s="1"/>
      <c r="V382" s="1"/>
      <c r="W382" s="1"/>
      <c r="X382" s="1"/>
      <c r="Y382" s="1"/>
    </row>
    <row r="383" ht="12.75" customHeight="1">
      <c r="A383" s="641" t="s">
        <v>6600</v>
      </c>
      <c r="B383" s="798" t="s">
        <v>6601</v>
      </c>
      <c r="C383" s="643" t="s">
        <v>5636</v>
      </c>
      <c r="D383" s="644">
        <f>SUMIF('Orcamento RU Viora Build'!$A:$A,A383,'Orcamento RU Viora Build'!$F:$F)</f>
        <v>1</v>
      </c>
      <c r="E383" s="645">
        <f t="shared" si="72"/>
        <v>19.487</v>
      </c>
      <c r="F383" s="646">
        <f t="shared" si="73"/>
        <v>19.487</v>
      </c>
      <c r="G383" s="782"/>
      <c r="H383" s="666"/>
      <c r="I383" s="658">
        <v>14.99</v>
      </c>
      <c r="J383" s="695">
        <v>0.0</v>
      </c>
      <c r="K383" s="689">
        <f t="shared" si="95"/>
        <v>14.99</v>
      </c>
      <c r="L383" s="689">
        <f t="shared" si="96"/>
        <v>14.99</v>
      </c>
      <c r="M383" s="690">
        <f t="shared" si="97"/>
        <v>4.497</v>
      </c>
      <c r="N383" s="659">
        <f t="shared" si="74"/>
        <v>0.3</v>
      </c>
      <c r="O383" s="675">
        <f t="shared" si="98"/>
        <v>0.2307692308</v>
      </c>
      <c r="P383" s="808" t="s">
        <v>6602</v>
      </c>
      <c r="Q383" s="698"/>
      <c r="R383" s="1"/>
      <c r="S383" s="699"/>
      <c r="T383" s="700"/>
      <c r="U383" s="1"/>
      <c r="V383" s="1"/>
      <c r="W383" s="1"/>
      <c r="X383" s="1"/>
      <c r="Y383" s="1"/>
    </row>
    <row r="384" ht="12.75" customHeight="1">
      <c r="A384" s="701" t="s">
        <v>6603</v>
      </c>
      <c r="B384" s="793"/>
      <c r="C384" s="390"/>
      <c r="D384" s="390"/>
      <c r="E384" s="390"/>
      <c r="F384" s="388"/>
      <c r="G384" s="782"/>
      <c r="H384" s="666"/>
      <c r="I384" s="635"/>
      <c r="J384" s="390"/>
      <c r="K384" s="390"/>
      <c r="L384" s="390"/>
      <c r="M384" s="390"/>
      <c r="N384" s="390"/>
      <c r="O384" s="390"/>
      <c r="P384" s="390"/>
      <c r="Q384" s="388"/>
      <c r="R384" s="1"/>
      <c r="S384" s="812"/>
      <c r="T384" s="797"/>
      <c r="U384" s="1"/>
      <c r="V384" s="1"/>
      <c r="W384" s="1"/>
      <c r="X384" s="1"/>
      <c r="Y384" s="1"/>
    </row>
    <row r="385" ht="12.75" customHeight="1">
      <c r="A385" s="641" t="s">
        <v>6604</v>
      </c>
      <c r="B385" s="798" t="s">
        <v>6605</v>
      </c>
      <c r="C385" s="643" t="s">
        <v>5636</v>
      </c>
      <c r="D385" s="644">
        <f>SUMIF('Orcamento RU Viora Build'!$A:$A,A385,'Orcamento RU Viora Build'!$F:$F)</f>
        <v>1</v>
      </c>
      <c r="E385" s="645">
        <f t="shared" ref="E385:E460" si="99">K385+(K385*N385)</f>
        <v>15.509</v>
      </c>
      <c r="F385" s="646">
        <f t="shared" ref="F385:F460" si="100">D385*E385</f>
        <v>15.509</v>
      </c>
      <c r="G385" s="782"/>
      <c r="H385" s="666"/>
      <c r="I385" s="658">
        <v>11.93</v>
      </c>
      <c r="J385" s="695">
        <v>0.0</v>
      </c>
      <c r="K385" s="689">
        <f t="shared" ref="K385:K445" si="101">I385-I385*J385</f>
        <v>11.93</v>
      </c>
      <c r="L385" s="689">
        <f t="shared" ref="L385:L445" si="102">K385*D385</f>
        <v>11.93</v>
      </c>
      <c r="M385" s="690">
        <f t="shared" ref="M385:M445" si="103">F385-L385</f>
        <v>3.579</v>
      </c>
      <c r="N385" s="659">
        <f t="shared" ref="N385:N460" si="104">$N$2</f>
        <v>0.3</v>
      </c>
      <c r="O385" s="675">
        <f t="shared" ref="O385:O445" si="105">M385/F385</f>
        <v>0.2307692308</v>
      </c>
      <c r="P385" s="808" t="s">
        <v>6606</v>
      </c>
      <c r="Q385" s="698"/>
      <c r="R385" s="1"/>
      <c r="S385" s="713"/>
      <c r="T385" s="714"/>
      <c r="U385" s="1"/>
      <c r="V385" s="1"/>
      <c r="W385" s="1"/>
      <c r="X385" s="1"/>
      <c r="Y385" s="1"/>
    </row>
    <row r="386" ht="12.75" customHeight="1">
      <c r="A386" s="641" t="s">
        <v>6607</v>
      </c>
      <c r="B386" s="798" t="s">
        <v>6608</v>
      </c>
      <c r="C386" s="643" t="s">
        <v>5636</v>
      </c>
      <c r="D386" s="644">
        <f>SUMIF('Orcamento RU Viora Build'!$A:$A,A386,'Orcamento RU Viora Build'!$F:$F)</f>
        <v>1</v>
      </c>
      <c r="E386" s="645">
        <f t="shared" si="99"/>
        <v>80.002</v>
      </c>
      <c r="F386" s="646">
        <f t="shared" si="100"/>
        <v>80.002</v>
      </c>
      <c r="G386" s="782"/>
      <c r="H386" s="666"/>
      <c r="I386" s="658">
        <v>61.54</v>
      </c>
      <c r="J386" s="695">
        <v>0.0</v>
      </c>
      <c r="K386" s="689">
        <f t="shared" si="101"/>
        <v>61.54</v>
      </c>
      <c r="L386" s="689">
        <f t="shared" si="102"/>
        <v>61.54</v>
      </c>
      <c r="M386" s="690">
        <f t="shared" si="103"/>
        <v>18.462</v>
      </c>
      <c r="N386" s="659">
        <f t="shared" si="104"/>
        <v>0.3</v>
      </c>
      <c r="O386" s="675">
        <f t="shared" si="105"/>
        <v>0.2307692308</v>
      </c>
      <c r="P386" s="808" t="s">
        <v>6609</v>
      </c>
      <c r="Q386" s="698"/>
      <c r="R386" s="1"/>
      <c r="S386" s="668"/>
      <c r="T386" s="669"/>
      <c r="U386" s="1"/>
      <c r="V386" s="1"/>
      <c r="W386" s="1"/>
      <c r="X386" s="1"/>
      <c r="Y386" s="1"/>
    </row>
    <row r="387" ht="12.75" customHeight="1">
      <c r="A387" s="641" t="s">
        <v>6610</v>
      </c>
      <c r="B387" s="798" t="s">
        <v>1274</v>
      </c>
      <c r="C387" s="643" t="s">
        <v>5636</v>
      </c>
      <c r="D387" s="644">
        <f>SUMIF('Orcamento RU Viora Build'!$A:$A,A387,'Orcamento RU Viora Build'!$F:$F)</f>
        <v>1</v>
      </c>
      <c r="E387" s="645">
        <f t="shared" si="99"/>
        <v>193.7</v>
      </c>
      <c r="F387" s="646">
        <f t="shared" si="100"/>
        <v>193.7</v>
      </c>
      <c r="G387" s="782"/>
      <c r="H387" s="666"/>
      <c r="I387" s="658">
        <v>149.0</v>
      </c>
      <c r="J387" s="695">
        <v>0.0</v>
      </c>
      <c r="K387" s="689">
        <f t="shared" si="101"/>
        <v>149</v>
      </c>
      <c r="L387" s="689">
        <f t="shared" si="102"/>
        <v>149</v>
      </c>
      <c r="M387" s="690">
        <f t="shared" si="103"/>
        <v>44.7</v>
      </c>
      <c r="N387" s="659">
        <f t="shared" si="104"/>
        <v>0.3</v>
      </c>
      <c r="O387" s="675">
        <f t="shared" si="105"/>
        <v>0.2307692308</v>
      </c>
      <c r="P387" s="808" t="s">
        <v>6611</v>
      </c>
      <c r="Q387" s="698"/>
      <c r="R387" s="1"/>
      <c r="S387" s="668"/>
      <c r="T387" s="669"/>
      <c r="U387" s="1"/>
      <c r="V387" s="1"/>
      <c r="W387" s="1"/>
      <c r="X387" s="1"/>
      <c r="Y387" s="1"/>
    </row>
    <row r="388" ht="12.75" customHeight="1">
      <c r="A388" s="641" t="s">
        <v>6612</v>
      </c>
      <c r="B388" s="798" t="s">
        <v>1275</v>
      </c>
      <c r="C388" s="643" t="s">
        <v>5636</v>
      </c>
      <c r="D388" s="644">
        <f>SUMIF('Orcamento RU Viora Build'!$A:$A,A388,'Orcamento RU Viora Build'!$F:$F)</f>
        <v>1</v>
      </c>
      <c r="E388" s="645">
        <f t="shared" si="99"/>
        <v>94.9</v>
      </c>
      <c r="F388" s="646">
        <f t="shared" si="100"/>
        <v>94.9</v>
      </c>
      <c r="G388" s="782"/>
      <c r="H388" s="666"/>
      <c r="I388" s="658">
        <v>73.0</v>
      </c>
      <c r="J388" s="695">
        <v>0.0</v>
      </c>
      <c r="K388" s="689">
        <f t="shared" si="101"/>
        <v>73</v>
      </c>
      <c r="L388" s="689">
        <f t="shared" si="102"/>
        <v>73</v>
      </c>
      <c r="M388" s="690">
        <f t="shared" si="103"/>
        <v>21.9</v>
      </c>
      <c r="N388" s="659">
        <f t="shared" si="104"/>
        <v>0.3</v>
      </c>
      <c r="O388" s="675">
        <f t="shared" si="105"/>
        <v>0.2307692308</v>
      </c>
      <c r="P388" s="808" t="s">
        <v>6613</v>
      </c>
      <c r="Q388" s="698"/>
      <c r="R388" s="1"/>
      <c r="S388" s="668"/>
      <c r="T388" s="669"/>
      <c r="U388" s="1"/>
      <c r="V388" s="1"/>
      <c r="W388" s="1"/>
      <c r="X388" s="1"/>
      <c r="Y388" s="1"/>
    </row>
    <row r="389" ht="12.75" customHeight="1">
      <c r="A389" s="641" t="s">
        <v>6614</v>
      </c>
      <c r="B389" s="798" t="s">
        <v>1276</v>
      </c>
      <c r="C389" s="643" t="s">
        <v>5636</v>
      </c>
      <c r="D389" s="644">
        <f>SUMIF('Orcamento RU Viora Build'!$A:$A,A389,'Orcamento RU Viora Build'!$F:$F)</f>
        <v>1</v>
      </c>
      <c r="E389" s="645">
        <f t="shared" si="99"/>
        <v>39.741</v>
      </c>
      <c r="F389" s="646">
        <f t="shared" si="100"/>
        <v>39.741</v>
      </c>
      <c r="G389" s="782"/>
      <c r="H389" s="666"/>
      <c r="I389" s="658">
        <v>30.57</v>
      </c>
      <c r="J389" s="695">
        <v>0.0</v>
      </c>
      <c r="K389" s="689">
        <f t="shared" si="101"/>
        <v>30.57</v>
      </c>
      <c r="L389" s="689">
        <f t="shared" si="102"/>
        <v>30.57</v>
      </c>
      <c r="M389" s="690">
        <f t="shared" si="103"/>
        <v>9.171</v>
      </c>
      <c r="N389" s="659">
        <f t="shared" si="104"/>
        <v>0.3</v>
      </c>
      <c r="O389" s="675">
        <f t="shared" si="105"/>
        <v>0.2307692308</v>
      </c>
      <c r="P389" s="808" t="s">
        <v>6615</v>
      </c>
      <c r="Q389" s="698"/>
      <c r="R389" s="1"/>
      <c r="S389" s="668"/>
      <c r="T389" s="669"/>
      <c r="U389" s="1"/>
      <c r="V389" s="1"/>
      <c r="W389" s="1"/>
      <c r="X389" s="1"/>
      <c r="Y389" s="1"/>
    </row>
    <row r="390" ht="12.75" customHeight="1">
      <c r="A390" s="641" t="s">
        <v>6616</v>
      </c>
      <c r="B390" s="798" t="s">
        <v>1277</v>
      </c>
      <c r="C390" s="643" t="s">
        <v>5636</v>
      </c>
      <c r="D390" s="644">
        <f>SUMIF('Orcamento RU Viora Build'!$A:$A,A390,'Orcamento RU Viora Build'!$F:$F)</f>
        <v>1</v>
      </c>
      <c r="E390" s="645">
        <f t="shared" si="99"/>
        <v>85.8</v>
      </c>
      <c r="F390" s="646">
        <f t="shared" si="100"/>
        <v>85.8</v>
      </c>
      <c r="G390" s="782"/>
      <c r="H390" s="666"/>
      <c r="I390" s="658">
        <v>66.0</v>
      </c>
      <c r="J390" s="695">
        <v>0.0</v>
      </c>
      <c r="K390" s="689">
        <f t="shared" si="101"/>
        <v>66</v>
      </c>
      <c r="L390" s="689">
        <f t="shared" si="102"/>
        <v>66</v>
      </c>
      <c r="M390" s="690">
        <f t="shared" si="103"/>
        <v>19.8</v>
      </c>
      <c r="N390" s="659">
        <f t="shared" si="104"/>
        <v>0.3</v>
      </c>
      <c r="O390" s="675">
        <f t="shared" si="105"/>
        <v>0.2307692308</v>
      </c>
      <c r="P390" s="810" t="s">
        <v>6617</v>
      </c>
      <c r="Q390" s="698"/>
      <c r="R390" s="1"/>
      <c r="S390" s="668"/>
      <c r="T390" s="669"/>
      <c r="U390" s="1"/>
      <c r="V390" s="1"/>
      <c r="W390" s="1"/>
      <c r="X390" s="1"/>
      <c r="Y390" s="1"/>
    </row>
    <row r="391" ht="12.75" customHeight="1">
      <c r="A391" s="641" t="s">
        <v>6618</v>
      </c>
      <c r="B391" s="798" t="s">
        <v>1278</v>
      </c>
      <c r="C391" s="643" t="s">
        <v>5636</v>
      </c>
      <c r="D391" s="644">
        <f>SUMIF('Orcamento RU Viora Build'!$A:$A,A391,'Orcamento RU Viora Build'!$F:$F)</f>
        <v>1</v>
      </c>
      <c r="E391" s="645">
        <f t="shared" si="99"/>
        <v>48.633</v>
      </c>
      <c r="F391" s="646">
        <f t="shared" si="100"/>
        <v>48.633</v>
      </c>
      <c r="G391" s="782"/>
      <c r="H391" s="666"/>
      <c r="I391" s="658">
        <v>37.41</v>
      </c>
      <c r="J391" s="695">
        <v>0.0</v>
      </c>
      <c r="K391" s="689">
        <f t="shared" si="101"/>
        <v>37.41</v>
      </c>
      <c r="L391" s="689">
        <f t="shared" si="102"/>
        <v>37.41</v>
      </c>
      <c r="M391" s="690">
        <f t="shared" si="103"/>
        <v>11.223</v>
      </c>
      <c r="N391" s="659">
        <f t="shared" si="104"/>
        <v>0.3</v>
      </c>
      <c r="O391" s="675">
        <f t="shared" si="105"/>
        <v>0.2307692308</v>
      </c>
      <c r="P391" s="808" t="s">
        <v>6619</v>
      </c>
      <c r="Q391" s="698"/>
      <c r="R391" s="1"/>
      <c r="S391" s="668"/>
      <c r="T391" s="669"/>
      <c r="U391" s="1"/>
      <c r="V391" s="1"/>
      <c r="W391" s="1"/>
      <c r="X391" s="1"/>
      <c r="Y391" s="1"/>
    </row>
    <row r="392" ht="12.75" customHeight="1">
      <c r="A392" s="641" t="s">
        <v>6620</v>
      </c>
      <c r="B392" s="798" t="s">
        <v>1279</v>
      </c>
      <c r="C392" s="643" t="s">
        <v>5636</v>
      </c>
      <c r="D392" s="644">
        <f>SUMIF('Orcamento RU Viora Build'!$A:$A,A392,'Orcamento RU Viora Build'!$F:$F)</f>
        <v>1</v>
      </c>
      <c r="E392" s="645">
        <f t="shared" si="99"/>
        <v>48.633</v>
      </c>
      <c r="F392" s="646">
        <f t="shared" si="100"/>
        <v>48.633</v>
      </c>
      <c r="G392" s="782"/>
      <c r="H392" s="666"/>
      <c r="I392" s="658">
        <v>37.41</v>
      </c>
      <c r="J392" s="695">
        <v>0.0</v>
      </c>
      <c r="K392" s="689">
        <f t="shared" si="101"/>
        <v>37.41</v>
      </c>
      <c r="L392" s="689">
        <f t="shared" si="102"/>
        <v>37.41</v>
      </c>
      <c r="M392" s="690">
        <f t="shared" si="103"/>
        <v>11.223</v>
      </c>
      <c r="N392" s="659">
        <f t="shared" si="104"/>
        <v>0.3</v>
      </c>
      <c r="O392" s="675">
        <f t="shared" si="105"/>
        <v>0.2307692308</v>
      </c>
      <c r="P392" s="807" t="s">
        <v>6621</v>
      </c>
      <c r="Q392" s="698"/>
      <c r="R392" s="1"/>
      <c r="S392" s="668"/>
      <c r="T392" s="669"/>
      <c r="U392" s="1"/>
      <c r="V392" s="1"/>
      <c r="W392" s="1"/>
      <c r="X392" s="1"/>
      <c r="Y392" s="1"/>
    </row>
    <row r="393" ht="12.75" customHeight="1">
      <c r="A393" s="641" t="s">
        <v>6622</v>
      </c>
      <c r="B393" s="798" t="s">
        <v>6623</v>
      </c>
      <c r="C393" s="643" t="s">
        <v>5631</v>
      </c>
      <c r="D393" s="644">
        <f>SUMIF('Orcamento RU Viora Build'!$A:$A,A393,'Orcamento RU Viora Build'!$F:$F)</f>
        <v>34</v>
      </c>
      <c r="E393" s="645">
        <f t="shared" si="99"/>
        <v>0.897</v>
      </c>
      <c r="F393" s="646">
        <f t="shared" si="100"/>
        <v>30.498</v>
      </c>
      <c r="G393" s="782"/>
      <c r="H393" s="666"/>
      <c r="I393" s="658">
        <v>0.69</v>
      </c>
      <c r="J393" s="695">
        <v>0.0</v>
      </c>
      <c r="K393" s="689">
        <f t="shared" si="101"/>
        <v>0.69</v>
      </c>
      <c r="L393" s="689">
        <f t="shared" si="102"/>
        <v>23.46</v>
      </c>
      <c r="M393" s="690">
        <f t="shared" si="103"/>
        <v>7.038</v>
      </c>
      <c r="N393" s="659">
        <f t="shared" si="104"/>
        <v>0.3</v>
      </c>
      <c r="O393" s="675">
        <f t="shared" si="105"/>
        <v>0.2307692308</v>
      </c>
      <c r="P393" s="810" t="s">
        <v>6624</v>
      </c>
      <c r="Q393" s="698"/>
      <c r="R393" s="1"/>
      <c r="S393" s="668"/>
      <c r="T393" s="669"/>
      <c r="U393" s="1"/>
      <c r="V393" s="1"/>
      <c r="W393" s="1"/>
      <c r="X393" s="1"/>
      <c r="Y393" s="1"/>
    </row>
    <row r="394" ht="12.75" customHeight="1">
      <c r="A394" s="641" t="s">
        <v>6625</v>
      </c>
      <c r="B394" s="798" t="s">
        <v>6626</v>
      </c>
      <c r="C394" s="643" t="s">
        <v>5631</v>
      </c>
      <c r="D394" s="644">
        <f>SUMIF('Orcamento RU Viora Build'!$A:$A,A394,'Orcamento RU Viora Build'!$F:$F)</f>
        <v>12</v>
      </c>
      <c r="E394" s="645">
        <f t="shared" si="99"/>
        <v>1.261</v>
      </c>
      <c r="F394" s="646">
        <f t="shared" si="100"/>
        <v>15.132</v>
      </c>
      <c r="G394" s="782"/>
      <c r="H394" s="666"/>
      <c r="I394" s="658">
        <v>0.97</v>
      </c>
      <c r="J394" s="695">
        <v>0.0</v>
      </c>
      <c r="K394" s="689">
        <f t="shared" si="101"/>
        <v>0.97</v>
      </c>
      <c r="L394" s="689">
        <f t="shared" si="102"/>
        <v>11.64</v>
      </c>
      <c r="M394" s="690">
        <f t="shared" si="103"/>
        <v>3.492</v>
      </c>
      <c r="N394" s="659">
        <f t="shared" si="104"/>
        <v>0.3</v>
      </c>
      <c r="O394" s="675">
        <f t="shared" si="105"/>
        <v>0.2307692308</v>
      </c>
      <c r="P394" s="810" t="s">
        <v>6278</v>
      </c>
      <c r="Q394" s="698"/>
      <c r="R394" s="1"/>
      <c r="S394" s="668"/>
      <c r="T394" s="669"/>
      <c r="U394" s="1"/>
      <c r="V394" s="1"/>
      <c r="W394" s="1"/>
      <c r="X394" s="1"/>
      <c r="Y394" s="1"/>
    </row>
    <row r="395" ht="12.75" customHeight="1">
      <c r="A395" s="641" t="s">
        <v>6627</v>
      </c>
      <c r="B395" s="798" t="s">
        <v>6628</v>
      </c>
      <c r="C395" s="643" t="s">
        <v>5631</v>
      </c>
      <c r="D395" s="644">
        <f>SUMIF('Orcamento RU Viora Build'!$A:$A,A395,'Orcamento RU Viora Build'!$F:$F)</f>
        <v>33</v>
      </c>
      <c r="E395" s="645">
        <f t="shared" si="99"/>
        <v>0.975</v>
      </c>
      <c r="F395" s="646">
        <f t="shared" si="100"/>
        <v>32.175</v>
      </c>
      <c r="G395" s="782"/>
      <c r="H395" s="666"/>
      <c r="I395" s="658">
        <v>0.75</v>
      </c>
      <c r="J395" s="695">
        <v>0.0</v>
      </c>
      <c r="K395" s="689">
        <f t="shared" si="101"/>
        <v>0.75</v>
      </c>
      <c r="L395" s="689">
        <f t="shared" si="102"/>
        <v>24.75</v>
      </c>
      <c r="M395" s="690">
        <f t="shared" si="103"/>
        <v>7.425</v>
      </c>
      <c r="N395" s="659">
        <f t="shared" si="104"/>
        <v>0.3</v>
      </c>
      <c r="O395" s="675">
        <f t="shared" si="105"/>
        <v>0.2307692308</v>
      </c>
      <c r="P395" s="810" t="s">
        <v>6629</v>
      </c>
      <c r="Q395" s="698"/>
      <c r="R395" s="1"/>
      <c r="S395" s="668"/>
      <c r="T395" s="669"/>
      <c r="U395" s="1"/>
      <c r="V395" s="1"/>
      <c r="W395" s="1"/>
      <c r="X395" s="1"/>
      <c r="Y395" s="1"/>
    </row>
    <row r="396" ht="12.75" customHeight="1">
      <c r="A396" s="641" t="s">
        <v>6630</v>
      </c>
      <c r="B396" s="798" t="s">
        <v>6631</v>
      </c>
      <c r="C396" s="643" t="s">
        <v>5631</v>
      </c>
      <c r="D396" s="644">
        <f>SUMIF('Orcamento RU Viora Build'!$A:$A,A396,'Orcamento RU Viora Build'!$F:$F)</f>
        <v>9</v>
      </c>
      <c r="E396" s="645">
        <f t="shared" si="99"/>
        <v>0.975</v>
      </c>
      <c r="F396" s="646">
        <f t="shared" si="100"/>
        <v>8.775</v>
      </c>
      <c r="G396" s="782"/>
      <c r="H396" s="666"/>
      <c r="I396" s="658">
        <v>0.75</v>
      </c>
      <c r="J396" s="695">
        <v>0.0</v>
      </c>
      <c r="K396" s="689">
        <f t="shared" si="101"/>
        <v>0.75</v>
      </c>
      <c r="L396" s="689">
        <f t="shared" si="102"/>
        <v>6.75</v>
      </c>
      <c r="M396" s="690">
        <f t="shared" si="103"/>
        <v>2.025</v>
      </c>
      <c r="N396" s="659">
        <f t="shared" si="104"/>
        <v>0.3</v>
      </c>
      <c r="O396" s="675">
        <f t="shared" si="105"/>
        <v>0.2307692308</v>
      </c>
      <c r="P396" s="810" t="s">
        <v>6629</v>
      </c>
      <c r="Q396" s="698"/>
      <c r="R396" s="1"/>
      <c r="S396" s="668"/>
      <c r="T396" s="669"/>
      <c r="U396" s="1"/>
      <c r="V396" s="1"/>
      <c r="W396" s="1"/>
      <c r="X396" s="1"/>
      <c r="Y396" s="1"/>
    </row>
    <row r="397" ht="12.75" customHeight="1">
      <c r="A397" s="641" t="s">
        <v>6632</v>
      </c>
      <c r="B397" s="798" t="s">
        <v>6633</v>
      </c>
      <c r="C397" s="643" t="s">
        <v>5631</v>
      </c>
      <c r="D397" s="644">
        <f>SUMIF('Orcamento RU Viora Build'!$A:$A,A397,'Orcamento RU Viora Build'!$F:$F)</f>
        <v>59</v>
      </c>
      <c r="E397" s="645">
        <f t="shared" si="99"/>
        <v>0.351</v>
      </c>
      <c r="F397" s="646">
        <f t="shared" si="100"/>
        <v>20.709</v>
      </c>
      <c r="G397" s="782"/>
      <c r="H397" s="666"/>
      <c r="I397" s="658">
        <v>0.27</v>
      </c>
      <c r="J397" s="695">
        <v>0.0</v>
      </c>
      <c r="K397" s="689">
        <f t="shared" si="101"/>
        <v>0.27</v>
      </c>
      <c r="L397" s="689">
        <f t="shared" si="102"/>
        <v>15.93</v>
      </c>
      <c r="M397" s="690">
        <f t="shared" si="103"/>
        <v>4.779</v>
      </c>
      <c r="N397" s="659">
        <f t="shared" si="104"/>
        <v>0.3</v>
      </c>
      <c r="O397" s="675">
        <f t="shared" si="105"/>
        <v>0.2307692308</v>
      </c>
      <c r="P397" s="808" t="s">
        <v>6634</v>
      </c>
      <c r="Q397" s="698"/>
      <c r="R397" s="1"/>
      <c r="S397" s="668"/>
      <c r="T397" s="669"/>
      <c r="U397" s="1"/>
      <c r="V397" s="1"/>
      <c r="W397" s="1"/>
      <c r="X397" s="1"/>
      <c r="Y397" s="1"/>
    </row>
    <row r="398" ht="12.75" customHeight="1">
      <c r="A398" s="641" t="s">
        <v>6635</v>
      </c>
      <c r="B398" s="798" t="s">
        <v>6636</v>
      </c>
      <c r="C398" s="643" t="s">
        <v>5631</v>
      </c>
      <c r="D398" s="644">
        <f>SUMIF('Orcamento RU Viora Build'!$A:$A,A398,'Orcamento RU Viora Build'!$F:$F)</f>
        <v>33</v>
      </c>
      <c r="E398" s="645">
        <f t="shared" si="99"/>
        <v>0.312</v>
      </c>
      <c r="F398" s="646">
        <f t="shared" si="100"/>
        <v>10.296</v>
      </c>
      <c r="G398" s="782"/>
      <c r="H398" s="666"/>
      <c r="I398" s="658">
        <v>0.24</v>
      </c>
      <c r="J398" s="695">
        <v>0.0</v>
      </c>
      <c r="K398" s="689">
        <f t="shared" si="101"/>
        <v>0.24</v>
      </c>
      <c r="L398" s="689">
        <f t="shared" si="102"/>
        <v>7.92</v>
      </c>
      <c r="M398" s="690">
        <f t="shared" si="103"/>
        <v>2.376</v>
      </c>
      <c r="N398" s="659">
        <f t="shared" si="104"/>
        <v>0.3</v>
      </c>
      <c r="O398" s="675">
        <f t="shared" si="105"/>
        <v>0.2307692308</v>
      </c>
      <c r="P398" s="808" t="s">
        <v>6637</v>
      </c>
      <c r="Q398" s="698"/>
      <c r="R398" s="1"/>
      <c r="S398" s="668"/>
      <c r="T398" s="669"/>
      <c r="U398" s="1"/>
      <c r="V398" s="1"/>
      <c r="W398" s="1"/>
      <c r="X398" s="1"/>
      <c r="Y398" s="1"/>
    </row>
    <row r="399" ht="12.75" customHeight="1">
      <c r="A399" s="641" t="s">
        <v>6638</v>
      </c>
      <c r="B399" s="798" t="s">
        <v>6639</v>
      </c>
      <c r="C399" s="643" t="s">
        <v>5631</v>
      </c>
      <c r="D399" s="644">
        <f>SUMIF('Orcamento RU Viora Build'!$A:$A,A399,'Orcamento RU Viora Build'!$F:$F)</f>
        <v>30</v>
      </c>
      <c r="E399" s="645">
        <f t="shared" si="99"/>
        <v>0.312</v>
      </c>
      <c r="F399" s="646">
        <f t="shared" si="100"/>
        <v>9.36</v>
      </c>
      <c r="G399" s="782"/>
      <c r="H399" s="666"/>
      <c r="I399" s="658">
        <v>0.24</v>
      </c>
      <c r="J399" s="695">
        <v>0.0</v>
      </c>
      <c r="K399" s="689">
        <f t="shared" si="101"/>
        <v>0.24</v>
      </c>
      <c r="L399" s="689">
        <f t="shared" si="102"/>
        <v>7.2</v>
      </c>
      <c r="M399" s="690">
        <f t="shared" si="103"/>
        <v>2.16</v>
      </c>
      <c r="N399" s="659">
        <f t="shared" si="104"/>
        <v>0.3</v>
      </c>
      <c r="O399" s="675">
        <f t="shared" si="105"/>
        <v>0.2307692308</v>
      </c>
      <c r="P399" s="808" t="s">
        <v>6640</v>
      </c>
      <c r="Q399" s="698"/>
      <c r="R399" s="1"/>
      <c r="S399" s="668"/>
      <c r="T399" s="669"/>
      <c r="U399" s="1"/>
      <c r="V399" s="1"/>
      <c r="W399" s="1"/>
      <c r="X399" s="1"/>
      <c r="Y399" s="1"/>
    </row>
    <row r="400" ht="12.75" customHeight="1">
      <c r="A400" s="641" t="s">
        <v>6641</v>
      </c>
      <c r="B400" s="798" t="s">
        <v>6642</v>
      </c>
      <c r="C400" s="643" t="s">
        <v>5631</v>
      </c>
      <c r="D400" s="644">
        <f>SUMIF('Orcamento RU Viora Build'!$A:$A,A400,'Orcamento RU Viora Build'!$F:$F)</f>
        <v>13</v>
      </c>
      <c r="E400" s="645">
        <f t="shared" si="99"/>
        <v>2.067</v>
      </c>
      <c r="F400" s="646">
        <f t="shared" si="100"/>
        <v>26.871</v>
      </c>
      <c r="G400" s="782"/>
      <c r="H400" s="666"/>
      <c r="I400" s="658">
        <v>1.59</v>
      </c>
      <c r="J400" s="695">
        <v>0.0</v>
      </c>
      <c r="K400" s="689">
        <f t="shared" si="101"/>
        <v>1.59</v>
      </c>
      <c r="L400" s="689">
        <f t="shared" si="102"/>
        <v>20.67</v>
      </c>
      <c r="M400" s="690">
        <f t="shared" si="103"/>
        <v>6.201</v>
      </c>
      <c r="N400" s="659">
        <f t="shared" si="104"/>
        <v>0.3</v>
      </c>
      <c r="O400" s="675">
        <f t="shared" si="105"/>
        <v>0.2307692308</v>
      </c>
      <c r="P400" s="808" t="s">
        <v>6643</v>
      </c>
      <c r="Q400" s="698"/>
      <c r="R400" s="1"/>
      <c r="S400" s="668"/>
      <c r="T400" s="669"/>
      <c r="U400" s="1"/>
      <c r="V400" s="1"/>
      <c r="W400" s="1"/>
      <c r="X400" s="1"/>
      <c r="Y400" s="1"/>
    </row>
    <row r="401" ht="12.75" customHeight="1">
      <c r="A401" s="641" t="s">
        <v>6644</v>
      </c>
      <c r="B401" s="798" t="s">
        <v>6645</v>
      </c>
      <c r="C401" s="643" t="s">
        <v>5631</v>
      </c>
      <c r="D401" s="644">
        <f>SUMIF('Orcamento RU Viora Build'!$A:$A,A401,'Orcamento RU Viora Build'!$F:$F)</f>
        <v>35</v>
      </c>
      <c r="E401" s="645">
        <f t="shared" si="99"/>
        <v>4.03</v>
      </c>
      <c r="F401" s="646">
        <f t="shared" si="100"/>
        <v>141.05</v>
      </c>
      <c r="G401" s="782"/>
      <c r="H401" s="666"/>
      <c r="I401" s="658">
        <v>3.1</v>
      </c>
      <c r="J401" s="695">
        <v>0.0</v>
      </c>
      <c r="K401" s="689">
        <f t="shared" si="101"/>
        <v>3.1</v>
      </c>
      <c r="L401" s="689">
        <f t="shared" si="102"/>
        <v>108.5</v>
      </c>
      <c r="M401" s="690">
        <f t="shared" si="103"/>
        <v>32.55</v>
      </c>
      <c r="N401" s="659">
        <f t="shared" si="104"/>
        <v>0.3</v>
      </c>
      <c r="O401" s="675">
        <f t="shared" si="105"/>
        <v>0.2307692308</v>
      </c>
      <c r="P401" s="808" t="s">
        <v>6646</v>
      </c>
      <c r="Q401" s="698"/>
      <c r="R401" s="1"/>
      <c r="S401" s="668"/>
      <c r="T401" s="669"/>
      <c r="U401" s="1"/>
      <c r="V401" s="1"/>
      <c r="W401" s="1"/>
      <c r="X401" s="1"/>
      <c r="Y401" s="1"/>
    </row>
    <row r="402" ht="12.75" customHeight="1">
      <c r="A402" s="641" t="s">
        <v>6647</v>
      </c>
      <c r="B402" s="798" t="s">
        <v>6648</v>
      </c>
      <c r="C402" s="643" t="s">
        <v>5631</v>
      </c>
      <c r="D402" s="644">
        <f>SUMIF('Orcamento RU Viora Build'!$A:$A,A402,'Orcamento RU Viora Build'!$F:$F)</f>
        <v>30</v>
      </c>
      <c r="E402" s="645">
        <f t="shared" si="99"/>
        <v>4.03</v>
      </c>
      <c r="F402" s="646">
        <f t="shared" si="100"/>
        <v>120.9</v>
      </c>
      <c r="G402" s="782"/>
      <c r="H402" s="666"/>
      <c r="I402" s="658">
        <v>3.1</v>
      </c>
      <c r="J402" s="695">
        <v>0.0</v>
      </c>
      <c r="K402" s="689">
        <f t="shared" si="101"/>
        <v>3.1</v>
      </c>
      <c r="L402" s="689">
        <f t="shared" si="102"/>
        <v>93</v>
      </c>
      <c r="M402" s="690">
        <f t="shared" si="103"/>
        <v>27.9</v>
      </c>
      <c r="N402" s="659">
        <f t="shared" si="104"/>
        <v>0.3</v>
      </c>
      <c r="O402" s="675">
        <f t="shared" si="105"/>
        <v>0.2307692308</v>
      </c>
      <c r="P402" s="808" t="s">
        <v>6649</v>
      </c>
      <c r="Q402" s="698"/>
      <c r="R402" s="1"/>
      <c r="S402" s="668"/>
      <c r="T402" s="669"/>
      <c r="U402" s="1"/>
      <c r="V402" s="1"/>
      <c r="W402" s="1"/>
      <c r="X402" s="1"/>
      <c r="Y402" s="1"/>
    </row>
    <row r="403" ht="12.75" customHeight="1">
      <c r="A403" s="641" t="s">
        <v>6650</v>
      </c>
      <c r="B403" s="798" t="s">
        <v>6651</v>
      </c>
      <c r="C403" s="643" t="s">
        <v>5631</v>
      </c>
      <c r="D403" s="644">
        <f>SUMIF('Orcamento RU Viora Build'!$A:$A,A403,'Orcamento RU Viora Build'!$F:$F)</f>
        <v>13</v>
      </c>
      <c r="E403" s="645">
        <f t="shared" si="99"/>
        <v>2.873</v>
      </c>
      <c r="F403" s="646">
        <f t="shared" si="100"/>
        <v>37.349</v>
      </c>
      <c r="G403" s="782"/>
      <c r="H403" s="666"/>
      <c r="I403" s="658">
        <v>2.21</v>
      </c>
      <c r="J403" s="695">
        <v>0.0</v>
      </c>
      <c r="K403" s="689">
        <f t="shared" si="101"/>
        <v>2.21</v>
      </c>
      <c r="L403" s="689">
        <f t="shared" si="102"/>
        <v>28.73</v>
      </c>
      <c r="M403" s="690">
        <f t="shared" si="103"/>
        <v>8.619</v>
      </c>
      <c r="N403" s="659">
        <f t="shared" si="104"/>
        <v>0.3</v>
      </c>
      <c r="O403" s="675">
        <f t="shared" si="105"/>
        <v>0.2307692308</v>
      </c>
      <c r="P403" s="808" t="s">
        <v>6652</v>
      </c>
      <c r="Q403" s="698"/>
      <c r="R403" s="1"/>
      <c r="S403" s="668"/>
      <c r="T403" s="669"/>
      <c r="U403" s="1"/>
      <c r="V403" s="1"/>
      <c r="W403" s="1"/>
      <c r="X403" s="1"/>
      <c r="Y403" s="1"/>
    </row>
    <row r="404" ht="12.75" customHeight="1">
      <c r="A404" s="641" t="s">
        <v>6653</v>
      </c>
      <c r="B404" s="798" t="s">
        <v>5641</v>
      </c>
      <c r="C404" s="643" t="s">
        <v>5631</v>
      </c>
      <c r="D404" s="644">
        <f>SUMIF('Orcamento RU Viora Build'!$A:$A,A404,'Orcamento RU Viora Build'!$F:$F)</f>
        <v>7</v>
      </c>
      <c r="E404" s="645">
        <f t="shared" si="99"/>
        <v>6.903</v>
      </c>
      <c r="F404" s="646">
        <f t="shared" si="100"/>
        <v>48.321</v>
      </c>
      <c r="G404" s="782"/>
      <c r="H404" s="666"/>
      <c r="I404" s="658">
        <v>5.31</v>
      </c>
      <c r="J404" s="695">
        <v>0.0</v>
      </c>
      <c r="K404" s="689">
        <f t="shared" si="101"/>
        <v>5.31</v>
      </c>
      <c r="L404" s="689">
        <f t="shared" si="102"/>
        <v>37.17</v>
      </c>
      <c r="M404" s="690">
        <f t="shared" si="103"/>
        <v>11.151</v>
      </c>
      <c r="N404" s="659">
        <f t="shared" si="104"/>
        <v>0.3</v>
      </c>
      <c r="O404" s="675">
        <f t="shared" si="105"/>
        <v>0.2307692308</v>
      </c>
      <c r="P404" s="808" t="s">
        <v>6654</v>
      </c>
      <c r="Q404" s="698"/>
      <c r="R404" s="1"/>
      <c r="S404" s="668"/>
      <c r="T404" s="669"/>
      <c r="U404" s="1"/>
      <c r="V404" s="1"/>
      <c r="W404" s="1"/>
      <c r="X404" s="1"/>
      <c r="Y404" s="1"/>
    </row>
    <row r="405" ht="12.75" customHeight="1">
      <c r="A405" s="641" t="s">
        <v>6655</v>
      </c>
      <c r="B405" s="798" t="s">
        <v>1308</v>
      </c>
      <c r="C405" s="643" t="s">
        <v>5631</v>
      </c>
      <c r="D405" s="644">
        <f>SUMIF('Orcamento RU Viora Build'!$A:$A,A405,'Orcamento RU Viora Build'!$F:$F)</f>
        <v>550</v>
      </c>
      <c r="E405" s="645">
        <f t="shared" si="99"/>
        <v>1.144</v>
      </c>
      <c r="F405" s="646">
        <f t="shared" si="100"/>
        <v>629.2</v>
      </c>
      <c r="G405" s="782"/>
      <c r="H405" s="666"/>
      <c r="I405" s="658">
        <v>0.88</v>
      </c>
      <c r="J405" s="695">
        <v>0.0</v>
      </c>
      <c r="K405" s="689">
        <f t="shared" si="101"/>
        <v>0.88</v>
      </c>
      <c r="L405" s="689">
        <f t="shared" si="102"/>
        <v>484</v>
      </c>
      <c r="M405" s="690">
        <f t="shared" si="103"/>
        <v>145.2</v>
      </c>
      <c r="N405" s="659">
        <f t="shared" si="104"/>
        <v>0.3</v>
      </c>
      <c r="O405" s="675">
        <f t="shared" si="105"/>
        <v>0.2307692308</v>
      </c>
      <c r="P405" s="808" t="s">
        <v>6656</v>
      </c>
      <c r="Q405" s="698"/>
      <c r="R405" s="1"/>
      <c r="S405" s="668"/>
      <c r="T405" s="669"/>
      <c r="U405" s="1"/>
      <c r="V405" s="1"/>
      <c r="W405" s="1"/>
      <c r="X405" s="1"/>
      <c r="Y405" s="1"/>
    </row>
    <row r="406" ht="12.75" customHeight="1">
      <c r="A406" s="641" t="s">
        <v>6657</v>
      </c>
      <c r="B406" s="798" t="s">
        <v>1309</v>
      </c>
      <c r="C406" s="643" t="s">
        <v>5631</v>
      </c>
      <c r="D406" s="644">
        <f>SUMIF('Orcamento RU Viora Build'!$A:$A,A406,'Orcamento RU Viora Build'!$F:$F)</f>
        <v>74</v>
      </c>
      <c r="E406" s="645">
        <f t="shared" si="99"/>
        <v>1.274</v>
      </c>
      <c r="F406" s="646">
        <f t="shared" si="100"/>
        <v>94.276</v>
      </c>
      <c r="G406" s="782"/>
      <c r="H406" s="666"/>
      <c r="I406" s="658">
        <v>0.98</v>
      </c>
      <c r="J406" s="695">
        <v>0.0</v>
      </c>
      <c r="K406" s="689">
        <f t="shared" si="101"/>
        <v>0.98</v>
      </c>
      <c r="L406" s="689">
        <f t="shared" si="102"/>
        <v>72.52</v>
      </c>
      <c r="M406" s="690">
        <f t="shared" si="103"/>
        <v>21.756</v>
      </c>
      <c r="N406" s="659">
        <f t="shared" si="104"/>
        <v>0.3</v>
      </c>
      <c r="O406" s="675">
        <f t="shared" si="105"/>
        <v>0.2307692308</v>
      </c>
      <c r="P406" s="808" t="s">
        <v>6658</v>
      </c>
      <c r="Q406" s="698"/>
      <c r="R406" s="1"/>
      <c r="S406" s="668"/>
      <c r="T406" s="669"/>
      <c r="U406" s="1"/>
      <c r="V406" s="1"/>
      <c r="W406" s="1"/>
      <c r="X406" s="1"/>
      <c r="Y406" s="1"/>
    </row>
    <row r="407" ht="12.75" customHeight="1">
      <c r="A407" s="641" t="s">
        <v>6659</v>
      </c>
      <c r="B407" s="798" t="s">
        <v>1310</v>
      </c>
      <c r="C407" s="643" t="s">
        <v>5631</v>
      </c>
      <c r="D407" s="644">
        <f>SUMIF('Orcamento RU Viora Build'!$A:$A,A407,'Orcamento RU Viora Build'!$F:$F)</f>
        <v>213</v>
      </c>
      <c r="E407" s="645">
        <f t="shared" si="99"/>
        <v>0.754</v>
      </c>
      <c r="F407" s="646">
        <f t="shared" si="100"/>
        <v>160.602</v>
      </c>
      <c r="G407" s="782"/>
      <c r="H407" s="666"/>
      <c r="I407" s="658">
        <v>0.58</v>
      </c>
      <c r="J407" s="695">
        <v>0.0</v>
      </c>
      <c r="K407" s="689">
        <f t="shared" si="101"/>
        <v>0.58</v>
      </c>
      <c r="L407" s="689">
        <f t="shared" si="102"/>
        <v>123.54</v>
      </c>
      <c r="M407" s="690">
        <f t="shared" si="103"/>
        <v>37.062</v>
      </c>
      <c r="N407" s="659">
        <f t="shared" si="104"/>
        <v>0.3</v>
      </c>
      <c r="O407" s="675">
        <f t="shared" si="105"/>
        <v>0.2307692308</v>
      </c>
      <c r="P407" s="808" t="s">
        <v>6660</v>
      </c>
      <c r="Q407" s="698"/>
      <c r="R407" s="1"/>
      <c r="S407" s="668"/>
      <c r="T407" s="669"/>
      <c r="U407" s="1"/>
      <c r="V407" s="1"/>
      <c r="W407" s="1"/>
      <c r="X407" s="1"/>
      <c r="Y407" s="1"/>
    </row>
    <row r="408" ht="12.75" customHeight="1">
      <c r="A408" s="641" t="s">
        <v>6661</v>
      </c>
      <c r="B408" s="798" t="s">
        <v>1311</v>
      </c>
      <c r="C408" s="643" t="s">
        <v>5631</v>
      </c>
      <c r="D408" s="644">
        <f>SUMIF('Orcamento RU Viora Build'!$A:$A,A408,'Orcamento RU Viora Build'!$F:$F)</f>
        <v>117</v>
      </c>
      <c r="E408" s="645">
        <f t="shared" si="99"/>
        <v>0.702</v>
      </c>
      <c r="F408" s="646">
        <f t="shared" si="100"/>
        <v>82.134</v>
      </c>
      <c r="G408" s="782"/>
      <c r="H408" s="666"/>
      <c r="I408" s="658">
        <v>0.54</v>
      </c>
      <c r="J408" s="695">
        <v>0.0</v>
      </c>
      <c r="K408" s="689">
        <f t="shared" si="101"/>
        <v>0.54</v>
      </c>
      <c r="L408" s="689">
        <f t="shared" si="102"/>
        <v>63.18</v>
      </c>
      <c r="M408" s="690">
        <f t="shared" si="103"/>
        <v>18.954</v>
      </c>
      <c r="N408" s="659">
        <f t="shared" si="104"/>
        <v>0.3</v>
      </c>
      <c r="O408" s="675">
        <f t="shared" si="105"/>
        <v>0.2307692308</v>
      </c>
      <c r="P408" s="808" t="s">
        <v>6662</v>
      </c>
      <c r="Q408" s="698"/>
      <c r="R408" s="1"/>
      <c r="S408" s="668"/>
      <c r="T408" s="669"/>
      <c r="U408" s="1"/>
      <c r="V408" s="1"/>
      <c r="W408" s="1"/>
      <c r="X408" s="1"/>
      <c r="Y408" s="1"/>
    </row>
    <row r="409" ht="12.75" customHeight="1">
      <c r="A409" s="641" t="s">
        <v>6663</v>
      </c>
      <c r="B409" s="798" t="s">
        <v>1312</v>
      </c>
      <c r="C409" s="643" t="s">
        <v>5631</v>
      </c>
      <c r="D409" s="644">
        <f>SUMIF('Orcamento RU Viora Build'!$A:$A,A409,'Orcamento RU Viora Build'!$F:$F)</f>
        <v>25</v>
      </c>
      <c r="E409" s="645">
        <f t="shared" si="99"/>
        <v>0.416</v>
      </c>
      <c r="F409" s="646">
        <f t="shared" si="100"/>
        <v>10.4</v>
      </c>
      <c r="G409" s="782"/>
      <c r="H409" s="666"/>
      <c r="I409" s="658">
        <v>0.32</v>
      </c>
      <c r="J409" s="695">
        <v>0.0</v>
      </c>
      <c r="K409" s="689">
        <f t="shared" si="101"/>
        <v>0.32</v>
      </c>
      <c r="L409" s="689">
        <f t="shared" si="102"/>
        <v>8</v>
      </c>
      <c r="M409" s="690">
        <f t="shared" si="103"/>
        <v>2.4</v>
      </c>
      <c r="N409" s="659">
        <f t="shared" si="104"/>
        <v>0.3</v>
      </c>
      <c r="O409" s="675">
        <f t="shared" si="105"/>
        <v>0.2307692308</v>
      </c>
      <c r="P409" s="808" t="s">
        <v>6664</v>
      </c>
      <c r="Q409" s="698"/>
      <c r="R409" s="1"/>
      <c r="S409" s="668"/>
      <c r="T409" s="669"/>
      <c r="U409" s="1"/>
      <c r="V409" s="1"/>
      <c r="W409" s="1"/>
      <c r="X409" s="1"/>
      <c r="Y409" s="1"/>
    </row>
    <row r="410" ht="12.75" customHeight="1">
      <c r="A410" s="641" t="s">
        <v>6665</v>
      </c>
      <c r="B410" s="798" t="s">
        <v>1313</v>
      </c>
      <c r="C410" s="643" t="s">
        <v>5631</v>
      </c>
      <c r="D410" s="644">
        <f>SUMIF('Orcamento RU Viora Build'!$A:$A,A410,'Orcamento RU Viora Build'!$F:$F)</f>
        <v>75</v>
      </c>
      <c r="E410" s="645">
        <f t="shared" si="99"/>
        <v>2.457</v>
      </c>
      <c r="F410" s="646">
        <f t="shared" si="100"/>
        <v>184.275</v>
      </c>
      <c r="G410" s="782"/>
      <c r="H410" s="666"/>
      <c r="I410" s="658">
        <v>1.89</v>
      </c>
      <c r="J410" s="695">
        <v>0.0</v>
      </c>
      <c r="K410" s="689">
        <f t="shared" si="101"/>
        <v>1.89</v>
      </c>
      <c r="L410" s="689">
        <f t="shared" si="102"/>
        <v>141.75</v>
      </c>
      <c r="M410" s="690">
        <f t="shared" si="103"/>
        <v>42.525</v>
      </c>
      <c r="N410" s="659">
        <f t="shared" si="104"/>
        <v>0.3</v>
      </c>
      <c r="O410" s="675">
        <f t="shared" si="105"/>
        <v>0.2307692308</v>
      </c>
      <c r="P410" s="808" t="s">
        <v>6666</v>
      </c>
      <c r="Q410" s="698"/>
      <c r="R410" s="1"/>
      <c r="S410" s="668"/>
      <c r="T410" s="669"/>
      <c r="U410" s="1"/>
      <c r="V410" s="1"/>
      <c r="W410" s="1"/>
      <c r="X410" s="1"/>
      <c r="Y410" s="1"/>
    </row>
    <row r="411" ht="12.75" customHeight="1">
      <c r="A411" s="641" t="s">
        <v>6667</v>
      </c>
      <c r="B411" s="798" t="s">
        <v>6668</v>
      </c>
      <c r="C411" s="643" t="s">
        <v>5636</v>
      </c>
      <c r="D411" s="644">
        <f>SUMIF('Orcamento RU Viora Build'!$A:$A,A411,'Orcamento RU Viora Build'!$F:$F)</f>
        <v>14</v>
      </c>
      <c r="E411" s="645">
        <f t="shared" si="99"/>
        <v>8.424</v>
      </c>
      <c r="F411" s="646">
        <f t="shared" si="100"/>
        <v>117.936</v>
      </c>
      <c r="G411" s="782"/>
      <c r="H411" s="666"/>
      <c r="I411" s="658">
        <v>6.48</v>
      </c>
      <c r="J411" s="695">
        <v>0.0</v>
      </c>
      <c r="K411" s="689">
        <f t="shared" si="101"/>
        <v>6.48</v>
      </c>
      <c r="L411" s="689">
        <f t="shared" si="102"/>
        <v>90.72</v>
      </c>
      <c r="M411" s="690">
        <f t="shared" si="103"/>
        <v>27.216</v>
      </c>
      <c r="N411" s="659">
        <f t="shared" si="104"/>
        <v>0.3</v>
      </c>
      <c r="O411" s="675">
        <f t="shared" si="105"/>
        <v>0.2307692308</v>
      </c>
      <c r="P411" s="808" t="s">
        <v>6669</v>
      </c>
      <c r="Q411" s="698"/>
      <c r="R411" s="1"/>
      <c r="S411" s="668"/>
      <c r="T411" s="669"/>
      <c r="U411" s="1"/>
      <c r="V411" s="1"/>
      <c r="W411" s="1"/>
      <c r="X411" s="1"/>
      <c r="Y411" s="1"/>
    </row>
    <row r="412" ht="12.75" customHeight="1">
      <c r="A412" s="641" t="s">
        <v>6670</v>
      </c>
      <c r="B412" s="798" t="s">
        <v>1318</v>
      </c>
      <c r="C412" s="643" t="s">
        <v>5636</v>
      </c>
      <c r="D412" s="644">
        <f>SUMIF('Orcamento RU Viora Build'!$A:$A,A412,'Orcamento RU Viora Build'!$F:$F)</f>
        <v>1</v>
      </c>
      <c r="E412" s="645">
        <f t="shared" si="99"/>
        <v>4.407</v>
      </c>
      <c r="F412" s="646">
        <f t="shared" si="100"/>
        <v>4.407</v>
      </c>
      <c r="G412" s="782"/>
      <c r="H412" s="666"/>
      <c r="I412" s="658">
        <v>3.39</v>
      </c>
      <c r="J412" s="695">
        <v>0.0</v>
      </c>
      <c r="K412" s="689">
        <f t="shared" si="101"/>
        <v>3.39</v>
      </c>
      <c r="L412" s="689">
        <f t="shared" si="102"/>
        <v>3.39</v>
      </c>
      <c r="M412" s="690">
        <f t="shared" si="103"/>
        <v>1.017</v>
      </c>
      <c r="N412" s="659">
        <f t="shared" si="104"/>
        <v>0.3</v>
      </c>
      <c r="O412" s="675">
        <f t="shared" si="105"/>
        <v>0.2307692308</v>
      </c>
      <c r="P412" s="808" t="s">
        <v>6671</v>
      </c>
      <c r="Q412" s="698"/>
      <c r="R412" s="1"/>
      <c r="S412" s="668"/>
      <c r="T412" s="669"/>
      <c r="U412" s="1"/>
      <c r="V412" s="1"/>
      <c r="W412" s="1"/>
      <c r="X412" s="1"/>
      <c r="Y412" s="1"/>
    </row>
    <row r="413" ht="12.75" customHeight="1">
      <c r="A413" s="641" t="s">
        <v>6672</v>
      </c>
      <c r="B413" s="798" t="s">
        <v>1319</v>
      </c>
      <c r="C413" s="643" t="s">
        <v>5631</v>
      </c>
      <c r="D413" s="644">
        <f>SUMIF('Orcamento RU Viora Build'!$A:$A,A413,'Orcamento RU Viora Build'!$F:$F)</f>
        <v>13</v>
      </c>
      <c r="E413" s="645">
        <f t="shared" si="99"/>
        <v>5.239</v>
      </c>
      <c r="F413" s="646">
        <f t="shared" si="100"/>
        <v>68.107</v>
      </c>
      <c r="G413" s="782"/>
      <c r="H413" s="666"/>
      <c r="I413" s="658">
        <v>4.03</v>
      </c>
      <c r="J413" s="695">
        <v>0.0</v>
      </c>
      <c r="K413" s="689">
        <f t="shared" si="101"/>
        <v>4.03</v>
      </c>
      <c r="L413" s="689">
        <f t="shared" si="102"/>
        <v>52.39</v>
      </c>
      <c r="M413" s="690">
        <f t="shared" si="103"/>
        <v>15.717</v>
      </c>
      <c r="N413" s="659">
        <f t="shared" si="104"/>
        <v>0.3</v>
      </c>
      <c r="O413" s="675">
        <f t="shared" si="105"/>
        <v>0.2307692308</v>
      </c>
      <c r="P413" s="808" t="s">
        <v>6673</v>
      </c>
      <c r="Q413" s="698"/>
      <c r="R413" s="1"/>
      <c r="S413" s="668"/>
      <c r="T413" s="669"/>
      <c r="U413" s="1"/>
      <c r="V413" s="1"/>
      <c r="W413" s="1"/>
      <c r="X413" s="1"/>
      <c r="Y413" s="1"/>
    </row>
    <row r="414" ht="12.75" customHeight="1">
      <c r="A414" s="641" t="s">
        <v>6674</v>
      </c>
      <c r="B414" s="798" t="s">
        <v>1320</v>
      </c>
      <c r="C414" s="643" t="s">
        <v>5636</v>
      </c>
      <c r="D414" s="644">
        <f>SUMIF('Orcamento RU Viora Build'!$A:$A,A414,'Orcamento RU Viora Build'!$F:$F)</f>
        <v>3</v>
      </c>
      <c r="E414" s="645">
        <f t="shared" si="99"/>
        <v>14.872</v>
      </c>
      <c r="F414" s="646">
        <f t="shared" si="100"/>
        <v>44.616</v>
      </c>
      <c r="G414" s="782"/>
      <c r="H414" s="666"/>
      <c r="I414" s="658">
        <v>11.44</v>
      </c>
      <c r="J414" s="695">
        <v>0.0</v>
      </c>
      <c r="K414" s="689">
        <f t="shared" si="101"/>
        <v>11.44</v>
      </c>
      <c r="L414" s="689">
        <f t="shared" si="102"/>
        <v>34.32</v>
      </c>
      <c r="M414" s="690">
        <f t="shared" si="103"/>
        <v>10.296</v>
      </c>
      <c r="N414" s="659">
        <f t="shared" si="104"/>
        <v>0.3</v>
      </c>
      <c r="O414" s="675">
        <f t="shared" si="105"/>
        <v>0.2307692308</v>
      </c>
      <c r="P414" s="808" t="s">
        <v>6675</v>
      </c>
      <c r="Q414" s="698"/>
      <c r="R414" s="1"/>
      <c r="S414" s="668"/>
      <c r="T414" s="669"/>
      <c r="U414" s="1"/>
      <c r="V414" s="1"/>
      <c r="W414" s="1"/>
      <c r="X414" s="1"/>
      <c r="Y414" s="1"/>
    </row>
    <row r="415" ht="12.75" customHeight="1">
      <c r="A415" s="641" t="s">
        <v>6676</v>
      </c>
      <c r="B415" s="798" t="s">
        <v>6677</v>
      </c>
      <c r="C415" s="643" t="s">
        <v>5631</v>
      </c>
      <c r="D415" s="644">
        <f>SUMIF('Orcamento RU Viora Build'!$A:$A,A415,'Orcamento RU Viora Build'!$F:$F)</f>
        <v>1016</v>
      </c>
      <c r="E415" s="645">
        <f t="shared" si="99"/>
        <v>1.066</v>
      </c>
      <c r="F415" s="646">
        <f t="shared" si="100"/>
        <v>1083.056</v>
      </c>
      <c r="G415" s="782"/>
      <c r="H415" s="666"/>
      <c r="I415" s="658">
        <v>0.82</v>
      </c>
      <c r="J415" s="695">
        <v>0.0</v>
      </c>
      <c r="K415" s="689">
        <f t="shared" si="101"/>
        <v>0.82</v>
      </c>
      <c r="L415" s="689">
        <f t="shared" si="102"/>
        <v>833.12</v>
      </c>
      <c r="M415" s="690">
        <f t="shared" si="103"/>
        <v>249.936</v>
      </c>
      <c r="N415" s="659">
        <f t="shared" si="104"/>
        <v>0.3</v>
      </c>
      <c r="O415" s="675">
        <f t="shared" si="105"/>
        <v>0.2307692308</v>
      </c>
      <c r="P415" s="673" t="s">
        <v>6486</v>
      </c>
      <c r="Q415" s="698"/>
      <c r="R415" s="1"/>
      <c r="S415" s="668"/>
      <c r="T415" s="669"/>
      <c r="U415" s="1"/>
      <c r="V415" s="1"/>
      <c r="W415" s="1"/>
      <c r="X415" s="1"/>
      <c r="Y415" s="1"/>
    </row>
    <row r="416" ht="12.75" customHeight="1">
      <c r="A416" s="641" t="s">
        <v>6678</v>
      </c>
      <c r="B416" s="798" t="s">
        <v>5642</v>
      </c>
      <c r="C416" s="643" t="s">
        <v>5631</v>
      </c>
      <c r="D416" s="644">
        <f>SUMIF('Orcamento RU Viora Build'!$A:$A,A416,'Orcamento RU Viora Build'!$F:$F)</f>
        <v>7</v>
      </c>
      <c r="E416" s="645">
        <f t="shared" si="99"/>
        <v>8.762</v>
      </c>
      <c r="F416" s="646">
        <f t="shared" si="100"/>
        <v>61.334</v>
      </c>
      <c r="G416" s="782"/>
      <c r="H416" s="666"/>
      <c r="I416" s="658">
        <v>6.74</v>
      </c>
      <c r="J416" s="695">
        <v>0.0</v>
      </c>
      <c r="K416" s="689">
        <f t="shared" si="101"/>
        <v>6.74</v>
      </c>
      <c r="L416" s="689">
        <f t="shared" si="102"/>
        <v>47.18</v>
      </c>
      <c r="M416" s="690">
        <f t="shared" si="103"/>
        <v>14.154</v>
      </c>
      <c r="N416" s="659">
        <f t="shared" si="104"/>
        <v>0.3</v>
      </c>
      <c r="O416" s="675">
        <f t="shared" si="105"/>
        <v>0.2307692308</v>
      </c>
      <c r="P416" s="673" t="s">
        <v>6679</v>
      </c>
      <c r="Q416" s="698"/>
      <c r="R416" s="1"/>
      <c r="S416" s="668"/>
      <c r="T416" s="669"/>
      <c r="U416" s="1"/>
      <c r="V416" s="1"/>
      <c r="W416" s="1"/>
      <c r="X416" s="1"/>
      <c r="Y416" s="1"/>
    </row>
    <row r="417" ht="12.75" customHeight="1">
      <c r="A417" s="641" t="s">
        <v>6680</v>
      </c>
      <c r="B417" s="798" t="s">
        <v>6681</v>
      </c>
      <c r="C417" s="643" t="s">
        <v>5631</v>
      </c>
      <c r="D417" s="644">
        <f>SUMIF('Orcamento RU Viora Build'!$A:$A,A417,'Orcamento RU Viora Build'!$F:$F)</f>
        <v>63</v>
      </c>
      <c r="E417" s="645">
        <f t="shared" si="99"/>
        <v>50.856</v>
      </c>
      <c r="F417" s="646">
        <f t="shared" si="100"/>
        <v>3203.928</v>
      </c>
      <c r="G417" s="782"/>
      <c r="H417" s="666"/>
      <c r="I417" s="658">
        <v>39.12</v>
      </c>
      <c r="J417" s="695">
        <v>0.0</v>
      </c>
      <c r="K417" s="689">
        <f t="shared" si="101"/>
        <v>39.12</v>
      </c>
      <c r="L417" s="689">
        <f t="shared" si="102"/>
        <v>2464.56</v>
      </c>
      <c r="M417" s="690">
        <f t="shared" si="103"/>
        <v>739.368</v>
      </c>
      <c r="N417" s="659">
        <f t="shared" si="104"/>
        <v>0.3</v>
      </c>
      <c r="O417" s="675">
        <f t="shared" si="105"/>
        <v>0.2307692308</v>
      </c>
      <c r="P417" s="673" t="s">
        <v>6682</v>
      </c>
      <c r="Q417" s="698"/>
      <c r="R417" s="1"/>
      <c r="S417" s="668"/>
      <c r="T417" s="669"/>
      <c r="U417" s="1"/>
      <c r="V417" s="1"/>
      <c r="W417" s="1"/>
      <c r="X417" s="1"/>
      <c r="Y417" s="1"/>
    </row>
    <row r="418" ht="12.75" customHeight="1">
      <c r="A418" s="641" t="s">
        <v>6683</v>
      </c>
      <c r="B418" s="798" t="s">
        <v>6684</v>
      </c>
      <c r="C418" s="643" t="s">
        <v>5631</v>
      </c>
      <c r="D418" s="644">
        <f>SUMIF('Orcamento RU Viora Build'!$A:$A,A418,'Orcamento RU Viora Build'!$F:$F)</f>
        <v>6559</v>
      </c>
      <c r="E418" s="645">
        <f t="shared" si="99"/>
        <v>0.598</v>
      </c>
      <c r="F418" s="646">
        <f t="shared" si="100"/>
        <v>3922.282</v>
      </c>
      <c r="G418" s="782"/>
      <c r="H418" s="666"/>
      <c r="I418" s="658">
        <v>0.46</v>
      </c>
      <c r="J418" s="695">
        <v>0.0</v>
      </c>
      <c r="K418" s="689">
        <f t="shared" si="101"/>
        <v>0.46</v>
      </c>
      <c r="L418" s="689">
        <f t="shared" si="102"/>
        <v>3017.14</v>
      </c>
      <c r="M418" s="690">
        <f t="shared" si="103"/>
        <v>905.142</v>
      </c>
      <c r="N418" s="659">
        <f t="shared" si="104"/>
        <v>0.3</v>
      </c>
      <c r="O418" s="675">
        <f t="shared" si="105"/>
        <v>0.2307692308</v>
      </c>
      <c r="P418" s="673" t="s">
        <v>6685</v>
      </c>
      <c r="Q418" s="698"/>
      <c r="R418" s="1"/>
      <c r="S418" s="668"/>
      <c r="T418" s="669"/>
      <c r="U418" s="1"/>
      <c r="V418" s="1"/>
      <c r="W418" s="1"/>
      <c r="X418" s="1"/>
      <c r="Y418" s="1"/>
    </row>
    <row r="419" ht="12.75" customHeight="1">
      <c r="A419" s="641" t="s">
        <v>6686</v>
      </c>
      <c r="B419" s="798" t="s">
        <v>6687</v>
      </c>
      <c r="C419" s="643" t="s">
        <v>5631</v>
      </c>
      <c r="D419" s="644">
        <f>SUMIF('Orcamento RU Viora Build'!$A:$A,A419,'Orcamento RU Viora Build'!$F:$F)</f>
        <v>90</v>
      </c>
      <c r="E419" s="645">
        <f t="shared" si="99"/>
        <v>0.78</v>
      </c>
      <c r="F419" s="646">
        <f t="shared" si="100"/>
        <v>70.2</v>
      </c>
      <c r="G419" s="782"/>
      <c r="H419" s="666"/>
      <c r="I419" s="658">
        <v>0.6</v>
      </c>
      <c r="J419" s="695">
        <v>0.0</v>
      </c>
      <c r="K419" s="689">
        <f t="shared" si="101"/>
        <v>0.6</v>
      </c>
      <c r="L419" s="689">
        <f t="shared" si="102"/>
        <v>54</v>
      </c>
      <c r="M419" s="690">
        <f t="shared" si="103"/>
        <v>16.2</v>
      </c>
      <c r="N419" s="659">
        <f t="shared" si="104"/>
        <v>0.3</v>
      </c>
      <c r="O419" s="675">
        <f t="shared" si="105"/>
        <v>0.2307692308</v>
      </c>
      <c r="P419" s="673" t="s">
        <v>6688</v>
      </c>
      <c r="Q419" s="698"/>
      <c r="R419" s="1"/>
      <c r="S419" s="668"/>
      <c r="T419" s="669"/>
      <c r="U419" s="1"/>
      <c r="V419" s="1"/>
      <c r="W419" s="1"/>
      <c r="X419" s="1"/>
      <c r="Y419" s="1"/>
    </row>
    <row r="420" ht="12.75" customHeight="1">
      <c r="A420" s="641" t="s">
        <v>6689</v>
      </c>
      <c r="B420" s="798" t="s">
        <v>1327</v>
      </c>
      <c r="C420" s="643" t="s">
        <v>5631</v>
      </c>
      <c r="D420" s="644">
        <f>SUMIF('Orcamento RU Viora Build'!$A:$A,A420,'Orcamento RU Viora Build'!$F:$F)</f>
        <v>290</v>
      </c>
      <c r="E420" s="645">
        <f t="shared" si="99"/>
        <v>1.092</v>
      </c>
      <c r="F420" s="646">
        <f t="shared" si="100"/>
        <v>316.68</v>
      </c>
      <c r="G420" s="782"/>
      <c r="H420" s="666"/>
      <c r="I420" s="658">
        <v>0.84</v>
      </c>
      <c r="J420" s="695">
        <v>0.0</v>
      </c>
      <c r="K420" s="689">
        <f t="shared" si="101"/>
        <v>0.84</v>
      </c>
      <c r="L420" s="689">
        <f t="shared" si="102"/>
        <v>243.6</v>
      </c>
      <c r="M420" s="690">
        <f t="shared" si="103"/>
        <v>73.08</v>
      </c>
      <c r="N420" s="659">
        <f t="shared" si="104"/>
        <v>0.3</v>
      </c>
      <c r="O420" s="675">
        <f t="shared" si="105"/>
        <v>0.2307692308</v>
      </c>
      <c r="P420" s="673" t="s">
        <v>6690</v>
      </c>
      <c r="Q420" s="698"/>
      <c r="R420" s="1"/>
      <c r="S420" s="668"/>
      <c r="T420" s="669"/>
      <c r="U420" s="1"/>
      <c r="V420" s="1"/>
      <c r="W420" s="1"/>
      <c r="X420" s="1"/>
      <c r="Y420" s="1"/>
    </row>
    <row r="421" ht="12.75" customHeight="1">
      <c r="A421" s="641" t="s">
        <v>6691</v>
      </c>
      <c r="B421" s="798" t="s">
        <v>1328</v>
      </c>
      <c r="C421" s="643" t="s">
        <v>5631</v>
      </c>
      <c r="D421" s="644">
        <f>SUMIF('Orcamento RU Viora Build'!$A:$A,A421,'Orcamento RU Viora Build'!$F:$F)</f>
        <v>19</v>
      </c>
      <c r="E421" s="645">
        <f t="shared" si="99"/>
        <v>4.394</v>
      </c>
      <c r="F421" s="646">
        <f t="shared" si="100"/>
        <v>83.486</v>
      </c>
      <c r="G421" s="782"/>
      <c r="H421" s="666"/>
      <c r="I421" s="658">
        <v>3.38</v>
      </c>
      <c r="J421" s="695">
        <v>0.0</v>
      </c>
      <c r="K421" s="689">
        <f t="shared" si="101"/>
        <v>3.38</v>
      </c>
      <c r="L421" s="689">
        <f t="shared" si="102"/>
        <v>64.22</v>
      </c>
      <c r="M421" s="690">
        <f t="shared" si="103"/>
        <v>19.266</v>
      </c>
      <c r="N421" s="659">
        <f t="shared" si="104"/>
        <v>0.3</v>
      </c>
      <c r="O421" s="675">
        <f t="shared" si="105"/>
        <v>0.2307692308</v>
      </c>
      <c r="P421" s="673" t="s">
        <v>6486</v>
      </c>
      <c r="Q421" s="698"/>
      <c r="R421" s="1"/>
      <c r="S421" s="668"/>
      <c r="T421" s="669"/>
      <c r="U421" s="1"/>
      <c r="V421" s="1"/>
      <c r="W421" s="1"/>
      <c r="X421" s="1"/>
      <c r="Y421" s="1"/>
    </row>
    <row r="422" ht="12.75" customHeight="1">
      <c r="A422" s="641" t="s">
        <v>6692</v>
      </c>
      <c r="B422" s="798" t="s">
        <v>1331</v>
      </c>
      <c r="C422" s="643" t="s">
        <v>5636</v>
      </c>
      <c r="D422" s="644">
        <f>SUMIF('Orcamento RU Viora Build'!$A:$A,A422,'Orcamento RU Viora Build'!$F:$F)</f>
        <v>28</v>
      </c>
      <c r="E422" s="645">
        <f t="shared" si="99"/>
        <v>0.247</v>
      </c>
      <c r="F422" s="646">
        <f t="shared" si="100"/>
        <v>6.916</v>
      </c>
      <c r="G422" s="782"/>
      <c r="H422" s="666"/>
      <c r="I422" s="658">
        <v>0.19</v>
      </c>
      <c r="J422" s="695">
        <v>0.0</v>
      </c>
      <c r="K422" s="689">
        <f t="shared" si="101"/>
        <v>0.19</v>
      </c>
      <c r="L422" s="689">
        <f t="shared" si="102"/>
        <v>5.32</v>
      </c>
      <c r="M422" s="690">
        <f t="shared" si="103"/>
        <v>1.596</v>
      </c>
      <c r="N422" s="659">
        <f t="shared" si="104"/>
        <v>0.3</v>
      </c>
      <c r="O422" s="675">
        <f t="shared" si="105"/>
        <v>0.2307692308</v>
      </c>
      <c r="P422" s="673" t="s">
        <v>6693</v>
      </c>
      <c r="Q422" s="698"/>
      <c r="R422" s="1"/>
      <c r="S422" s="668"/>
      <c r="T422" s="669"/>
      <c r="U422" s="1"/>
      <c r="V422" s="1"/>
      <c r="W422" s="1"/>
      <c r="X422" s="1"/>
      <c r="Y422" s="1"/>
    </row>
    <row r="423" ht="12.75" customHeight="1">
      <c r="A423" s="641" t="s">
        <v>6694</v>
      </c>
      <c r="B423" s="798" t="s">
        <v>1334</v>
      </c>
      <c r="C423" s="643" t="s">
        <v>5631</v>
      </c>
      <c r="D423" s="644">
        <f>SUMIF('Orcamento RU Viora Build'!$A:$A,A423,'Orcamento RU Viora Build'!$F:$F)</f>
        <v>732</v>
      </c>
      <c r="E423" s="645">
        <f t="shared" si="99"/>
        <v>1.807</v>
      </c>
      <c r="F423" s="646">
        <f t="shared" si="100"/>
        <v>1322.724</v>
      </c>
      <c r="G423" s="782"/>
      <c r="H423" s="666"/>
      <c r="I423" s="658">
        <v>1.39</v>
      </c>
      <c r="J423" s="695">
        <v>0.0</v>
      </c>
      <c r="K423" s="689">
        <f t="shared" si="101"/>
        <v>1.39</v>
      </c>
      <c r="L423" s="689">
        <f t="shared" si="102"/>
        <v>1017.48</v>
      </c>
      <c r="M423" s="690">
        <f t="shared" si="103"/>
        <v>305.244</v>
      </c>
      <c r="N423" s="659">
        <f t="shared" si="104"/>
        <v>0.3</v>
      </c>
      <c r="O423" s="675">
        <f t="shared" si="105"/>
        <v>0.2307692308</v>
      </c>
      <c r="P423" s="673" t="s">
        <v>6690</v>
      </c>
      <c r="Q423" s="698"/>
      <c r="R423" s="1"/>
      <c r="S423" s="668"/>
      <c r="T423" s="669"/>
      <c r="U423" s="1"/>
      <c r="V423" s="1"/>
      <c r="W423" s="1"/>
      <c r="X423" s="1"/>
      <c r="Y423" s="1"/>
    </row>
    <row r="424" ht="12.75" customHeight="1">
      <c r="A424" s="641" t="s">
        <v>6695</v>
      </c>
      <c r="B424" s="798" t="s">
        <v>1335</v>
      </c>
      <c r="C424" s="643" t="s">
        <v>5631</v>
      </c>
      <c r="D424" s="644">
        <f>SUMIF('Orcamento RU Viora Build'!$A:$A,A424,'Orcamento RU Viora Build'!$F:$F)</f>
        <v>780</v>
      </c>
      <c r="E424" s="645">
        <f t="shared" si="99"/>
        <v>0.546</v>
      </c>
      <c r="F424" s="646">
        <f t="shared" si="100"/>
        <v>425.88</v>
      </c>
      <c r="G424" s="782"/>
      <c r="H424" s="666"/>
      <c r="I424" s="658">
        <v>0.42</v>
      </c>
      <c r="J424" s="695">
        <v>0.0</v>
      </c>
      <c r="K424" s="689">
        <f t="shared" si="101"/>
        <v>0.42</v>
      </c>
      <c r="L424" s="689">
        <f t="shared" si="102"/>
        <v>327.6</v>
      </c>
      <c r="M424" s="690">
        <f t="shared" si="103"/>
        <v>98.28</v>
      </c>
      <c r="N424" s="659">
        <f t="shared" si="104"/>
        <v>0.3</v>
      </c>
      <c r="O424" s="675">
        <f t="shared" si="105"/>
        <v>0.2307692308</v>
      </c>
      <c r="P424" s="810" t="s">
        <v>6629</v>
      </c>
      <c r="Q424" s="698"/>
      <c r="R424" s="1"/>
      <c r="S424" s="668"/>
      <c r="T424" s="669"/>
      <c r="U424" s="1"/>
      <c r="V424" s="1"/>
      <c r="W424" s="1"/>
      <c r="X424" s="1"/>
      <c r="Y424" s="1"/>
    </row>
    <row r="425" ht="12.75" customHeight="1">
      <c r="A425" s="641" t="s">
        <v>6696</v>
      </c>
      <c r="B425" s="798" t="s">
        <v>1336</v>
      </c>
      <c r="C425" s="643" t="s">
        <v>5631</v>
      </c>
      <c r="D425" s="644">
        <f>SUMIF('Orcamento RU Viora Build'!$A:$A,A425,'Orcamento RU Viora Build'!$F:$F)</f>
        <v>40</v>
      </c>
      <c r="E425" s="645">
        <f t="shared" si="99"/>
        <v>1.742</v>
      </c>
      <c r="F425" s="646">
        <f t="shared" si="100"/>
        <v>69.68</v>
      </c>
      <c r="G425" s="782"/>
      <c r="H425" s="666"/>
      <c r="I425" s="658">
        <v>1.34</v>
      </c>
      <c r="J425" s="695">
        <v>0.0</v>
      </c>
      <c r="K425" s="689">
        <f t="shared" si="101"/>
        <v>1.34</v>
      </c>
      <c r="L425" s="689">
        <f t="shared" si="102"/>
        <v>53.6</v>
      </c>
      <c r="M425" s="690">
        <f t="shared" si="103"/>
        <v>16.08</v>
      </c>
      <c r="N425" s="659">
        <f t="shared" si="104"/>
        <v>0.3</v>
      </c>
      <c r="O425" s="675">
        <f t="shared" si="105"/>
        <v>0.2307692308</v>
      </c>
      <c r="P425" s="810" t="s">
        <v>6629</v>
      </c>
      <c r="Q425" s="698"/>
      <c r="R425" s="1"/>
      <c r="S425" s="668"/>
      <c r="T425" s="669"/>
      <c r="U425" s="1"/>
      <c r="V425" s="1"/>
      <c r="W425" s="1"/>
      <c r="X425" s="1"/>
      <c r="Y425" s="1"/>
    </row>
    <row r="426" ht="12.75" customHeight="1">
      <c r="A426" s="641" t="s">
        <v>6697</v>
      </c>
      <c r="B426" s="798" t="s">
        <v>1337</v>
      </c>
      <c r="C426" s="643" t="s">
        <v>5631</v>
      </c>
      <c r="D426" s="644">
        <f>SUMIF('Orcamento RU Viora Build'!$A:$A,A426,'Orcamento RU Viora Build'!$F:$F)</f>
        <v>33</v>
      </c>
      <c r="E426" s="645">
        <f t="shared" si="99"/>
        <v>3.237</v>
      </c>
      <c r="F426" s="646">
        <f t="shared" si="100"/>
        <v>106.821</v>
      </c>
      <c r="G426" s="782"/>
      <c r="H426" s="666"/>
      <c r="I426" s="658">
        <v>2.49</v>
      </c>
      <c r="J426" s="695">
        <v>0.0</v>
      </c>
      <c r="K426" s="689">
        <f t="shared" si="101"/>
        <v>2.49</v>
      </c>
      <c r="L426" s="689">
        <f t="shared" si="102"/>
        <v>82.17</v>
      </c>
      <c r="M426" s="690">
        <f t="shared" si="103"/>
        <v>24.651</v>
      </c>
      <c r="N426" s="659">
        <f t="shared" si="104"/>
        <v>0.3</v>
      </c>
      <c r="O426" s="675">
        <f t="shared" si="105"/>
        <v>0.2307692308</v>
      </c>
      <c r="P426" s="810" t="s">
        <v>6698</v>
      </c>
      <c r="Q426" s="698"/>
      <c r="R426" s="1"/>
      <c r="S426" s="668"/>
      <c r="T426" s="669"/>
      <c r="U426" s="1"/>
      <c r="V426" s="1"/>
      <c r="W426" s="1"/>
      <c r="X426" s="1"/>
      <c r="Y426" s="1"/>
    </row>
    <row r="427" ht="12.75" customHeight="1">
      <c r="A427" s="641" t="s">
        <v>6699</v>
      </c>
      <c r="B427" s="798" t="s">
        <v>1338</v>
      </c>
      <c r="C427" s="643" t="s">
        <v>5636</v>
      </c>
      <c r="D427" s="644">
        <f>SUMIF('Orcamento RU Viora Build'!$A:$A,A427,'Orcamento RU Viora Build'!$F:$F)</f>
        <v>210</v>
      </c>
      <c r="E427" s="645">
        <f t="shared" si="99"/>
        <v>0.546</v>
      </c>
      <c r="F427" s="646">
        <f t="shared" si="100"/>
        <v>114.66</v>
      </c>
      <c r="G427" s="782"/>
      <c r="H427" s="666"/>
      <c r="I427" s="658">
        <v>0.42</v>
      </c>
      <c r="J427" s="695">
        <v>0.0</v>
      </c>
      <c r="K427" s="689">
        <f t="shared" si="101"/>
        <v>0.42</v>
      </c>
      <c r="L427" s="689">
        <f t="shared" si="102"/>
        <v>88.2</v>
      </c>
      <c r="M427" s="690">
        <f t="shared" si="103"/>
        <v>26.46</v>
      </c>
      <c r="N427" s="659">
        <f t="shared" si="104"/>
        <v>0.3</v>
      </c>
      <c r="O427" s="675">
        <f t="shared" si="105"/>
        <v>0.2307692308</v>
      </c>
      <c r="P427" s="810" t="s">
        <v>6629</v>
      </c>
      <c r="Q427" s="698"/>
      <c r="R427" s="1"/>
      <c r="S427" s="668"/>
      <c r="T427" s="669"/>
      <c r="U427" s="1"/>
      <c r="V427" s="1"/>
      <c r="W427" s="1"/>
      <c r="X427" s="1"/>
      <c r="Y427" s="1"/>
    </row>
    <row r="428" ht="16.5" customHeight="1">
      <c r="A428" s="641" t="s">
        <v>6700</v>
      </c>
      <c r="B428" s="798" t="s">
        <v>6701</v>
      </c>
      <c r="C428" s="643" t="s">
        <v>5636</v>
      </c>
      <c r="D428" s="644">
        <f>SUMIF('Orcamento RU Viora Build'!$A:$A,A428,'Orcamento RU Viora Build'!$F:$F)</f>
        <v>21</v>
      </c>
      <c r="E428" s="645">
        <f t="shared" si="99"/>
        <v>4.537</v>
      </c>
      <c r="F428" s="646">
        <f t="shared" si="100"/>
        <v>95.277</v>
      </c>
      <c r="G428" s="782"/>
      <c r="H428" s="666"/>
      <c r="I428" s="658">
        <v>3.49</v>
      </c>
      <c r="J428" s="695">
        <v>0.0</v>
      </c>
      <c r="K428" s="689">
        <f t="shared" si="101"/>
        <v>3.49</v>
      </c>
      <c r="L428" s="689">
        <f t="shared" si="102"/>
        <v>73.29</v>
      </c>
      <c r="M428" s="690">
        <f t="shared" si="103"/>
        <v>21.987</v>
      </c>
      <c r="N428" s="659">
        <f t="shared" si="104"/>
        <v>0.3</v>
      </c>
      <c r="O428" s="675">
        <f t="shared" si="105"/>
        <v>0.2307692308</v>
      </c>
      <c r="P428" s="810" t="s">
        <v>5854</v>
      </c>
      <c r="Q428" s="698"/>
      <c r="R428" s="1"/>
      <c r="S428" s="668"/>
      <c r="T428" s="669"/>
      <c r="U428" s="1"/>
      <c r="V428" s="1"/>
      <c r="W428" s="1"/>
      <c r="X428" s="1"/>
      <c r="Y428" s="1"/>
    </row>
    <row r="429" ht="16.5" customHeight="1">
      <c r="A429" s="641" t="s">
        <v>6702</v>
      </c>
      <c r="B429" s="798" t="s">
        <v>6703</v>
      </c>
      <c r="C429" s="643" t="s">
        <v>5636</v>
      </c>
      <c r="D429" s="644">
        <f>SUMIF('Orcamento RU Viora Build'!$A:$A,A429,'Orcamento RU Viora Build'!$F:$F)</f>
        <v>52</v>
      </c>
      <c r="E429" s="645">
        <f t="shared" si="99"/>
        <v>4.537</v>
      </c>
      <c r="F429" s="646">
        <f t="shared" si="100"/>
        <v>235.924</v>
      </c>
      <c r="G429" s="782"/>
      <c r="H429" s="666"/>
      <c r="I429" s="658">
        <v>3.49</v>
      </c>
      <c r="J429" s="695">
        <v>0.0</v>
      </c>
      <c r="K429" s="689">
        <f t="shared" si="101"/>
        <v>3.49</v>
      </c>
      <c r="L429" s="689">
        <f t="shared" si="102"/>
        <v>181.48</v>
      </c>
      <c r="M429" s="690">
        <f t="shared" si="103"/>
        <v>54.444</v>
      </c>
      <c r="N429" s="659">
        <f t="shared" si="104"/>
        <v>0.3</v>
      </c>
      <c r="O429" s="675">
        <f t="shared" si="105"/>
        <v>0.2307692308</v>
      </c>
      <c r="P429" s="810" t="s">
        <v>5854</v>
      </c>
      <c r="Q429" s="698"/>
      <c r="R429" s="1"/>
      <c r="S429" s="668"/>
      <c r="T429" s="669"/>
      <c r="U429" s="1"/>
      <c r="V429" s="1"/>
      <c r="W429" s="1"/>
      <c r="X429" s="1"/>
      <c r="Y429" s="1"/>
    </row>
    <row r="430" ht="16.5" customHeight="1">
      <c r="A430" s="641" t="s">
        <v>6704</v>
      </c>
      <c r="B430" s="798" t="s">
        <v>6705</v>
      </c>
      <c r="C430" s="643" t="s">
        <v>5636</v>
      </c>
      <c r="D430" s="644">
        <f>SUMIF('Orcamento RU Viora Build'!$A:$A,A430,'Orcamento RU Viora Build'!$F:$F)</f>
        <v>8</v>
      </c>
      <c r="E430" s="645">
        <f t="shared" si="99"/>
        <v>18.187</v>
      </c>
      <c r="F430" s="646">
        <f t="shared" si="100"/>
        <v>145.496</v>
      </c>
      <c r="G430" s="782"/>
      <c r="H430" s="666"/>
      <c r="I430" s="658">
        <v>13.99</v>
      </c>
      <c r="J430" s="695">
        <v>0.0</v>
      </c>
      <c r="K430" s="689">
        <f t="shared" si="101"/>
        <v>13.99</v>
      </c>
      <c r="L430" s="689">
        <f t="shared" si="102"/>
        <v>111.92</v>
      </c>
      <c r="M430" s="690">
        <f t="shared" si="103"/>
        <v>33.576</v>
      </c>
      <c r="N430" s="659">
        <f t="shared" si="104"/>
        <v>0.3</v>
      </c>
      <c r="O430" s="675">
        <f t="shared" si="105"/>
        <v>0.2307692308</v>
      </c>
      <c r="P430" s="810" t="s">
        <v>6706</v>
      </c>
      <c r="Q430" s="698"/>
      <c r="R430" s="1"/>
      <c r="S430" s="668"/>
      <c r="T430" s="669"/>
      <c r="U430" s="1"/>
      <c r="V430" s="1"/>
      <c r="W430" s="1"/>
      <c r="X430" s="1"/>
      <c r="Y430" s="1"/>
    </row>
    <row r="431" ht="16.5" customHeight="1">
      <c r="A431" s="641" t="s">
        <v>6707</v>
      </c>
      <c r="B431" s="798" t="s">
        <v>6708</v>
      </c>
      <c r="C431" s="643" t="s">
        <v>5636</v>
      </c>
      <c r="D431" s="644">
        <f>SUMIF('Orcamento RU Viora Build'!$A:$A,A431,'Orcamento RU Viora Build'!$F:$F)</f>
        <v>9</v>
      </c>
      <c r="E431" s="645">
        <f t="shared" si="99"/>
        <v>7.852</v>
      </c>
      <c r="F431" s="646">
        <f t="shared" si="100"/>
        <v>70.668</v>
      </c>
      <c r="G431" s="782"/>
      <c r="H431" s="666"/>
      <c r="I431" s="658">
        <v>6.04</v>
      </c>
      <c r="J431" s="695">
        <v>0.0</v>
      </c>
      <c r="K431" s="689">
        <f t="shared" si="101"/>
        <v>6.04</v>
      </c>
      <c r="L431" s="689">
        <f t="shared" si="102"/>
        <v>54.36</v>
      </c>
      <c r="M431" s="690">
        <f t="shared" si="103"/>
        <v>16.308</v>
      </c>
      <c r="N431" s="659">
        <f t="shared" si="104"/>
        <v>0.3</v>
      </c>
      <c r="O431" s="675">
        <f t="shared" si="105"/>
        <v>0.2307692308</v>
      </c>
      <c r="P431" s="813" t="s">
        <v>6709</v>
      </c>
      <c r="Q431" s="698"/>
      <c r="R431" s="1"/>
      <c r="S431" s="668"/>
      <c r="T431" s="669"/>
      <c r="U431" s="1"/>
      <c r="V431" s="1"/>
      <c r="W431" s="1"/>
      <c r="X431" s="1"/>
      <c r="Y431" s="1"/>
    </row>
    <row r="432" ht="16.5" customHeight="1">
      <c r="A432" s="641" t="s">
        <v>6710</v>
      </c>
      <c r="B432" s="798" t="s">
        <v>6711</v>
      </c>
      <c r="C432" s="643" t="s">
        <v>5636</v>
      </c>
      <c r="D432" s="644">
        <f>SUMIF('Orcamento RU Viora Build'!$A:$A,A432,'Orcamento RU Viora Build'!$F:$F)</f>
        <v>6</v>
      </c>
      <c r="E432" s="645">
        <f t="shared" si="99"/>
        <v>15.73</v>
      </c>
      <c r="F432" s="646">
        <f t="shared" si="100"/>
        <v>94.38</v>
      </c>
      <c r="G432" s="782"/>
      <c r="H432" s="666"/>
      <c r="I432" s="658">
        <v>12.1</v>
      </c>
      <c r="J432" s="695">
        <v>0.0</v>
      </c>
      <c r="K432" s="689">
        <f t="shared" si="101"/>
        <v>12.1</v>
      </c>
      <c r="L432" s="689">
        <f t="shared" si="102"/>
        <v>72.6</v>
      </c>
      <c r="M432" s="690">
        <f t="shared" si="103"/>
        <v>21.78</v>
      </c>
      <c r="N432" s="659">
        <f t="shared" si="104"/>
        <v>0.3</v>
      </c>
      <c r="O432" s="675">
        <f t="shared" si="105"/>
        <v>0.2307692308</v>
      </c>
      <c r="P432" s="813" t="s">
        <v>6709</v>
      </c>
      <c r="Q432" s="698"/>
      <c r="R432" s="1"/>
      <c r="S432" s="668"/>
      <c r="T432" s="669"/>
      <c r="U432" s="1"/>
      <c r="V432" s="1"/>
      <c r="W432" s="1"/>
      <c r="X432" s="1"/>
      <c r="Y432" s="1"/>
    </row>
    <row r="433" ht="16.5" customHeight="1">
      <c r="A433" s="641" t="s">
        <v>6712</v>
      </c>
      <c r="B433" s="798" t="s">
        <v>1345</v>
      </c>
      <c r="C433" s="643" t="s">
        <v>5636</v>
      </c>
      <c r="D433" s="644">
        <f>SUMIF('Orcamento RU Viora Build'!$A:$A,A433,'Orcamento RU Viora Build'!$F:$F)</f>
        <v>2</v>
      </c>
      <c r="E433" s="645">
        <f t="shared" si="99"/>
        <v>884</v>
      </c>
      <c r="F433" s="646">
        <f t="shared" si="100"/>
        <v>1768</v>
      </c>
      <c r="G433" s="782"/>
      <c r="H433" s="666"/>
      <c r="I433" s="658">
        <v>680.0</v>
      </c>
      <c r="J433" s="695">
        <v>0.0</v>
      </c>
      <c r="K433" s="689">
        <f t="shared" si="101"/>
        <v>680</v>
      </c>
      <c r="L433" s="689">
        <f t="shared" si="102"/>
        <v>1360</v>
      </c>
      <c r="M433" s="690">
        <f t="shared" si="103"/>
        <v>408</v>
      </c>
      <c r="N433" s="659">
        <f t="shared" si="104"/>
        <v>0.3</v>
      </c>
      <c r="O433" s="675">
        <f t="shared" si="105"/>
        <v>0.2307692308</v>
      </c>
      <c r="P433" s="814" t="s">
        <v>6713</v>
      </c>
      <c r="Q433" s="698"/>
      <c r="R433" s="1"/>
      <c r="S433" s="668"/>
      <c r="T433" s="669"/>
      <c r="U433" s="1"/>
      <c r="V433" s="1"/>
      <c r="W433" s="1"/>
      <c r="X433" s="1"/>
      <c r="Y433" s="1"/>
    </row>
    <row r="434" ht="16.5" customHeight="1">
      <c r="A434" s="641" t="s">
        <v>6714</v>
      </c>
      <c r="B434" s="798" t="s">
        <v>6715</v>
      </c>
      <c r="C434" s="643" t="s">
        <v>5636</v>
      </c>
      <c r="D434" s="644">
        <f>SUMIF('Orcamento RU Viora Build'!$A:$A,A434,'Orcamento RU Viora Build'!$F:$F)</f>
        <v>10</v>
      </c>
      <c r="E434" s="645">
        <f t="shared" si="99"/>
        <v>680.29</v>
      </c>
      <c r="F434" s="646">
        <f t="shared" si="100"/>
        <v>6802.9</v>
      </c>
      <c r="G434" s="782"/>
      <c r="H434" s="666"/>
      <c r="I434" s="658">
        <v>523.3</v>
      </c>
      <c r="J434" s="695">
        <v>0.0</v>
      </c>
      <c r="K434" s="689">
        <f t="shared" si="101"/>
        <v>523.3</v>
      </c>
      <c r="L434" s="689">
        <f t="shared" si="102"/>
        <v>5233</v>
      </c>
      <c r="M434" s="690">
        <f t="shared" si="103"/>
        <v>1569.9</v>
      </c>
      <c r="N434" s="659">
        <f t="shared" si="104"/>
        <v>0.3</v>
      </c>
      <c r="O434" s="675">
        <f t="shared" si="105"/>
        <v>0.2307692308</v>
      </c>
      <c r="P434" s="815" t="s">
        <v>6716</v>
      </c>
      <c r="Q434" s="698"/>
      <c r="R434" s="1"/>
      <c r="S434" s="668"/>
      <c r="T434" s="669"/>
      <c r="U434" s="1"/>
      <c r="V434" s="1"/>
      <c r="W434" s="1"/>
      <c r="X434" s="1"/>
      <c r="Y434" s="1"/>
    </row>
    <row r="435" ht="16.5" customHeight="1">
      <c r="A435" s="641" t="s">
        <v>6717</v>
      </c>
      <c r="B435" s="798" t="s">
        <v>6718</v>
      </c>
      <c r="C435" s="643" t="s">
        <v>5636</v>
      </c>
      <c r="D435" s="644">
        <f>SUMIF('Orcamento RU Viora Build'!$A:$A,A435,'Orcamento RU Viora Build'!$F:$F)</f>
        <v>2</v>
      </c>
      <c r="E435" s="645">
        <f t="shared" si="99"/>
        <v>165.685</v>
      </c>
      <c r="F435" s="646">
        <f t="shared" si="100"/>
        <v>331.37</v>
      </c>
      <c r="G435" s="782"/>
      <c r="H435" s="666"/>
      <c r="I435" s="658">
        <v>127.45</v>
      </c>
      <c r="J435" s="695">
        <v>0.0</v>
      </c>
      <c r="K435" s="689">
        <f t="shared" si="101"/>
        <v>127.45</v>
      </c>
      <c r="L435" s="689">
        <f t="shared" si="102"/>
        <v>254.9</v>
      </c>
      <c r="M435" s="690">
        <f t="shared" si="103"/>
        <v>76.47</v>
      </c>
      <c r="N435" s="659">
        <f t="shared" si="104"/>
        <v>0.3</v>
      </c>
      <c r="O435" s="675">
        <f t="shared" si="105"/>
        <v>0.2307692308</v>
      </c>
      <c r="P435" s="808" t="s">
        <v>6719</v>
      </c>
      <c r="Q435" s="698"/>
      <c r="R435" s="1"/>
      <c r="S435" s="668"/>
      <c r="T435" s="669"/>
      <c r="U435" s="1"/>
      <c r="V435" s="1"/>
      <c r="W435" s="1"/>
      <c r="X435" s="1"/>
      <c r="Y435" s="1"/>
    </row>
    <row r="436" ht="16.5" customHeight="1">
      <c r="A436" s="641" t="s">
        <v>6720</v>
      </c>
      <c r="B436" s="798" t="s">
        <v>6721</v>
      </c>
      <c r="C436" s="643" t="s">
        <v>5636</v>
      </c>
      <c r="D436" s="644">
        <f>SUMIF('Orcamento RU Viora Build'!$A:$A,A436,'Orcamento RU Viora Build'!$F:$F)</f>
        <v>14</v>
      </c>
      <c r="E436" s="645">
        <f t="shared" si="99"/>
        <v>11.479</v>
      </c>
      <c r="F436" s="646">
        <f t="shared" si="100"/>
        <v>160.706</v>
      </c>
      <c r="G436" s="782"/>
      <c r="H436" s="666"/>
      <c r="I436" s="658">
        <v>8.83</v>
      </c>
      <c r="J436" s="695">
        <v>0.0</v>
      </c>
      <c r="K436" s="689">
        <f t="shared" si="101"/>
        <v>8.83</v>
      </c>
      <c r="L436" s="689">
        <f t="shared" si="102"/>
        <v>123.62</v>
      </c>
      <c r="M436" s="690">
        <f t="shared" si="103"/>
        <v>37.086</v>
      </c>
      <c r="N436" s="659">
        <f t="shared" si="104"/>
        <v>0.3</v>
      </c>
      <c r="O436" s="675">
        <f t="shared" si="105"/>
        <v>0.2307692308</v>
      </c>
      <c r="P436" s="807" t="s">
        <v>6722</v>
      </c>
      <c r="Q436" s="698"/>
      <c r="R436" s="1"/>
      <c r="S436" s="668"/>
      <c r="T436" s="669"/>
      <c r="U436" s="1"/>
      <c r="V436" s="1"/>
      <c r="W436" s="1"/>
      <c r="X436" s="1"/>
      <c r="Y436" s="1"/>
    </row>
    <row r="437" ht="16.5" customHeight="1">
      <c r="A437" s="641" t="s">
        <v>6723</v>
      </c>
      <c r="B437" s="798" t="s">
        <v>6724</v>
      </c>
      <c r="C437" s="643" t="s">
        <v>5631</v>
      </c>
      <c r="D437" s="644">
        <f>SUMIF('Orcamento RU Viora Build'!$A:$A,A437,'Orcamento RU Viora Build'!$F:$F)</f>
        <v>704</v>
      </c>
      <c r="E437" s="645">
        <f t="shared" si="99"/>
        <v>2.249</v>
      </c>
      <c r="F437" s="646">
        <f t="shared" si="100"/>
        <v>1583.296</v>
      </c>
      <c r="G437" s="782"/>
      <c r="H437" s="666"/>
      <c r="I437" s="658">
        <v>1.73</v>
      </c>
      <c r="J437" s="695">
        <v>0.0</v>
      </c>
      <c r="K437" s="689">
        <f t="shared" si="101"/>
        <v>1.73</v>
      </c>
      <c r="L437" s="689">
        <f t="shared" si="102"/>
        <v>1217.92</v>
      </c>
      <c r="M437" s="690">
        <f t="shared" si="103"/>
        <v>365.376</v>
      </c>
      <c r="N437" s="659">
        <f t="shared" si="104"/>
        <v>0.3</v>
      </c>
      <c r="O437" s="675">
        <f t="shared" si="105"/>
        <v>0.2307692308</v>
      </c>
      <c r="P437" s="808" t="s">
        <v>6725</v>
      </c>
      <c r="Q437" s="698"/>
      <c r="R437" s="1"/>
      <c r="S437" s="668"/>
      <c r="T437" s="669"/>
      <c r="U437" s="1"/>
      <c r="V437" s="1"/>
      <c r="W437" s="1"/>
      <c r="X437" s="1"/>
      <c r="Y437" s="1"/>
    </row>
    <row r="438" ht="16.5" customHeight="1">
      <c r="A438" s="641" t="s">
        <v>6726</v>
      </c>
      <c r="B438" s="798" t="s">
        <v>6727</v>
      </c>
      <c r="C438" s="643" t="s">
        <v>5636</v>
      </c>
      <c r="D438" s="644">
        <f>SUMIF('Orcamento RU Viora Build'!$A:$A,A438,'Orcamento RU Viora Build'!$F:$F)</f>
        <v>228</v>
      </c>
      <c r="E438" s="645">
        <f t="shared" si="99"/>
        <v>2.392</v>
      </c>
      <c r="F438" s="646">
        <f t="shared" si="100"/>
        <v>545.376</v>
      </c>
      <c r="G438" s="782"/>
      <c r="H438" s="666"/>
      <c r="I438" s="658">
        <v>1.84</v>
      </c>
      <c r="J438" s="695">
        <v>0.0</v>
      </c>
      <c r="K438" s="689">
        <f t="shared" si="101"/>
        <v>1.84</v>
      </c>
      <c r="L438" s="689">
        <f t="shared" si="102"/>
        <v>419.52</v>
      </c>
      <c r="M438" s="690">
        <f t="shared" si="103"/>
        <v>125.856</v>
      </c>
      <c r="N438" s="659">
        <f t="shared" si="104"/>
        <v>0.3</v>
      </c>
      <c r="O438" s="675">
        <f t="shared" si="105"/>
        <v>0.2307692308</v>
      </c>
      <c r="P438" s="808" t="s">
        <v>6728</v>
      </c>
      <c r="Q438" s="698"/>
      <c r="R438" s="1"/>
      <c r="S438" s="668"/>
      <c r="T438" s="669"/>
      <c r="U438" s="1"/>
      <c r="V438" s="1"/>
      <c r="W438" s="1"/>
      <c r="X438" s="1"/>
      <c r="Y438" s="1"/>
    </row>
    <row r="439" ht="16.5" customHeight="1">
      <c r="A439" s="641" t="s">
        <v>6729</v>
      </c>
      <c r="B439" s="798" t="s">
        <v>6730</v>
      </c>
      <c r="C439" s="643" t="s">
        <v>5631</v>
      </c>
      <c r="D439" s="644">
        <f>SUMIF('Orcamento RU Viora Build'!$A:$A,A439,'Orcamento RU Viora Build'!$F:$F)</f>
        <v>984</v>
      </c>
      <c r="E439" s="645">
        <f t="shared" si="99"/>
        <v>1.04</v>
      </c>
      <c r="F439" s="646">
        <f t="shared" si="100"/>
        <v>1023.36</v>
      </c>
      <c r="G439" s="782"/>
      <c r="H439" s="666"/>
      <c r="I439" s="658">
        <v>0.8</v>
      </c>
      <c r="J439" s="695">
        <v>0.0</v>
      </c>
      <c r="K439" s="689">
        <f t="shared" si="101"/>
        <v>0.8</v>
      </c>
      <c r="L439" s="689">
        <f t="shared" si="102"/>
        <v>787.2</v>
      </c>
      <c r="M439" s="690">
        <f t="shared" si="103"/>
        <v>236.16</v>
      </c>
      <c r="N439" s="659">
        <f t="shared" si="104"/>
        <v>0.3</v>
      </c>
      <c r="O439" s="675">
        <f t="shared" si="105"/>
        <v>0.2307692308</v>
      </c>
      <c r="P439" s="808" t="s">
        <v>6731</v>
      </c>
      <c r="Q439" s="698"/>
      <c r="R439" s="1"/>
      <c r="S439" s="668"/>
      <c r="T439" s="669"/>
      <c r="U439" s="1"/>
      <c r="V439" s="1"/>
      <c r="W439" s="1"/>
      <c r="X439" s="1"/>
      <c r="Y439" s="1"/>
    </row>
    <row r="440" ht="16.5" customHeight="1">
      <c r="A440" s="641" t="s">
        <v>6732</v>
      </c>
      <c r="B440" s="798" t="s">
        <v>6733</v>
      </c>
      <c r="C440" s="643" t="s">
        <v>5631</v>
      </c>
      <c r="D440" s="644">
        <f>SUMIF('Orcamento RU Viora Build'!$A:$A,A440,'Orcamento RU Viora Build'!$F:$F)</f>
        <v>1527</v>
      </c>
      <c r="E440" s="645">
        <f t="shared" si="99"/>
        <v>1.027</v>
      </c>
      <c r="F440" s="646">
        <f t="shared" si="100"/>
        <v>1568.229</v>
      </c>
      <c r="G440" s="782"/>
      <c r="H440" s="666"/>
      <c r="I440" s="658">
        <v>0.79</v>
      </c>
      <c r="J440" s="695">
        <v>0.0</v>
      </c>
      <c r="K440" s="689">
        <f t="shared" si="101"/>
        <v>0.79</v>
      </c>
      <c r="L440" s="689">
        <f t="shared" si="102"/>
        <v>1206.33</v>
      </c>
      <c r="M440" s="690">
        <f t="shared" si="103"/>
        <v>361.899</v>
      </c>
      <c r="N440" s="659">
        <f t="shared" si="104"/>
        <v>0.3</v>
      </c>
      <c r="O440" s="675">
        <f t="shared" si="105"/>
        <v>0.2307692308</v>
      </c>
      <c r="P440" s="808" t="s">
        <v>6734</v>
      </c>
      <c r="Q440" s="698"/>
      <c r="R440" s="1"/>
      <c r="S440" s="668"/>
      <c r="T440" s="669"/>
      <c r="U440" s="1"/>
      <c r="V440" s="1"/>
      <c r="W440" s="1"/>
      <c r="X440" s="1"/>
      <c r="Y440" s="1"/>
    </row>
    <row r="441" ht="16.5" customHeight="1">
      <c r="A441" s="641" t="s">
        <v>6735</v>
      </c>
      <c r="B441" s="798" t="s">
        <v>6736</v>
      </c>
      <c r="C441" s="643" t="s">
        <v>5631</v>
      </c>
      <c r="D441" s="644">
        <f>SUMIF('Orcamento RU Viora Build'!$A:$A,A441,'Orcamento RU Viora Build'!$F:$F)</f>
        <v>355</v>
      </c>
      <c r="E441" s="645">
        <f t="shared" si="99"/>
        <v>2.262</v>
      </c>
      <c r="F441" s="646">
        <f t="shared" si="100"/>
        <v>803.01</v>
      </c>
      <c r="G441" s="782"/>
      <c r="H441" s="666"/>
      <c r="I441" s="658">
        <v>1.74</v>
      </c>
      <c r="J441" s="695">
        <v>0.0</v>
      </c>
      <c r="K441" s="689">
        <f t="shared" si="101"/>
        <v>1.74</v>
      </c>
      <c r="L441" s="689">
        <f t="shared" si="102"/>
        <v>617.7</v>
      </c>
      <c r="M441" s="690">
        <f t="shared" si="103"/>
        <v>185.31</v>
      </c>
      <c r="N441" s="659">
        <f t="shared" si="104"/>
        <v>0.3</v>
      </c>
      <c r="O441" s="675">
        <f t="shared" si="105"/>
        <v>0.2307692308</v>
      </c>
      <c r="P441" s="808" t="s">
        <v>6737</v>
      </c>
      <c r="Q441" s="698"/>
      <c r="R441" s="1"/>
      <c r="S441" s="668"/>
      <c r="T441" s="669"/>
      <c r="U441" s="1"/>
      <c r="V441" s="1"/>
      <c r="W441" s="1"/>
      <c r="X441" s="1"/>
      <c r="Y441" s="1"/>
    </row>
    <row r="442" ht="16.5" customHeight="1">
      <c r="A442" s="641" t="s">
        <v>6738</v>
      </c>
      <c r="B442" s="798" t="s">
        <v>6739</v>
      </c>
      <c r="C442" s="643" t="s">
        <v>5636</v>
      </c>
      <c r="D442" s="644">
        <f>SUMIF('Orcamento RU Viora Build'!$A:$A,A442,'Orcamento RU Viora Build'!$F:$F)</f>
        <v>10</v>
      </c>
      <c r="E442" s="645">
        <f t="shared" si="99"/>
        <v>48.685</v>
      </c>
      <c r="F442" s="646">
        <f t="shared" si="100"/>
        <v>486.85</v>
      </c>
      <c r="G442" s="782"/>
      <c r="H442" s="666"/>
      <c r="I442" s="658">
        <v>37.45</v>
      </c>
      <c r="J442" s="695">
        <v>0.0</v>
      </c>
      <c r="K442" s="689">
        <f t="shared" si="101"/>
        <v>37.45</v>
      </c>
      <c r="L442" s="689">
        <f t="shared" si="102"/>
        <v>374.5</v>
      </c>
      <c r="M442" s="690">
        <f t="shared" si="103"/>
        <v>112.35</v>
      </c>
      <c r="N442" s="659">
        <f t="shared" si="104"/>
        <v>0.3</v>
      </c>
      <c r="O442" s="675">
        <f t="shared" si="105"/>
        <v>0.2307692308</v>
      </c>
      <c r="P442" s="807" t="s">
        <v>6740</v>
      </c>
      <c r="Q442" s="698"/>
      <c r="R442" s="1"/>
      <c r="S442" s="668"/>
      <c r="T442" s="669"/>
      <c r="U442" s="1"/>
      <c r="V442" s="1"/>
      <c r="W442" s="1"/>
      <c r="X442" s="1"/>
      <c r="Y442" s="1"/>
    </row>
    <row r="443" ht="16.5" customHeight="1">
      <c r="A443" s="641" t="s">
        <v>6741</v>
      </c>
      <c r="B443" s="798" t="s">
        <v>6742</v>
      </c>
      <c r="C443" s="643" t="s">
        <v>5636</v>
      </c>
      <c r="D443" s="644">
        <f>SUMIF('Orcamento RU Viora Build'!$A:$A,A443,'Orcamento RU Viora Build'!$F:$F)</f>
        <v>15</v>
      </c>
      <c r="E443" s="645">
        <f t="shared" si="99"/>
        <v>11.947</v>
      </c>
      <c r="F443" s="646">
        <f t="shared" si="100"/>
        <v>179.205</v>
      </c>
      <c r="G443" s="782"/>
      <c r="H443" s="666"/>
      <c r="I443" s="658">
        <v>9.19</v>
      </c>
      <c r="J443" s="695">
        <v>0.0</v>
      </c>
      <c r="K443" s="689">
        <f t="shared" si="101"/>
        <v>9.19</v>
      </c>
      <c r="L443" s="689">
        <f t="shared" si="102"/>
        <v>137.85</v>
      </c>
      <c r="M443" s="690">
        <f t="shared" si="103"/>
        <v>41.355</v>
      </c>
      <c r="N443" s="659">
        <f t="shared" si="104"/>
        <v>0.3</v>
      </c>
      <c r="O443" s="675">
        <f t="shared" si="105"/>
        <v>0.2307692308</v>
      </c>
      <c r="P443" s="808" t="s">
        <v>6743</v>
      </c>
      <c r="Q443" s="698"/>
      <c r="R443" s="1"/>
      <c r="S443" s="668"/>
      <c r="T443" s="669"/>
      <c r="U443" s="1"/>
      <c r="V443" s="1"/>
      <c r="W443" s="1"/>
      <c r="X443" s="1"/>
      <c r="Y443" s="1"/>
    </row>
    <row r="444" ht="16.5" customHeight="1">
      <c r="A444" s="641" t="s">
        <v>6744</v>
      </c>
      <c r="B444" s="798" t="s">
        <v>6745</v>
      </c>
      <c r="C444" s="643" t="s">
        <v>5636</v>
      </c>
      <c r="D444" s="644">
        <f>SUMIF('Orcamento RU Viora Build'!$A:$A,A444,'Orcamento RU Viora Build'!$F:$F)</f>
        <v>355</v>
      </c>
      <c r="E444" s="645">
        <f t="shared" si="99"/>
        <v>9.997</v>
      </c>
      <c r="F444" s="646">
        <f t="shared" si="100"/>
        <v>3548.935</v>
      </c>
      <c r="G444" s="782"/>
      <c r="H444" s="666"/>
      <c r="I444" s="658">
        <v>7.69</v>
      </c>
      <c r="J444" s="695">
        <v>0.0</v>
      </c>
      <c r="K444" s="689">
        <f t="shared" si="101"/>
        <v>7.69</v>
      </c>
      <c r="L444" s="689">
        <f t="shared" si="102"/>
        <v>2729.95</v>
      </c>
      <c r="M444" s="690">
        <f t="shared" si="103"/>
        <v>818.985</v>
      </c>
      <c r="N444" s="659">
        <f t="shared" si="104"/>
        <v>0.3</v>
      </c>
      <c r="O444" s="675">
        <f t="shared" si="105"/>
        <v>0.2307692308</v>
      </c>
      <c r="P444" s="673" t="s">
        <v>5965</v>
      </c>
      <c r="Q444" s="698"/>
      <c r="R444" s="1"/>
      <c r="S444" s="668"/>
      <c r="T444" s="669"/>
      <c r="U444" s="1"/>
      <c r="V444" s="1"/>
      <c r="W444" s="1"/>
      <c r="X444" s="1"/>
      <c r="Y444" s="1"/>
    </row>
    <row r="445" ht="16.5" customHeight="1">
      <c r="A445" s="641" t="s">
        <v>6746</v>
      </c>
      <c r="B445" s="798" t="s">
        <v>6747</v>
      </c>
      <c r="C445" s="643" t="s">
        <v>5636</v>
      </c>
      <c r="D445" s="644">
        <f>SUMIF('Orcamento RU Viora Build'!$A:$A,A445,'Orcamento RU Viora Build'!$F:$F)</f>
        <v>2</v>
      </c>
      <c r="E445" s="645">
        <f t="shared" si="99"/>
        <v>18.837</v>
      </c>
      <c r="F445" s="646">
        <f t="shared" si="100"/>
        <v>37.674</v>
      </c>
      <c r="G445" s="782"/>
      <c r="H445" s="666"/>
      <c r="I445" s="658">
        <v>14.49</v>
      </c>
      <c r="J445" s="695">
        <v>0.0</v>
      </c>
      <c r="K445" s="689">
        <f t="shared" si="101"/>
        <v>14.49</v>
      </c>
      <c r="L445" s="689">
        <f t="shared" si="102"/>
        <v>28.98</v>
      </c>
      <c r="M445" s="690">
        <f t="shared" si="103"/>
        <v>8.694</v>
      </c>
      <c r="N445" s="659">
        <f t="shared" si="104"/>
        <v>0.3</v>
      </c>
      <c r="O445" s="675">
        <f t="shared" si="105"/>
        <v>0.2307692308</v>
      </c>
      <c r="P445" s="673" t="s">
        <v>6688</v>
      </c>
      <c r="Q445" s="698"/>
      <c r="R445" s="1"/>
      <c r="S445" s="668"/>
      <c r="T445" s="669"/>
      <c r="U445" s="1"/>
      <c r="V445" s="1"/>
      <c r="W445" s="1"/>
      <c r="X445" s="1"/>
      <c r="Y445" s="1"/>
    </row>
    <row r="446" ht="16.5" customHeight="1">
      <c r="A446" s="641" t="s">
        <v>6748</v>
      </c>
      <c r="B446" s="798" t="s">
        <v>6749</v>
      </c>
      <c r="C446" s="643" t="s">
        <v>5636</v>
      </c>
      <c r="D446" s="644">
        <f>SUMIF('Orcamento RU Viora Build'!$A:$A,A446,'Orcamento RU Viora Build'!$F:$F)</f>
        <v>22</v>
      </c>
      <c r="E446" s="645">
        <f t="shared" si="99"/>
        <v>0</v>
      </c>
      <c r="F446" s="646">
        <f t="shared" si="100"/>
        <v>0</v>
      </c>
      <c r="G446" s="782"/>
      <c r="H446" s="666"/>
      <c r="I446" s="679"/>
      <c r="J446" s="678"/>
      <c r="K446" s="801"/>
      <c r="L446" s="801"/>
      <c r="M446" s="802"/>
      <c r="N446" s="659">
        <f t="shared" si="104"/>
        <v>0.3</v>
      </c>
      <c r="O446" s="744"/>
      <c r="P446" s="744"/>
      <c r="Q446" s="768" t="s">
        <v>6362</v>
      </c>
      <c r="R446" s="1"/>
      <c r="S446" s="685"/>
      <c r="T446" s="686"/>
      <c r="U446" s="1"/>
      <c r="V446" s="1"/>
      <c r="W446" s="1"/>
      <c r="X446" s="1"/>
      <c r="Y446" s="1"/>
    </row>
    <row r="447" ht="16.5" customHeight="1">
      <c r="A447" s="641" t="s">
        <v>6750</v>
      </c>
      <c r="B447" s="798" t="s">
        <v>6751</v>
      </c>
      <c r="C447" s="643" t="s">
        <v>5636</v>
      </c>
      <c r="D447" s="644">
        <f>SUMIF('Orcamento RU Viora Build'!$A:$A,A447,'Orcamento RU Viora Build'!$F:$F)</f>
        <v>3</v>
      </c>
      <c r="E447" s="645">
        <f t="shared" si="99"/>
        <v>1.859</v>
      </c>
      <c r="F447" s="646">
        <f t="shared" si="100"/>
        <v>5.577</v>
      </c>
      <c r="G447" s="782"/>
      <c r="H447" s="666"/>
      <c r="I447" s="658">
        <v>1.43</v>
      </c>
      <c r="J447" s="695">
        <v>0.0</v>
      </c>
      <c r="K447" s="689">
        <f t="shared" ref="K447:K460" si="106">I447-I447*J447</f>
        <v>1.43</v>
      </c>
      <c r="L447" s="689">
        <f t="shared" ref="L447:L460" si="107">K447*D447</f>
        <v>4.29</v>
      </c>
      <c r="M447" s="690">
        <f t="shared" ref="M447:M460" si="108">F447-L447</f>
        <v>1.287</v>
      </c>
      <c r="N447" s="659">
        <f t="shared" si="104"/>
        <v>0.3</v>
      </c>
      <c r="O447" s="675">
        <f t="shared" ref="O447:O460" si="109">M447/F447</f>
        <v>0.2307692308</v>
      </c>
      <c r="P447" s="673" t="s">
        <v>6752</v>
      </c>
      <c r="Q447" s="698"/>
      <c r="R447" s="1"/>
      <c r="S447" s="668"/>
      <c r="T447" s="669"/>
      <c r="U447" s="1"/>
      <c r="V447" s="1"/>
      <c r="W447" s="1"/>
      <c r="X447" s="1"/>
      <c r="Y447" s="1"/>
    </row>
    <row r="448" ht="16.5" customHeight="1">
      <c r="A448" s="641" t="s">
        <v>6753</v>
      </c>
      <c r="B448" s="798" t="s">
        <v>6754</v>
      </c>
      <c r="C448" s="643" t="s">
        <v>5636</v>
      </c>
      <c r="D448" s="644">
        <f>SUMIF('Orcamento RU Viora Build'!$A:$A,A448,'Orcamento RU Viora Build'!$F:$F)</f>
        <v>3</v>
      </c>
      <c r="E448" s="645">
        <f t="shared" si="99"/>
        <v>13.143</v>
      </c>
      <c r="F448" s="646">
        <f t="shared" si="100"/>
        <v>39.429</v>
      </c>
      <c r="G448" s="782"/>
      <c r="H448" s="666"/>
      <c r="I448" s="658">
        <v>10.11</v>
      </c>
      <c r="J448" s="695">
        <v>0.0</v>
      </c>
      <c r="K448" s="689">
        <f t="shared" si="106"/>
        <v>10.11</v>
      </c>
      <c r="L448" s="689">
        <f t="shared" si="107"/>
        <v>30.33</v>
      </c>
      <c r="M448" s="690">
        <f t="shared" si="108"/>
        <v>9.099</v>
      </c>
      <c r="N448" s="659">
        <f t="shared" si="104"/>
        <v>0.3</v>
      </c>
      <c r="O448" s="675">
        <f t="shared" si="109"/>
        <v>0.2307692308</v>
      </c>
      <c r="P448" s="673" t="s">
        <v>6629</v>
      </c>
      <c r="Q448" s="698"/>
      <c r="R448" s="1"/>
      <c r="S448" s="668"/>
      <c r="T448" s="669"/>
      <c r="U448" s="1"/>
      <c r="V448" s="1"/>
      <c r="W448" s="1"/>
      <c r="X448" s="1"/>
      <c r="Y448" s="1"/>
    </row>
    <row r="449" ht="16.5" customHeight="1">
      <c r="A449" s="641" t="s">
        <v>6755</v>
      </c>
      <c r="B449" s="798" t="s">
        <v>6756</v>
      </c>
      <c r="C449" s="643" t="s">
        <v>5636</v>
      </c>
      <c r="D449" s="644">
        <f>SUMIF('Orcamento RU Viora Build'!$A:$A,A449,'Orcamento RU Viora Build'!$F:$F)</f>
        <v>7</v>
      </c>
      <c r="E449" s="645">
        <f t="shared" si="99"/>
        <v>46.93</v>
      </c>
      <c r="F449" s="646">
        <f t="shared" si="100"/>
        <v>328.51</v>
      </c>
      <c r="G449" s="782"/>
      <c r="H449" s="666"/>
      <c r="I449" s="658">
        <v>36.1</v>
      </c>
      <c r="J449" s="695">
        <v>0.0</v>
      </c>
      <c r="K449" s="689">
        <f t="shared" si="106"/>
        <v>36.1</v>
      </c>
      <c r="L449" s="689">
        <f t="shared" si="107"/>
        <v>252.7</v>
      </c>
      <c r="M449" s="690">
        <f t="shared" si="108"/>
        <v>75.81</v>
      </c>
      <c r="N449" s="659">
        <f t="shared" si="104"/>
        <v>0.3</v>
      </c>
      <c r="O449" s="675">
        <f t="shared" si="109"/>
        <v>0.2307692308</v>
      </c>
      <c r="P449" s="673" t="s">
        <v>6629</v>
      </c>
      <c r="Q449" s="698"/>
      <c r="R449" s="1"/>
      <c r="S449" s="668"/>
      <c r="T449" s="669"/>
      <c r="U449" s="1"/>
      <c r="V449" s="1"/>
      <c r="W449" s="1"/>
      <c r="X449" s="1"/>
      <c r="Y449" s="1"/>
    </row>
    <row r="450" ht="16.5" customHeight="1">
      <c r="A450" s="641" t="s">
        <v>6757</v>
      </c>
      <c r="B450" s="798" t="s">
        <v>6758</v>
      </c>
      <c r="C450" s="643" t="s">
        <v>5636</v>
      </c>
      <c r="D450" s="644">
        <f>SUMIF('Orcamento RU Viora Build'!$A:$A,A450,'Orcamento RU Viora Build'!$F:$F)</f>
        <v>1</v>
      </c>
      <c r="E450" s="645">
        <f t="shared" si="99"/>
        <v>71.318</v>
      </c>
      <c r="F450" s="646">
        <f t="shared" si="100"/>
        <v>71.318</v>
      </c>
      <c r="G450" s="782"/>
      <c r="H450" s="666"/>
      <c r="I450" s="658">
        <v>54.86</v>
      </c>
      <c r="J450" s="688">
        <v>0.0</v>
      </c>
      <c r="K450" s="689">
        <f t="shared" si="106"/>
        <v>54.86</v>
      </c>
      <c r="L450" s="689">
        <f t="shared" si="107"/>
        <v>54.86</v>
      </c>
      <c r="M450" s="690">
        <f t="shared" si="108"/>
        <v>16.458</v>
      </c>
      <c r="N450" s="659">
        <f t="shared" si="104"/>
        <v>0.3</v>
      </c>
      <c r="O450" s="675">
        <f t="shared" si="109"/>
        <v>0.2307692308</v>
      </c>
      <c r="P450" s="808" t="s">
        <v>6759</v>
      </c>
      <c r="Q450" s="698"/>
      <c r="R450" s="1"/>
      <c r="S450" s="668"/>
      <c r="T450" s="669"/>
      <c r="U450" s="1"/>
      <c r="V450" s="1"/>
      <c r="W450" s="1"/>
      <c r="X450" s="1"/>
      <c r="Y450" s="1"/>
    </row>
    <row r="451" ht="16.5" customHeight="1">
      <c r="A451" s="641" t="s">
        <v>6760</v>
      </c>
      <c r="B451" s="798" t="s">
        <v>6761</v>
      </c>
      <c r="C451" s="643" t="s">
        <v>5636</v>
      </c>
      <c r="D451" s="644">
        <f>SUMIF('Orcamento RU Viora Build'!$A:$A,A451,'Orcamento RU Viora Build'!$F:$F)</f>
        <v>1</v>
      </c>
      <c r="E451" s="645">
        <f t="shared" si="99"/>
        <v>48.672</v>
      </c>
      <c r="F451" s="646">
        <f t="shared" si="100"/>
        <v>48.672</v>
      </c>
      <c r="G451" s="782"/>
      <c r="H451" s="666"/>
      <c r="I451" s="658">
        <v>37.44</v>
      </c>
      <c r="J451" s="688">
        <v>0.0</v>
      </c>
      <c r="K451" s="689">
        <f t="shared" si="106"/>
        <v>37.44</v>
      </c>
      <c r="L451" s="689">
        <f t="shared" si="107"/>
        <v>37.44</v>
      </c>
      <c r="M451" s="690">
        <f t="shared" si="108"/>
        <v>11.232</v>
      </c>
      <c r="N451" s="659">
        <f t="shared" si="104"/>
        <v>0.3</v>
      </c>
      <c r="O451" s="675">
        <f t="shared" si="109"/>
        <v>0.2307692308</v>
      </c>
      <c r="P451" s="808" t="s">
        <v>6762</v>
      </c>
      <c r="Q451" s="698"/>
      <c r="R451" s="1"/>
      <c r="S451" s="668"/>
      <c r="T451" s="669"/>
      <c r="U451" s="1"/>
      <c r="V451" s="1"/>
      <c r="W451" s="1"/>
      <c r="X451" s="1"/>
      <c r="Y451" s="1"/>
    </row>
    <row r="452" ht="16.5" customHeight="1">
      <c r="A452" s="641" t="s">
        <v>6763</v>
      </c>
      <c r="B452" s="798" t="s">
        <v>6764</v>
      </c>
      <c r="C452" s="643" t="s">
        <v>5636</v>
      </c>
      <c r="D452" s="644">
        <f>SUMIF('Orcamento RU Viora Build'!$A:$A,A452,'Orcamento RU Viora Build'!$F:$F)</f>
        <v>23</v>
      </c>
      <c r="E452" s="645">
        <f t="shared" si="99"/>
        <v>0.975</v>
      </c>
      <c r="F452" s="646">
        <f t="shared" si="100"/>
        <v>22.425</v>
      </c>
      <c r="G452" s="782"/>
      <c r="H452" s="666"/>
      <c r="I452" s="658">
        <v>0.75</v>
      </c>
      <c r="J452" s="688">
        <v>0.0</v>
      </c>
      <c r="K452" s="689">
        <f t="shared" si="106"/>
        <v>0.75</v>
      </c>
      <c r="L452" s="689">
        <f t="shared" si="107"/>
        <v>17.25</v>
      </c>
      <c r="M452" s="690">
        <f t="shared" si="108"/>
        <v>5.175</v>
      </c>
      <c r="N452" s="659">
        <f t="shared" si="104"/>
        <v>0.3</v>
      </c>
      <c r="O452" s="675">
        <f t="shared" si="109"/>
        <v>0.2307692308</v>
      </c>
      <c r="P452" s="808" t="s">
        <v>6765</v>
      </c>
      <c r="Q452" s="698"/>
      <c r="R452" s="1"/>
      <c r="S452" s="668"/>
      <c r="T452" s="669"/>
      <c r="U452" s="1"/>
      <c r="V452" s="1"/>
      <c r="W452" s="1"/>
      <c r="X452" s="1"/>
      <c r="Y452" s="1"/>
    </row>
    <row r="453" ht="16.5" customHeight="1">
      <c r="A453" s="641" t="s">
        <v>6766</v>
      </c>
      <c r="B453" s="798" t="s">
        <v>6767</v>
      </c>
      <c r="C453" s="643" t="s">
        <v>5636</v>
      </c>
      <c r="D453" s="644">
        <f>SUMIF('Orcamento RU Viora Build'!$A:$A,A453,'Orcamento RU Viora Build'!$F:$F)</f>
        <v>10</v>
      </c>
      <c r="E453" s="645">
        <f t="shared" si="99"/>
        <v>7.358</v>
      </c>
      <c r="F453" s="646">
        <f t="shared" si="100"/>
        <v>73.58</v>
      </c>
      <c r="G453" s="782"/>
      <c r="H453" s="666"/>
      <c r="I453" s="658">
        <v>5.66</v>
      </c>
      <c r="J453" s="688">
        <v>0.0</v>
      </c>
      <c r="K453" s="689">
        <f t="shared" si="106"/>
        <v>5.66</v>
      </c>
      <c r="L453" s="689">
        <f t="shared" si="107"/>
        <v>56.6</v>
      </c>
      <c r="M453" s="690">
        <f t="shared" si="108"/>
        <v>16.98</v>
      </c>
      <c r="N453" s="659">
        <f t="shared" si="104"/>
        <v>0.3</v>
      </c>
      <c r="O453" s="675">
        <f t="shared" si="109"/>
        <v>0.2307692308</v>
      </c>
      <c r="P453" s="808" t="s">
        <v>6768</v>
      </c>
      <c r="Q453" s="698"/>
      <c r="R453" s="1"/>
      <c r="S453" s="668"/>
      <c r="T453" s="669"/>
      <c r="U453" s="1"/>
      <c r="V453" s="1"/>
      <c r="W453" s="1"/>
      <c r="X453" s="1"/>
      <c r="Y453" s="1"/>
    </row>
    <row r="454" ht="16.5" customHeight="1">
      <c r="A454" s="641" t="s">
        <v>6769</v>
      </c>
      <c r="B454" s="798" t="s">
        <v>6770</v>
      </c>
      <c r="C454" s="643" t="s">
        <v>5636</v>
      </c>
      <c r="D454" s="644">
        <f>SUMIF('Orcamento RU Viora Build'!$A:$A,A454,'Orcamento RU Viora Build'!$F:$F)</f>
        <v>12</v>
      </c>
      <c r="E454" s="645">
        <f t="shared" si="99"/>
        <v>7.02</v>
      </c>
      <c r="F454" s="646">
        <f t="shared" si="100"/>
        <v>84.24</v>
      </c>
      <c r="G454" s="782"/>
      <c r="H454" s="666"/>
      <c r="I454" s="658">
        <v>5.4</v>
      </c>
      <c r="J454" s="688">
        <v>0.0</v>
      </c>
      <c r="K454" s="689">
        <f t="shared" si="106"/>
        <v>5.4</v>
      </c>
      <c r="L454" s="689">
        <f t="shared" si="107"/>
        <v>64.8</v>
      </c>
      <c r="M454" s="690">
        <f t="shared" si="108"/>
        <v>19.44</v>
      </c>
      <c r="N454" s="659">
        <f t="shared" si="104"/>
        <v>0.3</v>
      </c>
      <c r="O454" s="675">
        <f t="shared" si="109"/>
        <v>0.2307692308</v>
      </c>
      <c r="P454" s="808" t="s">
        <v>6771</v>
      </c>
      <c r="Q454" s="698"/>
      <c r="R454" s="1"/>
      <c r="S454" s="668"/>
      <c r="T454" s="669"/>
      <c r="U454" s="1"/>
      <c r="V454" s="1"/>
      <c r="W454" s="1"/>
      <c r="X454" s="1"/>
      <c r="Y454" s="1"/>
    </row>
    <row r="455" ht="16.5" customHeight="1">
      <c r="A455" s="641" t="s">
        <v>6772</v>
      </c>
      <c r="B455" s="798" t="s">
        <v>6773</v>
      </c>
      <c r="C455" s="643" t="s">
        <v>5636</v>
      </c>
      <c r="D455" s="644">
        <f>SUMIF('Orcamento RU Viora Build'!$A:$A,A455,'Orcamento RU Viora Build'!$F:$F)</f>
        <v>1</v>
      </c>
      <c r="E455" s="645">
        <f t="shared" si="99"/>
        <v>3.809</v>
      </c>
      <c r="F455" s="646">
        <f t="shared" si="100"/>
        <v>3.809</v>
      </c>
      <c r="G455" s="782"/>
      <c r="H455" s="666"/>
      <c r="I455" s="658">
        <v>2.93</v>
      </c>
      <c r="J455" s="688">
        <v>0.0</v>
      </c>
      <c r="K455" s="689">
        <f t="shared" si="106"/>
        <v>2.93</v>
      </c>
      <c r="L455" s="689">
        <f t="shared" si="107"/>
        <v>2.93</v>
      </c>
      <c r="M455" s="690">
        <f t="shared" si="108"/>
        <v>0.879</v>
      </c>
      <c r="N455" s="659">
        <f t="shared" si="104"/>
        <v>0.3</v>
      </c>
      <c r="O455" s="675">
        <f t="shared" si="109"/>
        <v>0.2307692308</v>
      </c>
      <c r="P455" s="816" t="s">
        <v>6774</v>
      </c>
      <c r="Q455" s="698"/>
      <c r="R455" s="1"/>
      <c r="S455" s="668"/>
      <c r="T455" s="669"/>
      <c r="U455" s="1"/>
      <c r="V455" s="1"/>
      <c r="W455" s="1"/>
      <c r="X455" s="1"/>
      <c r="Y455" s="1"/>
    </row>
    <row r="456" ht="16.5" customHeight="1">
      <c r="A456" s="641" t="s">
        <v>6775</v>
      </c>
      <c r="B456" s="798" t="s">
        <v>6776</v>
      </c>
      <c r="C456" s="643" t="s">
        <v>5631</v>
      </c>
      <c r="D456" s="644">
        <f>SUMIF('Orcamento RU Viora Build'!$A:$A,A456,'Orcamento RU Viora Build'!$F:$F)</f>
        <v>532</v>
      </c>
      <c r="E456" s="645">
        <f t="shared" si="99"/>
        <v>1.781</v>
      </c>
      <c r="F456" s="646">
        <f t="shared" si="100"/>
        <v>947.492</v>
      </c>
      <c r="G456" s="782"/>
      <c r="H456" s="666"/>
      <c r="I456" s="658">
        <v>1.37</v>
      </c>
      <c r="J456" s="688">
        <v>0.0</v>
      </c>
      <c r="K456" s="689">
        <f t="shared" si="106"/>
        <v>1.37</v>
      </c>
      <c r="L456" s="689">
        <f t="shared" si="107"/>
        <v>728.84</v>
      </c>
      <c r="M456" s="690">
        <f t="shared" si="108"/>
        <v>218.652</v>
      </c>
      <c r="N456" s="659">
        <f t="shared" si="104"/>
        <v>0.3</v>
      </c>
      <c r="O456" s="675">
        <f t="shared" si="109"/>
        <v>0.2307692308</v>
      </c>
      <c r="P456" s="808" t="s">
        <v>6777</v>
      </c>
      <c r="Q456" s="698"/>
      <c r="R456" s="1"/>
      <c r="S456" s="668"/>
      <c r="T456" s="669"/>
      <c r="U456" s="1"/>
      <c r="V456" s="1"/>
      <c r="W456" s="1"/>
      <c r="X456" s="1"/>
      <c r="Y456" s="1"/>
    </row>
    <row r="457" ht="16.5" customHeight="1">
      <c r="A457" s="641" t="s">
        <v>6778</v>
      </c>
      <c r="B457" s="798" t="s">
        <v>1553</v>
      </c>
      <c r="C457" s="643" t="s">
        <v>5631</v>
      </c>
      <c r="D457" s="644">
        <f>SUMIF('Orcamento RU Viora Build'!$A:$A,A457,'Orcamento RU Viora Build'!$F:$F)</f>
        <v>557</v>
      </c>
      <c r="E457" s="645">
        <f t="shared" si="99"/>
        <v>2.067</v>
      </c>
      <c r="F457" s="646">
        <f t="shared" si="100"/>
        <v>1151.319</v>
      </c>
      <c r="G457" s="782"/>
      <c r="H457" s="666"/>
      <c r="I457" s="658">
        <v>1.59</v>
      </c>
      <c r="J457" s="688">
        <v>0.0</v>
      </c>
      <c r="K457" s="689">
        <f t="shared" si="106"/>
        <v>1.59</v>
      </c>
      <c r="L457" s="689">
        <f t="shared" si="107"/>
        <v>885.63</v>
      </c>
      <c r="M457" s="690">
        <f t="shared" si="108"/>
        <v>265.689</v>
      </c>
      <c r="N457" s="659">
        <f t="shared" si="104"/>
        <v>0.3</v>
      </c>
      <c r="O457" s="675">
        <f t="shared" si="109"/>
        <v>0.2307692308</v>
      </c>
      <c r="P457" s="817" t="s">
        <v>6779</v>
      </c>
      <c r="Q457" s="698"/>
      <c r="R457" s="1"/>
      <c r="S457" s="668"/>
      <c r="T457" s="669"/>
      <c r="U457" s="1"/>
      <c r="V457" s="1"/>
      <c r="W457" s="1"/>
      <c r="X457" s="1"/>
      <c r="Y457" s="1"/>
    </row>
    <row r="458" ht="16.5" customHeight="1">
      <c r="A458" s="641" t="s">
        <v>6780</v>
      </c>
      <c r="B458" s="798" t="s">
        <v>1554</v>
      </c>
      <c r="C458" s="643" t="s">
        <v>5631</v>
      </c>
      <c r="D458" s="644">
        <f>SUMIF('Orcamento RU Viora Build'!$A:$A,A458,'Orcamento RU Viora Build'!$F:$F)</f>
        <v>25</v>
      </c>
      <c r="E458" s="645">
        <f t="shared" si="99"/>
        <v>3.887</v>
      </c>
      <c r="F458" s="646">
        <f t="shared" si="100"/>
        <v>97.175</v>
      </c>
      <c r="G458" s="782"/>
      <c r="H458" s="666"/>
      <c r="I458" s="658">
        <v>2.99</v>
      </c>
      <c r="J458" s="688">
        <v>0.0</v>
      </c>
      <c r="K458" s="689">
        <f t="shared" si="106"/>
        <v>2.99</v>
      </c>
      <c r="L458" s="689">
        <f t="shared" si="107"/>
        <v>74.75</v>
      </c>
      <c r="M458" s="690">
        <f t="shared" si="108"/>
        <v>22.425</v>
      </c>
      <c r="N458" s="659">
        <f t="shared" si="104"/>
        <v>0.3</v>
      </c>
      <c r="O458" s="675">
        <f t="shared" si="109"/>
        <v>0.2307692308</v>
      </c>
      <c r="P458" s="673" t="s">
        <v>6688</v>
      </c>
      <c r="Q458" s="698"/>
      <c r="R458" s="1"/>
      <c r="S458" s="668"/>
      <c r="T458" s="669"/>
      <c r="U458" s="1"/>
      <c r="V458" s="1"/>
      <c r="W458" s="1"/>
      <c r="X458" s="1"/>
      <c r="Y458" s="1"/>
    </row>
    <row r="459" ht="16.5" customHeight="1">
      <c r="A459" s="641" t="s">
        <v>6781</v>
      </c>
      <c r="B459" s="798" t="s">
        <v>1556</v>
      </c>
      <c r="C459" s="643" t="s">
        <v>5631</v>
      </c>
      <c r="D459" s="644">
        <f>SUMIF('Orcamento RU Viora Build'!$A:$A,A459,'Orcamento RU Viora Build'!$F:$F)</f>
        <v>13</v>
      </c>
      <c r="E459" s="645">
        <f t="shared" si="99"/>
        <v>1.365</v>
      </c>
      <c r="F459" s="646">
        <f t="shared" si="100"/>
        <v>17.745</v>
      </c>
      <c r="G459" s="782"/>
      <c r="H459" s="666"/>
      <c r="I459" s="658">
        <v>1.05</v>
      </c>
      <c r="J459" s="688">
        <v>0.0</v>
      </c>
      <c r="K459" s="689">
        <f t="shared" si="106"/>
        <v>1.05</v>
      </c>
      <c r="L459" s="689">
        <f t="shared" si="107"/>
        <v>13.65</v>
      </c>
      <c r="M459" s="690">
        <f t="shared" si="108"/>
        <v>4.095</v>
      </c>
      <c r="N459" s="659">
        <f t="shared" si="104"/>
        <v>0.3</v>
      </c>
      <c r="O459" s="675">
        <f t="shared" si="109"/>
        <v>0.2307692308</v>
      </c>
      <c r="P459" s="808" t="s">
        <v>6782</v>
      </c>
      <c r="Q459" s="698"/>
      <c r="R459" s="1"/>
      <c r="S459" s="668"/>
      <c r="T459" s="669"/>
      <c r="U459" s="1"/>
      <c r="V459" s="1"/>
      <c r="W459" s="1"/>
      <c r="X459" s="1"/>
      <c r="Y459" s="1"/>
    </row>
    <row r="460" ht="16.5" customHeight="1">
      <c r="A460" s="641" t="s">
        <v>6783</v>
      </c>
      <c r="B460" s="798" t="s">
        <v>1557</v>
      </c>
      <c r="C460" s="643" t="s">
        <v>5631</v>
      </c>
      <c r="D460" s="644">
        <f>SUMIF('Orcamento RU Viora Build'!$A:$A,A460,'Orcamento RU Viora Build'!$F:$F)</f>
        <v>19</v>
      </c>
      <c r="E460" s="645">
        <f t="shared" si="99"/>
        <v>3.536</v>
      </c>
      <c r="F460" s="646">
        <f t="shared" si="100"/>
        <v>67.184</v>
      </c>
      <c r="G460" s="782"/>
      <c r="H460" s="666"/>
      <c r="I460" s="658">
        <v>2.72</v>
      </c>
      <c r="J460" s="688">
        <v>0.0</v>
      </c>
      <c r="K460" s="689">
        <f t="shared" si="106"/>
        <v>2.72</v>
      </c>
      <c r="L460" s="689">
        <f t="shared" si="107"/>
        <v>51.68</v>
      </c>
      <c r="M460" s="690">
        <f t="shared" si="108"/>
        <v>15.504</v>
      </c>
      <c r="N460" s="659">
        <f t="shared" si="104"/>
        <v>0.3</v>
      </c>
      <c r="O460" s="675">
        <f t="shared" si="109"/>
        <v>0.2307692308</v>
      </c>
      <c r="P460" s="808" t="s">
        <v>6784</v>
      </c>
      <c r="Q460" s="698"/>
      <c r="R460" s="1"/>
      <c r="S460" s="668"/>
      <c r="T460" s="669"/>
      <c r="U460" s="1"/>
      <c r="V460" s="1"/>
      <c r="W460" s="1"/>
      <c r="X460" s="1"/>
      <c r="Y460" s="1"/>
    </row>
    <row r="461" ht="31.5" customHeight="1">
      <c r="A461" s="818" t="s">
        <v>6785</v>
      </c>
      <c r="B461" s="610"/>
      <c r="C461" s="611"/>
      <c r="D461" s="612"/>
      <c r="E461" s="612"/>
      <c r="F461" s="819"/>
      <c r="G461" s="782"/>
      <c r="H461" s="666"/>
      <c r="I461" s="820"/>
      <c r="J461" s="821"/>
      <c r="K461" s="611"/>
      <c r="L461" s="822"/>
      <c r="M461" s="823"/>
      <c r="N461" s="824"/>
      <c r="O461" s="824"/>
      <c r="P461" s="822"/>
      <c r="Q461" s="825"/>
      <c r="R461" s="422"/>
      <c r="S461" s="826"/>
      <c r="T461" s="827"/>
      <c r="U461" s="422"/>
      <c r="V461" s="422"/>
      <c r="W461" s="422"/>
      <c r="X461" s="422"/>
      <c r="Y461" s="422"/>
    </row>
    <row r="462" ht="15.75" customHeight="1">
      <c r="A462" s="828" t="s">
        <v>6786</v>
      </c>
      <c r="B462" s="829"/>
      <c r="C462" s="830"/>
      <c r="D462" s="831"/>
      <c r="E462" s="754"/>
      <c r="F462" s="755"/>
      <c r="G462" s="782"/>
      <c r="H462" s="666"/>
      <c r="I462" s="632"/>
      <c r="J462" s="633"/>
      <c r="K462" s="634"/>
      <c r="L462" s="708"/>
      <c r="M462" s="390"/>
      <c r="N462" s="390"/>
      <c r="O462" s="636"/>
      <c r="P462" s="709"/>
      <c r="Q462" s="710"/>
      <c r="R462" s="422"/>
      <c r="S462" s="711"/>
      <c r="T462" s="712"/>
      <c r="U462" s="422"/>
      <c r="V462" s="422"/>
      <c r="W462" s="422"/>
      <c r="X462" s="422"/>
      <c r="Y462" s="422"/>
    </row>
    <row r="463" ht="12.75" customHeight="1">
      <c r="A463" s="832" t="s">
        <v>6787</v>
      </c>
      <c r="B463" s="642" t="s">
        <v>6788</v>
      </c>
      <c r="C463" s="833" t="s">
        <v>5631</v>
      </c>
      <c r="D463" s="644">
        <f>SUMIF('Orcamento RU Viora Build'!$A:$A,A463,'Orcamento RU Viora Build'!$F:$F)</f>
        <v>0</v>
      </c>
      <c r="E463" s="645">
        <f t="shared" ref="E463:E484" si="110">K463+(K463*N463)</f>
        <v>106750.8</v>
      </c>
      <c r="F463" s="742">
        <f t="shared" ref="F463:F484" si="111">D463*E463</f>
        <v>0</v>
      </c>
      <c r="G463" s="782"/>
      <c r="H463" s="666"/>
      <c r="I463" s="834">
        <v>82116.0</v>
      </c>
      <c r="J463" s="835">
        <v>0.0</v>
      </c>
      <c r="K463" s="834">
        <f t="shared" ref="K463:K465" si="112">I463-I463*J463</f>
        <v>82116</v>
      </c>
      <c r="L463" s="834">
        <f t="shared" ref="L463:L465" si="113">K463*D463</f>
        <v>0</v>
      </c>
      <c r="M463" s="834">
        <f t="shared" ref="M463:M465" si="114">F463-L463</f>
        <v>0</v>
      </c>
      <c r="N463" s="659">
        <f t="shared" ref="N463:N484" si="115">$N$2</f>
        <v>0.3</v>
      </c>
      <c r="O463" s="675" t="str">
        <f t="shared" ref="O463:O465" si="116">M463/F463</f>
        <v>#DIV/0!</v>
      </c>
      <c r="P463" s="836"/>
      <c r="Q463" s="734" t="s">
        <v>6789</v>
      </c>
      <c r="R463" s="422"/>
      <c r="S463" s="656"/>
      <c r="T463" s="657"/>
      <c r="U463" s="422"/>
      <c r="V463" s="422"/>
      <c r="W463" s="422"/>
      <c r="X463" s="422"/>
      <c r="Y463" s="422"/>
    </row>
    <row r="464" ht="12.75" customHeight="1">
      <c r="A464" s="832" t="s">
        <v>6790</v>
      </c>
      <c r="B464" s="642" t="s">
        <v>6791</v>
      </c>
      <c r="C464" s="833" t="s">
        <v>5636</v>
      </c>
      <c r="D464" s="644">
        <f>SUMIF('Orcamento RU Viora Build'!$A:$A,A464,'Orcamento RU Viora Build'!$F:$F)</f>
        <v>1</v>
      </c>
      <c r="E464" s="645">
        <f t="shared" si="110"/>
        <v>1560</v>
      </c>
      <c r="F464" s="742">
        <f t="shared" si="111"/>
        <v>1560</v>
      </c>
      <c r="G464" s="782"/>
      <c r="H464" s="666"/>
      <c r="I464" s="837">
        <v>1200.0</v>
      </c>
      <c r="J464" s="835">
        <v>0.0</v>
      </c>
      <c r="K464" s="834">
        <f t="shared" si="112"/>
        <v>1200</v>
      </c>
      <c r="L464" s="834">
        <f t="shared" si="113"/>
        <v>1200</v>
      </c>
      <c r="M464" s="834">
        <f t="shared" si="114"/>
        <v>360</v>
      </c>
      <c r="N464" s="659">
        <f t="shared" si="115"/>
        <v>0.3</v>
      </c>
      <c r="O464" s="675">
        <f t="shared" si="116"/>
        <v>0.2307692308</v>
      </c>
      <c r="P464" s="838"/>
      <c r="Q464" s="839" t="s">
        <v>6792</v>
      </c>
      <c r="R464" s="422"/>
      <c r="S464" s="661"/>
      <c r="T464" s="662"/>
      <c r="U464" s="422"/>
      <c r="V464" s="422"/>
      <c r="W464" s="422"/>
      <c r="X464" s="422"/>
      <c r="Y464" s="422"/>
    </row>
    <row r="465" ht="12.75" customHeight="1">
      <c r="A465" s="832" t="s">
        <v>6793</v>
      </c>
      <c r="B465" s="642" t="s">
        <v>6794</v>
      </c>
      <c r="C465" s="833" t="s">
        <v>5636</v>
      </c>
      <c r="D465" s="644">
        <f>SUMIF('Orcamento RU Viora Build'!$A:$A,A465,'Orcamento RU Viora Build'!$F:$F)</f>
        <v>1</v>
      </c>
      <c r="E465" s="645">
        <f t="shared" si="110"/>
        <v>455</v>
      </c>
      <c r="F465" s="742">
        <f t="shared" si="111"/>
        <v>455</v>
      </c>
      <c r="G465" s="782"/>
      <c r="H465" s="666"/>
      <c r="I465" s="840">
        <v>350.0</v>
      </c>
      <c r="J465" s="835">
        <v>0.0</v>
      </c>
      <c r="K465" s="834">
        <f t="shared" si="112"/>
        <v>350</v>
      </c>
      <c r="L465" s="834">
        <f t="shared" si="113"/>
        <v>350</v>
      </c>
      <c r="M465" s="834">
        <f t="shared" si="114"/>
        <v>105</v>
      </c>
      <c r="N465" s="659">
        <f t="shared" si="115"/>
        <v>0.3</v>
      </c>
      <c r="O465" s="675">
        <f t="shared" si="116"/>
        <v>0.2307692308</v>
      </c>
      <c r="P465" s="841"/>
      <c r="Q465" s="839" t="s">
        <v>6795</v>
      </c>
      <c r="R465" s="422"/>
      <c r="S465" s="661"/>
      <c r="T465" s="662"/>
      <c r="U465" s="422"/>
      <c r="V465" s="422"/>
      <c r="W465" s="422"/>
      <c r="X465" s="422"/>
      <c r="Y465" s="422"/>
    </row>
    <row r="466" ht="12.75" customHeight="1">
      <c r="A466" s="832" t="s">
        <v>6796</v>
      </c>
      <c r="B466" s="642" t="s">
        <v>6797</v>
      </c>
      <c r="C466" s="833" t="s">
        <v>6798</v>
      </c>
      <c r="D466" s="644">
        <f>SUMIF('Orcamento RU Viora Build'!$A:$A,A466,'Orcamento RU Viora Build'!$F:$F)</f>
        <v>18</v>
      </c>
      <c r="E466" s="645">
        <f t="shared" si="110"/>
        <v>0</v>
      </c>
      <c r="F466" s="742">
        <f t="shared" si="111"/>
        <v>0</v>
      </c>
      <c r="G466" s="782"/>
      <c r="H466" s="666"/>
      <c r="I466" s="840"/>
      <c r="J466" s="842"/>
      <c r="K466" s="843"/>
      <c r="L466" s="843"/>
      <c r="M466" s="844"/>
      <c r="N466" s="659">
        <f t="shared" si="115"/>
        <v>0.3</v>
      </c>
      <c r="O466" s="845"/>
      <c r="P466" s="841"/>
      <c r="Q466" s="839"/>
      <c r="R466" s="422"/>
      <c r="S466" s="661"/>
      <c r="T466" s="662"/>
      <c r="U466" s="422"/>
      <c r="V466" s="422"/>
      <c r="W466" s="422"/>
      <c r="X466" s="422"/>
      <c r="Y466" s="422"/>
    </row>
    <row r="467" ht="12.75" customHeight="1">
      <c r="A467" s="832" t="s">
        <v>6799</v>
      </c>
      <c r="B467" s="642" t="s">
        <v>6800</v>
      </c>
      <c r="C467" s="833" t="s">
        <v>5636</v>
      </c>
      <c r="D467" s="644">
        <f>SUMIF('Orcamento RU Viora Build'!$A:$A,A467,'Orcamento RU Viora Build'!$F:$F)</f>
        <v>1</v>
      </c>
      <c r="E467" s="645">
        <f t="shared" si="110"/>
        <v>0</v>
      </c>
      <c r="F467" s="742">
        <f t="shared" si="111"/>
        <v>0</v>
      </c>
      <c r="G467" s="782"/>
      <c r="H467" s="666"/>
      <c r="I467" s="840"/>
      <c r="J467" s="842"/>
      <c r="K467" s="843"/>
      <c r="L467" s="843"/>
      <c r="M467" s="844"/>
      <c r="N467" s="659">
        <f t="shared" si="115"/>
        <v>0.3</v>
      </c>
      <c r="O467" s="845"/>
      <c r="P467" s="841"/>
      <c r="Q467" s="839"/>
      <c r="R467" s="422"/>
      <c r="S467" s="661"/>
      <c r="T467" s="662"/>
      <c r="U467" s="422"/>
      <c r="V467" s="422"/>
      <c r="W467" s="422"/>
      <c r="X467" s="422"/>
      <c r="Y467" s="422"/>
    </row>
    <row r="468" ht="12.75" customHeight="1">
      <c r="A468" s="832" t="s">
        <v>6801</v>
      </c>
      <c r="B468" s="642" t="s">
        <v>6802</v>
      </c>
      <c r="C468" s="833" t="s">
        <v>5636</v>
      </c>
      <c r="D468" s="644">
        <f>SUMIF('Orcamento RU Viora Build'!$A:$A,A468,'Orcamento RU Viora Build'!$F:$F)</f>
        <v>1</v>
      </c>
      <c r="E468" s="645">
        <f t="shared" si="110"/>
        <v>0</v>
      </c>
      <c r="F468" s="742">
        <f t="shared" si="111"/>
        <v>0</v>
      </c>
      <c r="G468" s="782"/>
      <c r="H468" s="666"/>
      <c r="I468" s="840"/>
      <c r="J468" s="842"/>
      <c r="K468" s="843"/>
      <c r="L468" s="843"/>
      <c r="M468" s="844"/>
      <c r="N468" s="659">
        <f t="shared" si="115"/>
        <v>0.3</v>
      </c>
      <c r="O468" s="845"/>
      <c r="P468" s="841"/>
      <c r="Q468" s="839"/>
      <c r="R468" s="422"/>
      <c r="S468" s="661"/>
      <c r="T468" s="662"/>
      <c r="U468" s="422"/>
      <c r="V468" s="422"/>
      <c r="W468" s="422"/>
      <c r="X468" s="422"/>
      <c r="Y468" s="422"/>
    </row>
    <row r="469" ht="12.75" customHeight="1">
      <c r="A469" s="832" t="s">
        <v>6803</v>
      </c>
      <c r="B469" s="642" t="s">
        <v>6804</v>
      </c>
      <c r="C469" s="833" t="s">
        <v>6798</v>
      </c>
      <c r="D469" s="644">
        <f>SUMIF('Orcamento RU Viora Build'!$A:$A,A469,'Orcamento RU Viora Build'!$F:$F)</f>
        <v>18</v>
      </c>
      <c r="E469" s="645">
        <f t="shared" si="110"/>
        <v>0</v>
      </c>
      <c r="F469" s="742">
        <f t="shared" si="111"/>
        <v>0</v>
      </c>
      <c r="G469" s="782"/>
      <c r="H469" s="666"/>
      <c r="I469" s="840"/>
      <c r="J469" s="842"/>
      <c r="K469" s="843"/>
      <c r="L469" s="843"/>
      <c r="M469" s="844"/>
      <c r="N469" s="659">
        <f t="shared" si="115"/>
        <v>0.3</v>
      </c>
      <c r="O469" s="845"/>
      <c r="P469" s="841"/>
      <c r="Q469" s="839"/>
      <c r="R469" s="422"/>
      <c r="S469" s="661"/>
      <c r="T469" s="662"/>
      <c r="U469" s="422"/>
      <c r="V469" s="422"/>
      <c r="W469" s="422"/>
      <c r="X469" s="422"/>
      <c r="Y469" s="422"/>
    </row>
    <row r="470" ht="12.75" customHeight="1">
      <c r="A470" s="832" t="s">
        <v>6805</v>
      </c>
      <c r="B470" s="642" t="s">
        <v>6806</v>
      </c>
      <c r="C470" s="833" t="s">
        <v>5636</v>
      </c>
      <c r="D470" s="644">
        <f>SUMIF('Orcamento RU Viora Build'!$A:$A,A470,'Orcamento RU Viora Build'!$F:$F)</f>
        <v>1</v>
      </c>
      <c r="E470" s="645">
        <f t="shared" si="110"/>
        <v>0</v>
      </c>
      <c r="F470" s="742">
        <f t="shared" si="111"/>
        <v>0</v>
      </c>
      <c r="G470" s="782"/>
      <c r="H470" s="666"/>
      <c r="I470" s="840"/>
      <c r="J470" s="842"/>
      <c r="K470" s="843"/>
      <c r="L470" s="843"/>
      <c r="M470" s="844"/>
      <c r="N470" s="659">
        <f t="shared" si="115"/>
        <v>0.3</v>
      </c>
      <c r="O470" s="845"/>
      <c r="P470" s="841"/>
      <c r="Q470" s="839"/>
      <c r="R470" s="422"/>
      <c r="S470" s="661"/>
      <c r="T470" s="662"/>
      <c r="U470" s="422"/>
      <c r="V470" s="422"/>
      <c r="W470" s="422"/>
      <c r="X470" s="422"/>
      <c r="Y470" s="422"/>
    </row>
    <row r="471" ht="12.75" customHeight="1">
      <c r="A471" s="832" t="s">
        <v>6807</v>
      </c>
      <c r="B471" s="642" t="s">
        <v>6808</v>
      </c>
      <c r="C471" s="833" t="s">
        <v>6798</v>
      </c>
      <c r="D471" s="644">
        <f>SUMIF('Orcamento RU Viora Build'!$A:$A,A471,'Orcamento RU Viora Build'!$F:$F)</f>
        <v>18</v>
      </c>
      <c r="E471" s="645">
        <f t="shared" si="110"/>
        <v>0</v>
      </c>
      <c r="F471" s="742">
        <f t="shared" si="111"/>
        <v>0</v>
      </c>
      <c r="G471" s="782"/>
      <c r="H471" s="666"/>
      <c r="I471" s="846"/>
      <c r="J471" s="842"/>
      <c r="K471" s="843"/>
      <c r="L471" s="843"/>
      <c r="M471" s="844"/>
      <c r="N471" s="659">
        <f t="shared" si="115"/>
        <v>0.3</v>
      </c>
      <c r="O471" s="845"/>
      <c r="P471" s="841"/>
      <c r="Q471" s="847"/>
      <c r="R471" s="422"/>
      <c r="S471" s="661"/>
      <c r="T471" s="662"/>
      <c r="U471" s="422"/>
      <c r="V471" s="422"/>
      <c r="W471" s="422"/>
      <c r="X471" s="422"/>
      <c r="Y471" s="422"/>
    </row>
    <row r="472" ht="12.75" customHeight="1">
      <c r="A472" s="832" t="s">
        <v>6809</v>
      </c>
      <c r="B472" s="642" t="s">
        <v>6810</v>
      </c>
      <c r="C472" s="833" t="s">
        <v>6798</v>
      </c>
      <c r="D472" s="644">
        <f>SUMIF('Orcamento RU Viora Build'!$A:$A,A472,'Orcamento RU Viora Build'!$F:$F)</f>
        <v>18</v>
      </c>
      <c r="E472" s="645">
        <f t="shared" si="110"/>
        <v>0</v>
      </c>
      <c r="F472" s="742">
        <f t="shared" si="111"/>
        <v>0</v>
      </c>
      <c r="G472" s="782"/>
      <c r="H472" s="666"/>
      <c r="I472" s="846"/>
      <c r="J472" s="842"/>
      <c r="K472" s="843"/>
      <c r="L472" s="843"/>
      <c r="M472" s="844"/>
      <c r="N472" s="659">
        <f t="shared" si="115"/>
        <v>0.3</v>
      </c>
      <c r="O472" s="845"/>
      <c r="P472" s="841"/>
      <c r="Q472" s="847"/>
      <c r="R472" s="422"/>
      <c r="S472" s="661"/>
      <c r="T472" s="662"/>
      <c r="U472" s="422"/>
      <c r="V472" s="422"/>
      <c r="W472" s="422"/>
      <c r="X472" s="422"/>
      <c r="Y472" s="422"/>
    </row>
    <row r="473" ht="12.75" customHeight="1">
      <c r="A473" s="832" t="s">
        <v>6811</v>
      </c>
      <c r="B473" s="642" t="s">
        <v>6812</v>
      </c>
      <c r="C473" s="833" t="s">
        <v>6798</v>
      </c>
      <c r="D473" s="644">
        <f>SUMIF('Orcamento RU Viora Build'!$A:$A,A473,'Orcamento RU Viora Build'!$F:$F)</f>
        <v>18</v>
      </c>
      <c r="E473" s="645">
        <f t="shared" si="110"/>
        <v>0</v>
      </c>
      <c r="F473" s="742">
        <f t="shared" si="111"/>
        <v>0</v>
      </c>
      <c r="G473" s="782"/>
      <c r="H473" s="666"/>
      <c r="I473" s="846"/>
      <c r="J473" s="842"/>
      <c r="K473" s="843"/>
      <c r="L473" s="843"/>
      <c r="M473" s="844"/>
      <c r="N473" s="659">
        <f t="shared" si="115"/>
        <v>0.3</v>
      </c>
      <c r="O473" s="845"/>
      <c r="P473" s="841"/>
      <c r="Q473" s="847"/>
      <c r="R473" s="422"/>
      <c r="S473" s="661"/>
      <c r="T473" s="662"/>
      <c r="U473" s="422"/>
      <c r="V473" s="422"/>
      <c r="W473" s="422"/>
      <c r="X473" s="422"/>
      <c r="Y473" s="422"/>
    </row>
    <row r="474" ht="12.75" customHeight="1">
      <c r="A474" s="832" t="s">
        <v>6813</v>
      </c>
      <c r="B474" s="642" t="s">
        <v>6814</v>
      </c>
      <c r="C474" s="833" t="s">
        <v>5636</v>
      </c>
      <c r="D474" s="644">
        <f>SUMIF('Orcamento RU Viora Build'!$A:$A,A474,'Orcamento RU Viora Build'!$F:$F)</f>
        <v>1</v>
      </c>
      <c r="E474" s="645">
        <f t="shared" si="110"/>
        <v>0</v>
      </c>
      <c r="F474" s="742">
        <f t="shared" si="111"/>
        <v>0</v>
      </c>
      <c r="G474" s="782"/>
      <c r="H474" s="666"/>
      <c r="I474" s="846"/>
      <c r="J474" s="842"/>
      <c r="K474" s="843"/>
      <c r="L474" s="843"/>
      <c r="M474" s="844"/>
      <c r="N474" s="659">
        <f t="shared" si="115"/>
        <v>0.3</v>
      </c>
      <c r="O474" s="845"/>
      <c r="P474" s="841"/>
      <c r="Q474" s="847"/>
      <c r="R474" s="422"/>
      <c r="S474" s="661"/>
      <c r="T474" s="662"/>
      <c r="U474" s="422"/>
      <c r="V474" s="422"/>
      <c r="W474" s="422"/>
      <c r="X474" s="422"/>
      <c r="Y474" s="422"/>
    </row>
    <row r="475" ht="12.75" customHeight="1">
      <c r="A475" s="832" t="s">
        <v>6815</v>
      </c>
      <c r="B475" s="642" t="s">
        <v>6816</v>
      </c>
      <c r="C475" s="833" t="s">
        <v>6798</v>
      </c>
      <c r="D475" s="644">
        <f>SUMIF('Orcamento RU Viora Build'!$A:$A,A475,'Orcamento RU Viora Build'!$F:$F)</f>
        <v>18</v>
      </c>
      <c r="E475" s="645">
        <f t="shared" si="110"/>
        <v>0</v>
      </c>
      <c r="F475" s="742">
        <f t="shared" si="111"/>
        <v>0</v>
      </c>
      <c r="G475" s="782"/>
      <c r="H475" s="666"/>
      <c r="I475" s="846"/>
      <c r="J475" s="842"/>
      <c r="K475" s="843"/>
      <c r="L475" s="843"/>
      <c r="M475" s="844"/>
      <c r="N475" s="659">
        <f t="shared" si="115"/>
        <v>0.3</v>
      </c>
      <c r="O475" s="845"/>
      <c r="P475" s="841"/>
      <c r="Q475" s="847"/>
      <c r="R475" s="422"/>
      <c r="S475" s="661"/>
      <c r="T475" s="662"/>
      <c r="U475" s="422"/>
      <c r="V475" s="422"/>
      <c r="W475" s="422"/>
      <c r="X475" s="422"/>
      <c r="Y475" s="422"/>
    </row>
    <row r="476" ht="12.75" customHeight="1">
      <c r="A476" s="832" t="s">
        <v>6817</v>
      </c>
      <c r="B476" s="642" t="s">
        <v>6818</v>
      </c>
      <c r="C476" s="833" t="s">
        <v>6798</v>
      </c>
      <c r="D476" s="644">
        <f>SUMIF('Orcamento RU Viora Build'!$A:$A,A476,'Orcamento RU Viora Build'!$F:$F)</f>
        <v>18</v>
      </c>
      <c r="E476" s="645">
        <f t="shared" si="110"/>
        <v>0</v>
      </c>
      <c r="F476" s="742">
        <f t="shared" si="111"/>
        <v>0</v>
      </c>
      <c r="G476" s="782"/>
      <c r="H476" s="666"/>
      <c r="I476" s="846"/>
      <c r="J476" s="842"/>
      <c r="K476" s="843"/>
      <c r="L476" s="843"/>
      <c r="M476" s="844"/>
      <c r="N476" s="659">
        <f t="shared" si="115"/>
        <v>0.3</v>
      </c>
      <c r="O476" s="845"/>
      <c r="P476" s="841"/>
      <c r="Q476" s="847"/>
      <c r="R476" s="422"/>
      <c r="S476" s="661"/>
      <c r="T476" s="662"/>
      <c r="U476" s="422"/>
      <c r="V476" s="422"/>
      <c r="W476" s="422"/>
      <c r="X476" s="422"/>
      <c r="Y476" s="422"/>
    </row>
    <row r="477" ht="12.75" customHeight="1">
      <c r="A477" s="832" t="s">
        <v>6819</v>
      </c>
      <c r="B477" s="642" t="s">
        <v>6820</v>
      </c>
      <c r="C477" s="833" t="s">
        <v>5636</v>
      </c>
      <c r="D477" s="644">
        <f>SUMIF('Orcamento RU Viora Build'!$A:$A,A477,'Orcamento RU Viora Build'!$F:$F)</f>
        <v>1</v>
      </c>
      <c r="E477" s="645">
        <f t="shared" si="110"/>
        <v>0</v>
      </c>
      <c r="F477" s="742">
        <f t="shared" si="111"/>
        <v>0</v>
      </c>
      <c r="G477" s="782"/>
      <c r="H477" s="666"/>
      <c r="I477" s="846"/>
      <c r="J477" s="842"/>
      <c r="K477" s="843"/>
      <c r="L477" s="843"/>
      <c r="M477" s="844"/>
      <c r="N477" s="659">
        <f t="shared" si="115"/>
        <v>0.3</v>
      </c>
      <c r="O477" s="845"/>
      <c r="P477" s="841"/>
      <c r="Q477" s="847"/>
      <c r="R477" s="422"/>
      <c r="S477" s="661"/>
      <c r="T477" s="662"/>
      <c r="U477" s="422"/>
      <c r="V477" s="422"/>
      <c r="W477" s="422"/>
      <c r="X477" s="422"/>
      <c r="Y477" s="422"/>
    </row>
    <row r="478" ht="12.75" customHeight="1">
      <c r="A478" s="832" t="s">
        <v>6821</v>
      </c>
      <c r="B478" s="642" t="s">
        <v>6822</v>
      </c>
      <c r="C478" s="833" t="s">
        <v>5636</v>
      </c>
      <c r="D478" s="644">
        <f>SUMIF('Orcamento RU Viora Build'!$A:$A,A478,'Orcamento RU Viora Build'!$F:$F)</f>
        <v>1</v>
      </c>
      <c r="E478" s="645">
        <f t="shared" si="110"/>
        <v>0</v>
      </c>
      <c r="F478" s="742">
        <f t="shared" si="111"/>
        <v>0</v>
      </c>
      <c r="G478" s="782"/>
      <c r="H478" s="666"/>
      <c r="I478" s="846"/>
      <c r="J478" s="842"/>
      <c r="K478" s="843"/>
      <c r="L478" s="843"/>
      <c r="M478" s="844"/>
      <c r="N478" s="659">
        <f t="shared" si="115"/>
        <v>0.3</v>
      </c>
      <c r="O478" s="845"/>
      <c r="P478" s="841"/>
      <c r="Q478" s="847"/>
      <c r="R478" s="422"/>
      <c r="S478" s="661"/>
      <c r="T478" s="662"/>
      <c r="U478" s="422"/>
      <c r="V478" s="422"/>
      <c r="W478" s="422"/>
      <c r="X478" s="422"/>
      <c r="Y478" s="422"/>
    </row>
    <row r="479" ht="12.75" customHeight="1">
      <c r="A479" s="832" t="s">
        <v>6823</v>
      </c>
      <c r="B479" s="642" t="s">
        <v>6824</v>
      </c>
      <c r="C479" s="833" t="s">
        <v>5636</v>
      </c>
      <c r="D479" s="644">
        <f>SUMIF('Orcamento RU Viora Build'!$A:$A,A479,'Orcamento RU Viora Build'!$F:$F)</f>
        <v>1</v>
      </c>
      <c r="E479" s="645">
        <f t="shared" si="110"/>
        <v>0</v>
      </c>
      <c r="F479" s="742">
        <f t="shared" si="111"/>
        <v>0</v>
      </c>
      <c r="G479" s="782"/>
      <c r="H479" s="666"/>
      <c r="I479" s="846"/>
      <c r="J479" s="842"/>
      <c r="K479" s="843"/>
      <c r="L479" s="843"/>
      <c r="M479" s="844"/>
      <c r="N479" s="659">
        <f t="shared" si="115"/>
        <v>0.3</v>
      </c>
      <c r="O479" s="845"/>
      <c r="P479" s="841"/>
      <c r="Q479" s="847"/>
      <c r="R479" s="422"/>
      <c r="S479" s="661"/>
      <c r="T479" s="662"/>
      <c r="U479" s="422"/>
      <c r="V479" s="422"/>
      <c r="W479" s="422"/>
      <c r="X479" s="422"/>
      <c r="Y479" s="422"/>
    </row>
    <row r="480" ht="12.75" customHeight="1">
      <c r="A480" s="832" t="s">
        <v>6825</v>
      </c>
      <c r="B480" s="642" t="s">
        <v>6826</v>
      </c>
      <c r="C480" s="833" t="s">
        <v>5636</v>
      </c>
      <c r="D480" s="644">
        <f>SUMIF('Orcamento RU Viora Build'!$A:$A,A480,'Orcamento RU Viora Build'!$F:$F)</f>
        <v>1</v>
      </c>
      <c r="E480" s="645">
        <f t="shared" si="110"/>
        <v>0</v>
      </c>
      <c r="F480" s="742">
        <f t="shared" si="111"/>
        <v>0</v>
      </c>
      <c r="G480" s="782"/>
      <c r="H480" s="666"/>
      <c r="I480" s="846"/>
      <c r="J480" s="842"/>
      <c r="K480" s="843"/>
      <c r="L480" s="843"/>
      <c r="M480" s="844"/>
      <c r="N480" s="659">
        <f t="shared" si="115"/>
        <v>0.3</v>
      </c>
      <c r="O480" s="845"/>
      <c r="P480" s="841"/>
      <c r="Q480" s="847"/>
      <c r="R480" s="422"/>
      <c r="S480" s="661"/>
      <c r="T480" s="662"/>
      <c r="U480" s="422"/>
      <c r="V480" s="422"/>
      <c r="W480" s="422"/>
      <c r="X480" s="422"/>
      <c r="Y480" s="422"/>
    </row>
    <row r="481" ht="12.75" customHeight="1">
      <c r="A481" s="832" t="s">
        <v>6827</v>
      </c>
      <c r="B481" s="642" t="s">
        <v>6828</v>
      </c>
      <c r="C481" s="833" t="s">
        <v>6798</v>
      </c>
      <c r="D481" s="644">
        <f>SUMIF('Orcamento RU Viora Build'!$A:$A,A481,'Orcamento RU Viora Build'!$F:$F)</f>
        <v>14</v>
      </c>
      <c r="E481" s="645">
        <f t="shared" si="110"/>
        <v>0</v>
      </c>
      <c r="F481" s="742">
        <f t="shared" si="111"/>
        <v>0</v>
      </c>
      <c r="G481" s="782"/>
      <c r="H481" s="666"/>
      <c r="I481" s="846"/>
      <c r="J481" s="842"/>
      <c r="K481" s="843"/>
      <c r="L481" s="843"/>
      <c r="M481" s="844"/>
      <c r="N481" s="659">
        <f t="shared" si="115"/>
        <v>0.3</v>
      </c>
      <c r="O481" s="845"/>
      <c r="P481" s="841"/>
      <c r="Q481" s="847"/>
      <c r="R481" s="422"/>
      <c r="S481" s="661"/>
      <c r="T481" s="662"/>
      <c r="U481" s="422"/>
      <c r="V481" s="422"/>
      <c r="W481" s="422"/>
      <c r="X481" s="422"/>
      <c r="Y481" s="422"/>
    </row>
    <row r="482" ht="12.75" customHeight="1">
      <c r="A482" s="832" t="s">
        <v>6829</v>
      </c>
      <c r="B482" s="642" t="s">
        <v>6830</v>
      </c>
      <c r="C482" s="833" t="s">
        <v>5636</v>
      </c>
      <c r="D482" s="644">
        <f>SUMIF('Orcamento RU Viora Build'!$A:$A,A482,'Orcamento RU Viora Build'!$F:$F)</f>
        <v>1</v>
      </c>
      <c r="E482" s="645">
        <f t="shared" si="110"/>
        <v>0</v>
      </c>
      <c r="F482" s="742">
        <f t="shared" si="111"/>
        <v>0</v>
      </c>
      <c r="G482" s="782"/>
      <c r="H482" s="666"/>
      <c r="I482" s="846"/>
      <c r="J482" s="842"/>
      <c r="K482" s="843"/>
      <c r="L482" s="843"/>
      <c r="M482" s="844"/>
      <c r="N482" s="659">
        <f t="shared" si="115"/>
        <v>0.3</v>
      </c>
      <c r="O482" s="845"/>
      <c r="P482" s="841"/>
      <c r="Q482" s="847"/>
      <c r="R482" s="422"/>
      <c r="S482" s="661"/>
      <c r="T482" s="662"/>
      <c r="U482" s="422"/>
      <c r="V482" s="422"/>
      <c r="W482" s="422"/>
      <c r="X482" s="422"/>
      <c r="Y482" s="422"/>
    </row>
    <row r="483" ht="12.75" customHeight="1">
      <c r="A483" s="832" t="s">
        <v>6831</v>
      </c>
      <c r="B483" s="642" t="s">
        <v>6832</v>
      </c>
      <c r="C483" s="833" t="s">
        <v>5636</v>
      </c>
      <c r="D483" s="644">
        <f>SUMIF('Orcamento RU Viora Build'!$A:$A,A483,'Orcamento RU Viora Build'!$F:$F)</f>
        <v>1</v>
      </c>
      <c r="E483" s="645">
        <f t="shared" si="110"/>
        <v>0</v>
      </c>
      <c r="F483" s="742">
        <f t="shared" si="111"/>
        <v>0</v>
      </c>
      <c r="G483" s="782"/>
      <c r="H483" s="666"/>
      <c r="I483" s="846"/>
      <c r="J483" s="842"/>
      <c r="K483" s="843"/>
      <c r="L483" s="843"/>
      <c r="M483" s="844"/>
      <c r="N483" s="659">
        <f t="shared" si="115"/>
        <v>0.3</v>
      </c>
      <c r="O483" s="845"/>
      <c r="P483" s="841"/>
      <c r="Q483" s="847"/>
      <c r="R483" s="422"/>
      <c r="S483" s="661"/>
      <c r="T483" s="662"/>
      <c r="U483" s="422"/>
      <c r="V483" s="422"/>
      <c r="W483" s="422"/>
      <c r="X483" s="422"/>
      <c r="Y483" s="422"/>
    </row>
    <row r="484" ht="12.75" customHeight="1">
      <c r="A484" s="832" t="s">
        <v>6833</v>
      </c>
      <c r="B484" s="642" t="s">
        <v>6834</v>
      </c>
      <c r="C484" s="833" t="s">
        <v>5636</v>
      </c>
      <c r="D484" s="644">
        <f>SUMIF('Orcamento RU Viora Build'!$A:$A,A484,'Orcamento RU Viora Build'!$F:$F)</f>
        <v>1</v>
      </c>
      <c r="E484" s="645">
        <f t="shared" si="110"/>
        <v>0</v>
      </c>
      <c r="F484" s="742">
        <f t="shared" si="111"/>
        <v>0</v>
      </c>
      <c r="G484" s="782"/>
      <c r="H484" s="666"/>
      <c r="I484" s="846"/>
      <c r="J484" s="842"/>
      <c r="K484" s="843"/>
      <c r="L484" s="843"/>
      <c r="M484" s="844"/>
      <c r="N484" s="659">
        <f t="shared" si="115"/>
        <v>0.3</v>
      </c>
      <c r="O484" s="845"/>
      <c r="P484" s="841"/>
      <c r="Q484" s="847"/>
      <c r="R484" s="422"/>
      <c r="S484" s="736"/>
      <c r="T484" s="737"/>
      <c r="U484" s="422"/>
      <c r="V484" s="422"/>
      <c r="W484" s="422"/>
      <c r="X484" s="422"/>
      <c r="Y484" s="422"/>
    </row>
    <row r="485" ht="15.75" customHeight="1">
      <c r="A485" s="828" t="s">
        <v>6835</v>
      </c>
      <c r="B485" s="829"/>
      <c r="C485" s="848"/>
      <c r="D485" s="754"/>
      <c r="E485" s="754"/>
      <c r="F485" s="755"/>
      <c r="G485" s="422"/>
      <c r="H485" s="648"/>
      <c r="I485" s="632"/>
      <c r="J485" s="633"/>
      <c r="K485" s="634"/>
      <c r="L485" s="634"/>
      <c r="M485" s="635"/>
      <c r="N485" s="390"/>
      <c r="O485" s="636"/>
      <c r="P485" s="709"/>
      <c r="Q485" s="710"/>
      <c r="R485" s="422"/>
      <c r="S485" s="711"/>
      <c r="T485" s="712"/>
      <c r="U485" s="422"/>
      <c r="V485" s="422"/>
      <c r="W485" s="422"/>
      <c r="X485" s="422"/>
      <c r="Y485" s="422"/>
    </row>
    <row r="486" ht="12.75" customHeight="1">
      <c r="A486" s="832" t="s">
        <v>6836</v>
      </c>
      <c r="B486" s="642" t="s">
        <v>773</v>
      </c>
      <c r="C486" s="833" t="s">
        <v>5636</v>
      </c>
      <c r="D486" s="644">
        <f>SUMIF('Orcamento RU Viora Build'!$A:$A,A486,'Orcamento RU Viora Build'!$F:$F)</f>
        <v>1</v>
      </c>
      <c r="E486" s="645">
        <f t="shared" ref="E486:E492" si="117">K486+(K486*N486)</f>
        <v>1560</v>
      </c>
      <c r="F486" s="742">
        <f t="shared" ref="F486:F492" si="118">D486*E486</f>
        <v>1560</v>
      </c>
      <c r="G486" s="422"/>
      <c r="H486" s="648"/>
      <c r="I486" s="658">
        <v>1200.0</v>
      </c>
      <c r="J486" s="650">
        <v>0.0</v>
      </c>
      <c r="K486" s="649">
        <f t="shared" ref="K486:K492" si="119">I486-I486*J486</f>
        <v>1200</v>
      </c>
      <c r="L486" s="649">
        <f t="shared" ref="L486:L492" si="120">K486*D486</f>
        <v>1200</v>
      </c>
      <c r="M486" s="651">
        <f t="shared" ref="M486:M492" si="121">F486-L486</f>
        <v>360</v>
      </c>
      <c r="N486" s="659">
        <f t="shared" ref="N486:N492" si="122">$N$2</f>
        <v>0.3</v>
      </c>
      <c r="O486" s="675">
        <f t="shared" ref="O486:O492" si="123">M486/F486</f>
        <v>0.2307692308</v>
      </c>
      <c r="P486" s="675"/>
      <c r="Q486" s="849" t="s">
        <v>6837</v>
      </c>
      <c r="R486" s="422"/>
      <c r="S486" s="656"/>
      <c r="T486" s="657"/>
      <c r="U486" s="422"/>
      <c r="V486" s="422"/>
      <c r="W486" s="422"/>
      <c r="X486" s="422"/>
      <c r="Y486" s="422"/>
    </row>
    <row r="487" ht="12.75" customHeight="1">
      <c r="A487" s="832" t="s">
        <v>6838</v>
      </c>
      <c r="B487" s="850" t="s">
        <v>775</v>
      </c>
      <c r="C487" s="833" t="s">
        <v>5748</v>
      </c>
      <c r="D487" s="644">
        <f>SUMIF('Orcamento RU Viora Build'!$A:$A,A487,'Orcamento RU Viora Build'!$F:$F)</f>
        <v>2234.27</v>
      </c>
      <c r="E487" s="645">
        <f t="shared" si="117"/>
        <v>6.5</v>
      </c>
      <c r="F487" s="742">
        <f t="shared" si="118"/>
        <v>14522.755</v>
      </c>
      <c r="G487" s="422"/>
      <c r="H487" s="648"/>
      <c r="I487" s="658">
        <v>5.0</v>
      </c>
      <c r="J487" s="650">
        <v>0.0</v>
      </c>
      <c r="K487" s="649">
        <f t="shared" si="119"/>
        <v>5</v>
      </c>
      <c r="L487" s="649">
        <f t="shared" si="120"/>
        <v>11171.35</v>
      </c>
      <c r="M487" s="651">
        <f t="shared" si="121"/>
        <v>3351.405</v>
      </c>
      <c r="N487" s="659">
        <f t="shared" si="122"/>
        <v>0.3</v>
      </c>
      <c r="O487" s="675">
        <f t="shared" si="123"/>
        <v>0.2307692308</v>
      </c>
      <c r="P487" s="675"/>
      <c r="Q487" s="849" t="s">
        <v>6839</v>
      </c>
      <c r="R487" s="422"/>
      <c r="S487" s="661"/>
      <c r="T487" s="662"/>
      <c r="U487" s="422"/>
      <c r="V487" s="422"/>
      <c r="W487" s="422"/>
      <c r="X487" s="422"/>
      <c r="Y487" s="422"/>
    </row>
    <row r="488" ht="12.75" customHeight="1">
      <c r="A488" s="832" t="s">
        <v>6840</v>
      </c>
      <c r="B488" s="642" t="s">
        <v>778</v>
      </c>
      <c r="C488" s="851" t="s">
        <v>5748</v>
      </c>
      <c r="D488" s="644">
        <f>SUMIF('Orcamento RU Viora Build'!$A:$A,A488,'Orcamento RU Viora Build'!$F:$F)</f>
        <v>482.44</v>
      </c>
      <c r="E488" s="645">
        <f t="shared" si="117"/>
        <v>32.5</v>
      </c>
      <c r="F488" s="742">
        <f t="shared" si="118"/>
        <v>15679.3</v>
      </c>
      <c r="G488" s="422"/>
      <c r="H488" s="648"/>
      <c r="I488" s="852">
        <v>25.0</v>
      </c>
      <c r="J488" s="650">
        <v>0.0</v>
      </c>
      <c r="K488" s="649">
        <f t="shared" si="119"/>
        <v>25</v>
      </c>
      <c r="L488" s="649">
        <f t="shared" si="120"/>
        <v>12061</v>
      </c>
      <c r="M488" s="651">
        <f t="shared" si="121"/>
        <v>3618.3</v>
      </c>
      <c r="N488" s="659">
        <f t="shared" si="122"/>
        <v>0.3</v>
      </c>
      <c r="O488" s="675">
        <f t="shared" si="123"/>
        <v>0.2307692308</v>
      </c>
      <c r="P488" s="675"/>
      <c r="Q488" s="849" t="s">
        <v>6841</v>
      </c>
      <c r="R488" s="422"/>
      <c r="S488" s="661"/>
      <c r="T488" s="662"/>
      <c r="U488" s="422"/>
      <c r="V488" s="422"/>
      <c r="W488" s="422"/>
      <c r="X488" s="422"/>
      <c r="Y488" s="422"/>
    </row>
    <row r="489" ht="12.75" customHeight="1">
      <c r="A489" s="832" t="s">
        <v>6842</v>
      </c>
      <c r="B489" s="642" t="s">
        <v>782</v>
      </c>
      <c r="C489" s="851" t="s">
        <v>5748</v>
      </c>
      <c r="D489" s="644">
        <f>SUMIF('Orcamento RU Viora Build'!$A:$A,A489,'Orcamento RU Viora Build'!$F:$F)</f>
        <v>2102.2</v>
      </c>
      <c r="E489" s="645">
        <f t="shared" si="117"/>
        <v>11.05</v>
      </c>
      <c r="F489" s="742">
        <f t="shared" si="118"/>
        <v>23229.31</v>
      </c>
      <c r="G489" s="422"/>
      <c r="H489" s="648"/>
      <c r="I489" s="852">
        <v>8.5</v>
      </c>
      <c r="J489" s="650">
        <v>0.0</v>
      </c>
      <c r="K489" s="649">
        <f t="shared" si="119"/>
        <v>8.5</v>
      </c>
      <c r="L489" s="649">
        <f t="shared" si="120"/>
        <v>17868.7</v>
      </c>
      <c r="M489" s="651">
        <f t="shared" si="121"/>
        <v>5360.61</v>
      </c>
      <c r="N489" s="659">
        <f t="shared" si="122"/>
        <v>0.3</v>
      </c>
      <c r="O489" s="675">
        <f t="shared" si="123"/>
        <v>0.2307692308</v>
      </c>
      <c r="P489" s="675"/>
      <c r="Q489" s="849" t="s">
        <v>6843</v>
      </c>
      <c r="R489" s="422"/>
      <c r="S489" s="661"/>
      <c r="T489" s="662"/>
      <c r="U489" s="422"/>
      <c r="V489" s="422"/>
      <c r="W489" s="422"/>
      <c r="X489" s="422"/>
      <c r="Y489" s="422"/>
    </row>
    <row r="490" ht="12.75" customHeight="1">
      <c r="A490" s="832" t="s">
        <v>6844</v>
      </c>
      <c r="B490" s="642" t="s">
        <v>1580</v>
      </c>
      <c r="C490" s="851" t="s">
        <v>5748</v>
      </c>
      <c r="D490" s="644">
        <f>SUMIF('Orcamento RU Viora Build'!$A:$A,A490,'Orcamento RU Viora Build'!$F:$F)</f>
        <v>68</v>
      </c>
      <c r="E490" s="645">
        <f t="shared" si="117"/>
        <v>4.03</v>
      </c>
      <c r="F490" s="742">
        <f t="shared" si="118"/>
        <v>274.04</v>
      </c>
      <c r="G490" s="422"/>
      <c r="H490" s="648"/>
      <c r="I490" s="852">
        <v>3.1</v>
      </c>
      <c r="J490" s="650">
        <v>0.0</v>
      </c>
      <c r="K490" s="649">
        <f t="shared" si="119"/>
        <v>3.1</v>
      </c>
      <c r="L490" s="649">
        <f t="shared" si="120"/>
        <v>210.8</v>
      </c>
      <c r="M490" s="651">
        <f t="shared" si="121"/>
        <v>63.24</v>
      </c>
      <c r="N490" s="659">
        <f t="shared" si="122"/>
        <v>0.3</v>
      </c>
      <c r="O490" s="675">
        <f t="shared" si="123"/>
        <v>0.2307692308</v>
      </c>
      <c r="P490" s="675"/>
      <c r="Q490" s="849" t="s">
        <v>6845</v>
      </c>
      <c r="R490" s="422"/>
      <c r="S490" s="661"/>
      <c r="T490" s="662"/>
      <c r="U490" s="422"/>
      <c r="V490" s="422"/>
      <c r="W490" s="422"/>
      <c r="X490" s="422"/>
      <c r="Y490" s="422"/>
    </row>
    <row r="491" ht="12.75" customHeight="1">
      <c r="A491" s="832" t="s">
        <v>6846</v>
      </c>
      <c r="B491" s="642" t="s">
        <v>1584</v>
      </c>
      <c r="C491" s="851" t="s">
        <v>5748</v>
      </c>
      <c r="D491" s="644">
        <f>SUMIF('Orcamento RU Viora Build'!$A:$A,A491,'Orcamento RU Viora Build'!$F:$F)</f>
        <v>386</v>
      </c>
      <c r="E491" s="645">
        <f t="shared" si="117"/>
        <v>24.7</v>
      </c>
      <c r="F491" s="742">
        <f t="shared" si="118"/>
        <v>9534.2</v>
      </c>
      <c r="G491" s="422"/>
      <c r="H491" s="648"/>
      <c r="I491" s="852">
        <v>19.0</v>
      </c>
      <c r="J491" s="650">
        <v>0.0</v>
      </c>
      <c r="K491" s="649">
        <f t="shared" si="119"/>
        <v>19</v>
      </c>
      <c r="L491" s="649">
        <f t="shared" si="120"/>
        <v>7334</v>
      </c>
      <c r="M491" s="651">
        <f t="shared" si="121"/>
        <v>2200.2</v>
      </c>
      <c r="N491" s="659">
        <f t="shared" si="122"/>
        <v>0.3</v>
      </c>
      <c r="O491" s="675">
        <f t="shared" si="123"/>
        <v>0.2307692308</v>
      </c>
      <c r="P491" s="675"/>
      <c r="Q491" s="849" t="s">
        <v>6847</v>
      </c>
      <c r="R491" s="422"/>
      <c r="S491" s="661"/>
      <c r="T491" s="662"/>
      <c r="U491" s="422"/>
      <c r="V491" s="422"/>
      <c r="W491" s="422"/>
      <c r="X491" s="422"/>
      <c r="Y491" s="422"/>
    </row>
    <row r="492" ht="12.75" customHeight="1">
      <c r="A492" s="832" t="s">
        <v>6848</v>
      </c>
      <c r="B492" s="642" t="s">
        <v>1588</v>
      </c>
      <c r="C492" s="851" t="s">
        <v>5748</v>
      </c>
      <c r="D492" s="644">
        <f>SUMIF('Orcamento RU Viora Build'!$A:$A,A492,'Orcamento RU Viora Build'!$F:$F)</f>
        <v>318</v>
      </c>
      <c r="E492" s="645">
        <f t="shared" si="117"/>
        <v>13.65</v>
      </c>
      <c r="F492" s="742">
        <f t="shared" si="118"/>
        <v>4340.7</v>
      </c>
      <c r="G492" s="422"/>
      <c r="H492" s="648"/>
      <c r="I492" s="852">
        <v>10.5</v>
      </c>
      <c r="J492" s="650">
        <v>0.0</v>
      </c>
      <c r="K492" s="649">
        <f t="shared" si="119"/>
        <v>10.5</v>
      </c>
      <c r="L492" s="649">
        <f t="shared" si="120"/>
        <v>3339</v>
      </c>
      <c r="M492" s="651">
        <f t="shared" si="121"/>
        <v>1001.7</v>
      </c>
      <c r="N492" s="659">
        <f t="shared" si="122"/>
        <v>0.3</v>
      </c>
      <c r="O492" s="675">
        <f t="shared" si="123"/>
        <v>0.2307692308</v>
      </c>
      <c r="P492" s="675"/>
      <c r="Q492" s="849" t="s">
        <v>6849</v>
      </c>
      <c r="R492" s="422"/>
      <c r="S492" s="736"/>
      <c r="T492" s="737"/>
      <c r="U492" s="422"/>
      <c r="V492" s="422"/>
      <c r="W492" s="422"/>
      <c r="X492" s="422"/>
      <c r="Y492" s="422"/>
    </row>
    <row r="493" ht="15.75" customHeight="1" outlineLevel="1">
      <c r="A493" s="627" t="s">
        <v>6850</v>
      </c>
      <c r="B493" s="853"/>
      <c r="C493" s="854"/>
      <c r="D493" s="855"/>
      <c r="E493" s="855"/>
      <c r="F493" s="856"/>
      <c r="G493" s="422"/>
      <c r="H493" s="648"/>
      <c r="I493" s="632"/>
      <c r="J493" s="633"/>
      <c r="K493" s="634"/>
      <c r="L493" s="708"/>
      <c r="M493" s="390"/>
      <c r="N493" s="390"/>
      <c r="O493" s="636"/>
      <c r="P493" s="709"/>
      <c r="Q493" s="710"/>
      <c r="R493" s="422"/>
      <c r="S493" s="711"/>
      <c r="T493" s="712"/>
      <c r="U493" s="422"/>
      <c r="V493" s="422"/>
      <c r="W493" s="422"/>
      <c r="X493" s="422"/>
      <c r="Y493" s="422"/>
    </row>
    <row r="494" ht="15.75" customHeight="1" outlineLevel="1">
      <c r="A494" s="641" t="s">
        <v>6851</v>
      </c>
      <c r="B494" s="798" t="s">
        <v>6852</v>
      </c>
      <c r="C494" s="643" t="s">
        <v>5748</v>
      </c>
      <c r="D494" s="644">
        <f>SUMIF('Orcamento RU Viora Build'!$A:$A,A494,'Orcamento RU Viora Build'!$F:$F)</f>
        <v>253.9815</v>
      </c>
      <c r="E494" s="645">
        <f t="shared" ref="E494:E513" si="124">K494+(K494*N494)</f>
        <v>7.15</v>
      </c>
      <c r="F494" s="646">
        <f t="shared" ref="F494:F513" si="125">D494*E494</f>
        <v>1815.967725</v>
      </c>
      <c r="G494" s="422"/>
      <c r="H494" s="648"/>
      <c r="I494" s="658">
        <v>5.5</v>
      </c>
      <c r="J494" s="650">
        <v>0.0</v>
      </c>
      <c r="K494" s="649">
        <f t="shared" ref="K494:K500" si="126">I494-I494*J494</f>
        <v>5.5</v>
      </c>
      <c r="L494" s="649">
        <f t="shared" ref="L494:L500" si="127">K494*D494</f>
        <v>1396.89825</v>
      </c>
      <c r="M494" s="651">
        <f t="shared" ref="M494:M500" si="128">F494-L494</f>
        <v>419.069475</v>
      </c>
      <c r="N494" s="659">
        <f t="shared" ref="N494:N513" si="129">$N$2</f>
        <v>0.3</v>
      </c>
      <c r="O494" s="675">
        <f t="shared" ref="O494:O500" si="130">M494/F494</f>
        <v>0.2307692308</v>
      </c>
      <c r="P494" s="675"/>
      <c r="Q494" s="849" t="s">
        <v>6853</v>
      </c>
      <c r="R494" s="422"/>
      <c r="S494" s="656"/>
      <c r="T494" s="657"/>
      <c r="U494" s="422"/>
      <c r="V494" s="422"/>
      <c r="W494" s="422"/>
      <c r="X494" s="422"/>
      <c r="Y494" s="422"/>
    </row>
    <row r="495" ht="15.75" customHeight="1" outlineLevel="1">
      <c r="A495" s="641" t="s">
        <v>6854</v>
      </c>
      <c r="B495" s="798" t="s">
        <v>6855</v>
      </c>
      <c r="C495" s="643" t="s">
        <v>5748</v>
      </c>
      <c r="D495" s="644">
        <f>SUMIF('Orcamento RU Viora Build'!$A:$A,A495,'Orcamento RU Viora Build'!$F:$F)</f>
        <v>21.897</v>
      </c>
      <c r="E495" s="645">
        <f t="shared" si="124"/>
        <v>11.05</v>
      </c>
      <c r="F495" s="646">
        <f t="shared" si="125"/>
        <v>241.96185</v>
      </c>
      <c r="G495" s="422"/>
      <c r="H495" s="648"/>
      <c r="I495" s="658">
        <v>8.5</v>
      </c>
      <c r="J495" s="650">
        <v>0.0</v>
      </c>
      <c r="K495" s="649">
        <f t="shared" si="126"/>
        <v>8.5</v>
      </c>
      <c r="L495" s="649">
        <f t="shared" si="127"/>
        <v>186.1245</v>
      </c>
      <c r="M495" s="651">
        <f t="shared" si="128"/>
        <v>55.83735</v>
      </c>
      <c r="N495" s="659">
        <f t="shared" si="129"/>
        <v>0.3</v>
      </c>
      <c r="O495" s="675">
        <f t="shared" si="130"/>
        <v>0.2307692308</v>
      </c>
      <c r="P495" s="675"/>
      <c r="Q495" s="857" t="s">
        <v>6856</v>
      </c>
      <c r="R495" s="422"/>
      <c r="S495" s="661"/>
      <c r="T495" s="662"/>
      <c r="U495" s="422"/>
      <c r="V495" s="422"/>
      <c r="W495" s="422"/>
      <c r="X495" s="422"/>
      <c r="Y495" s="422"/>
    </row>
    <row r="496" ht="15.75" customHeight="1" outlineLevel="1">
      <c r="A496" s="641" t="s">
        <v>6857</v>
      </c>
      <c r="B496" s="858" t="s">
        <v>6858</v>
      </c>
      <c r="C496" s="643" t="s">
        <v>5748</v>
      </c>
      <c r="D496" s="644">
        <f>SUMIF('Orcamento RU Viora Build'!$A:$A,A496,'Orcamento RU Viora Build'!$F:$F)</f>
        <v>16.5</v>
      </c>
      <c r="E496" s="645">
        <f t="shared" si="124"/>
        <v>17.55</v>
      </c>
      <c r="F496" s="646">
        <f t="shared" si="125"/>
        <v>289.575</v>
      </c>
      <c r="G496" s="782"/>
      <c r="H496" s="666"/>
      <c r="I496" s="658">
        <v>13.5</v>
      </c>
      <c r="J496" s="650">
        <v>0.0</v>
      </c>
      <c r="K496" s="649">
        <f t="shared" si="126"/>
        <v>13.5</v>
      </c>
      <c r="L496" s="649">
        <f t="shared" si="127"/>
        <v>222.75</v>
      </c>
      <c r="M496" s="651">
        <f t="shared" si="128"/>
        <v>66.825</v>
      </c>
      <c r="N496" s="659">
        <f t="shared" si="129"/>
        <v>0.3</v>
      </c>
      <c r="O496" s="675">
        <f t="shared" si="130"/>
        <v>0.2307692308</v>
      </c>
      <c r="P496" s="675"/>
      <c r="Q496" s="849" t="s">
        <v>6859</v>
      </c>
      <c r="R496" s="422"/>
      <c r="S496" s="661"/>
      <c r="T496" s="662"/>
      <c r="U496" s="422"/>
      <c r="V496" s="422"/>
      <c r="W496" s="422"/>
      <c r="X496" s="422"/>
      <c r="Y496" s="422"/>
    </row>
    <row r="497" ht="15.75" customHeight="1" outlineLevel="1">
      <c r="A497" s="641" t="s">
        <v>6860</v>
      </c>
      <c r="B497" s="798" t="s">
        <v>6861</v>
      </c>
      <c r="C497" s="643" t="s">
        <v>5635</v>
      </c>
      <c r="D497" s="644">
        <f>SUMIF('Orcamento RU Viora Build'!$A:$A,A497,'Orcamento RU Viora Build'!$F:$F)</f>
        <v>3158.13</v>
      </c>
      <c r="E497" s="645">
        <f t="shared" si="124"/>
        <v>45.5</v>
      </c>
      <c r="F497" s="646">
        <f t="shared" si="125"/>
        <v>143694.915</v>
      </c>
      <c r="G497" s="782"/>
      <c r="H497" s="666"/>
      <c r="I497" s="658">
        <v>35.0</v>
      </c>
      <c r="J497" s="650">
        <v>0.0</v>
      </c>
      <c r="K497" s="649">
        <f t="shared" si="126"/>
        <v>35</v>
      </c>
      <c r="L497" s="649">
        <f t="shared" si="127"/>
        <v>110534.55</v>
      </c>
      <c r="M497" s="651">
        <f t="shared" si="128"/>
        <v>33160.365</v>
      </c>
      <c r="N497" s="659">
        <f t="shared" si="129"/>
        <v>0.3</v>
      </c>
      <c r="O497" s="675">
        <f t="shared" si="130"/>
        <v>0.2307692308</v>
      </c>
      <c r="P497" s="675"/>
      <c r="Q497" s="849" t="s">
        <v>6862</v>
      </c>
      <c r="R497" s="422"/>
      <c r="S497" s="661"/>
      <c r="T497" s="662"/>
      <c r="U497" s="422"/>
      <c r="V497" s="422"/>
      <c r="W497" s="422"/>
      <c r="X497" s="422"/>
      <c r="Y497" s="422"/>
    </row>
    <row r="498" ht="15.75" customHeight="1" outlineLevel="1">
      <c r="A498" s="641" t="s">
        <v>6863</v>
      </c>
      <c r="B498" s="858" t="s">
        <v>6864</v>
      </c>
      <c r="C498" s="643" t="s">
        <v>5767</v>
      </c>
      <c r="D498" s="644">
        <f>SUMIF('Orcamento RU Viora Build'!$A:$A,A498,'Orcamento RU Viora Build'!$F:$F)</f>
        <v>73863.26</v>
      </c>
      <c r="E498" s="645">
        <f t="shared" si="124"/>
        <v>0.975</v>
      </c>
      <c r="F498" s="646">
        <f t="shared" si="125"/>
        <v>72016.6785</v>
      </c>
      <c r="G498" s="782"/>
      <c r="H498" s="666"/>
      <c r="I498" s="658">
        <v>0.75</v>
      </c>
      <c r="J498" s="650">
        <v>0.0</v>
      </c>
      <c r="K498" s="649">
        <f t="shared" si="126"/>
        <v>0.75</v>
      </c>
      <c r="L498" s="649">
        <f t="shared" si="127"/>
        <v>55397.445</v>
      </c>
      <c r="M498" s="651">
        <f t="shared" si="128"/>
        <v>16619.2335</v>
      </c>
      <c r="N498" s="659">
        <f t="shared" si="129"/>
        <v>0.3</v>
      </c>
      <c r="O498" s="675">
        <f t="shared" si="130"/>
        <v>0.2307692308</v>
      </c>
      <c r="P498" s="675"/>
      <c r="Q498" s="849" t="s">
        <v>6865</v>
      </c>
      <c r="R498" s="422"/>
      <c r="S498" s="661"/>
      <c r="T498" s="662"/>
      <c r="U498" s="422"/>
      <c r="V498" s="422"/>
      <c r="W498" s="422"/>
      <c r="X498" s="422"/>
      <c r="Y498" s="422"/>
    </row>
    <row r="499" ht="15.75" customHeight="1" outlineLevel="1">
      <c r="A499" s="641" t="s">
        <v>6866</v>
      </c>
      <c r="B499" s="642" t="s">
        <v>6867</v>
      </c>
      <c r="C499" s="643" t="s">
        <v>5748</v>
      </c>
      <c r="D499" s="644">
        <f>SUMIF('Orcamento RU Viora Build'!$A:$A,A499,'Orcamento RU Viora Build'!$F:$F)</f>
        <v>611.929</v>
      </c>
      <c r="E499" s="645">
        <f t="shared" si="124"/>
        <v>16.25</v>
      </c>
      <c r="F499" s="646">
        <f t="shared" si="125"/>
        <v>9943.84625</v>
      </c>
      <c r="G499" s="782"/>
      <c r="H499" s="666"/>
      <c r="I499" s="852">
        <v>12.5</v>
      </c>
      <c r="J499" s="650">
        <v>0.0</v>
      </c>
      <c r="K499" s="649">
        <f t="shared" si="126"/>
        <v>12.5</v>
      </c>
      <c r="L499" s="649">
        <f t="shared" si="127"/>
        <v>7649.1125</v>
      </c>
      <c r="M499" s="651">
        <f t="shared" si="128"/>
        <v>2294.73375</v>
      </c>
      <c r="N499" s="659">
        <f t="shared" si="129"/>
        <v>0.3</v>
      </c>
      <c r="O499" s="675">
        <f t="shared" si="130"/>
        <v>0.2307692308</v>
      </c>
      <c r="P499" s="675"/>
      <c r="Q499" s="849" t="s">
        <v>6868</v>
      </c>
      <c r="R499" s="422"/>
      <c r="S499" s="661"/>
      <c r="T499" s="662"/>
      <c r="U499" s="422"/>
      <c r="V499" s="422"/>
      <c r="W499" s="422"/>
      <c r="X499" s="422"/>
      <c r="Y499" s="422"/>
    </row>
    <row r="500" outlineLevel="1">
      <c r="A500" s="641" t="s">
        <v>6869</v>
      </c>
      <c r="B500" s="859" t="s">
        <v>6870</v>
      </c>
      <c r="C500" s="643" t="s">
        <v>5631</v>
      </c>
      <c r="D500" s="644">
        <f>SUMIF('Orcamento RU Viora Build'!$A:$A,A500,'Orcamento RU Viora Build'!$F:$F)</f>
        <v>1218.48</v>
      </c>
      <c r="E500" s="645">
        <f t="shared" si="124"/>
        <v>21.06</v>
      </c>
      <c r="F500" s="646">
        <f t="shared" si="125"/>
        <v>25661.1888</v>
      </c>
      <c r="G500" s="782"/>
      <c r="H500" s="666"/>
      <c r="I500" s="860">
        <v>16.2</v>
      </c>
      <c r="J500" s="719">
        <v>0.0</v>
      </c>
      <c r="K500" s="720">
        <f t="shared" si="126"/>
        <v>16.2</v>
      </c>
      <c r="L500" s="720">
        <f t="shared" si="127"/>
        <v>19739.376</v>
      </c>
      <c r="M500" s="721">
        <f t="shared" si="128"/>
        <v>5921.8128</v>
      </c>
      <c r="N500" s="659">
        <f t="shared" si="129"/>
        <v>0.3</v>
      </c>
      <c r="O500" s="722">
        <f t="shared" si="130"/>
        <v>0.2307692308</v>
      </c>
      <c r="P500" s="722"/>
      <c r="Q500" s="861" t="s">
        <v>6871</v>
      </c>
      <c r="R500" s="422"/>
      <c r="S500" s="862"/>
      <c r="T500" s="863"/>
      <c r="U500" s="422"/>
      <c r="V500" s="422"/>
      <c r="W500" s="422"/>
      <c r="X500" s="422"/>
      <c r="Y500" s="422"/>
    </row>
    <row r="501" outlineLevel="1">
      <c r="A501" s="641" t="s">
        <v>6872</v>
      </c>
      <c r="B501" s="859" t="s">
        <v>6873</v>
      </c>
      <c r="C501" s="643" t="s">
        <v>5636</v>
      </c>
      <c r="D501" s="644">
        <f>SUMIF('Orcamento RU Viora Build'!$A:$A,A501,'Orcamento RU Viora Build'!$F:$F)</f>
        <v>116</v>
      </c>
      <c r="E501" s="645">
        <f t="shared" si="124"/>
        <v>0</v>
      </c>
      <c r="F501" s="646">
        <f t="shared" si="125"/>
        <v>0</v>
      </c>
      <c r="G501" s="782"/>
      <c r="H501" s="666"/>
      <c r="I501" s="864">
        <v>165.0</v>
      </c>
      <c r="J501" s="719"/>
      <c r="K501" s="720"/>
      <c r="L501" s="720"/>
      <c r="M501" s="721"/>
      <c r="N501" s="659">
        <f t="shared" si="129"/>
        <v>0.3</v>
      </c>
      <c r="O501" s="722"/>
      <c r="P501" s="722"/>
      <c r="Q501" s="861" t="s">
        <v>6874</v>
      </c>
      <c r="R501" s="422"/>
      <c r="S501" s="862"/>
      <c r="T501" s="863"/>
      <c r="U501" s="422"/>
      <c r="V501" s="422"/>
      <c r="W501" s="422"/>
      <c r="X501" s="422"/>
      <c r="Y501" s="422"/>
    </row>
    <row r="502" ht="15.75" customHeight="1" outlineLevel="1">
      <c r="A502" s="641" t="s">
        <v>6875</v>
      </c>
      <c r="B502" s="859" t="s">
        <v>6876</v>
      </c>
      <c r="C502" s="643" t="s">
        <v>5636</v>
      </c>
      <c r="D502" s="644">
        <f>SUMIF('Orcamento RU Viora Build'!$A:$A,A502,'Orcamento RU Viora Build'!$F:$F)</f>
        <v>638</v>
      </c>
      <c r="E502" s="645">
        <f t="shared" si="124"/>
        <v>3.51</v>
      </c>
      <c r="F502" s="646">
        <f t="shared" si="125"/>
        <v>2239.38</v>
      </c>
      <c r="G502" s="782"/>
      <c r="H502" s="666"/>
      <c r="I502" s="864">
        <v>2.7</v>
      </c>
      <c r="J502" s="719">
        <v>0.0</v>
      </c>
      <c r="K502" s="720">
        <f t="shared" ref="K502:K513" si="131">I502-I502*J502</f>
        <v>2.7</v>
      </c>
      <c r="L502" s="720">
        <f t="shared" ref="L502:L513" si="132">K502*D502</f>
        <v>1722.6</v>
      </c>
      <c r="M502" s="721">
        <f t="shared" ref="M502:M513" si="133">F502-L502</f>
        <v>516.78</v>
      </c>
      <c r="N502" s="659">
        <f t="shared" si="129"/>
        <v>0.3</v>
      </c>
      <c r="O502" s="722">
        <f t="shared" ref="O502:O513" si="134">M502/F502</f>
        <v>0.2307692308</v>
      </c>
      <c r="P502" s="722"/>
      <c r="Q502" s="861" t="s">
        <v>6877</v>
      </c>
      <c r="R502" s="422"/>
      <c r="S502" s="862"/>
      <c r="T502" s="863"/>
      <c r="U502" s="422"/>
      <c r="V502" s="422"/>
      <c r="W502" s="422"/>
      <c r="X502" s="422"/>
      <c r="Y502" s="422"/>
    </row>
    <row r="503" ht="15.75" customHeight="1" outlineLevel="1">
      <c r="A503" s="641" t="s">
        <v>6878</v>
      </c>
      <c r="B503" s="859" t="s">
        <v>6879</v>
      </c>
      <c r="C503" s="643" t="s">
        <v>5767</v>
      </c>
      <c r="D503" s="644">
        <f>SUMIF('Orcamento RU Viora Build'!$A:$A,A503,'Orcamento RU Viora Build'!$F:$F)</f>
        <v>5975.56</v>
      </c>
      <c r="E503" s="645">
        <f t="shared" si="124"/>
        <v>2.08</v>
      </c>
      <c r="F503" s="646">
        <f t="shared" si="125"/>
        <v>12429.1648</v>
      </c>
      <c r="G503" s="782"/>
      <c r="H503" s="666"/>
      <c r="I503" s="864">
        <v>1.6</v>
      </c>
      <c r="J503" s="719">
        <v>0.0</v>
      </c>
      <c r="K503" s="720">
        <f t="shared" si="131"/>
        <v>1.6</v>
      </c>
      <c r="L503" s="720">
        <f t="shared" si="132"/>
        <v>9560.896</v>
      </c>
      <c r="M503" s="721">
        <f t="shared" si="133"/>
        <v>2868.2688</v>
      </c>
      <c r="N503" s="659">
        <f t="shared" si="129"/>
        <v>0.3</v>
      </c>
      <c r="O503" s="722">
        <f t="shared" si="134"/>
        <v>0.2307692308</v>
      </c>
      <c r="P503" s="722"/>
      <c r="Q503" s="861" t="s">
        <v>6880</v>
      </c>
      <c r="R503" s="422"/>
      <c r="S503" s="862"/>
      <c r="T503" s="863"/>
      <c r="U503" s="422"/>
      <c r="V503" s="422"/>
      <c r="W503" s="422"/>
      <c r="X503" s="422"/>
      <c r="Y503" s="422"/>
    </row>
    <row r="504" ht="15.75" customHeight="1" outlineLevel="1">
      <c r="A504" s="641" t="s">
        <v>6881</v>
      </c>
      <c r="B504" s="859" t="s">
        <v>6882</v>
      </c>
      <c r="C504" s="643" t="s">
        <v>5767</v>
      </c>
      <c r="D504" s="644">
        <f>SUMIF('Orcamento RU Viora Build'!$A:$A,A504,'Orcamento RU Viora Build'!$F:$F)</f>
        <v>3972.81</v>
      </c>
      <c r="E504" s="645">
        <f t="shared" si="124"/>
        <v>2.34</v>
      </c>
      <c r="F504" s="646">
        <f t="shared" si="125"/>
        <v>9296.3754</v>
      </c>
      <c r="G504" s="782"/>
      <c r="H504" s="666"/>
      <c r="I504" s="864">
        <v>1.8</v>
      </c>
      <c r="J504" s="719">
        <v>0.0</v>
      </c>
      <c r="K504" s="720">
        <f t="shared" si="131"/>
        <v>1.8</v>
      </c>
      <c r="L504" s="720">
        <f t="shared" si="132"/>
        <v>7151.058</v>
      </c>
      <c r="M504" s="721">
        <f t="shared" si="133"/>
        <v>2145.3174</v>
      </c>
      <c r="N504" s="659">
        <f t="shared" si="129"/>
        <v>0.3</v>
      </c>
      <c r="O504" s="722">
        <f t="shared" si="134"/>
        <v>0.2307692308</v>
      </c>
      <c r="P504" s="722"/>
      <c r="Q504" s="861" t="s">
        <v>6883</v>
      </c>
      <c r="R504" s="422"/>
      <c r="S504" s="862"/>
      <c r="T504" s="863"/>
      <c r="U504" s="422"/>
      <c r="V504" s="422"/>
      <c r="W504" s="422"/>
      <c r="X504" s="422"/>
      <c r="Y504" s="422"/>
    </row>
    <row r="505" ht="15.75" customHeight="1" outlineLevel="1">
      <c r="A505" s="641" t="s">
        <v>6884</v>
      </c>
      <c r="B505" s="859" t="s">
        <v>6885</v>
      </c>
      <c r="C505" s="643" t="s">
        <v>5767</v>
      </c>
      <c r="D505" s="644">
        <f>SUMIF('Orcamento RU Viora Build'!$A:$A,A505,'Orcamento RU Viora Build'!$F:$F)</f>
        <v>2753.47</v>
      </c>
      <c r="E505" s="645">
        <f t="shared" si="124"/>
        <v>1.95</v>
      </c>
      <c r="F505" s="646">
        <f t="shared" si="125"/>
        <v>5369.2665</v>
      </c>
      <c r="G505" s="782"/>
      <c r="H505" s="666"/>
      <c r="I505" s="864">
        <v>1.5</v>
      </c>
      <c r="J505" s="719">
        <v>0.0</v>
      </c>
      <c r="K505" s="720">
        <f t="shared" si="131"/>
        <v>1.5</v>
      </c>
      <c r="L505" s="720">
        <f t="shared" si="132"/>
        <v>4130.205</v>
      </c>
      <c r="M505" s="721">
        <f t="shared" si="133"/>
        <v>1239.0615</v>
      </c>
      <c r="N505" s="659">
        <f t="shared" si="129"/>
        <v>0.3</v>
      </c>
      <c r="O505" s="722">
        <f t="shared" si="134"/>
        <v>0.2307692308</v>
      </c>
      <c r="P505" s="722"/>
      <c r="Q505" s="861" t="s">
        <v>6886</v>
      </c>
      <c r="R505" s="422"/>
      <c r="S505" s="862"/>
      <c r="T505" s="863"/>
      <c r="U505" s="422"/>
      <c r="V505" s="422"/>
      <c r="W505" s="422"/>
      <c r="X505" s="422"/>
      <c r="Y505" s="422"/>
    </row>
    <row r="506" ht="15.75" customHeight="1" outlineLevel="1">
      <c r="A506" s="641" t="s">
        <v>6887</v>
      </c>
      <c r="B506" s="859" t="s">
        <v>6888</v>
      </c>
      <c r="C506" s="643" t="s">
        <v>5636</v>
      </c>
      <c r="D506" s="644">
        <f>SUMIF('Orcamento RU Viora Build'!$A:$A,A506,'Orcamento RU Viora Build'!$F:$F)</f>
        <v>1</v>
      </c>
      <c r="E506" s="645">
        <f t="shared" si="124"/>
        <v>2860</v>
      </c>
      <c r="F506" s="646">
        <f t="shared" si="125"/>
        <v>2860</v>
      </c>
      <c r="G506" s="782"/>
      <c r="H506" s="666"/>
      <c r="I506" s="864">
        <v>2200.0</v>
      </c>
      <c r="J506" s="719">
        <v>0.0</v>
      </c>
      <c r="K506" s="720">
        <f t="shared" si="131"/>
        <v>2200</v>
      </c>
      <c r="L506" s="720">
        <f t="shared" si="132"/>
        <v>2200</v>
      </c>
      <c r="M506" s="721">
        <f t="shared" si="133"/>
        <v>660</v>
      </c>
      <c r="N506" s="659">
        <f t="shared" si="129"/>
        <v>0.3</v>
      </c>
      <c r="O506" s="722">
        <f t="shared" si="134"/>
        <v>0.2307692308</v>
      </c>
      <c r="P506" s="722"/>
      <c r="Q506" s="861" t="s">
        <v>6889</v>
      </c>
      <c r="R506" s="422"/>
      <c r="S506" s="862"/>
      <c r="T506" s="863"/>
      <c r="U506" s="422"/>
      <c r="V506" s="422"/>
      <c r="W506" s="422"/>
      <c r="X506" s="422"/>
      <c r="Y506" s="422"/>
    </row>
    <row r="507" ht="15.75" customHeight="1" outlineLevel="1">
      <c r="A507" s="641" t="s">
        <v>6890</v>
      </c>
      <c r="B507" s="859" t="s">
        <v>6891</v>
      </c>
      <c r="C507" s="643" t="s">
        <v>5631</v>
      </c>
      <c r="D507" s="644">
        <f>SUMIF('Orcamento RU Viora Build'!$A:$A,A507,'Orcamento RU Viora Build'!$F:$F)</f>
        <v>45.8</v>
      </c>
      <c r="E507" s="645">
        <f t="shared" si="124"/>
        <v>15.6</v>
      </c>
      <c r="F507" s="646">
        <f t="shared" si="125"/>
        <v>714.48</v>
      </c>
      <c r="G507" s="782"/>
      <c r="H507" s="666"/>
      <c r="I507" s="864">
        <v>12.0</v>
      </c>
      <c r="J507" s="719">
        <v>0.0</v>
      </c>
      <c r="K507" s="720">
        <f t="shared" si="131"/>
        <v>12</v>
      </c>
      <c r="L507" s="720">
        <f t="shared" si="132"/>
        <v>549.6</v>
      </c>
      <c r="M507" s="721">
        <f t="shared" si="133"/>
        <v>164.88</v>
      </c>
      <c r="N507" s="659">
        <f t="shared" si="129"/>
        <v>0.3</v>
      </c>
      <c r="O507" s="722">
        <f t="shared" si="134"/>
        <v>0.2307692308</v>
      </c>
      <c r="P507" s="722"/>
      <c r="Q507" s="861" t="s">
        <v>6892</v>
      </c>
      <c r="R507" s="422"/>
      <c r="S507" s="862"/>
      <c r="T507" s="863"/>
      <c r="U507" s="422"/>
      <c r="V507" s="422"/>
      <c r="W507" s="422"/>
      <c r="X507" s="422"/>
      <c r="Y507" s="422"/>
    </row>
    <row r="508" ht="15.75" customHeight="1" outlineLevel="1">
      <c r="A508" s="641" t="s">
        <v>6893</v>
      </c>
      <c r="B508" s="859" t="s">
        <v>6894</v>
      </c>
      <c r="C508" s="643" t="s">
        <v>5631</v>
      </c>
      <c r="D508" s="644">
        <f>SUMIF('Orcamento RU Viora Build'!$A:$A,A508,'Orcamento RU Viora Build'!$F:$F)</f>
        <v>10.42</v>
      </c>
      <c r="E508" s="645">
        <f t="shared" si="124"/>
        <v>6.5</v>
      </c>
      <c r="F508" s="646">
        <f t="shared" si="125"/>
        <v>67.73</v>
      </c>
      <c r="G508" s="782"/>
      <c r="H508" s="666"/>
      <c r="I508" s="864">
        <v>5.0</v>
      </c>
      <c r="J508" s="719">
        <v>0.0</v>
      </c>
      <c r="K508" s="720">
        <f t="shared" si="131"/>
        <v>5</v>
      </c>
      <c r="L508" s="720">
        <f t="shared" si="132"/>
        <v>52.1</v>
      </c>
      <c r="M508" s="721">
        <f t="shared" si="133"/>
        <v>15.63</v>
      </c>
      <c r="N508" s="659">
        <f t="shared" si="129"/>
        <v>0.3</v>
      </c>
      <c r="O508" s="722">
        <f t="shared" si="134"/>
        <v>0.2307692308</v>
      </c>
      <c r="P508" s="722"/>
      <c r="Q508" s="861" t="s">
        <v>6895</v>
      </c>
      <c r="R508" s="422"/>
      <c r="S508" s="862"/>
      <c r="T508" s="863"/>
      <c r="U508" s="422"/>
      <c r="V508" s="422"/>
      <c r="W508" s="422"/>
      <c r="X508" s="422"/>
      <c r="Y508" s="422"/>
    </row>
    <row r="509" ht="15.75" customHeight="1" outlineLevel="1">
      <c r="A509" s="641" t="s">
        <v>6896</v>
      </c>
      <c r="B509" s="859" t="s">
        <v>6897</v>
      </c>
      <c r="C509" s="643" t="s">
        <v>5748</v>
      </c>
      <c r="D509" s="644">
        <f>SUMIF('Orcamento RU Viora Build'!$A:$A,A509,'Orcamento RU Viora Build'!$F:$F)</f>
        <v>41.25</v>
      </c>
      <c r="E509" s="645">
        <f t="shared" si="124"/>
        <v>13</v>
      </c>
      <c r="F509" s="646">
        <f t="shared" si="125"/>
        <v>536.25</v>
      </c>
      <c r="G509" s="782"/>
      <c r="H509" s="666"/>
      <c r="I509" s="718">
        <v>10.0</v>
      </c>
      <c r="J509" s="719">
        <v>0.0</v>
      </c>
      <c r="K509" s="720">
        <f t="shared" si="131"/>
        <v>10</v>
      </c>
      <c r="L509" s="720">
        <f t="shared" si="132"/>
        <v>412.5</v>
      </c>
      <c r="M509" s="721">
        <f t="shared" si="133"/>
        <v>123.75</v>
      </c>
      <c r="N509" s="659">
        <f t="shared" si="129"/>
        <v>0.3</v>
      </c>
      <c r="O509" s="722">
        <f t="shared" si="134"/>
        <v>0.2307692308</v>
      </c>
      <c r="P509" s="722"/>
      <c r="Q509" s="861" t="s">
        <v>6898</v>
      </c>
      <c r="R509" s="422"/>
      <c r="S509" s="862"/>
      <c r="T509" s="863"/>
      <c r="U509" s="422"/>
      <c r="V509" s="422"/>
      <c r="W509" s="422"/>
      <c r="X509" s="422"/>
      <c r="Y509" s="422"/>
    </row>
    <row r="510" ht="15.75" customHeight="1" outlineLevel="1">
      <c r="A510" s="641" t="s">
        <v>6899</v>
      </c>
      <c r="B510" s="859" t="s">
        <v>6900</v>
      </c>
      <c r="C510" s="643" t="s">
        <v>5636</v>
      </c>
      <c r="D510" s="644">
        <f>SUMIF('Orcamento RU Viora Build'!$A:$A,A510,'Orcamento RU Viora Build'!$F:$F)</f>
        <v>1</v>
      </c>
      <c r="E510" s="645">
        <f t="shared" si="124"/>
        <v>2375.1</v>
      </c>
      <c r="F510" s="646">
        <f t="shared" si="125"/>
        <v>2375.1</v>
      </c>
      <c r="G510" s="782"/>
      <c r="H510" s="666"/>
      <c r="I510" s="864">
        <v>1827.0</v>
      </c>
      <c r="J510" s="719">
        <v>0.0</v>
      </c>
      <c r="K510" s="720">
        <f t="shared" si="131"/>
        <v>1827</v>
      </c>
      <c r="L510" s="720">
        <f t="shared" si="132"/>
        <v>1827</v>
      </c>
      <c r="M510" s="721">
        <f t="shared" si="133"/>
        <v>548.1</v>
      </c>
      <c r="N510" s="659">
        <f t="shared" si="129"/>
        <v>0.3</v>
      </c>
      <c r="O510" s="722">
        <f t="shared" si="134"/>
        <v>0.2307692308</v>
      </c>
      <c r="P510" s="722"/>
      <c r="Q510" s="861" t="s">
        <v>6901</v>
      </c>
      <c r="R510" s="422"/>
      <c r="S510" s="862"/>
      <c r="T510" s="863"/>
      <c r="U510" s="422"/>
      <c r="V510" s="422"/>
      <c r="W510" s="422"/>
      <c r="X510" s="422"/>
      <c r="Y510" s="422"/>
    </row>
    <row r="511" outlineLevel="1">
      <c r="A511" s="641" t="s">
        <v>6902</v>
      </c>
      <c r="B511" s="859" t="s">
        <v>6903</v>
      </c>
      <c r="C511" s="643" t="s">
        <v>5636</v>
      </c>
      <c r="D511" s="644">
        <f>SUMIF('Orcamento RU Viora Build'!$A:$A,A511,'Orcamento RU Viora Build'!$F:$F)</f>
        <v>1</v>
      </c>
      <c r="E511" s="645">
        <f t="shared" si="124"/>
        <v>2275</v>
      </c>
      <c r="F511" s="646">
        <f t="shared" si="125"/>
        <v>2275</v>
      </c>
      <c r="G511" s="782"/>
      <c r="H511" s="666"/>
      <c r="I511" s="865">
        <v>1750.0</v>
      </c>
      <c r="J511" s="650">
        <v>0.0</v>
      </c>
      <c r="K511" s="649">
        <f t="shared" si="131"/>
        <v>1750</v>
      </c>
      <c r="L511" s="649">
        <f t="shared" si="132"/>
        <v>1750</v>
      </c>
      <c r="M511" s="651">
        <f t="shared" si="133"/>
        <v>525</v>
      </c>
      <c r="N511" s="659">
        <f t="shared" si="129"/>
        <v>0.3</v>
      </c>
      <c r="O511" s="675">
        <f t="shared" si="134"/>
        <v>0.2307692308</v>
      </c>
      <c r="P511" s="866"/>
      <c r="Q511" s="839" t="s">
        <v>6904</v>
      </c>
      <c r="R511" s="422"/>
      <c r="S511" s="661"/>
      <c r="T511" s="662"/>
      <c r="U511" s="422"/>
      <c r="V511" s="422"/>
      <c r="W511" s="422"/>
      <c r="X511" s="422"/>
      <c r="Y511" s="422"/>
    </row>
    <row r="512" outlineLevel="1">
      <c r="A512" s="641" t="s">
        <v>6905</v>
      </c>
      <c r="B512" s="859" t="s">
        <v>6906</v>
      </c>
      <c r="C512" s="643" t="s">
        <v>5636</v>
      </c>
      <c r="D512" s="644">
        <f>SUMIF('Orcamento RU Viora Build'!$A:$A,A512,'Orcamento RU Viora Build'!$F:$F)</f>
        <v>1</v>
      </c>
      <c r="E512" s="645">
        <f t="shared" si="124"/>
        <v>1859</v>
      </c>
      <c r="F512" s="646">
        <f t="shared" si="125"/>
        <v>1859</v>
      </c>
      <c r="G512" s="782"/>
      <c r="H512" s="666"/>
      <c r="I512" s="865">
        <v>1430.0</v>
      </c>
      <c r="J512" s="650">
        <v>0.0</v>
      </c>
      <c r="K512" s="649">
        <f t="shared" si="131"/>
        <v>1430</v>
      </c>
      <c r="L512" s="649">
        <f t="shared" si="132"/>
        <v>1430</v>
      </c>
      <c r="M512" s="651">
        <f t="shared" si="133"/>
        <v>429</v>
      </c>
      <c r="N512" s="659">
        <f t="shared" si="129"/>
        <v>0.3</v>
      </c>
      <c r="O512" s="675">
        <f t="shared" si="134"/>
        <v>0.2307692308</v>
      </c>
      <c r="P512" s="866"/>
      <c r="Q512" s="839" t="s">
        <v>6907</v>
      </c>
      <c r="R512" s="422"/>
      <c r="S512" s="661"/>
      <c r="T512" s="662"/>
      <c r="U512" s="422"/>
      <c r="V512" s="422"/>
      <c r="W512" s="422"/>
      <c r="X512" s="422"/>
      <c r="Y512" s="422"/>
    </row>
    <row r="513" outlineLevel="1">
      <c r="A513" s="641" t="s">
        <v>6908</v>
      </c>
      <c r="B513" s="859" t="s">
        <v>6909</v>
      </c>
      <c r="C513" s="643" t="s">
        <v>5636</v>
      </c>
      <c r="D513" s="644">
        <f>SUMIF('Orcamento RU Viora Build'!$A:$A,A513,'Orcamento RU Viora Build'!$F:$F)</f>
        <v>1</v>
      </c>
      <c r="E513" s="645">
        <f t="shared" si="124"/>
        <v>3224</v>
      </c>
      <c r="F513" s="646">
        <f t="shared" si="125"/>
        <v>3224</v>
      </c>
      <c r="G513" s="782"/>
      <c r="H513" s="666"/>
      <c r="I513" s="865">
        <v>2480.0</v>
      </c>
      <c r="J513" s="650">
        <v>0.0</v>
      </c>
      <c r="K513" s="649">
        <f t="shared" si="131"/>
        <v>2480</v>
      </c>
      <c r="L513" s="649">
        <f t="shared" si="132"/>
        <v>2480</v>
      </c>
      <c r="M513" s="651">
        <f t="shared" si="133"/>
        <v>744</v>
      </c>
      <c r="N513" s="659">
        <f t="shared" si="129"/>
        <v>0.3</v>
      </c>
      <c r="O513" s="675">
        <f t="shared" si="134"/>
        <v>0.2307692308</v>
      </c>
      <c r="P513" s="866"/>
      <c r="Q513" s="839" t="s">
        <v>6910</v>
      </c>
      <c r="R513" s="422"/>
      <c r="S513" s="736"/>
      <c r="T513" s="737"/>
      <c r="U513" s="422"/>
      <c r="V513" s="422"/>
      <c r="W513" s="422"/>
      <c r="X513" s="422"/>
      <c r="Y513" s="422"/>
    </row>
    <row r="514" ht="15.75" customHeight="1" outlineLevel="1">
      <c r="A514" s="701" t="s">
        <v>5814</v>
      </c>
      <c r="B514" s="702"/>
      <c r="C514" s="703"/>
      <c r="D514" s="781"/>
      <c r="E514" s="390"/>
      <c r="F514" s="388"/>
      <c r="G514" s="782"/>
      <c r="H514" s="666"/>
      <c r="I514" s="632"/>
      <c r="J514" s="633"/>
      <c r="K514" s="634"/>
      <c r="L514" s="634"/>
      <c r="M514" s="635"/>
      <c r="N514" s="390"/>
      <c r="O514" s="636"/>
      <c r="P514" s="709"/>
      <c r="Q514" s="710"/>
      <c r="R514" s="422"/>
      <c r="S514" s="711"/>
      <c r="T514" s="712"/>
      <c r="U514" s="422"/>
      <c r="V514" s="422"/>
      <c r="W514" s="422"/>
      <c r="X514" s="422"/>
      <c r="Y514" s="422"/>
    </row>
    <row r="515" ht="15.75" customHeight="1" outlineLevel="1">
      <c r="A515" s="641" t="s">
        <v>6911</v>
      </c>
      <c r="B515" s="798" t="s">
        <v>6912</v>
      </c>
      <c r="C515" s="643" t="s">
        <v>5635</v>
      </c>
      <c r="D515" s="644">
        <f>SUMIF('Orcamento RU Viora Build'!$A:$A,A515,'Orcamento RU Viora Build'!$F:$F)</f>
        <v>155.42</v>
      </c>
      <c r="E515" s="645">
        <f t="shared" ref="E515:E521" si="135">K515+(K515*N515)</f>
        <v>16.9</v>
      </c>
      <c r="F515" s="646">
        <f t="shared" ref="F515:F521" si="136">D515*E515</f>
        <v>2626.598</v>
      </c>
      <c r="G515" s="782"/>
      <c r="H515" s="666"/>
      <c r="I515" s="658">
        <v>13.0</v>
      </c>
      <c r="J515" s="650">
        <v>0.0</v>
      </c>
      <c r="K515" s="649">
        <f t="shared" ref="K515:K521" si="137">I515-I515*J515</f>
        <v>13</v>
      </c>
      <c r="L515" s="649">
        <f t="shared" ref="L515:L521" si="138">K515*D515</f>
        <v>2020.46</v>
      </c>
      <c r="M515" s="651">
        <f t="shared" ref="M515:M521" si="139">F515-L515</f>
        <v>606.138</v>
      </c>
      <c r="N515" s="659">
        <f t="shared" ref="N515:N521" si="140">$N$2</f>
        <v>0.3</v>
      </c>
      <c r="O515" s="675">
        <f t="shared" ref="O515:O521" si="141">M515/F515</f>
        <v>0.2307692308</v>
      </c>
      <c r="P515" s="675"/>
      <c r="Q515" s="849" t="s">
        <v>6913</v>
      </c>
      <c r="R515" s="422"/>
      <c r="S515" s="656"/>
      <c r="T515" s="657"/>
      <c r="U515" s="422"/>
      <c r="V515" s="422"/>
      <c r="W515" s="422"/>
      <c r="X515" s="422"/>
      <c r="Y515" s="422"/>
    </row>
    <row r="516" ht="15.75" customHeight="1" outlineLevel="1">
      <c r="A516" s="641" t="s">
        <v>6914</v>
      </c>
      <c r="B516" s="798" t="s">
        <v>6915</v>
      </c>
      <c r="C516" s="643" t="s">
        <v>5635</v>
      </c>
      <c r="D516" s="644">
        <f>SUMIF('Orcamento RU Viora Build'!$A:$A,A516,'Orcamento RU Viora Build'!$F:$F)</f>
        <v>215.82</v>
      </c>
      <c r="E516" s="645">
        <f t="shared" si="135"/>
        <v>20.8</v>
      </c>
      <c r="F516" s="646">
        <f t="shared" si="136"/>
        <v>4489.056</v>
      </c>
      <c r="G516" s="782"/>
      <c r="H516" s="666"/>
      <c r="I516" s="649">
        <v>16.0</v>
      </c>
      <c r="J516" s="650">
        <v>0.0</v>
      </c>
      <c r="K516" s="649">
        <f t="shared" si="137"/>
        <v>16</v>
      </c>
      <c r="L516" s="649">
        <f t="shared" si="138"/>
        <v>3453.12</v>
      </c>
      <c r="M516" s="651">
        <f t="shared" si="139"/>
        <v>1035.936</v>
      </c>
      <c r="N516" s="659">
        <f t="shared" si="140"/>
        <v>0.3</v>
      </c>
      <c r="O516" s="675">
        <f t="shared" si="141"/>
        <v>0.2307692308</v>
      </c>
      <c r="P516" s="675"/>
      <c r="Q516" s="849" t="s">
        <v>6916</v>
      </c>
      <c r="R516" s="1"/>
      <c r="S516" s="668"/>
      <c r="T516" s="669"/>
      <c r="U516" s="1"/>
      <c r="V516" s="1"/>
      <c r="W516" s="1"/>
      <c r="X516" s="1"/>
      <c r="Y516" s="1"/>
    </row>
    <row r="517" ht="15.75" customHeight="1" outlineLevel="1">
      <c r="A517" s="641" t="s">
        <v>6917</v>
      </c>
      <c r="B517" s="798" t="s">
        <v>6918</v>
      </c>
      <c r="C517" s="643" t="s">
        <v>5635</v>
      </c>
      <c r="D517" s="644">
        <f>SUMIF('Orcamento RU Viora Build'!$A:$A,A517,'Orcamento RU Viora Build'!$F:$F)</f>
        <v>240.33</v>
      </c>
      <c r="E517" s="645">
        <f t="shared" si="135"/>
        <v>20.8</v>
      </c>
      <c r="F517" s="646">
        <f t="shared" si="136"/>
        <v>4998.864</v>
      </c>
      <c r="G517" s="782"/>
      <c r="H517" s="666"/>
      <c r="I517" s="649">
        <v>16.0</v>
      </c>
      <c r="J517" s="650">
        <v>0.0</v>
      </c>
      <c r="K517" s="649">
        <f t="shared" si="137"/>
        <v>16</v>
      </c>
      <c r="L517" s="649">
        <f t="shared" si="138"/>
        <v>3845.28</v>
      </c>
      <c r="M517" s="651">
        <f t="shared" si="139"/>
        <v>1153.584</v>
      </c>
      <c r="N517" s="659">
        <f t="shared" si="140"/>
        <v>0.3</v>
      </c>
      <c r="O517" s="675">
        <f t="shared" si="141"/>
        <v>0.2307692308</v>
      </c>
      <c r="P517" s="675"/>
      <c r="Q517" s="849" t="s">
        <v>6919</v>
      </c>
      <c r="R517" s="1"/>
      <c r="S517" s="668"/>
      <c r="T517" s="669"/>
      <c r="U517" s="1"/>
      <c r="V517" s="1"/>
      <c r="W517" s="1"/>
      <c r="X517" s="1"/>
      <c r="Y517" s="1"/>
    </row>
    <row r="518" ht="15.75" customHeight="1" outlineLevel="1">
      <c r="A518" s="641" t="s">
        <v>6920</v>
      </c>
      <c r="B518" s="798" t="s">
        <v>6921</v>
      </c>
      <c r="C518" s="643" t="s">
        <v>5635</v>
      </c>
      <c r="D518" s="644">
        <f>SUMIF('Orcamento RU Viora Build'!$A:$A,A518,'Orcamento RU Viora Build'!$F:$F)</f>
        <v>14.64</v>
      </c>
      <c r="E518" s="645">
        <f t="shared" si="135"/>
        <v>20.8</v>
      </c>
      <c r="F518" s="646">
        <f t="shared" si="136"/>
        <v>304.512</v>
      </c>
      <c r="G518" s="782"/>
      <c r="H518" s="666"/>
      <c r="I518" s="649">
        <v>16.0</v>
      </c>
      <c r="J518" s="650">
        <v>0.0</v>
      </c>
      <c r="K518" s="649">
        <f t="shared" si="137"/>
        <v>16</v>
      </c>
      <c r="L518" s="649">
        <f t="shared" si="138"/>
        <v>234.24</v>
      </c>
      <c r="M518" s="651">
        <f t="shared" si="139"/>
        <v>70.272</v>
      </c>
      <c r="N518" s="659">
        <f t="shared" si="140"/>
        <v>0.3</v>
      </c>
      <c r="O518" s="675">
        <f t="shared" si="141"/>
        <v>0.2307692308</v>
      </c>
      <c r="P518" s="675"/>
      <c r="Q518" s="849" t="s">
        <v>6922</v>
      </c>
      <c r="R518" s="1"/>
      <c r="S518" s="668"/>
      <c r="T518" s="669"/>
      <c r="U518" s="1"/>
      <c r="V518" s="1"/>
      <c r="W518" s="1"/>
      <c r="X518" s="1"/>
      <c r="Y518" s="1"/>
    </row>
    <row r="519" outlineLevel="1">
      <c r="A519" s="641" t="s">
        <v>6923</v>
      </c>
      <c r="B519" s="798" t="s">
        <v>6924</v>
      </c>
      <c r="C519" s="643" t="s">
        <v>5635</v>
      </c>
      <c r="D519" s="644">
        <f>SUMIF('Orcamento RU Viora Build'!$A:$A,A519,'Orcamento RU Viora Build'!$F:$F)</f>
        <v>77.14</v>
      </c>
      <c r="E519" s="645">
        <f t="shared" si="135"/>
        <v>32.5</v>
      </c>
      <c r="F519" s="646">
        <f t="shared" si="136"/>
        <v>2507.05</v>
      </c>
      <c r="G519" s="782"/>
      <c r="H519" s="666"/>
      <c r="I519" s="658">
        <v>25.0</v>
      </c>
      <c r="J519" s="650">
        <v>0.0</v>
      </c>
      <c r="K519" s="649">
        <f t="shared" si="137"/>
        <v>25</v>
      </c>
      <c r="L519" s="649">
        <f t="shared" si="138"/>
        <v>1928.5</v>
      </c>
      <c r="M519" s="651">
        <f t="shared" si="139"/>
        <v>578.55</v>
      </c>
      <c r="N519" s="659">
        <f t="shared" si="140"/>
        <v>0.3</v>
      </c>
      <c r="O519" s="675">
        <f t="shared" si="141"/>
        <v>0.2307692308</v>
      </c>
      <c r="P519" s="675"/>
      <c r="Q519" s="849" t="s">
        <v>6925</v>
      </c>
      <c r="R519" s="1"/>
      <c r="S519" s="668"/>
      <c r="T519" s="669"/>
      <c r="U519" s="1"/>
      <c r="V519" s="1"/>
      <c r="W519" s="1"/>
      <c r="X519" s="1"/>
      <c r="Y519" s="1"/>
    </row>
    <row r="520" ht="15.75" customHeight="1" outlineLevel="1">
      <c r="A520" s="641" t="s">
        <v>6926</v>
      </c>
      <c r="B520" s="798" t="s">
        <v>6927</v>
      </c>
      <c r="C520" s="643" t="s">
        <v>5635</v>
      </c>
      <c r="D520" s="644">
        <f>SUMIF('Orcamento RU Viora Build'!$A:$A,A520,'Orcamento RU Viora Build'!$F:$F)</f>
        <v>94</v>
      </c>
      <c r="E520" s="645">
        <f t="shared" si="135"/>
        <v>23.4</v>
      </c>
      <c r="F520" s="646">
        <f t="shared" si="136"/>
        <v>2199.6</v>
      </c>
      <c r="G520" s="782"/>
      <c r="H520" s="666"/>
      <c r="I520" s="649">
        <v>18.0</v>
      </c>
      <c r="J520" s="650">
        <v>0.0</v>
      </c>
      <c r="K520" s="649">
        <f t="shared" si="137"/>
        <v>18</v>
      </c>
      <c r="L520" s="649">
        <f t="shared" si="138"/>
        <v>1692</v>
      </c>
      <c r="M520" s="651">
        <f t="shared" si="139"/>
        <v>507.6</v>
      </c>
      <c r="N520" s="659">
        <f t="shared" si="140"/>
        <v>0.3</v>
      </c>
      <c r="O520" s="675">
        <f t="shared" si="141"/>
        <v>0.2307692308</v>
      </c>
      <c r="P520" s="675"/>
      <c r="Q520" s="698" t="s">
        <v>6928</v>
      </c>
      <c r="R520" s="1"/>
      <c r="S520" s="668"/>
      <c r="T520" s="669"/>
      <c r="U520" s="1"/>
      <c r="V520" s="1"/>
      <c r="W520" s="1"/>
      <c r="X520" s="1"/>
      <c r="Y520" s="1"/>
    </row>
    <row r="521" ht="15.75" customHeight="1" outlineLevel="1">
      <c r="A521" s="641" t="s">
        <v>6929</v>
      </c>
      <c r="B521" s="798" t="s">
        <v>6930</v>
      </c>
      <c r="C521" s="643" t="s">
        <v>5635</v>
      </c>
      <c r="D521" s="644">
        <f>SUMIF('Orcamento RU Viora Build'!$A:$A,A521,'Orcamento RU Viora Build'!$F:$F)</f>
        <v>20</v>
      </c>
      <c r="E521" s="645">
        <f t="shared" si="135"/>
        <v>23.4</v>
      </c>
      <c r="F521" s="646">
        <f t="shared" si="136"/>
        <v>468</v>
      </c>
      <c r="G521" s="782"/>
      <c r="H521" s="666"/>
      <c r="I521" s="649">
        <v>18.0</v>
      </c>
      <c r="J521" s="650">
        <v>0.0</v>
      </c>
      <c r="K521" s="649">
        <f t="shared" si="137"/>
        <v>18</v>
      </c>
      <c r="L521" s="649">
        <f t="shared" si="138"/>
        <v>360</v>
      </c>
      <c r="M521" s="651">
        <f t="shared" si="139"/>
        <v>108</v>
      </c>
      <c r="N521" s="659">
        <f t="shared" si="140"/>
        <v>0.3</v>
      </c>
      <c r="O521" s="675">
        <f t="shared" si="141"/>
        <v>0.2307692308</v>
      </c>
      <c r="P521" s="675"/>
      <c r="Q521" s="698" t="s">
        <v>6928</v>
      </c>
      <c r="R521" s="1"/>
      <c r="S521" s="699"/>
      <c r="T521" s="700"/>
      <c r="U521" s="1"/>
      <c r="V521" s="1"/>
      <c r="W521" s="1"/>
      <c r="X521" s="1"/>
      <c r="Y521" s="1"/>
    </row>
    <row r="522" ht="15.75" customHeight="1" outlineLevel="1">
      <c r="A522" s="701" t="s">
        <v>6931</v>
      </c>
      <c r="B522" s="702"/>
      <c r="C522" s="703"/>
      <c r="D522" s="781"/>
      <c r="E522" s="390"/>
      <c r="F522" s="388"/>
      <c r="G522" s="782"/>
      <c r="H522" s="666"/>
      <c r="I522" s="632"/>
      <c r="J522" s="633"/>
      <c r="K522" s="634"/>
      <c r="L522" s="634"/>
      <c r="M522" s="635"/>
      <c r="N522" s="390"/>
      <c r="O522" s="636"/>
      <c r="P522" s="709"/>
      <c r="Q522" s="710"/>
      <c r="R522" s="1"/>
      <c r="S522" s="711"/>
      <c r="T522" s="712"/>
      <c r="U522" s="1"/>
      <c r="V522" s="1"/>
      <c r="W522" s="1"/>
      <c r="X522" s="1"/>
      <c r="Y522" s="1"/>
    </row>
    <row r="523" ht="12.75" customHeight="1" outlineLevel="1">
      <c r="A523" s="641" t="s">
        <v>6932</v>
      </c>
      <c r="B523" s="867" t="s">
        <v>6933</v>
      </c>
      <c r="C523" s="643" t="s">
        <v>5635</v>
      </c>
      <c r="D523" s="644">
        <f>SUMIF('Orcamento RU Viora Build'!$A:$A,A523,'Orcamento RU Viora Build'!$F:$F)</f>
        <v>19.35</v>
      </c>
      <c r="E523" s="645">
        <f t="shared" ref="E523:E529" si="142">K523+(K523*N523)</f>
        <v>36.4</v>
      </c>
      <c r="F523" s="646">
        <f t="shared" ref="F523:F529" si="143">D523*E523</f>
        <v>704.34</v>
      </c>
      <c r="G523" s="782"/>
      <c r="H523" s="666"/>
      <c r="I523" s="774">
        <v>28.0</v>
      </c>
      <c r="J523" s="743">
        <v>0.0</v>
      </c>
      <c r="K523" s="679">
        <f t="shared" ref="K523:K529" si="144">I523-I523*J523</f>
        <v>28</v>
      </c>
      <c r="L523" s="679">
        <f t="shared" ref="L523:L529" si="145">K523*D523</f>
        <v>541.8</v>
      </c>
      <c r="M523" s="680">
        <f t="shared" ref="M523:M529" si="146">F523-L523</f>
        <v>162.54</v>
      </c>
      <c r="N523" s="659">
        <f t="shared" ref="N523:N529" si="147">$N$2</f>
        <v>0.3</v>
      </c>
      <c r="O523" s="744">
        <f t="shared" ref="O523:O529" si="148">M523/F523</f>
        <v>0.2307692308</v>
      </c>
      <c r="P523" s="744"/>
      <c r="Q523" s="768" t="s">
        <v>6934</v>
      </c>
      <c r="R523" s="1"/>
      <c r="S523" s="765"/>
      <c r="T523" s="766"/>
      <c r="U523" s="1"/>
      <c r="V523" s="1"/>
      <c r="W523" s="1"/>
      <c r="X523" s="1"/>
      <c r="Y523" s="1"/>
    </row>
    <row r="524" outlineLevel="1">
      <c r="A524" s="641" t="s">
        <v>6935</v>
      </c>
      <c r="B524" s="798" t="s">
        <v>6936</v>
      </c>
      <c r="C524" s="643" t="s">
        <v>5635</v>
      </c>
      <c r="D524" s="644">
        <f>SUMIF('Orcamento RU Viora Build'!$A:$A,A524,'Orcamento RU Viora Build'!$F:$F)</f>
        <v>37.64</v>
      </c>
      <c r="E524" s="645">
        <f t="shared" si="142"/>
        <v>24.7</v>
      </c>
      <c r="F524" s="646">
        <f t="shared" si="143"/>
        <v>929.708</v>
      </c>
      <c r="G524" s="782"/>
      <c r="H524" s="666"/>
      <c r="I524" s="774">
        <v>19.0</v>
      </c>
      <c r="J524" s="743">
        <v>0.0</v>
      </c>
      <c r="K524" s="679">
        <f t="shared" si="144"/>
        <v>19</v>
      </c>
      <c r="L524" s="679">
        <f t="shared" si="145"/>
        <v>715.16</v>
      </c>
      <c r="M524" s="680">
        <f t="shared" si="146"/>
        <v>214.548</v>
      </c>
      <c r="N524" s="659">
        <f t="shared" si="147"/>
        <v>0.3</v>
      </c>
      <c r="O524" s="744">
        <f t="shared" si="148"/>
        <v>0.2307692308</v>
      </c>
      <c r="P524" s="744"/>
      <c r="Q524" s="768" t="s">
        <v>6937</v>
      </c>
      <c r="R524" s="1"/>
      <c r="S524" s="685"/>
      <c r="T524" s="686"/>
      <c r="U524" s="1"/>
      <c r="V524" s="1"/>
      <c r="W524" s="1"/>
      <c r="X524" s="1"/>
      <c r="Y524" s="1"/>
    </row>
    <row r="525" outlineLevel="1">
      <c r="A525" s="641" t="s">
        <v>6938</v>
      </c>
      <c r="B525" s="798" t="s">
        <v>6939</v>
      </c>
      <c r="C525" s="643" t="s">
        <v>5635</v>
      </c>
      <c r="D525" s="644">
        <f>SUMIF('Orcamento RU Viora Build'!$A:$A,A525,'Orcamento RU Viora Build'!$F:$F)</f>
        <v>20.27</v>
      </c>
      <c r="E525" s="645">
        <f t="shared" si="142"/>
        <v>27.3</v>
      </c>
      <c r="F525" s="646">
        <f t="shared" si="143"/>
        <v>553.371</v>
      </c>
      <c r="G525" s="782"/>
      <c r="H525" s="666"/>
      <c r="I525" s="774">
        <v>21.0</v>
      </c>
      <c r="J525" s="743">
        <v>0.0</v>
      </c>
      <c r="K525" s="679">
        <f t="shared" si="144"/>
        <v>21</v>
      </c>
      <c r="L525" s="679">
        <f t="shared" si="145"/>
        <v>425.67</v>
      </c>
      <c r="M525" s="680">
        <f t="shared" si="146"/>
        <v>127.701</v>
      </c>
      <c r="N525" s="659">
        <f t="shared" si="147"/>
        <v>0.3</v>
      </c>
      <c r="O525" s="744">
        <f t="shared" si="148"/>
        <v>0.2307692308</v>
      </c>
      <c r="P525" s="744"/>
      <c r="Q525" s="768" t="s">
        <v>6940</v>
      </c>
      <c r="R525" s="1"/>
      <c r="S525" s="685"/>
      <c r="T525" s="686"/>
      <c r="U525" s="1"/>
      <c r="V525" s="1"/>
      <c r="W525" s="1"/>
      <c r="X525" s="1"/>
      <c r="Y525" s="1"/>
    </row>
    <row r="526" outlineLevel="1">
      <c r="A526" s="641" t="s">
        <v>6941</v>
      </c>
      <c r="B526" s="798" t="s">
        <v>6942</v>
      </c>
      <c r="C526" s="643" t="s">
        <v>5635</v>
      </c>
      <c r="D526" s="644">
        <f>SUMIF('Orcamento RU Viora Build'!$A:$A,A526,'Orcamento RU Viora Build'!$F:$F)</f>
        <v>10.99</v>
      </c>
      <c r="E526" s="645">
        <f t="shared" si="142"/>
        <v>32.5</v>
      </c>
      <c r="F526" s="646">
        <f t="shared" si="143"/>
        <v>357.175</v>
      </c>
      <c r="G526" s="782"/>
      <c r="H526" s="666"/>
      <c r="I526" s="774">
        <v>25.0</v>
      </c>
      <c r="J526" s="743">
        <v>0.0</v>
      </c>
      <c r="K526" s="679">
        <f t="shared" si="144"/>
        <v>25</v>
      </c>
      <c r="L526" s="679">
        <f t="shared" si="145"/>
        <v>274.75</v>
      </c>
      <c r="M526" s="680">
        <f t="shared" si="146"/>
        <v>82.425</v>
      </c>
      <c r="N526" s="659">
        <f t="shared" si="147"/>
        <v>0.3</v>
      </c>
      <c r="O526" s="744">
        <f t="shared" si="148"/>
        <v>0.2307692308</v>
      </c>
      <c r="P526" s="744"/>
      <c r="Q526" s="768" t="s">
        <v>6943</v>
      </c>
      <c r="R526" s="1"/>
      <c r="S526" s="685"/>
      <c r="T526" s="686"/>
      <c r="U526" s="1"/>
      <c r="V526" s="1"/>
      <c r="W526" s="1"/>
      <c r="X526" s="1"/>
      <c r="Y526" s="1"/>
    </row>
    <row r="527" ht="15.75" customHeight="1" outlineLevel="1">
      <c r="A527" s="641" t="s">
        <v>6944</v>
      </c>
      <c r="B527" s="798" t="s">
        <v>6945</v>
      </c>
      <c r="C527" s="643" t="s">
        <v>5635</v>
      </c>
      <c r="D527" s="644">
        <f>SUMIF('Orcamento RU Viora Build'!$A:$A,A527,'Orcamento RU Viora Build'!$F:$F)</f>
        <v>17.94</v>
      </c>
      <c r="E527" s="645">
        <f t="shared" si="142"/>
        <v>32.5</v>
      </c>
      <c r="F527" s="646">
        <f t="shared" si="143"/>
        <v>583.05</v>
      </c>
      <c r="G527" s="782"/>
      <c r="H527" s="666"/>
      <c r="I527" s="774">
        <v>25.0</v>
      </c>
      <c r="J527" s="743">
        <v>0.0</v>
      </c>
      <c r="K527" s="679">
        <f t="shared" si="144"/>
        <v>25</v>
      </c>
      <c r="L527" s="679">
        <f t="shared" si="145"/>
        <v>448.5</v>
      </c>
      <c r="M527" s="680">
        <f t="shared" si="146"/>
        <v>134.55</v>
      </c>
      <c r="N527" s="659">
        <f t="shared" si="147"/>
        <v>0.3</v>
      </c>
      <c r="O527" s="744">
        <f t="shared" si="148"/>
        <v>0.2307692308</v>
      </c>
      <c r="P527" s="744"/>
      <c r="Q527" s="768" t="s">
        <v>6946</v>
      </c>
      <c r="R527" s="1"/>
      <c r="S527" s="685"/>
      <c r="T527" s="686"/>
      <c r="U527" s="1"/>
      <c r="V527" s="1"/>
      <c r="W527" s="1"/>
      <c r="X527" s="1"/>
      <c r="Y527" s="1"/>
    </row>
    <row r="528" ht="15.75" customHeight="1" outlineLevel="1">
      <c r="A528" s="641" t="s">
        <v>6947</v>
      </c>
      <c r="B528" s="798" t="s">
        <v>6948</v>
      </c>
      <c r="C528" s="643" t="s">
        <v>5635</v>
      </c>
      <c r="D528" s="644">
        <f>SUMIF('Orcamento RU Viora Build'!$A:$A,A528,'Orcamento RU Viora Build'!$F:$F)</f>
        <v>12.91</v>
      </c>
      <c r="E528" s="645">
        <f t="shared" si="142"/>
        <v>36.92</v>
      </c>
      <c r="F528" s="646">
        <f t="shared" si="143"/>
        <v>476.6372</v>
      </c>
      <c r="G528" s="782"/>
      <c r="H528" s="666"/>
      <c r="I528" s="774">
        <v>28.4</v>
      </c>
      <c r="J528" s="743">
        <v>0.0</v>
      </c>
      <c r="K528" s="679">
        <f t="shared" si="144"/>
        <v>28.4</v>
      </c>
      <c r="L528" s="679">
        <f t="shared" si="145"/>
        <v>366.644</v>
      </c>
      <c r="M528" s="680">
        <f t="shared" si="146"/>
        <v>109.9932</v>
      </c>
      <c r="N528" s="659">
        <f t="shared" si="147"/>
        <v>0.3</v>
      </c>
      <c r="O528" s="744">
        <f t="shared" si="148"/>
        <v>0.2307692308</v>
      </c>
      <c r="P528" s="744"/>
      <c r="Q528" s="768" t="s">
        <v>6949</v>
      </c>
      <c r="R528" s="1"/>
      <c r="S528" s="685"/>
      <c r="T528" s="686"/>
      <c r="U528" s="1"/>
      <c r="V528" s="1"/>
      <c r="W528" s="1"/>
      <c r="X528" s="1"/>
      <c r="Y528" s="1"/>
    </row>
    <row r="529" outlineLevel="1">
      <c r="A529" s="641" t="s">
        <v>6950</v>
      </c>
      <c r="B529" s="798" t="s">
        <v>6951</v>
      </c>
      <c r="C529" s="643" t="s">
        <v>5635</v>
      </c>
      <c r="D529" s="644">
        <f>SUMIF('Orcamento RU Viora Build'!$A:$A,A529,'Orcamento RU Viora Build'!$F:$F)</f>
        <v>0.6</v>
      </c>
      <c r="E529" s="645">
        <f t="shared" si="142"/>
        <v>19.5</v>
      </c>
      <c r="F529" s="646">
        <f t="shared" si="143"/>
        <v>11.7</v>
      </c>
      <c r="G529" s="782"/>
      <c r="H529" s="666"/>
      <c r="I529" s="868">
        <v>15.0</v>
      </c>
      <c r="J529" s="743">
        <v>0.0</v>
      </c>
      <c r="K529" s="679">
        <f t="shared" si="144"/>
        <v>15</v>
      </c>
      <c r="L529" s="679">
        <f t="shared" si="145"/>
        <v>9</v>
      </c>
      <c r="M529" s="680">
        <f t="shared" si="146"/>
        <v>2.7</v>
      </c>
      <c r="N529" s="659">
        <f t="shared" si="147"/>
        <v>0.3</v>
      </c>
      <c r="O529" s="744">
        <f t="shared" si="148"/>
        <v>0.2307692308</v>
      </c>
      <c r="P529" s="869" t="s">
        <v>6952</v>
      </c>
      <c r="Q529" s="870" t="s">
        <v>6953</v>
      </c>
      <c r="R529" s="1"/>
      <c r="S529" s="779"/>
      <c r="T529" s="780"/>
      <c r="U529" s="1"/>
      <c r="V529" s="1"/>
      <c r="W529" s="1"/>
      <c r="X529" s="1"/>
      <c r="Y529" s="1"/>
    </row>
    <row r="530" ht="15.75" customHeight="1" outlineLevel="1">
      <c r="A530" s="701" t="s">
        <v>5837</v>
      </c>
      <c r="B530" s="702"/>
      <c r="C530" s="703"/>
      <c r="D530" s="704"/>
      <c r="E530" s="635"/>
      <c r="F530" s="388"/>
      <c r="G530" s="782"/>
      <c r="H530" s="666"/>
      <c r="I530" s="632"/>
      <c r="J530" s="633"/>
      <c r="K530" s="634"/>
      <c r="L530" s="634"/>
      <c r="M530" s="706"/>
      <c r="N530" s="757"/>
      <c r="O530" s="871"/>
      <c r="P530" s="709"/>
      <c r="Q530" s="710"/>
      <c r="R530" s="1"/>
      <c r="S530" s="711"/>
      <c r="T530" s="712"/>
      <c r="U530" s="1"/>
      <c r="V530" s="1"/>
      <c r="W530" s="1"/>
      <c r="X530" s="1"/>
      <c r="Y530" s="1"/>
    </row>
    <row r="531" ht="15.75" customHeight="1" outlineLevel="1">
      <c r="A531" s="641" t="s">
        <v>6954</v>
      </c>
      <c r="B531" s="798" t="s">
        <v>6955</v>
      </c>
      <c r="C531" s="643" t="s">
        <v>5635</v>
      </c>
      <c r="D531" s="644">
        <f>SUMIF('Orcamento RU Viora Build'!$A:$A,A531,'Orcamento RU Viora Build'!$F:$F)</f>
        <v>181.91</v>
      </c>
      <c r="E531" s="645">
        <f t="shared" ref="E531:E538" si="149">K531+(K531*N531)</f>
        <v>18.85</v>
      </c>
      <c r="F531" s="646">
        <f t="shared" ref="F531:F538" si="150">D531*E531</f>
        <v>3429.0035</v>
      </c>
      <c r="G531" s="782"/>
      <c r="H531" s="666"/>
      <c r="I531" s="718">
        <v>14.5</v>
      </c>
      <c r="J531" s="719">
        <v>0.0</v>
      </c>
      <c r="K531" s="720">
        <f t="shared" ref="K531:K538" si="151">I531-I531*J531</f>
        <v>14.5</v>
      </c>
      <c r="L531" s="720">
        <f t="shared" ref="L531:L538" si="152">K531*D531</f>
        <v>2637.695</v>
      </c>
      <c r="M531" s="721">
        <f t="shared" ref="M531:M538" si="153">F531-L531</f>
        <v>791.3085</v>
      </c>
      <c r="N531" s="659">
        <f t="shared" ref="N531:N538" si="154">$N$2</f>
        <v>0.3</v>
      </c>
      <c r="O531" s="722">
        <f t="shared" ref="O531:O538" si="155">M531/F531</f>
        <v>0.2307692308</v>
      </c>
      <c r="P531" s="722"/>
      <c r="Q531" s="778" t="s">
        <v>6956</v>
      </c>
      <c r="R531" s="1"/>
      <c r="S531" s="725"/>
      <c r="T531" s="726"/>
      <c r="U531" s="1"/>
      <c r="V531" s="1"/>
      <c r="W531" s="1"/>
      <c r="X531" s="1"/>
      <c r="Y531" s="1"/>
    </row>
    <row r="532" ht="15.75" customHeight="1" outlineLevel="1">
      <c r="A532" s="641" t="s">
        <v>6957</v>
      </c>
      <c r="B532" s="798" t="s">
        <v>6958</v>
      </c>
      <c r="C532" s="643" t="s">
        <v>5635</v>
      </c>
      <c r="D532" s="644">
        <f>SUMIF('Orcamento RU Viora Build'!$A:$A,A532,'Orcamento RU Viora Build'!$F:$F)</f>
        <v>592.75</v>
      </c>
      <c r="E532" s="645">
        <f t="shared" si="149"/>
        <v>12.22</v>
      </c>
      <c r="F532" s="646">
        <f t="shared" si="150"/>
        <v>7243.405</v>
      </c>
      <c r="G532" s="782"/>
      <c r="H532" s="666"/>
      <c r="I532" s="718">
        <v>9.4</v>
      </c>
      <c r="J532" s="719">
        <v>0.0</v>
      </c>
      <c r="K532" s="720">
        <f t="shared" si="151"/>
        <v>9.4</v>
      </c>
      <c r="L532" s="720">
        <f t="shared" si="152"/>
        <v>5571.85</v>
      </c>
      <c r="M532" s="721">
        <f t="shared" si="153"/>
        <v>1671.555</v>
      </c>
      <c r="N532" s="659">
        <f t="shared" si="154"/>
        <v>0.3</v>
      </c>
      <c r="O532" s="722">
        <f t="shared" si="155"/>
        <v>0.2307692308</v>
      </c>
      <c r="P532" s="722"/>
      <c r="Q532" s="778" t="s">
        <v>6959</v>
      </c>
      <c r="R532" s="1"/>
      <c r="S532" s="729"/>
      <c r="T532" s="730"/>
      <c r="U532" s="1"/>
      <c r="V532" s="1"/>
      <c r="W532" s="1"/>
      <c r="X532" s="1"/>
      <c r="Y532" s="1"/>
    </row>
    <row r="533" ht="15.75" customHeight="1" outlineLevel="1">
      <c r="A533" s="641" t="s">
        <v>6960</v>
      </c>
      <c r="B533" s="798" t="s">
        <v>6961</v>
      </c>
      <c r="C533" s="643" t="s">
        <v>5635</v>
      </c>
      <c r="D533" s="644">
        <f>SUMIF('Orcamento RU Viora Build'!$A:$A,A533,'Orcamento RU Viora Build'!$F:$F)</f>
        <v>363.82</v>
      </c>
      <c r="E533" s="645">
        <f t="shared" si="149"/>
        <v>11.05</v>
      </c>
      <c r="F533" s="646">
        <f t="shared" si="150"/>
        <v>4020.211</v>
      </c>
      <c r="G533" s="782"/>
      <c r="H533" s="666"/>
      <c r="I533" s="718">
        <v>8.5</v>
      </c>
      <c r="J533" s="719">
        <v>0.0</v>
      </c>
      <c r="K533" s="720">
        <f t="shared" si="151"/>
        <v>8.5</v>
      </c>
      <c r="L533" s="720">
        <f t="shared" si="152"/>
        <v>3092.47</v>
      </c>
      <c r="M533" s="721">
        <f t="shared" si="153"/>
        <v>927.741</v>
      </c>
      <c r="N533" s="659">
        <f t="shared" si="154"/>
        <v>0.3</v>
      </c>
      <c r="O533" s="722">
        <f t="shared" si="155"/>
        <v>0.2307692308</v>
      </c>
      <c r="P533" s="722"/>
      <c r="Q533" s="778" t="s">
        <v>6962</v>
      </c>
      <c r="R533" s="1"/>
      <c r="S533" s="729"/>
      <c r="T533" s="730"/>
      <c r="U533" s="1"/>
      <c r="V533" s="1"/>
      <c r="W533" s="1"/>
      <c r="X533" s="1"/>
      <c r="Y533" s="1"/>
    </row>
    <row r="534" ht="15.75" customHeight="1" outlineLevel="1">
      <c r="A534" s="641" t="s">
        <v>6963</v>
      </c>
      <c r="B534" s="798" t="s">
        <v>6964</v>
      </c>
      <c r="C534" s="643" t="s">
        <v>5635</v>
      </c>
      <c r="D534" s="644">
        <f>SUMIF('Orcamento RU Viora Build'!$A:$A,A534,'Orcamento RU Viora Build'!$F:$F)</f>
        <v>323.14</v>
      </c>
      <c r="E534" s="645">
        <f t="shared" si="149"/>
        <v>10.387</v>
      </c>
      <c r="F534" s="646">
        <f t="shared" si="150"/>
        <v>3356.45518</v>
      </c>
      <c r="G534" s="782"/>
      <c r="H534" s="666"/>
      <c r="I534" s="718">
        <v>7.99</v>
      </c>
      <c r="J534" s="719">
        <v>0.0</v>
      </c>
      <c r="K534" s="720">
        <f t="shared" si="151"/>
        <v>7.99</v>
      </c>
      <c r="L534" s="720">
        <f t="shared" si="152"/>
        <v>2581.8886</v>
      </c>
      <c r="M534" s="721">
        <f t="shared" si="153"/>
        <v>774.56658</v>
      </c>
      <c r="N534" s="659">
        <f t="shared" si="154"/>
        <v>0.3</v>
      </c>
      <c r="O534" s="722">
        <f t="shared" si="155"/>
        <v>0.2307692308</v>
      </c>
      <c r="P534" s="722"/>
      <c r="Q534" s="778" t="s">
        <v>6965</v>
      </c>
      <c r="R534" s="1"/>
      <c r="S534" s="729"/>
      <c r="T534" s="730"/>
      <c r="U534" s="1"/>
      <c r="V534" s="1"/>
      <c r="W534" s="1"/>
      <c r="X534" s="1"/>
      <c r="Y534" s="1"/>
    </row>
    <row r="535" ht="15.75" customHeight="1" outlineLevel="1">
      <c r="A535" s="641" t="s">
        <v>6966</v>
      </c>
      <c r="B535" s="798" t="s">
        <v>6967</v>
      </c>
      <c r="C535" s="643" t="s">
        <v>5635</v>
      </c>
      <c r="D535" s="644">
        <f>SUMIF('Orcamento RU Viora Build'!$A:$A,A535,'Orcamento RU Viora Build'!$F:$F)</f>
        <v>181.91</v>
      </c>
      <c r="E535" s="645">
        <f t="shared" si="149"/>
        <v>12.35</v>
      </c>
      <c r="F535" s="646">
        <f t="shared" si="150"/>
        <v>2246.5885</v>
      </c>
      <c r="G535" s="782"/>
      <c r="H535" s="666"/>
      <c r="I535" s="718">
        <v>9.5</v>
      </c>
      <c r="J535" s="719">
        <v>0.0</v>
      </c>
      <c r="K535" s="720">
        <f t="shared" si="151"/>
        <v>9.5</v>
      </c>
      <c r="L535" s="720">
        <f t="shared" si="152"/>
        <v>1728.145</v>
      </c>
      <c r="M535" s="721">
        <f t="shared" si="153"/>
        <v>518.4435</v>
      </c>
      <c r="N535" s="659">
        <f t="shared" si="154"/>
        <v>0.3</v>
      </c>
      <c r="O535" s="722">
        <f t="shared" si="155"/>
        <v>0.2307692308</v>
      </c>
      <c r="P535" s="722"/>
      <c r="Q535" s="778" t="s">
        <v>6968</v>
      </c>
      <c r="R535" s="1"/>
      <c r="S535" s="729"/>
      <c r="T535" s="730"/>
      <c r="U535" s="1"/>
      <c r="V535" s="1"/>
      <c r="W535" s="1"/>
      <c r="X535" s="1"/>
      <c r="Y535" s="1"/>
    </row>
    <row r="536" ht="15.75" customHeight="1" outlineLevel="1">
      <c r="A536" s="641" t="s">
        <v>6969</v>
      </c>
      <c r="B536" s="798" t="s">
        <v>6970</v>
      </c>
      <c r="C536" s="643" t="s">
        <v>5635</v>
      </c>
      <c r="D536" s="644">
        <f>SUMIF('Orcamento RU Viora Build'!$A:$A,A536,'Orcamento RU Viora Build'!$F:$F)</f>
        <v>197</v>
      </c>
      <c r="E536" s="645">
        <f t="shared" si="149"/>
        <v>39.65</v>
      </c>
      <c r="F536" s="646">
        <f t="shared" si="150"/>
        <v>7811.05</v>
      </c>
      <c r="G536" s="782"/>
      <c r="H536" s="666"/>
      <c r="I536" s="718">
        <v>30.5</v>
      </c>
      <c r="J536" s="719">
        <v>0.0</v>
      </c>
      <c r="K536" s="720">
        <f t="shared" si="151"/>
        <v>30.5</v>
      </c>
      <c r="L536" s="720">
        <f t="shared" si="152"/>
        <v>6008.5</v>
      </c>
      <c r="M536" s="721">
        <f t="shared" si="153"/>
        <v>1802.55</v>
      </c>
      <c r="N536" s="659">
        <f t="shared" si="154"/>
        <v>0.3</v>
      </c>
      <c r="O536" s="722">
        <f t="shared" si="155"/>
        <v>0.2307692308</v>
      </c>
      <c r="P536" s="722"/>
      <c r="Q536" s="778" t="s">
        <v>6971</v>
      </c>
      <c r="R536" s="1"/>
      <c r="S536" s="729"/>
      <c r="T536" s="730"/>
      <c r="U536" s="1"/>
      <c r="V536" s="1"/>
      <c r="W536" s="1"/>
      <c r="X536" s="1"/>
      <c r="Y536" s="1"/>
    </row>
    <row r="537" ht="15.75" customHeight="1" outlineLevel="1">
      <c r="A537" s="641" t="s">
        <v>6972</v>
      </c>
      <c r="B537" s="798" t="s">
        <v>6973</v>
      </c>
      <c r="C537" s="643" t="s">
        <v>5635</v>
      </c>
      <c r="D537" s="644">
        <f>SUMIF('Orcamento RU Viora Build'!$A:$A,A537,'Orcamento RU Viora Build'!$F:$F)</f>
        <v>37.14</v>
      </c>
      <c r="E537" s="645">
        <f t="shared" si="149"/>
        <v>24.7</v>
      </c>
      <c r="F537" s="646">
        <f t="shared" si="150"/>
        <v>917.358</v>
      </c>
      <c r="G537" s="782"/>
      <c r="H537" s="666"/>
      <c r="I537" s="718">
        <v>19.0</v>
      </c>
      <c r="J537" s="719">
        <v>0.0</v>
      </c>
      <c r="K537" s="720">
        <f t="shared" si="151"/>
        <v>19</v>
      </c>
      <c r="L537" s="720">
        <f t="shared" si="152"/>
        <v>705.66</v>
      </c>
      <c r="M537" s="721">
        <f t="shared" si="153"/>
        <v>211.698</v>
      </c>
      <c r="N537" s="659">
        <f t="shared" si="154"/>
        <v>0.3</v>
      </c>
      <c r="O537" s="722">
        <f t="shared" si="155"/>
        <v>0.2307692308</v>
      </c>
      <c r="P537" s="722"/>
      <c r="Q537" s="778" t="s">
        <v>6974</v>
      </c>
      <c r="R537" s="1"/>
      <c r="S537" s="729"/>
      <c r="T537" s="730"/>
      <c r="U537" s="1"/>
      <c r="V537" s="1"/>
      <c r="W537" s="1"/>
      <c r="X537" s="1"/>
      <c r="Y537" s="1"/>
    </row>
    <row r="538" ht="15.75" customHeight="1" outlineLevel="1">
      <c r="A538" s="641" t="s">
        <v>6975</v>
      </c>
      <c r="B538" s="798" t="s">
        <v>6976</v>
      </c>
      <c r="C538" s="643" t="s">
        <v>5636</v>
      </c>
      <c r="D538" s="644">
        <f>SUMIF('Orcamento RU Viora Build'!$A:$A,A538,'Orcamento RU Viora Build'!$F:$F)</f>
        <v>2</v>
      </c>
      <c r="E538" s="645">
        <f t="shared" si="149"/>
        <v>578.5</v>
      </c>
      <c r="F538" s="646">
        <f t="shared" si="150"/>
        <v>1157</v>
      </c>
      <c r="G538" s="782"/>
      <c r="H538" s="666"/>
      <c r="I538" s="718">
        <v>445.0</v>
      </c>
      <c r="J538" s="719">
        <v>0.0</v>
      </c>
      <c r="K538" s="720">
        <f t="shared" si="151"/>
        <v>445</v>
      </c>
      <c r="L538" s="720">
        <f t="shared" si="152"/>
        <v>890</v>
      </c>
      <c r="M538" s="721">
        <f t="shared" si="153"/>
        <v>267</v>
      </c>
      <c r="N538" s="659">
        <f t="shared" si="154"/>
        <v>0.3</v>
      </c>
      <c r="O538" s="722">
        <f t="shared" si="155"/>
        <v>0.2307692308</v>
      </c>
      <c r="P538" s="872"/>
      <c r="Q538" s="873" t="s">
        <v>6977</v>
      </c>
      <c r="R538" s="1"/>
      <c r="S538" s="874"/>
      <c r="T538" s="875"/>
      <c r="U538" s="1"/>
      <c r="V538" s="1"/>
      <c r="W538" s="1"/>
      <c r="X538" s="1"/>
      <c r="Y538" s="1"/>
    </row>
    <row r="539" ht="15.75" customHeight="1" outlineLevel="1">
      <c r="A539" s="701" t="s">
        <v>5861</v>
      </c>
      <c r="B539" s="702"/>
      <c r="C539" s="703"/>
      <c r="D539" s="704"/>
      <c r="E539" s="635"/>
      <c r="F539" s="388"/>
      <c r="G539" s="782"/>
      <c r="H539" s="666"/>
      <c r="I539" s="632"/>
      <c r="J539" s="633"/>
      <c r="K539" s="634"/>
      <c r="L539" s="634"/>
      <c r="M539" s="635"/>
      <c r="N539" s="390"/>
      <c r="O539" s="636"/>
      <c r="P539" s="709"/>
      <c r="Q539" s="710"/>
      <c r="R539" s="422"/>
      <c r="S539" s="711"/>
      <c r="T539" s="712"/>
      <c r="U539" s="422"/>
      <c r="V539" s="422"/>
      <c r="W539" s="422"/>
      <c r="X539" s="422"/>
      <c r="Y539" s="422"/>
    </row>
    <row r="540" ht="15.75" customHeight="1" outlineLevel="1">
      <c r="A540" s="641" t="s">
        <v>6978</v>
      </c>
      <c r="B540" s="798" t="s">
        <v>6979</v>
      </c>
      <c r="C540" s="643" t="s">
        <v>5635</v>
      </c>
      <c r="D540" s="644">
        <f>SUMIF('Orcamento RU Viora Build'!$A:$A,A540,'Orcamento RU Viora Build'!$F:$F)</f>
        <v>323.14</v>
      </c>
      <c r="E540" s="645">
        <f t="shared" ref="E540:E546" si="156">K540+(K540*N540)</f>
        <v>13.65</v>
      </c>
      <c r="F540" s="646">
        <f t="shared" ref="F540:F546" si="157">D540*E540</f>
        <v>4410.861</v>
      </c>
      <c r="G540" s="782"/>
      <c r="H540" s="666"/>
      <c r="I540" s="658">
        <v>10.5</v>
      </c>
      <c r="J540" s="650">
        <v>0.0</v>
      </c>
      <c r="K540" s="649">
        <f t="shared" ref="K540:K546" si="158">I540-I540*J540</f>
        <v>10.5</v>
      </c>
      <c r="L540" s="649">
        <f t="shared" ref="L540:L546" si="159">K540*D540</f>
        <v>3392.97</v>
      </c>
      <c r="M540" s="649">
        <f t="shared" ref="M540:M546" si="160">F540-L540</f>
        <v>1017.891</v>
      </c>
      <c r="N540" s="659">
        <f t="shared" ref="N540:N546" si="161">$N$2</f>
        <v>0.3</v>
      </c>
      <c r="O540" s="675">
        <f t="shared" ref="O540:O546" si="162">M540/F540</f>
        <v>0.2307692308</v>
      </c>
      <c r="P540" s="653"/>
      <c r="Q540" s="876" t="s">
        <v>6980</v>
      </c>
      <c r="R540" s="1"/>
      <c r="S540" s="713"/>
      <c r="T540" s="714"/>
      <c r="U540" s="1"/>
      <c r="V540" s="1"/>
      <c r="W540" s="1"/>
      <c r="X540" s="1"/>
      <c r="Y540" s="1"/>
    </row>
    <row r="541" ht="15.75" customHeight="1" outlineLevel="1">
      <c r="A541" s="641" t="s">
        <v>6981</v>
      </c>
      <c r="B541" s="798" t="s">
        <v>6982</v>
      </c>
      <c r="C541" s="643" t="s">
        <v>5635</v>
      </c>
      <c r="D541" s="644">
        <f>SUMIF('Orcamento RU Viora Build'!$A:$A,A541,'Orcamento RU Viora Build'!$F:$F)</f>
        <v>22.19</v>
      </c>
      <c r="E541" s="645">
        <f t="shared" si="156"/>
        <v>11.57</v>
      </c>
      <c r="F541" s="646">
        <f t="shared" si="157"/>
        <v>256.7383</v>
      </c>
      <c r="G541" s="782"/>
      <c r="H541" s="666"/>
      <c r="I541" s="658">
        <v>8.9</v>
      </c>
      <c r="J541" s="650">
        <v>0.0</v>
      </c>
      <c r="K541" s="649">
        <f t="shared" si="158"/>
        <v>8.9</v>
      </c>
      <c r="L541" s="649">
        <f t="shared" si="159"/>
        <v>197.491</v>
      </c>
      <c r="M541" s="649">
        <f t="shared" si="160"/>
        <v>59.2473</v>
      </c>
      <c r="N541" s="659">
        <f t="shared" si="161"/>
        <v>0.3</v>
      </c>
      <c r="O541" s="675">
        <f t="shared" si="162"/>
        <v>0.2307692308</v>
      </c>
      <c r="P541" s="675"/>
      <c r="Q541" s="876" t="s">
        <v>6983</v>
      </c>
      <c r="R541" s="1"/>
      <c r="S541" s="668"/>
      <c r="T541" s="669"/>
      <c r="U541" s="1"/>
      <c r="V541" s="1"/>
      <c r="W541" s="1"/>
      <c r="X541" s="1"/>
      <c r="Y541" s="1"/>
    </row>
    <row r="542" ht="15.75" customHeight="1" outlineLevel="1">
      <c r="A542" s="641" t="s">
        <v>6984</v>
      </c>
      <c r="B542" s="798" t="s">
        <v>6985</v>
      </c>
      <c r="C542" s="643" t="s">
        <v>5635</v>
      </c>
      <c r="D542" s="644">
        <f>SUMIF('Orcamento RU Viora Build'!$A:$A,A542,'Orcamento RU Viora Build'!$F:$F)</f>
        <v>1541.08</v>
      </c>
      <c r="E542" s="645">
        <f t="shared" si="156"/>
        <v>2.73</v>
      </c>
      <c r="F542" s="646">
        <f t="shared" si="157"/>
        <v>4207.1484</v>
      </c>
      <c r="G542" s="782"/>
      <c r="H542" s="666"/>
      <c r="I542" s="658">
        <v>2.1</v>
      </c>
      <c r="J542" s="650">
        <v>0.0</v>
      </c>
      <c r="K542" s="649">
        <f t="shared" si="158"/>
        <v>2.1</v>
      </c>
      <c r="L542" s="649">
        <f t="shared" si="159"/>
        <v>3236.268</v>
      </c>
      <c r="M542" s="649">
        <f t="shared" si="160"/>
        <v>970.8804</v>
      </c>
      <c r="N542" s="659">
        <f t="shared" si="161"/>
        <v>0.3</v>
      </c>
      <c r="O542" s="675">
        <f t="shared" si="162"/>
        <v>0.2307692308</v>
      </c>
      <c r="P542" s="675"/>
      <c r="Q542" s="876" t="s">
        <v>6986</v>
      </c>
      <c r="R542" s="1"/>
      <c r="S542" s="668"/>
      <c r="T542" s="669"/>
      <c r="U542" s="1"/>
      <c r="V542" s="1"/>
      <c r="W542" s="1"/>
      <c r="X542" s="1"/>
      <c r="Y542" s="1"/>
    </row>
    <row r="543" ht="15.75" customHeight="1" outlineLevel="1">
      <c r="A543" s="641" t="s">
        <v>6987</v>
      </c>
      <c r="B543" s="798" t="s">
        <v>6988</v>
      </c>
      <c r="C543" s="643" t="s">
        <v>5635</v>
      </c>
      <c r="D543" s="644">
        <f>SUMIF('Orcamento RU Viora Build'!$A:$A,A543,'Orcamento RU Viora Build'!$F:$F)</f>
        <v>303.47</v>
      </c>
      <c r="E543" s="645">
        <f t="shared" si="156"/>
        <v>7.93</v>
      </c>
      <c r="F543" s="646">
        <f t="shared" si="157"/>
        <v>2406.5171</v>
      </c>
      <c r="G543" s="782"/>
      <c r="H543" s="666"/>
      <c r="I543" s="658">
        <v>6.1</v>
      </c>
      <c r="J543" s="650">
        <v>0.0</v>
      </c>
      <c r="K543" s="649">
        <f t="shared" si="158"/>
        <v>6.1</v>
      </c>
      <c r="L543" s="649">
        <f t="shared" si="159"/>
        <v>1851.167</v>
      </c>
      <c r="M543" s="649">
        <f t="shared" si="160"/>
        <v>555.3501</v>
      </c>
      <c r="N543" s="659">
        <f t="shared" si="161"/>
        <v>0.3</v>
      </c>
      <c r="O543" s="675">
        <f t="shared" si="162"/>
        <v>0.2307692308</v>
      </c>
      <c r="P543" s="675"/>
      <c r="Q543" s="876" t="s">
        <v>6989</v>
      </c>
      <c r="R543" s="1"/>
      <c r="S543" s="668"/>
      <c r="T543" s="669"/>
      <c r="U543" s="1"/>
      <c r="V543" s="1"/>
      <c r="W543" s="1"/>
      <c r="X543" s="1"/>
      <c r="Y543" s="1"/>
    </row>
    <row r="544" ht="15.75" customHeight="1" outlineLevel="1">
      <c r="A544" s="641" t="s">
        <v>6990</v>
      </c>
      <c r="B544" s="798" t="s">
        <v>6991</v>
      </c>
      <c r="C544" s="643" t="s">
        <v>5631</v>
      </c>
      <c r="D544" s="644">
        <f>SUMIF('Orcamento RU Viora Build'!$A:$A,A544,'Orcamento RU Viora Build'!$F:$F)</f>
        <v>260</v>
      </c>
      <c r="E544" s="645">
        <f t="shared" si="156"/>
        <v>23.14</v>
      </c>
      <c r="F544" s="646">
        <f t="shared" si="157"/>
        <v>6016.4</v>
      </c>
      <c r="G544" s="782"/>
      <c r="H544" s="666"/>
      <c r="I544" s="658">
        <v>17.8</v>
      </c>
      <c r="J544" s="650">
        <v>0.0</v>
      </c>
      <c r="K544" s="649">
        <f t="shared" si="158"/>
        <v>17.8</v>
      </c>
      <c r="L544" s="649">
        <f t="shared" si="159"/>
        <v>4628</v>
      </c>
      <c r="M544" s="649">
        <f t="shared" si="160"/>
        <v>1388.4</v>
      </c>
      <c r="N544" s="659">
        <f t="shared" si="161"/>
        <v>0.3</v>
      </c>
      <c r="O544" s="675">
        <f t="shared" si="162"/>
        <v>0.2307692308</v>
      </c>
      <c r="P544" s="675"/>
      <c r="Q544" s="876" t="s">
        <v>6992</v>
      </c>
      <c r="R544" s="1"/>
      <c r="S544" s="668"/>
      <c r="T544" s="669"/>
      <c r="U544" s="1"/>
      <c r="V544" s="1"/>
      <c r="W544" s="1"/>
      <c r="X544" s="1"/>
      <c r="Y544" s="1"/>
    </row>
    <row r="545" ht="15.75" customHeight="1" outlineLevel="1">
      <c r="A545" s="641" t="s">
        <v>6993</v>
      </c>
      <c r="B545" s="798" t="s">
        <v>6994</v>
      </c>
      <c r="C545" s="643" t="s">
        <v>5631</v>
      </c>
      <c r="D545" s="644">
        <f>SUMIF('Orcamento RU Viora Build'!$A:$A,A545,'Orcamento RU Viora Build'!$F:$F)</f>
        <v>278.97</v>
      </c>
      <c r="E545" s="645">
        <f t="shared" si="156"/>
        <v>16.9</v>
      </c>
      <c r="F545" s="646">
        <f t="shared" si="157"/>
        <v>4714.593</v>
      </c>
      <c r="G545" s="782"/>
      <c r="H545" s="666"/>
      <c r="I545" s="658">
        <v>13.0</v>
      </c>
      <c r="J545" s="650">
        <v>0.0</v>
      </c>
      <c r="K545" s="649">
        <f t="shared" si="158"/>
        <v>13</v>
      </c>
      <c r="L545" s="649">
        <f t="shared" si="159"/>
        <v>3626.61</v>
      </c>
      <c r="M545" s="649">
        <f t="shared" si="160"/>
        <v>1087.983</v>
      </c>
      <c r="N545" s="659">
        <f t="shared" si="161"/>
        <v>0.3</v>
      </c>
      <c r="O545" s="675">
        <f t="shared" si="162"/>
        <v>0.2307692308</v>
      </c>
      <c r="P545" s="675"/>
      <c r="Q545" s="876" t="s">
        <v>6995</v>
      </c>
      <c r="R545" s="1"/>
      <c r="S545" s="668"/>
      <c r="T545" s="669"/>
      <c r="U545" s="1"/>
      <c r="V545" s="1"/>
      <c r="W545" s="1"/>
      <c r="X545" s="1"/>
      <c r="Y545" s="1"/>
    </row>
    <row r="546" ht="15.75" customHeight="1" outlineLevel="1">
      <c r="A546" s="641" t="s">
        <v>6996</v>
      </c>
      <c r="B546" s="798" t="s">
        <v>6997</v>
      </c>
      <c r="C546" s="643" t="s">
        <v>5635</v>
      </c>
      <c r="D546" s="644">
        <f>SUMIF('Orcamento RU Viora Build'!$A:$A,A546,'Orcamento RU Viora Build'!$F:$F)</f>
        <v>320.7</v>
      </c>
      <c r="E546" s="645">
        <f t="shared" si="156"/>
        <v>9.1</v>
      </c>
      <c r="F546" s="646">
        <f t="shared" si="157"/>
        <v>2918.37</v>
      </c>
      <c r="G546" s="782"/>
      <c r="H546" s="666"/>
      <c r="I546" s="658">
        <v>7.0</v>
      </c>
      <c r="J546" s="650">
        <v>0.0</v>
      </c>
      <c r="K546" s="649">
        <f t="shared" si="158"/>
        <v>7</v>
      </c>
      <c r="L546" s="649">
        <f t="shared" si="159"/>
        <v>2244.9</v>
      </c>
      <c r="M546" s="649">
        <f t="shared" si="160"/>
        <v>673.47</v>
      </c>
      <c r="N546" s="659">
        <f t="shared" si="161"/>
        <v>0.3</v>
      </c>
      <c r="O546" s="675">
        <f t="shared" si="162"/>
        <v>0.2307692308</v>
      </c>
      <c r="P546" s="675"/>
      <c r="Q546" s="876" t="s">
        <v>6998</v>
      </c>
      <c r="R546" s="1"/>
      <c r="S546" s="699"/>
      <c r="T546" s="700"/>
      <c r="U546" s="1"/>
      <c r="V546" s="1"/>
      <c r="W546" s="1"/>
      <c r="X546" s="1"/>
      <c r="Y546" s="1"/>
    </row>
    <row r="547" ht="15.75" customHeight="1" outlineLevel="1">
      <c r="A547" s="701" t="s">
        <v>5912</v>
      </c>
      <c r="B547" s="702"/>
      <c r="C547" s="703"/>
      <c r="D547" s="704"/>
      <c r="E547" s="635"/>
      <c r="F547" s="388"/>
      <c r="G547" s="782"/>
      <c r="H547" s="666"/>
      <c r="I547" s="632"/>
      <c r="J547" s="633"/>
      <c r="K547" s="634"/>
      <c r="L547" s="634"/>
      <c r="M547" s="635"/>
      <c r="N547" s="390"/>
      <c r="O547" s="636"/>
      <c r="P547" s="709"/>
      <c r="Q547" s="710"/>
      <c r="R547" s="422"/>
      <c r="S547" s="711"/>
      <c r="T547" s="712"/>
      <c r="U547" s="422"/>
      <c r="V547" s="422"/>
      <c r="W547" s="422"/>
      <c r="X547" s="422"/>
      <c r="Y547" s="422"/>
    </row>
    <row r="548" ht="15.75" customHeight="1" outlineLevel="1">
      <c r="A548" s="641" t="s">
        <v>6999</v>
      </c>
      <c r="B548" s="642" t="s">
        <v>7000</v>
      </c>
      <c r="C548" s="643" t="s">
        <v>5635</v>
      </c>
      <c r="D548" s="644">
        <f>SUMIF('Orcamento RU Viora Build'!$A:$A,A548,'Orcamento RU Viora Build'!$F:$F)</f>
        <v>127.48</v>
      </c>
      <c r="E548" s="645">
        <f t="shared" ref="E548:E575" si="163">K548+(K548*N548)</f>
        <v>27.3</v>
      </c>
      <c r="F548" s="646">
        <f t="shared" ref="F548:F575" si="164">D548*E548</f>
        <v>3480.204</v>
      </c>
      <c r="G548" s="782"/>
      <c r="H548" s="666"/>
      <c r="I548" s="877">
        <v>21.0</v>
      </c>
      <c r="J548" s="650">
        <v>0.0</v>
      </c>
      <c r="K548" s="649">
        <f t="shared" ref="K548:K575" si="165">I548-I548*J548</f>
        <v>21</v>
      </c>
      <c r="L548" s="649">
        <f t="shared" ref="L548:L575" si="166">K548*D548</f>
        <v>2677.08</v>
      </c>
      <c r="M548" s="651">
        <f t="shared" ref="M548:M575" si="167">F548-L548</f>
        <v>803.124</v>
      </c>
      <c r="N548" s="659">
        <f t="shared" ref="N548:N575" si="168">$N$2</f>
        <v>0.3</v>
      </c>
      <c r="O548" s="675">
        <f t="shared" ref="O548:O575" si="169">M548/F548</f>
        <v>0.2307692308</v>
      </c>
      <c r="P548" s="675"/>
      <c r="Q548" s="876" t="s">
        <v>7001</v>
      </c>
      <c r="R548" s="422"/>
      <c r="S548" s="656"/>
      <c r="T548" s="657"/>
      <c r="U548" s="422"/>
      <c r="V548" s="422"/>
      <c r="W548" s="422"/>
      <c r="X548" s="422"/>
      <c r="Y548" s="422"/>
    </row>
    <row r="549" ht="15.75" customHeight="1" outlineLevel="1">
      <c r="A549" s="641" t="s">
        <v>7002</v>
      </c>
      <c r="B549" s="642" t="s">
        <v>7003</v>
      </c>
      <c r="C549" s="643" t="s">
        <v>5635</v>
      </c>
      <c r="D549" s="644">
        <f>SUMIF('Orcamento RU Viora Build'!$A:$A,A549,'Orcamento RU Viora Build'!$F:$F)</f>
        <v>200.6</v>
      </c>
      <c r="E549" s="645">
        <f t="shared" si="163"/>
        <v>32.5</v>
      </c>
      <c r="F549" s="646">
        <f t="shared" si="164"/>
        <v>6519.5</v>
      </c>
      <c r="G549" s="782"/>
      <c r="H549" s="666"/>
      <c r="I549" s="658">
        <v>25.0</v>
      </c>
      <c r="J549" s="650">
        <v>0.0</v>
      </c>
      <c r="K549" s="649">
        <f t="shared" si="165"/>
        <v>25</v>
      </c>
      <c r="L549" s="649">
        <f t="shared" si="166"/>
        <v>5015</v>
      </c>
      <c r="M549" s="651">
        <f t="shared" si="167"/>
        <v>1504.5</v>
      </c>
      <c r="N549" s="659">
        <f t="shared" si="168"/>
        <v>0.3</v>
      </c>
      <c r="O549" s="675">
        <f t="shared" si="169"/>
        <v>0.2307692308</v>
      </c>
      <c r="P549" s="675"/>
      <c r="Q549" s="876" t="s">
        <v>7004</v>
      </c>
      <c r="R549" s="422"/>
      <c r="S549" s="661"/>
      <c r="T549" s="662"/>
      <c r="U549" s="422"/>
      <c r="V549" s="422"/>
      <c r="W549" s="422"/>
      <c r="X549" s="422"/>
      <c r="Y549" s="422"/>
    </row>
    <row r="550" ht="15.75" customHeight="1" outlineLevel="1">
      <c r="A550" s="641" t="s">
        <v>7005</v>
      </c>
      <c r="B550" s="642" t="s">
        <v>7006</v>
      </c>
      <c r="C550" s="643" t="s">
        <v>5631</v>
      </c>
      <c r="D550" s="644">
        <f>SUMIF('Orcamento RU Viora Build'!$A:$A,A550,'Orcamento RU Viora Build'!$F:$F)</f>
        <v>13.43</v>
      </c>
      <c r="E550" s="645">
        <f t="shared" si="163"/>
        <v>19.5</v>
      </c>
      <c r="F550" s="646">
        <f t="shared" si="164"/>
        <v>261.885</v>
      </c>
      <c r="G550" s="782"/>
      <c r="H550" s="666"/>
      <c r="I550" s="658">
        <v>15.0</v>
      </c>
      <c r="J550" s="650">
        <v>0.0</v>
      </c>
      <c r="K550" s="649">
        <f t="shared" si="165"/>
        <v>15</v>
      </c>
      <c r="L550" s="649">
        <f t="shared" si="166"/>
        <v>201.45</v>
      </c>
      <c r="M550" s="651">
        <f t="shared" si="167"/>
        <v>60.435</v>
      </c>
      <c r="N550" s="659">
        <f t="shared" si="168"/>
        <v>0.3</v>
      </c>
      <c r="O550" s="675">
        <f t="shared" si="169"/>
        <v>0.2307692308</v>
      </c>
      <c r="P550" s="675"/>
      <c r="Q550" s="876" t="s">
        <v>7007</v>
      </c>
      <c r="R550" s="422"/>
      <c r="S550" s="661"/>
      <c r="T550" s="662"/>
      <c r="U550" s="422"/>
      <c r="V550" s="422"/>
      <c r="W550" s="422"/>
      <c r="X550" s="422"/>
      <c r="Y550" s="422"/>
    </row>
    <row r="551" ht="15.75" customHeight="1" outlineLevel="1">
      <c r="A551" s="641" t="s">
        <v>7008</v>
      </c>
      <c r="B551" s="642" t="s">
        <v>7009</v>
      </c>
      <c r="C551" s="643" t="s">
        <v>5631</v>
      </c>
      <c r="D551" s="644">
        <f>SUMIF('Orcamento RU Viora Build'!$A:$A,A551,'Orcamento RU Viora Build'!$F:$F)</f>
        <v>12.09</v>
      </c>
      <c r="E551" s="645">
        <f t="shared" si="163"/>
        <v>18.2</v>
      </c>
      <c r="F551" s="646">
        <f t="shared" si="164"/>
        <v>220.038</v>
      </c>
      <c r="G551" s="782"/>
      <c r="H551" s="666"/>
      <c r="I551" s="658">
        <v>14.0</v>
      </c>
      <c r="J551" s="650">
        <v>0.0</v>
      </c>
      <c r="K551" s="649">
        <f t="shared" si="165"/>
        <v>14</v>
      </c>
      <c r="L551" s="649">
        <f t="shared" si="166"/>
        <v>169.26</v>
      </c>
      <c r="M551" s="651">
        <f t="shared" si="167"/>
        <v>50.778</v>
      </c>
      <c r="N551" s="659">
        <f t="shared" si="168"/>
        <v>0.3</v>
      </c>
      <c r="O551" s="675">
        <f t="shared" si="169"/>
        <v>0.2307692308</v>
      </c>
      <c r="P551" s="675"/>
      <c r="Q551" s="876" t="s">
        <v>7010</v>
      </c>
      <c r="R551" s="422"/>
      <c r="S551" s="661"/>
      <c r="T551" s="662"/>
      <c r="U551" s="422"/>
      <c r="V551" s="422"/>
      <c r="W551" s="422"/>
      <c r="X551" s="422"/>
      <c r="Y551" s="422"/>
    </row>
    <row r="552" ht="15.75" customHeight="1" outlineLevel="1">
      <c r="A552" s="641" t="s">
        <v>7011</v>
      </c>
      <c r="B552" s="642" t="s">
        <v>7012</v>
      </c>
      <c r="C552" s="643" t="s">
        <v>5635</v>
      </c>
      <c r="D552" s="644">
        <f>SUMIF('Orcamento RU Viora Build'!$A:$A,A552,'Orcamento RU Viora Build'!$F:$F)</f>
        <v>167.44</v>
      </c>
      <c r="E552" s="645">
        <f t="shared" si="163"/>
        <v>32.5</v>
      </c>
      <c r="F552" s="646">
        <f t="shared" si="164"/>
        <v>5441.8</v>
      </c>
      <c r="G552" s="782"/>
      <c r="H552" s="666"/>
      <c r="I552" s="718">
        <v>25.0</v>
      </c>
      <c r="J552" s="719">
        <v>0.0</v>
      </c>
      <c r="K552" s="720">
        <f t="shared" si="165"/>
        <v>25</v>
      </c>
      <c r="L552" s="720">
        <f t="shared" si="166"/>
        <v>4186</v>
      </c>
      <c r="M552" s="721">
        <f t="shared" si="167"/>
        <v>1255.8</v>
      </c>
      <c r="N552" s="659">
        <f t="shared" si="168"/>
        <v>0.3</v>
      </c>
      <c r="O552" s="722">
        <f t="shared" si="169"/>
        <v>0.2307692308</v>
      </c>
      <c r="P552" s="722"/>
      <c r="Q552" s="878" t="s">
        <v>7013</v>
      </c>
      <c r="R552" s="422"/>
      <c r="S552" s="862"/>
      <c r="T552" s="863"/>
      <c r="U552" s="422"/>
      <c r="V552" s="422"/>
      <c r="W552" s="422"/>
      <c r="X552" s="422"/>
      <c r="Y552" s="422"/>
    </row>
    <row r="553" ht="15.75" customHeight="1" outlineLevel="1">
      <c r="A553" s="641" t="s">
        <v>7014</v>
      </c>
      <c r="B553" s="642" t="s">
        <v>7015</v>
      </c>
      <c r="C553" s="643" t="s">
        <v>5636</v>
      </c>
      <c r="D553" s="644">
        <f>SUMIF('Orcamento RU Viora Build'!$A:$A,A553,'Orcamento RU Viora Build'!$F:$F)</f>
        <v>16</v>
      </c>
      <c r="E553" s="645">
        <f t="shared" si="163"/>
        <v>48.1</v>
      </c>
      <c r="F553" s="646">
        <f t="shared" si="164"/>
        <v>769.6</v>
      </c>
      <c r="G553" s="782"/>
      <c r="H553" s="666"/>
      <c r="I553" s="718">
        <v>37.0</v>
      </c>
      <c r="J553" s="719">
        <v>0.0</v>
      </c>
      <c r="K553" s="720">
        <f t="shared" si="165"/>
        <v>37</v>
      </c>
      <c r="L553" s="720">
        <f t="shared" si="166"/>
        <v>592</v>
      </c>
      <c r="M553" s="721">
        <f t="shared" si="167"/>
        <v>177.6</v>
      </c>
      <c r="N553" s="659">
        <f t="shared" si="168"/>
        <v>0.3</v>
      </c>
      <c r="O553" s="722">
        <f t="shared" si="169"/>
        <v>0.2307692308</v>
      </c>
      <c r="P553" s="722"/>
      <c r="Q553" s="878" t="s">
        <v>7016</v>
      </c>
      <c r="R553" s="422"/>
      <c r="S553" s="862"/>
      <c r="T553" s="863"/>
      <c r="U553" s="422"/>
      <c r="V553" s="422"/>
      <c r="W553" s="422"/>
      <c r="X553" s="422"/>
      <c r="Y553" s="422"/>
    </row>
    <row r="554" ht="15.75" customHeight="1" outlineLevel="1">
      <c r="A554" s="641" t="s">
        <v>7017</v>
      </c>
      <c r="B554" s="642" t="s">
        <v>7018</v>
      </c>
      <c r="C554" s="643" t="s">
        <v>5636</v>
      </c>
      <c r="D554" s="644">
        <f>SUMIF('Orcamento RU Viora Build'!$A:$A,A554,'Orcamento RU Viora Build'!$F:$F)</f>
        <v>9</v>
      </c>
      <c r="E554" s="645">
        <f t="shared" si="163"/>
        <v>37.7</v>
      </c>
      <c r="F554" s="646">
        <f t="shared" si="164"/>
        <v>339.3</v>
      </c>
      <c r="G554" s="782"/>
      <c r="H554" s="666"/>
      <c r="I554" s="718">
        <v>29.0</v>
      </c>
      <c r="J554" s="719">
        <v>0.0</v>
      </c>
      <c r="K554" s="720">
        <f t="shared" si="165"/>
        <v>29</v>
      </c>
      <c r="L554" s="720">
        <f t="shared" si="166"/>
        <v>261</v>
      </c>
      <c r="M554" s="721">
        <f t="shared" si="167"/>
        <v>78.3</v>
      </c>
      <c r="N554" s="659">
        <f t="shared" si="168"/>
        <v>0.3</v>
      </c>
      <c r="O554" s="722">
        <f t="shared" si="169"/>
        <v>0.2307692308</v>
      </c>
      <c r="P554" s="722"/>
      <c r="Q554" s="878" t="s">
        <v>7019</v>
      </c>
      <c r="R554" s="422"/>
      <c r="S554" s="862"/>
      <c r="T554" s="863"/>
      <c r="U554" s="422"/>
      <c r="V554" s="422"/>
      <c r="W554" s="422"/>
      <c r="X554" s="422"/>
      <c r="Y554" s="422"/>
    </row>
    <row r="555" ht="15.75" customHeight="1" outlineLevel="1">
      <c r="A555" s="641" t="s">
        <v>7020</v>
      </c>
      <c r="B555" s="642" t="s">
        <v>7021</v>
      </c>
      <c r="C555" s="643" t="s">
        <v>5635</v>
      </c>
      <c r="D555" s="644">
        <f>SUMIF('Orcamento RU Viora Build'!$A:$A,A555,'Orcamento RU Viora Build'!$F:$F)</f>
        <v>50</v>
      </c>
      <c r="E555" s="645">
        <f t="shared" si="163"/>
        <v>40.3</v>
      </c>
      <c r="F555" s="646">
        <f t="shared" si="164"/>
        <v>2015</v>
      </c>
      <c r="G555" s="782"/>
      <c r="H555" s="666"/>
      <c r="I555" s="718">
        <v>31.0</v>
      </c>
      <c r="J555" s="719">
        <v>0.0</v>
      </c>
      <c r="K555" s="720">
        <f t="shared" si="165"/>
        <v>31</v>
      </c>
      <c r="L555" s="720">
        <f t="shared" si="166"/>
        <v>1550</v>
      </c>
      <c r="M555" s="721">
        <f t="shared" si="167"/>
        <v>465</v>
      </c>
      <c r="N555" s="659">
        <f t="shared" si="168"/>
        <v>0.3</v>
      </c>
      <c r="O555" s="722">
        <f t="shared" si="169"/>
        <v>0.2307692308</v>
      </c>
      <c r="P555" s="722"/>
      <c r="Q555" s="778" t="s">
        <v>7022</v>
      </c>
      <c r="R555" s="1"/>
      <c r="S555" s="729"/>
      <c r="T555" s="730"/>
      <c r="U555" s="1"/>
      <c r="V555" s="1"/>
      <c r="W555" s="1"/>
      <c r="X555" s="1"/>
      <c r="Y555" s="1"/>
    </row>
    <row r="556" ht="15.75" customHeight="1" outlineLevel="1">
      <c r="A556" s="641" t="s">
        <v>7023</v>
      </c>
      <c r="B556" s="642" t="s">
        <v>7024</v>
      </c>
      <c r="C556" s="643" t="s">
        <v>5635</v>
      </c>
      <c r="D556" s="644">
        <f>SUMIF('Orcamento RU Viora Build'!$A:$A,A556,'Orcamento RU Viora Build'!$F:$F)</f>
        <v>5.75</v>
      </c>
      <c r="E556" s="645">
        <f t="shared" si="163"/>
        <v>11.05</v>
      </c>
      <c r="F556" s="646">
        <f t="shared" si="164"/>
        <v>63.5375</v>
      </c>
      <c r="G556" s="782"/>
      <c r="H556" s="666"/>
      <c r="I556" s="718">
        <v>8.5</v>
      </c>
      <c r="J556" s="719">
        <v>0.0</v>
      </c>
      <c r="K556" s="720">
        <f t="shared" si="165"/>
        <v>8.5</v>
      </c>
      <c r="L556" s="720">
        <f t="shared" si="166"/>
        <v>48.875</v>
      </c>
      <c r="M556" s="721">
        <f t="shared" si="167"/>
        <v>14.6625</v>
      </c>
      <c r="N556" s="659">
        <f t="shared" si="168"/>
        <v>0.3</v>
      </c>
      <c r="O556" s="722">
        <f t="shared" si="169"/>
        <v>0.2307692308</v>
      </c>
      <c r="P556" s="722"/>
      <c r="Q556" s="878" t="s">
        <v>7025</v>
      </c>
      <c r="R556" s="1"/>
      <c r="S556" s="729"/>
      <c r="T556" s="730"/>
      <c r="U556" s="1"/>
      <c r="V556" s="1"/>
      <c r="W556" s="1"/>
      <c r="X556" s="1"/>
      <c r="Y556" s="1"/>
    </row>
    <row r="557" ht="15.75" customHeight="1" outlineLevel="1">
      <c r="A557" s="641" t="s">
        <v>7026</v>
      </c>
      <c r="B557" s="642" t="s">
        <v>7027</v>
      </c>
      <c r="C557" s="643" t="s">
        <v>5635</v>
      </c>
      <c r="D557" s="644">
        <f>SUMIF('Orcamento RU Viora Build'!$A:$A,A557,'Orcamento RU Viora Build'!$F:$F)</f>
        <v>17.54</v>
      </c>
      <c r="E557" s="645">
        <f t="shared" si="163"/>
        <v>8.06</v>
      </c>
      <c r="F557" s="646">
        <f t="shared" si="164"/>
        <v>141.3724</v>
      </c>
      <c r="G557" s="782"/>
      <c r="H557" s="666"/>
      <c r="I557" s="718">
        <v>6.2</v>
      </c>
      <c r="J557" s="719">
        <v>0.0</v>
      </c>
      <c r="K557" s="720">
        <f t="shared" si="165"/>
        <v>6.2</v>
      </c>
      <c r="L557" s="720">
        <f t="shared" si="166"/>
        <v>108.748</v>
      </c>
      <c r="M557" s="721">
        <f t="shared" si="167"/>
        <v>32.6244</v>
      </c>
      <c r="N557" s="659">
        <f t="shared" si="168"/>
        <v>0.3</v>
      </c>
      <c r="O557" s="722">
        <f t="shared" si="169"/>
        <v>0.2307692308</v>
      </c>
      <c r="P557" s="722"/>
      <c r="Q557" s="878" t="s">
        <v>7028</v>
      </c>
      <c r="R557" s="1"/>
      <c r="S557" s="729"/>
      <c r="T557" s="730"/>
      <c r="U557" s="1"/>
      <c r="V557" s="1"/>
      <c r="W557" s="1"/>
      <c r="X557" s="1"/>
      <c r="Y557" s="1"/>
    </row>
    <row r="558" ht="15.75" customHeight="1" outlineLevel="1">
      <c r="A558" s="641" t="s">
        <v>7029</v>
      </c>
      <c r="B558" s="642" t="s">
        <v>7030</v>
      </c>
      <c r="C558" s="643" t="s">
        <v>5635</v>
      </c>
      <c r="D558" s="644">
        <f>SUMIF('Orcamento RU Viora Build'!$A:$A,A558,'Orcamento RU Viora Build'!$F:$F)</f>
        <v>239.8</v>
      </c>
      <c r="E558" s="645">
        <f t="shared" si="163"/>
        <v>48.23</v>
      </c>
      <c r="F558" s="646">
        <f t="shared" si="164"/>
        <v>11565.554</v>
      </c>
      <c r="G558" s="782"/>
      <c r="H558" s="666"/>
      <c r="I558" s="718">
        <v>37.1</v>
      </c>
      <c r="J558" s="719">
        <v>0.0</v>
      </c>
      <c r="K558" s="720">
        <f t="shared" si="165"/>
        <v>37.1</v>
      </c>
      <c r="L558" s="720">
        <f t="shared" si="166"/>
        <v>8896.58</v>
      </c>
      <c r="M558" s="721">
        <f t="shared" si="167"/>
        <v>2668.974</v>
      </c>
      <c r="N558" s="659">
        <f t="shared" si="168"/>
        <v>0.3</v>
      </c>
      <c r="O558" s="722">
        <f t="shared" si="169"/>
        <v>0.2307692308</v>
      </c>
      <c r="P558" s="722"/>
      <c r="Q558" s="878" t="s">
        <v>7031</v>
      </c>
      <c r="R558" s="1"/>
      <c r="S558" s="729"/>
      <c r="T558" s="730"/>
      <c r="U558" s="1"/>
      <c r="V558" s="1"/>
      <c r="W558" s="1"/>
      <c r="X558" s="1"/>
      <c r="Y558" s="1"/>
    </row>
    <row r="559" ht="15.75" customHeight="1" outlineLevel="1">
      <c r="A559" s="641" t="s">
        <v>7032</v>
      </c>
      <c r="B559" s="642" t="s">
        <v>7033</v>
      </c>
      <c r="C559" s="643" t="s">
        <v>5635</v>
      </c>
      <c r="D559" s="644">
        <f>SUMIF('Orcamento RU Viora Build'!$A:$A,A559,'Orcamento RU Viora Build'!$F:$F)</f>
        <v>45.91</v>
      </c>
      <c r="E559" s="645">
        <f t="shared" si="163"/>
        <v>19.76</v>
      </c>
      <c r="F559" s="646">
        <f t="shared" si="164"/>
        <v>907.1816</v>
      </c>
      <c r="G559" s="782"/>
      <c r="H559" s="666"/>
      <c r="I559" s="718">
        <v>15.2</v>
      </c>
      <c r="J559" s="719">
        <v>0.0</v>
      </c>
      <c r="K559" s="720">
        <f t="shared" si="165"/>
        <v>15.2</v>
      </c>
      <c r="L559" s="720">
        <f t="shared" si="166"/>
        <v>697.832</v>
      </c>
      <c r="M559" s="721">
        <f t="shared" si="167"/>
        <v>209.3496</v>
      </c>
      <c r="N559" s="659">
        <f t="shared" si="168"/>
        <v>0.3</v>
      </c>
      <c r="O559" s="722">
        <f t="shared" si="169"/>
        <v>0.2307692308</v>
      </c>
      <c r="P559" s="722"/>
      <c r="Q559" s="878" t="s">
        <v>7034</v>
      </c>
      <c r="R559" s="1"/>
      <c r="S559" s="729"/>
      <c r="T559" s="730"/>
      <c r="U559" s="1"/>
      <c r="V559" s="1"/>
      <c r="W559" s="1"/>
      <c r="X559" s="1"/>
      <c r="Y559" s="1"/>
    </row>
    <row r="560" ht="15.75" customHeight="1" outlineLevel="1">
      <c r="A560" s="641" t="s">
        <v>7035</v>
      </c>
      <c r="B560" s="642" t="s">
        <v>7036</v>
      </c>
      <c r="C560" s="643" t="s">
        <v>5631</v>
      </c>
      <c r="D560" s="644">
        <f>SUMIF('Orcamento RU Viora Build'!$A:$A,A560,'Orcamento RU Viora Build'!$F:$F)</f>
        <v>130.01</v>
      </c>
      <c r="E560" s="645">
        <f t="shared" si="163"/>
        <v>31.46</v>
      </c>
      <c r="F560" s="646">
        <f t="shared" si="164"/>
        <v>4090.1146</v>
      </c>
      <c r="G560" s="782"/>
      <c r="H560" s="666"/>
      <c r="I560" s="718">
        <v>24.2</v>
      </c>
      <c r="J560" s="719">
        <v>0.0</v>
      </c>
      <c r="K560" s="720">
        <f t="shared" si="165"/>
        <v>24.2</v>
      </c>
      <c r="L560" s="720">
        <f t="shared" si="166"/>
        <v>3146.242</v>
      </c>
      <c r="M560" s="721">
        <f t="shared" si="167"/>
        <v>943.8726</v>
      </c>
      <c r="N560" s="659">
        <f t="shared" si="168"/>
        <v>0.3</v>
      </c>
      <c r="O560" s="722">
        <f t="shared" si="169"/>
        <v>0.2307692308</v>
      </c>
      <c r="P560" s="722"/>
      <c r="Q560" s="878" t="s">
        <v>7037</v>
      </c>
      <c r="R560" s="1"/>
      <c r="S560" s="729"/>
      <c r="T560" s="730"/>
      <c r="U560" s="1"/>
      <c r="V560" s="1"/>
      <c r="W560" s="1"/>
      <c r="X560" s="1"/>
      <c r="Y560" s="1"/>
    </row>
    <row r="561" ht="15.75" customHeight="1" outlineLevel="1">
      <c r="A561" s="641" t="s">
        <v>7038</v>
      </c>
      <c r="B561" s="738" t="s">
        <v>7039</v>
      </c>
      <c r="C561" s="643" t="s">
        <v>5635</v>
      </c>
      <c r="D561" s="644">
        <f>SUMIF('Orcamento RU Viora Build'!$A:$A,A561,'Orcamento RU Viora Build'!$F:$F)</f>
        <v>844.3</v>
      </c>
      <c r="E561" s="645">
        <f t="shared" si="163"/>
        <v>15.73</v>
      </c>
      <c r="F561" s="646">
        <f t="shared" si="164"/>
        <v>13280.839</v>
      </c>
      <c r="G561" s="782"/>
      <c r="H561" s="666"/>
      <c r="I561" s="718">
        <v>12.1</v>
      </c>
      <c r="J561" s="719">
        <v>0.0</v>
      </c>
      <c r="K561" s="720">
        <f t="shared" si="165"/>
        <v>12.1</v>
      </c>
      <c r="L561" s="720">
        <f t="shared" si="166"/>
        <v>10216.03</v>
      </c>
      <c r="M561" s="721">
        <f t="shared" si="167"/>
        <v>3064.809</v>
      </c>
      <c r="N561" s="659">
        <f t="shared" si="168"/>
        <v>0.3</v>
      </c>
      <c r="O561" s="722">
        <f t="shared" si="169"/>
        <v>0.2307692308</v>
      </c>
      <c r="P561" s="722"/>
      <c r="Q561" s="878" t="s">
        <v>7040</v>
      </c>
      <c r="R561" s="422"/>
      <c r="S561" s="862"/>
      <c r="T561" s="863"/>
      <c r="U561" s="422"/>
      <c r="V561" s="422"/>
      <c r="W561" s="422"/>
      <c r="X561" s="422"/>
      <c r="Y561" s="422"/>
    </row>
    <row r="562" ht="15.75" customHeight="1" outlineLevel="1">
      <c r="A562" s="641" t="s">
        <v>7041</v>
      </c>
      <c r="B562" s="642" t="s">
        <v>7042</v>
      </c>
      <c r="C562" s="643" t="s">
        <v>5635</v>
      </c>
      <c r="D562" s="644">
        <f>SUMIF('Orcamento RU Viora Build'!$A:$A,A562,'Orcamento RU Viora Build'!$F:$F)</f>
        <v>353.75</v>
      </c>
      <c r="E562" s="645">
        <f t="shared" si="163"/>
        <v>14.17</v>
      </c>
      <c r="F562" s="646">
        <f t="shared" si="164"/>
        <v>5012.6375</v>
      </c>
      <c r="G562" s="782"/>
      <c r="H562" s="666"/>
      <c r="I562" s="658">
        <v>10.9</v>
      </c>
      <c r="J562" s="650">
        <v>0.0</v>
      </c>
      <c r="K562" s="649">
        <f t="shared" si="165"/>
        <v>10.9</v>
      </c>
      <c r="L562" s="649">
        <f t="shared" si="166"/>
        <v>3855.875</v>
      </c>
      <c r="M562" s="651">
        <f t="shared" si="167"/>
        <v>1156.7625</v>
      </c>
      <c r="N562" s="659">
        <f t="shared" si="168"/>
        <v>0.3</v>
      </c>
      <c r="O562" s="675">
        <f t="shared" si="169"/>
        <v>0.2307692308</v>
      </c>
      <c r="P562" s="675"/>
      <c r="Q562" s="876" t="s">
        <v>7043</v>
      </c>
      <c r="R562" s="422"/>
      <c r="S562" s="661"/>
      <c r="T562" s="662"/>
      <c r="U562" s="422"/>
      <c r="V562" s="422"/>
      <c r="W562" s="422"/>
      <c r="X562" s="422"/>
      <c r="Y562" s="422"/>
    </row>
    <row r="563" ht="15.75" customHeight="1" outlineLevel="1">
      <c r="A563" s="641" t="s">
        <v>7044</v>
      </c>
      <c r="B563" s="642" t="s">
        <v>7045</v>
      </c>
      <c r="C563" s="643" t="s">
        <v>5635</v>
      </c>
      <c r="D563" s="644">
        <f>SUMIF('Orcamento RU Viora Build'!$A:$A,A563,'Orcamento RU Viora Build'!$F:$F)</f>
        <v>319.19</v>
      </c>
      <c r="E563" s="645">
        <f t="shared" si="163"/>
        <v>23.66</v>
      </c>
      <c r="F563" s="646">
        <f t="shared" si="164"/>
        <v>7552.0354</v>
      </c>
      <c r="G563" s="782"/>
      <c r="H563" s="666"/>
      <c r="I563" s="658">
        <v>18.2</v>
      </c>
      <c r="J563" s="650">
        <v>0.0</v>
      </c>
      <c r="K563" s="649">
        <f t="shared" si="165"/>
        <v>18.2</v>
      </c>
      <c r="L563" s="649">
        <f t="shared" si="166"/>
        <v>5809.258</v>
      </c>
      <c r="M563" s="651">
        <f t="shared" si="167"/>
        <v>1742.7774</v>
      </c>
      <c r="N563" s="659">
        <f t="shared" si="168"/>
        <v>0.3</v>
      </c>
      <c r="O563" s="675">
        <f t="shared" si="169"/>
        <v>0.2307692308</v>
      </c>
      <c r="P563" s="675"/>
      <c r="Q563" s="876" t="s">
        <v>7046</v>
      </c>
      <c r="R563" s="422"/>
      <c r="S563" s="661"/>
      <c r="T563" s="662"/>
      <c r="U563" s="422"/>
      <c r="V563" s="422"/>
      <c r="W563" s="422"/>
      <c r="X563" s="422"/>
      <c r="Y563" s="422"/>
    </row>
    <row r="564" ht="15.75" customHeight="1" outlineLevel="1">
      <c r="A564" s="641" t="s">
        <v>7047</v>
      </c>
      <c r="B564" s="642" t="s">
        <v>7048</v>
      </c>
      <c r="C564" s="643" t="s">
        <v>5635</v>
      </c>
      <c r="D564" s="644">
        <f>SUMIF('Orcamento RU Viora Build'!$A:$A,A564,'Orcamento RU Viora Build'!$F:$F)</f>
        <v>229.86</v>
      </c>
      <c r="E564" s="645">
        <f t="shared" si="163"/>
        <v>18.2</v>
      </c>
      <c r="F564" s="646">
        <f t="shared" si="164"/>
        <v>4183.452</v>
      </c>
      <c r="G564" s="782"/>
      <c r="H564" s="666"/>
      <c r="I564" s="658">
        <v>14.0</v>
      </c>
      <c r="J564" s="650">
        <v>0.0</v>
      </c>
      <c r="K564" s="649">
        <f t="shared" si="165"/>
        <v>14</v>
      </c>
      <c r="L564" s="649">
        <f t="shared" si="166"/>
        <v>3218.04</v>
      </c>
      <c r="M564" s="651">
        <f t="shared" si="167"/>
        <v>965.412</v>
      </c>
      <c r="N564" s="659">
        <f t="shared" si="168"/>
        <v>0.3</v>
      </c>
      <c r="O564" s="675">
        <f t="shared" si="169"/>
        <v>0.2307692308</v>
      </c>
      <c r="P564" s="675"/>
      <c r="Q564" s="876" t="s">
        <v>7049</v>
      </c>
      <c r="R564" s="1"/>
      <c r="S564" s="668"/>
      <c r="T564" s="669"/>
      <c r="U564" s="1"/>
      <c r="V564" s="1"/>
      <c r="W564" s="1"/>
      <c r="X564" s="1"/>
      <c r="Y564" s="1"/>
    </row>
    <row r="565" ht="15.75" customHeight="1" outlineLevel="1">
      <c r="A565" s="641" t="s">
        <v>7050</v>
      </c>
      <c r="B565" s="642" t="s">
        <v>7051</v>
      </c>
      <c r="C565" s="643" t="s">
        <v>5631</v>
      </c>
      <c r="D565" s="644">
        <f>SUMIF('Orcamento RU Viora Build'!$A:$A,A565,'Orcamento RU Viora Build'!$F:$F)</f>
        <v>11.9</v>
      </c>
      <c r="E565" s="645">
        <f t="shared" si="163"/>
        <v>31.2</v>
      </c>
      <c r="F565" s="646">
        <f t="shared" si="164"/>
        <v>371.28</v>
      </c>
      <c r="G565" s="782"/>
      <c r="H565" s="666"/>
      <c r="I565" s="658">
        <v>24.0</v>
      </c>
      <c r="J565" s="650">
        <v>0.0</v>
      </c>
      <c r="K565" s="649">
        <f t="shared" si="165"/>
        <v>24</v>
      </c>
      <c r="L565" s="649">
        <f t="shared" si="166"/>
        <v>285.6</v>
      </c>
      <c r="M565" s="651">
        <f t="shared" si="167"/>
        <v>85.68</v>
      </c>
      <c r="N565" s="659">
        <f t="shared" si="168"/>
        <v>0.3</v>
      </c>
      <c r="O565" s="675">
        <f t="shared" si="169"/>
        <v>0.2307692308</v>
      </c>
      <c r="P565" s="675"/>
      <c r="Q565" s="876" t="s">
        <v>7052</v>
      </c>
      <c r="R565" s="1"/>
      <c r="S565" s="668"/>
      <c r="T565" s="669"/>
      <c r="U565" s="1"/>
      <c r="V565" s="1"/>
      <c r="W565" s="1"/>
      <c r="X565" s="1"/>
      <c r="Y565" s="1"/>
    </row>
    <row r="566" ht="15.75" customHeight="1" outlineLevel="1">
      <c r="A566" s="641" t="s">
        <v>7053</v>
      </c>
      <c r="B566" s="642" t="s">
        <v>7054</v>
      </c>
      <c r="C566" s="643" t="s">
        <v>5635</v>
      </c>
      <c r="D566" s="644">
        <f>SUMIF('Orcamento RU Viora Build'!$A:$A,A566,'Orcamento RU Viora Build'!$F:$F)</f>
        <v>831.13</v>
      </c>
      <c r="E566" s="645">
        <f t="shared" si="163"/>
        <v>9.1</v>
      </c>
      <c r="F566" s="646">
        <f t="shared" si="164"/>
        <v>7563.283</v>
      </c>
      <c r="G566" s="782"/>
      <c r="H566" s="666"/>
      <c r="I566" s="658">
        <v>7.0</v>
      </c>
      <c r="J566" s="650">
        <v>0.0</v>
      </c>
      <c r="K566" s="649">
        <f t="shared" si="165"/>
        <v>7</v>
      </c>
      <c r="L566" s="649">
        <f t="shared" si="166"/>
        <v>5817.91</v>
      </c>
      <c r="M566" s="651">
        <f t="shared" si="167"/>
        <v>1745.373</v>
      </c>
      <c r="N566" s="659">
        <f t="shared" si="168"/>
        <v>0.3</v>
      </c>
      <c r="O566" s="675">
        <f t="shared" si="169"/>
        <v>0.2307692308</v>
      </c>
      <c r="P566" s="675"/>
      <c r="Q566" s="876" t="s">
        <v>7055</v>
      </c>
      <c r="R566" s="1"/>
      <c r="S566" s="668"/>
      <c r="T566" s="669"/>
      <c r="U566" s="1"/>
      <c r="V566" s="1"/>
      <c r="W566" s="1"/>
      <c r="X566" s="1"/>
      <c r="Y566" s="1"/>
    </row>
    <row r="567" ht="15.75" customHeight="1" outlineLevel="1">
      <c r="A567" s="641" t="s">
        <v>7056</v>
      </c>
      <c r="B567" s="642" t="s">
        <v>7057</v>
      </c>
      <c r="C567" s="643" t="s">
        <v>5635</v>
      </c>
      <c r="D567" s="644">
        <f>SUMIF('Orcamento RU Viora Build'!$A:$A,A567,'Orcamento RU Viora Build'!$F:$F)</f>
        <v>131.48</v>
      </c>
      <c r="E567" s="645">
        <f t="shared" si="163"/>
        <v>49.4</v>
      </c>
      <c r="F567" s="646">
        <f t="shared" si="164"/>
        <v>6495.112</v>
      </c>
      <c r="G567" s="782"/>
      <c r="H567" s="666"/>
      <c r="I567" s="658">
        <v>38.0</v>
      </c>
      <c r="J567" s="650">
        <v>0.0</v>
      </c>
      <c r="K567" s="649">
        <f t="shared" si="165"/>
        <v>38</v>
      </c>
      <c r="L567" s="649">
        <f t="shared" si="166"/>
        <v>4996.24</v>
      </c>
      <c r="M567" s="651">
        <f t="shared" si="167"/>
        <v>1498.872</v>
      </c>
      <c r="N567" s="659">
        <f t="shared" si="168"/>
        <v>0.3</v>
      </c>
      <c r="O567" s="675">
        <f t="shared" si="169"/>
        <v>0.2307692308</v>
      </c>
      <c r="P567" s="675"/>
      <c r="Q567" s="876" t="s">
        <v>7058</v>
      </c>
      <c r="R567" s="1"/>
      <c r="S567" s="668"/>
      <c r="T567" s="669"/>
      <c r="U567" s="1"/>
      <c r="V567" s="1"/>
      <c r="W567" s="1"/>
      <c r="X567" s="1"/>
      <c r="Y567" s="1"/>
    </row>
    <row r="568" ht="15.75" customHeight="1" outlineLevel="1">
      <c r="A568" s="641" t="s">
        <v>7059</v>
      </c>
      <c r="B568" s="642" t="s">
        <v>7060</v>
      </c>
      <c r="C568" s="643" t="s">
        <v>5635</v>
      </c>
      <c r="D568" s="644">
        <f>SUMIF('Orcamento RU Viora Build'!$A:$A,A568,'Orcamento RU Viora Build'!$F:$F)</f>
        <v>106.79</v>
      </c>
      <c r="E568" s="645">
        <f t="shared" si="163"/>
        <v>110.5</v>
      </c>
      <c r="F568" s="646">
        <f t="shared" si="164"/>
        <v>11800.295</v>
      </c>
      <c r="G568" s="782"/>
      <c r="H568" s="666"/>
      <c r="I568" s="718">
        <v>85.0</v>
      </c>
      <c r="J568" s="719">
        <v>0.0</v>
      </c>
      <c r="K568" s="720">
        <f t="shared" si="165"/>
        <v>85</v>
      </c>
      <c r="L568" s="720">
        <f t="shared" si="166"/>
        <v>9077.15</v>
      </c>
      <c r="M568" s="721">
        <f t="shared" si="167"/>
        <v>2723.145</v>
      </c>
      <c r="N568" s="659">
        <f t="shared" si="168"/>
        <v>0.3</v>
      </c>
      <c r="O568" s="722">
        <f t="shared" si="169"/>
        <v>0.2307692308</v>
      </c>
      <c r="P568" s="722"/>
      <c r="Q568" s="778" t="s">
        <v>7061</v>
      </c>
      <c r="R568" s="1"/>
      <c r="S568" s="729"/>
      <c r="T568" s="730"/>
      <c r="U568" s="1"/>
      <c r="V568" s="1"/>
      <c r="W568" s="1"/>
      <c r="X568" s="1"/>
      <c r="Y568" s="1"/>
    </row>
    <row r="569" ht="15.75" customHeight="1" outlineLevel="1">
      <c r="A569" s="641" t="s">
        <v>7062</v>
      </c>
      <c r="B569" s="642" t="s">
        <v>7063</v>
      </c>
      <c r="C569" s="643" t="s">
        <v>5631</v>
      </c>
      <c r="D569" s="644">
        <f>SUMIF('Orcamento RU Viora Build'!$A:$A,A569,'Orcamento RU Viora Build'!$F:$F)</f>
        <v>154</v>
      </c>
      <c r="E569" s="645">
        <f t="shared" si="163"/>
        <v>22.1</v>
      </c>
      <c r="F569" s="646">
        <f t="shared" si="164"/>
        <v>3403.4</v>
      </c>
      <c r="G569" s="782"/>
      <c r="H569" s="666"/>
      <c r="I569" s="718">
        <v>17.0</v>
      </c>
      <c r="J569" s="719">
        <v>0.0</v>
      </c>
      <c r="K569" s="720">
        <f t="shared" si="165"/>
        <v>17</v>
      </c>
      <c r="L569" s="720">
        <f t="shared" si="166"/>
        <v>2618</v>
      </c>
      <c r="M569" s="721">
        <f t="shared" si="167"/>
        <v>785.4</v>
      </c>
      <c r="N569" s="659">
        <f t="shared" si="168"/>
        <v>0.3</v>
      </c>
      <c r="O569" s="722">
        <f t="shared" si="169"/>
        <v>0.2307692308</v>
      </c>
      <c r="P569" s="722"/>
      <c r="Q569" s="878" t="s">
        <v>7064</v>
      </c>
      <c r="R569" s="1"/>
      <c r="S569" s="729"/>
      <c r="T569" s="730"/>
      <c r="U569" s="1"/>
      <c r="V569" s="1"/>
      <c r="W569" s="1"/>
      <c r="X569" s="1"/>
      <c r="Y569" s="1"/>
    </row>
    <row r="570" ht="15.75" customHeight="1" outlineLevel="1">
      <c r="A570" s="641" t="s">
        <v>7065</v>
      </c>
      <c r="B570" s="642" t="s">
        <v>7066</v>
      </c>
      <c r="C570" s="643" t="s">
        <v>5635</v>
      </c>
      <c r="D570" s="644">
        <f>SUMIF('Orcamento RU Viora Build'!$A:$A,A570,'Orcamento RU Viora Build'!$F:$F)</f>
        <v>802.91</v>
      </c>
      <c r="E570" s="645">
        <f t="shared" si="163"/>
        <v>7.8</v>
      </c>
      <c r="F570" s="646">
        <f t="shared" si="164"/>
        <v>6262.698</v>
      </c>
      <c r="G570" s="782"/>
      <c r="H570" s="666"/>
      <c r="I570" s="658">
        <v>6.0</v>
      </c>
      <c r="J570" s="650">
        <v>0.0</v>
      </c>
      <c r="K570" s="649">
        <f t="shared" si="165"/>
        <v>6</v>
      </c>
      <c r="L570" s="649">
        <f t="shared" si="166"/>
        <v>4817.46</v>
      </c>
      <c r="M570" s="651">
        <f t="shared" si="167"/>
        <v>1445.238</v>
      </c>
      <c r="N570" s="659">
        <f t="shared" si="168"/>
        <v>0.3</v>
      </c>
      <c r="O570" s="675">
        <f t="shared" si="169"/>
        <v>0.2307692308</v>
      </c>
      <c r="P570" s="675"/>
      <c r="Q570" s="876" t="s">
        <v>7067</v>
      </c>
      <c r="R570" s="422"/>
      <c r="S570" s="661"/>
      <c r="T570" s="662"/>
      <c r="U570" s="422"/>
      <c r="V570" s="422"/>
      <c r="W570" s="422"/>
      <c r="X570" s="422"/>
      <c r="Y570" s="422"/>
    </row>
    <row r="571" ht="15.75" customHeight="1" outlineLevel="1">
      <c r="A571" s="641" t="s">
        <v>7068</v>
      </c>
      <c r="B571" s="642" t="s">
        <v>7069</v>
      </c>
      <c r="C571" s="643" t="s">
        <v>5635</v>
      </c>
      <c r="D571" s="644">
        <f>SUMIF('Orcamento RU Viora Build'!$A:$A,A571,'Orcamento RU Viora Build'!$F:$F)</f>
        <v>229.86</v>
      </c>
      <c r="E571" s="645">
        <f t="shared" si="163"/>
        <v>8.06</v>
      </c>
      <c r="F571" s="646">
        <f t="shared" si="164"/>
        <v>1852.6716</v>
      </c>
      <c r="G571" s="782"/>
      <c r="H571" s="666"/>
      <c r="I571" s="658">
        <v>6.2</v>
      </c>
      <c r="J571" s="650">
        <v>0.0</v>
      </c>
      <c r="K571" s="649">
        <f t="shared" si="165"/>
        <v>6.2</v>
      </c>
      <c r="L571" s="649">
        <f t="shared" si="166"/>
        <v>1425.132</v>
      </c>
      <c r="M571" s="651">
        <f t="shared" si="167"/>
        <v>427.5396</v>
      </c>
      <c r="N571" s="659">
        <f t="shared" si="168"/>
        <v>0.3</v>
      </c>
      <c r="O571" s="675">
        <f t="shared" si="169"/>
        <v>0.2307692308</v>
      </c>
      <c r="P571" s="675"/>
      <c r="Q571" s="876" t="s">
        <v>7070</v>
      </c>
      <c r="R571" s="422"/>
      <c r="S571" s="661"/>
      <c r="T571" s="662"/>
      <c r="U571" s="422"/>
      <c r="V571" s="422"/>
      <c r="W571" s="422"/>
      <c r="X571" s="422"/>
      <c r="Y571" s="422"/>
    </row>
    <row r="572" ht="15.75" customHeight="1" outlineLevel="1">
      <c r="A572" s="641" t="s">
        <v>7071</v>
      </c>
      <c r="B572" s="642" t="s">
        <v>7072</v>
      </c>
      <c r="C572" s="643" t="s">
        <v>5635</v>
      </c>
      <c r="D572" s="644">
        <f>SUMIF('Orcamento RU Viora Build'!$A:$A,A572,'Orcamento RU Viora Build'!$F:$F)</f>
        <v>34.56</v>
      </c>
      <c r="E572" s="645">
        <f t="shared" si="163"/>
        <v>9.1</v>
      </c>
      <c r="F572" s="646">
        <f t="shared" si="164"/>
        <v>314.496</v>
      </c>
      <c r="G572" s="782"/>
      <c r="H572" s="666"/>
      <c r="I572" s="649">
        <v>7.0</v>
      </c>
      <c r="J572" s="650">
        <v>0.0</v>
      </c>
      <c r="K572" s="649">
        <f t="shared" si="165"/>
        <v>7</v>
      </c>
      <c r="L572" s="649">
        <f t="shared" si="166"/>
        <v>241.92</v>
      </c>
      <c r="M572" s="651">
        <f t="shared" si="167"/>
        <v>72.576</v>
      </c>
      <c r="N572" s="659">
        <f t="shared" si="168"/>
        <v>0.3</v>
      </c>
      <c r="O572" s="675">
        <f t="shared" si="169"/>
        <v>0.2307692308</v>
      </c>
      <c r="P572" s="675"/>
      <c r="Q572" s="876" t="s">
        <v>7073</v>
      </c>
      <c r="R572" s="422"/>
      <c r="S572" s="661"/>
      <c r="T572" s="662"/>
      <c r="U572" s="422"/>
      <c r="V572" s="422"/>
      <c r="W572" s="422"/>
      <c r="X572" s="422"/>
      <c r="Y572" s="422"/>
    </row>
    <row r="573" ht="15.75" customHeight="1" outlineLevel="1">
      <c r="A573" s="641" t="s">
        <v>7074</v>
      </c>
      <c r="B573" s="642" t="s">
        <v>7075</v>
      </c>
      <c r="C573" s="643" t="s">
        <v>5635</v>
      </c>
      <c r="D573" s="644">
        <f>SUMIF('Orcamento RU Viora Build'!$A:$A,A573,'Orcamento RU Viora Build'!$F:$F)</f>
        <v>545.28</v>
      </c>
      <c r="E573" s="645">
        <f t="shared" si="163"/>
        <v>13</v>
      </c>
      <c r="F573" s="646">
        <f t="shared" si="164"/>
        <v>7088.64</v>
      </c>
      <c r="G573" s="782"/>
      <c r="H573" s="666"/>
      <c r="I573" s="649">
        <v>10.0</v>
      </c>
      <c r="J573" s="650">
        <v>0.0</v>
      </c>
      <c r="K573" s="649">
        <f t="shared" si="165"/>
        <v>10</v>
      </c>
      <c r="L573" s="649">
        <f t="shared" si="166"/>
        <v>5452.8</v>
      </c>
      <c r="M573" s="651">
        <f t="shared" si="167"/>
        <v>1635.84</v>
      </c>
      <c r="N573" s="659">
        <f t="shared" si="168"/>
        <v>0.3</v>
      </c>
      <c r="O573" s="675">
        <f t="shared" si="169"/>
        <v>0.2307692308</v>
      </c>
      <c r="P573" s="675"/>
      <c r="Q573" s="876" t="s">
        <v>7076</v>
      </c>
      <c r="R573" s="1"/>
      <c r="S573" s="668"/>
      <c r="T573" s="669"/>
      <c r="U573" s="1"/>
      <c r="V573" s="1"/>
      <c r="W573" s="1"/>
      <c r="X573" s="1"/>
      <c r="Y573" s="1"/>
    </row>
    <row r="574" ht="15.75" customHeight="1" outlineLevel="1">
      <c r="A574" s="641" t="s">
        <v>7077</v>
      </c>
      <c r="B574" s="642" t="s">
        <v>7078</v>
      </c>
      <c r="C574" s="643" t="s">
        <v>5635</v>
      </c>
      <c r="D574" s="644">
        <f>SUMIF('Orcamento RU Viora Build'!$A:$A,A574,'Orcamento RU Viora Build'!$F:$F)</f>
        <v>940.56</v>
      </c>
      <c r="E574" s="645">
        <f t="shared" si="163"/>
        <v>10.4</v>
      </c>
      <c r="F574" s="646">
        <f t="shared" si="164"/>
        <v>9781.824</v>
      </c>
      <c r="G574" s="782"/>
      <c r="H574" s="666"/>
      <c r="I574" s="649">
        <v>8.0</v>
      </c>
      <c r="J574" s="650">
        <v>0.0</v>
      </c>
      <c r="K574" s="649">
        <f t="shared" si="165"/>
        <v>8</v>
      </c>
      <c r="L574" s="649">
        <f t="shared" si="166"/>
        <v>7524.48</v>
      </c>
      <c r="M574" s="651">
        <f t="shared" si="167"/>
        <v>2257.344</v>
      </c>
      <c r="N574" s="659">
        <f t="shared" si="168"/>
        <v>0.3</v>
      </c>
      <c r="O574" s="675">
        <f t="shared" si="169"/>
        <v>0.2307692308</v>
      </c>
      <c r="P574" s="675"/>
      <c r="Q574" s="876" t="s">
        <v>7079</v>
      </c>
      <c r="R574" s="1"/>
      <c r="S574" s="668"/>
      <c r="T574" s="669"/>
      <c r="U574" s="1"/>
      <c r="V574" s="1"/>
      <c r="W574" s="1"/>
      <c r="X574" s="1"/>
      <c r="Y574" s="1"/>
    </row>
    <row r="575" ht="15.75" customHeight="1" outlineLevel="1">
      <c r="A575" s="641" t="s">
        <v>7080</v>
      </c>
      <c r="B575" s="642" t="s">
        <v>7081</v>
      </c>
      <c r="C575" s="643" t="s">
        <v>5635</v>
      </c>
      <c r="D575" s="644">
        <f>SUMIF('Orcamento RU Viora Build'!$A:$A,A575,'Orcamento RU Viora Build'!$F:$F)</f>
        <v>493.76</v>
      </c>
      <c r="E575" s="645">
        <f t="shared" si="163"/>
        <v>11.05</v>
      </c>
      <c r="F575" s="646">
        <f t="shared" si="164"/>
        <v>5456.048</v>
      </c>
      <c r="G575" s="782"/>
      <c r="H575" s="666"/>
      <c r="I575" s="879">
        <v>8.5</v>
      </c>
      <c r="J575" s="719">
        <v>0.0</v>
      </c>
      <c r="K575" s="720">
        <f t="shared" si="165"/>
        <v>8.5</v>
      </c>
      <c r="L575" s="720">
        <f t="shared" si="166"/>
        <v>4196.96</v>
      </c>
      <c r="M575" s="721">
        <f t="shared" si="167"/>
        <v>1259.088</v>
      </c>
      <c r="N575" s="659">
        <f t="shared" si="168"/>
        <v>0.3</v>
      </c>
      <c r="O575" s="722">
        <f t="shared" si="169"/>
        <v>0.2307692308</v>
      </c>
      <c r="P575" s="880"/>
      <c r="Q575" s="881" t="s">
        <v>7082</v>
      </c>
      <c r="R575" s="1"/>
      <c r="S575" s="874"/>
      <c r="T575" s="875"/>
      <c r="U575" s="1"/>
      <c r="V575" s="1"/>
      <c r="W575" s="1"/>
      <c r="X575" s="1"/>
      <c r="Y575" s="1"/>
    </row>
    <row r="576" ht="15.75" customHeight="1" outlineLevel="1">
      <c r="A576" s="701" t="s">
        <v>6000</v>
      </c>
      <c r="B576" s="702"/>
      <c r="C576" s="703"/>
      <c r="D576" s="705"/>
      <c r="E576" s="635"/>
      <c r="F576" s="388"/>
      <c r="G576" s="782"/>
      <c r="H576" s="666"/>
      <c r="I576" s="632"/>
      <c r="J576" s="633"/>
      <c r="K576" s="634"/>
      <c r="L576" s="634"/>
      <c r="M576" s="635"/>
      <c r="N576" s="390"/>
      <c r="O576" s="636"/>
      <c r="P576" s="709"/>
      <c r="Q576" s="710"/>
      <c r="R576" s="1"/>
      <c r="S576" s="711"/>
      <c r="T576" s="712"/>
      <c r="U576" s="1"/>
      <c r="V576" s="1"/>
      <c r="W576" s="1"/>
      <c r="X576" s="1"/>
      <c r="Y576" s="1"/>
    </row>
    <row r="577" ht="15.75" customHeight="1" outlineLevel="1">
      <c r="A577" s="641" t="s">
        <v>7083</v>
      </c>
      <c r="B577" s="642" t="s">
        <v>7084</v>
      </c>
      <c r="C577" s="643" t="s">
        <v>5631</v>
      </c>
      <c r="D577" s="644">
        <f>SUMIF('Orcamento RU Viora Build'!$A:$A,A577,'Orcamento RU Viora Build'!$F:$F)</f>
        <v>25.67</v>
      </c>
      <c r="E577" s="645">
        <f t="shared" ref="E577:E605" si="170">K577+(K577*N577)</f>
        <v>357.63</v>
      </c>
      <c r="F577" s="646">
        <f t="shared" ref="F577:F605" si="171">D577*E577</f>
        <v>9180.3621</v>
      </c>
      <c r="G577" s="782"/>
      <c r="H577" s="666"/>
      <c r="I577" s="879">
        <v>275.1</v>
      </c>
      <c r="J577" s="719">
        <v>0.0</v>
      </c>
      <c r="K577" s="720">
        <f t="shared" ref="K577:K605" si="172">I577-I577*J577</f>
        <v>275.1</v>
      </c>
      <c r="L577" s="720">
        <f t="shared" ref="L577:L605" si="173">K577*D577</f>
        <v>7061.817</v>
      </c>
      <c r="M577" s="721">
        <f t="shared" ref="M577:M605" si="174">F577-L577</f>
        <v>2118.5451</v>
      </c>
      <c r="N577" s="659">
        <f t="shared" ref="N577:N605" si="175">$N$2</f>
        <v>0.3</v>
      </c>
      <c r="O577" s="722">
        <f t="shared" ref="O577:O605" si="176">M577/F577</f>
        <v>0.2307692308</v>
      </c>
      <c r="P577" s="882"/>
      <c r="Q577" s="778" t="s">
        <v>7085</v>
      </c>
      <c r="R577" s="1"/>
      <c r="S577" s="725"/>
      <c r="T577" s="726"/>
      <c r="U577" s="1"/>
      <c r="V577" s="1"/>
      <c r="W577" s="1"/>
      <c r="X577" s="1"/>
      <c r="Y577" s="1"/>
    </row>
    <row r="578" ht="15.75" customHeight="1" outlineLevel="1">
      <c r="A578" s="641" t="s">
        <v>7086</v>
      </c>
      <c r="B578" s="642" t="s">
        <v>7087</v>
      </c>
      <c r="C578" s="643" t="s">
        <v>5631</v>
      </c>
      <c r="D578" s="644">
        <f>SUMIF('Orcamento RU Viora Build'!$A:$A,A578,'Orcamento RU Viora Build'!$F:$F)</f>
        <v>0.85</v>
      </c>
      <c r="E578" s="645">
        <f t="shared" si="170"/>
        <v>80.6</v>
      </c>
      <c r="F578" s="646">
        <f t="shared" si="171"/>
        <v>68.51</v>
      </c>
      <c r="G578" s="782"/>
      <c r="H578" s="666"/>
      <c r="I578" s="879">
        <v>62.0</v>
      </c>
      <c r="J578" s="719">
        <v>0.0</v>
      </c>
      <c r="K578" s="720">
        <f t="shared" si="172"/>
        <v>62</v>
      </c>
      <c r="L578" s="720">
        <f t="shared" si="173"/>
        <v>52.7</v>
      </c>
      <c r="M578" s="721">
        <f t="shared" si="174"/>
        <v>15.81</v>
      </c>
      <c r="N578" s="659">
        <f t="shared" si="175"/>
        <v>0.3</v>
      </c>
      <c r="O578" s="722">
        <f t="shared" si="176"/>
        <v>0.2307692308</v>
      </c>
      <c r="P578" s="883"/>
      <c r="Q578" s="884" t="s">
        <v>7088</v>
      </c>
      <c r="R578" s="1"/>
      <c r="S578" s="729"/>
      <c r="T578" s="730"/>
      <c r="U578" s="1"/>
      <c r="V578" s="1"/>
      <c r="W578" s="1"/>
      <c r="X578" s="1"/>
      <c r="Y578" s="1"/>
    </row>
    <row r="579" ht="15.75" customHeight="1" outlineLevel="1">
      <c r="A579" s="641" t="s">
        <v>7089</v>
      </c>
      <c r="B579" s="642" t="s">
        <v>7090</v>
      </c>
      <c r="C579" s="643" t="s">
        <v>5631</v>
      </c>
      <c r="D579" s="644">
        <f>SUMIF('Orcamento RU Viora Build'!$A:$A,A579,'Orcamento RU Viora Build'!$F:$F)</f>
        <v>35.67</v>
      </c>
      <c r="E579" s="645">
        <f t="shared" si="170"/>
        <v>31.2</v>
      </c>
      <c r="F579" s="646">
        <f t="shared" si="171"/>
        <v>1112.904</v>
      </c>
      <c r="G579" s="782"/>
      <c r="H579" s="666"/>
      <c r="I579" s="879">
        <v>24.0</v>
      </c>
      <c r="J579" s="719">
        <v>0.0</v>
      </c>
      <c r="K579" s="720">
        <f t="shared" si="172"/>
        <v>24</v>
      </c>
      <c r="L579" s="720">
        <f t="shared" si="173"/>
        <v>856.08</v>
      </c>
      <c r="M579" s="721">
        <f t="shared" si="174"/>
        <v>256.824</v>
      </c>
      <c r="N579" s="659">
        <f t="shared" si="175"/>
        <v>0.3</v>
      </c>
      <c r="O579" s="722">
        <f t="shared" si="176"/>
        <v>0.2307692308</v>
      </c>
      <c r="P579" s="883"/>
      <c r="Q579" s="884" t="s">
        <v>7091</v>
      </c>
      <c r="R579" s="1"/>
      <c r="S579" s="729"/>
      <c r="T579" s="730"/>
      <c r="U579" s="1"/>
      <c r="V579" s="1"/>
      <c r="W579" s="1"/>
      <c r="X579" s="1"/>
      <c r="Y579" s="1"/>
    </row>
    <row r="580" ht="15.75" customHeight="1" outlineLevel="1">
      <c r="A580" s="641" t="s">
        <v>7092</v>
      </c>
      <c r="B580" s="642" t="s">
        <v>7093</v>
      </c>
      <c r="C580" s="643" t="s">
        <v>5631</v>
      </c>
      <c r="D580" s="644">
        <f>SUMIF('Orcamento RU Viora Build'!$A:$A,A580,'Orcamento RU Viora Build'!$F:$F)</f>
        <v>27.8</v>
      </c>
      <c r="E580" s="645">
        <f t="shared" si="170"/>
        <v>97.5</v>
      </c>
      <c r="F580" s="646">
        <f t="shared" si="171"/>
        <v>2710.5</v>
      </c>
      <c r="G580" s="782"/>
      <c r="H580" s="666"/>
      <c r="I580" s="879">
        <v>75.0</v>
      </c>
      <c r="J580" s="719">
        <v>0.0</v>
      </c>
      <c r="K580" s="720">
        <f t="shared" si="172"/>
        <v>75</v>
      </c>
      <c r="L580" s="720">
        <f t="shared" si="173"/>
        <v>2085</v>
      </c>
      <c r="M580" s="721">
        <f t="shared" si="174"/>
        <v>625.5</v>
      </c>
      <c r="N580" s="659">
        <f t="shared" si="175"/>
        <v>0.3</v>
      </c>
      <c r="O580" s="722">
        <f t="shared" si="176"/>
        <v>0.2307692308</v>
      </c>
      <c r="P580" s="883"/>
      <c r="Q580" s="884" t="s">
        <v>7094</v>
      </c>
      <c r="R580" s="1"/>
      <c r="S580" s="729"/>
      <c r="T580" s="730"/>
      <c r="U580" s="1"/>
      <c r="V580" s="1"/>
      <c r="W580" s="1"/>
      <c r="X580" s="1"/>
      <c r="Y580" s="1"/>
    </row>
    <row r="581" ht="15.75" customHeight="1" outlineLevel="1">
      <c r="A581" s="641" t="s">
        <v>7095</v>
      </c>
      <c r="B581" s="642" t="s">
        <v>7096</v>
      </c>
      <c r="C581" s="643" t="s">
        <v>5635</v>
      </c>
      <c r="D581" s="644">
        <f>SUMIF('Orcamento RU Viora Build'!$A:$A,A581,'Orcamento RU Viora Build'!$F:$F)</f>
        <v>180</v>
      </c>
      <c r="E581" s="645">
        <f t="shared" si="170"/>
        <v>7.93</v>
      </c>
      <c r="F581" s="646">
        <f t="shared" si="171"/>
        <v>1427.4</v>
      </c>
      <c r="G581" s="782"/>
      <c r="H581" s="666"/>
      <c r="I581" s="879">
        <v>6.1</v>
      </c>
      <c r="J581" s="719">
        <v>0.0</v>
      </c>
      <c r="K581" s="720">
        <f t="shared" si="172"/>
        <v>6.1</v>
      </c>
      <c r="L581" s="720">
        <f t="shared" si="173"/>
        <v>1098</v>
      </c>
      <c r="M581" s="721">
        <f t="shared" si="174"/>
        <v>329.4</v>
      </c>
      <c r="N581" s="659">
        <f t="shared" si="175"/>
        <v>0.3</v>
      </c>
      <c r="O581" s="722">
        <f t="shared" si="176"/>
        <v>0.2307692308</v>
      </c>
      <c r="P581" s="883"/>
      <c r="Q581" s="884" t="s">
        <v>7097</v>
      </c>
      <c r="R581" s="1"/>
      <c r="S581" s="729"/>
      <c r="T581" s="730"/>
      <c r="U581" s="1"/>
      <c r="V581" s="1"/>
      <c r="W581" s="1"/>
      <c r="X581" s="1"/>
      <c r="Y581" s="1"/>
    </row>
    <row r="582" ht="15.75" customHeight="1" outlineLevel="1">
      <c r="A582" s="641" t="s">
        <v>7098</v>
      </c>
      <c r="B582" s="642" t="s">
        <v>7099</v>
      </c>
      <c r="C582" s="643" t="s">
        <v>5635</v>
      </c>
      <c r="D582" s="644">
        <f>SUMIF('Orcamento RU Viora Build'!$A:$A,A582,'Orcamento RU Viora Build'!$F:$F)</f>
        <v>180</v>
      </c>
      <c r="E582" s="645">
        <f t="shared" si="170"/>
        <v>6.37</v>
      </c>
      <c r="F582" s="646">
        <f t="shared" si="171"/>
        <v>1146.6</v>
      </c>
      <c r="G582" s="782"/>
      <c r="H582" s="666"/>
      <c r="I582" s="879">
        <v>4.9</v>
      </c>
      <c r="J582" s="719">
        <v>0.0</v>
      </c>
      <c r="K582" s="720">
        <f t="shared" si="172"/>
        <v>4.9</v>
      </c>
      <c r="L582" s="720">
        <f t="shared" si="173"/>
        <v>882</v>
      </c>
      <c r="M582" s="721">
        <f t="shared" si="174"/>
        <v>264.6</v>
      </c>
      <c r="N582" s="659">
        <f t="shared" si="175"/>
        <v>0.3</v>
      </c>
      <c r="O582" s="722">
        <f t="shared" si="176"/>
        <v>0.2307692308</v>
      </c>
      <c r="P582" s="883"/>
      <c r="Q582" s="884" t="s">
        <v>7100</v>
      </c>
      <c r="R582" s="1"/>
      <c r="S582" s="729"/>
      <c r="T582" s="730"/>
      <c r="U582" s="1"/>
      <c r="V582" s="1"/>
      <c r="W582" s="1"/>
      <c r="X582" s="1"/>
      <c r="Y582" s="1"/>
    </row>
    <row r="583" ht="15.75" customHeight="1" outlineLevel="1">
      <c r="A583" s="641" t="s">
        <v>7101</v>
      </c>
      <c r="B583" s="642" t="s">
        <v>7102</v>
      </c>
      <c r="C583" s="643" t="s">
        <v>5635</v>
      </c>
      <c r="D583" s="644">
        <f>SUMIF('Orcamento RU Viora Build'!$A:$A,A583,'Orcamento RU Viora Build'!$F:$F)</f>
        <v>200</v>
      </c>
      <c r="E583" s="645">
        <f t="shared" si="170"/>
        <v>4.55</v>
      </c>
      <c r="F583" s="646">
        <f t="shared" si="171"/>
        <v>910</v>
      </c>
      <c r="G583" s="782"/>
      <c r="H583" s="666"/>
      <c r="I583" s="879">
        <v>3.5</v>
      </c>
      <c r="J583" s="719">
        <v>0.0</v>
      </c>
      <c r="K583" s="720">
        <f t="shared" si="172"/>
        <v>3.5</v>
      </c>
      <c r="L583" s="720">
        <f t="shared" si="173"/>
        <v>700</v>
      </c>
      <c r="M583" s="721">
        <f t="shared" si="174"/>
        <v>210</v>
      </c>
      <c r="N583" s="659">
        <f t="shared" si="175"/>
        <v>0.3</v>
      </c>
      <c r="O583" s="722">
        <f t="shared" si="176"/>
        <v>0.2307692308</v>
      </c>
      <c r="P583" s="883"/>
      <c r="Q583" s="884" t="s">
        <v>7103</v>
      </c>
      <c r="R583" s="1"/>
      <c r="S583" s="729"/>
      <c r="T583" s="730"/>
      <c r="U583" s="1"/>
      <c r="V583" s="1"/>
      <c r="W583" s="1"/>
      <c r="X583" s="1"/>
      <c r="Y583" s="1"/>
    </row>
    <row r="584" ht="15.75" customHeight="1" outlineLevel="1">
      <c r="A584" s="641" t="s">
        <v>7104</v>
      </c>
      <c r="B584" s="642" t="s">
        <v>7105</v>
      </c>
      <c r="C584" s="643" t="s">
        <v>5635</v>
      </c>
      <c r="D584" s="644">
        <f>SUMIF('Orcamento RU Viora Build'!$A:$A,A584,'Orcamento RU Viora Build'!$F:$F)</f>
        <v>20</v>
      </c>
      <c r="E584" s="645">
        <f t="shared" si="170"/>
        <v>11.05</v>
      </c>
      <c r="F584" s="646">
        <f t="shared" si="171"/>
        <v>221</v>
      </c>
      <c r="G584" s="782"/>
      <c r="H584" s="666"/>
      <c r="I584" s="879">
        <v>8.5</v>
      </c>
      <c r="J584" s="719">
        <v>0.0</v>
      </c>
      <c r="K584" s="720">
        <f t="shared" si="172"/>
        <v>8.5</v>
      </c>
      <c r="L584" s="720">
        <f t="shared" si="173"/>
        <v>170</v>
      </c>
      <c r="M584" s="721">
        <f t="shared" si="174"/>
        <v>51</v>
      </c>
      <c r="N584" s="659">
        <f t="shared" si="175"/>
        <v>0.3</v>
      </c>
      <c r="O584" s="722">
        <f t="shared" si="176"/>
        <v>0.2307692308</v>
      </c>
      <c r="P584" s="883"/>
      <c r="Q584" s="884" t="s">
        <v>7106</v>
      </c>
      <c r="R584" s="1"/>
      <c r="S584" s="729"/>
      <c r="T584" s="730"/>
      <c r="U584" s="1"/>
      <c r="V584" s="1"/>
      <c r="W584" s="1"/>
      <c r="X584" s="1"/>
      <c r="Y584" s="1"/>
    </row>
    <row r="585" ht="15.75" customHeight="1" outlineLevel="1">
      <c r="A585" s="641" t="s">
        <v>7107</v>
      </c>
      <c r="B585" s="859" t="s">
        <v>7108</v>
      </c>
      <c r="C585" s="643" t="s">
        <v>5635</v>
      </c>
      <c r="D585" s="644">
        <f>SUMIF('Orcamento RU Viora Build'!$A:$A,A585,'Orcamento RU Viora Build'!$F:$F)</f>
        <v>6</v>
      </c>
      <c r="E585" s="645">
        <f t="shared" si="170"/>
        <v>33.93</v>
      </c>
      <c r="F585" s="646">
        <f t="shared" si="171"/>
        <v>203.58</v>
      </c>
      <c r="G585" s="782"/>
      <c r="H585" s="666"/>
      <c r="I585" s="879">
        <v>26.1</v>
      </c>
      <c r="J585" s="719">
        <v>0.0</v>
      </c>
      <c r="K585" s="720">
        <f t="shared" si="172"/>
        <v>26.1</v>
      </c>
      <c r="L585" s="720">
        <f t="shared" si="173"/>
        <v>156.6</v>
      </c>
      <c r="M585" s="721">
        <f t="shared" si="174"/>
        <v>46.98</v>
      </c>
      <c r="N585" s="659">
        <f t="shared" si="175"/>
        <v>0.3</v>
      </c>
      <c r="O585" s="722">
        <f t="shared" si="176"/>
        <v>0.2307692308</v>
      </c>
      <c r="P585" s="883"/>
      <c r="Q585" s="884" t="s">
        <v>7109</v>
      </c>
      <c r="R585" s="1"/>
      <c r="S585" s="729"/>
      <c r="T585" s="730"/>
      <c r="U585" s="1"/>
      <c r="V585" s="1"/>
      <c r="W585" s="1"/>
      <c r="X585" s="1"/>
      <c r="Y585" s="1"/>
    </row>
    <row r="586" ht="15.75" customHeight="1" outlineLevel="1">
      <c r="A586" s="641" t="s">
        <v>7110</v>
      </c>
      <c r="B586" s="859" t="s">
        <v>7111</v>
      </c>
      <c r="C586" s="643" t="s">
        <v>5635</v>
      </c>
      <c r="D586" s="644">
        <f>SUMIF('Orcamento RU Viora Build'!$A:$A,A586,'Orcamento RU Viora Build'!$F:$F)</f>
        <v>45</v>
      </c>
      <c r="E586" s="645">
        <f t="shared" si="170"/>
        <v>41.6</v>
      </c>
      <c r="F586" s="646">
        <f t="shared" si="171"/>
        <v>1872</v>
      </c>
      <c r="G586" s="782"/>
      <c r="H586" s="666"/>
      <c r="I586" s="879">
        <v>32.0</v>
      </c>
      <c r="J586" s="719">
        <v>0.0</v>
      </c>
      <c r="K586" s="720">
        <f t="shared" si="172"/>
        <v>32</v>
      </c>
      <c r="L586" s="720">
        <f t="shared" si="173"/>
        <v>1440</v>
      </c>
      <c r="M586" s="721">
        <f t="shared" si="174"/>
        <v>432</v>
      </c>
      <c r="N586" s="659">
        <f t="shared" si="175"/>
        <v>0.3</v>
      </c>
      <c r="O586" s="722">
        <f t="shared" si="176"/>
        <v>0.2307692308</v>
      </c>
      <c r="P586" s="883"/>
      <c r="Q586" s="884" t="s">
        <v>7112</v>
      </c>
      <c r="R586" s="1"/>
      <c r="S586" s="729"/>
      <c r="T586" s="730"/>
      <c r="U586" s="1"/>
      <c r="V586" s="1"/>
      <c r="W586" s="1"/>
      <c r="X586" s="1"/>
      <c r="Y586" s="1"/>
    </row>
    <row r="587" ht="15.75" customHeight="1" outlineLevel="1">
      <c r="A587" s="641" t="s">
        <v>7113</v>
      </c>
      <c r="B587" s="859" t="s">
        <v>7114</v>
      </c>
      <c r="C587" s="643" t="s">
        <v>5635</v>
      </c>
      <c r="D587" s="644">
        <f>SUMIF('Orcamento RU Viora Build'!$A:$A,A587,'Orcamento RU Viora Build'!$F:$F)</f>
        <v>140</v>
      </c>
      <c r="E587" s="645">
        <f t="shared" si="170"/>
        <v>31.46</v>
      </c>
      <c r="F587" s="646">
        <f t="shared" si="171"/>
        <v>4404.4</v>
      </c>
      <c r="G587" s="782"/>
      <c r="H587" s="666"/>
      <c r="I587" s="879">
        <v>24.2</v>
      </c>
      <c r="J587" s="719">
        <v>0.0</v>
      </c>
      <c r="K587" s="720">
        <f t="shared" si="172"/>
        <v>24.2</v>
      </c>
      <c r="L587" s="720">
        <f t="shared" si="173"/>
        <v>3388</v>
      </c>
      <c r="M587" s="721">
        <f t="shared" si="174"/>
        <v>1016.4</v>
      </c>
      <c r="N587" s="659">
        <f t="shared" si="175"/>
        <v>0.3</v>
      </c>
      <c r="O587" s="722">
        <f t="shared" si="176"/>
        <v>0.2307692308</v>
      </c>
      <c r="P587" s="883"/>
      <c r="Q587" s="884" t="s">
        <v>7115</v>
      </c>
      <c r="R587" s="1"/>
      <c r="S587" s="729"/>
      <c r="T587" s="730"/>
      <c r="U587" s="1"/>
      <c r="V587" s="1"/>
      <c r="W587" s="1"/>
      <c r="X587" s="1"/>
      <c r="Y587" s="1"/>
    </row>
    <row r="588" ht="15.75" customHeight="1" outlineLevel="1">
      <c r="A588" s="641" t="s">
        <v>7116</v>
      </c>
      <c r="B588" s="859" t="s">
        <v>7117</v>
      </c>
      <c r="C588" s="643" t="s">
        <v>5631</v>
      </c>
      <c r="D588" s="644">
        <f>SUMIF('Orcamento RU Viora Build'!$A:$A,A588,'Orcamento RU Viora Build'!$F:$F)</f>
        <v>32</v>
      </c>
      <c r="E588" s="645">
        <f t="shared" si="170"/>
        <v>182.065</v>
      </c>
      <c r="F588" s="646">
        <f t="shared" si="171"/>
        <v>5826.08</v>
      </c>
      <c r="G588" s="782"/>
      <c r="H588" s="666"/>
      <c r="I588" s="879">
        <v>140.05</v>
      </c>
      <c r="J588" s="719">
        <v>0.0</v>
      </c>
      <c r="K588" s="720">
        <f t="shared" si="172"/>
        <v>140.05</v>
      </c>
      <c r="L588" s="720">
        <f t="shared" si="173"/>
        <v>4481.6</v>
      </c>
      <c r="M588" s="721">
        <f t="shared" si="174"/>
        <v>1344.48</v>
      </c>
      <c r="N588" s="659">
        <f t="shared" si="175"/>
        <v>0.3</v>
      </c>
      <c r="O588" s="722">
        <f t="shared" si="176"/>
        <v>0.2307692308</v>
      </c>
      <c r="P588" s="883"/>
      <c r="Q588" s="884" t="s">
        <v>7118</v>
      </c>
      <c r="R588" s="1"/>
      <c r="S588" s="729"/>
      <c r="T588" s="730"/>
      <c r="U588" s="1"/>
      <c r="V588" s="1"/>
      <c r="W588" s="1"/>
      <c r="X588" s="1"/>
      <c r="Y588" s="1"/>
    </row>
    <row r="589" ht="15.75" customHeight="1" outlineLevel="1">
      <c r="A589" s="641" t="s">
        <v>7119</v>
      </c>
      <c r="B589" s="859" t="s">
        <v>7120</v>
      </c>
      <c r="C589" s="643" t="s">
        <v>5636</v>
      </c>
      <c r="D589" s="644">
        <f>SUMIF('Orcamento RU Viora Build'!$A:$A,A589,'Orcamento RU Viora Build'!$F:$F)</f>
        <v>1</v>
      </c>
      <c r="E589" s="645">
        <f t="shared" si="170"/>
        <v>156.026</v>
      </c>
      <c r="F589" s="646">
        <f t="shared" si="171"/>
        <v>156.026</v>
      </c>
      <c r="G589" s="782"/>
      <c r="H589" s="666"/>
      <c r="I589" s="879">
        <v>120.02</v>
      </c>
      <c r="J589" s="719">
        <v>0.0</v>
      </c>
      <c r="K589" s="720">
        <f t="shared" si="172"/>
        <v>120.02</v>
      </c>
      <c r="L589" s="720">
        <f t="shared" si="173"/>
        <v>120.02</v>
      </c>
      <c r="M589" s="721">
        <f t="shared" si="174"/>
        <v>36.006</v>
      </c>
      <c r="N589" s="659">
        <f t="shared" si="175"/>
        <v>0.3</v>
      </c>
      <c r="O589" s="722">
        <f t="shared" si="176"/>
        <v>0.2307692308</v>
      </c>
      <c r="P589" s="883"/>
      <c r="Q589" s="884" t="s">
        <v>7121</v>
      </c>
      <c r="R589" s="1"/>
      <c r="S589" s="729"/>
      <c r="T589" s="730"/>
      <c r="U589" s="1"/>
      <c r="V589" s="1"/>
      <c r="W589" s="1"/>
      <c r="X589" s="1"/>
      <c r="Y589" s="1"/>
    </row>
    <row r="590" ht="15.75" customHeight="1" outlineLevel="1">
      <c r="A590" s="641" t="s">
        <v>7122</v>
      </c>
      <c r="B590" s="859" t="s">
        <v>7123</v>
      </c>
      <c r="C590" s="643" t="s">
        <v>5636</v>
      </c>
      <c r="D590" s="644">
        <f>SUMIF('Orcamento RU Viora Build'!$A:$A,A590,'Orcamento RU Viora Build'!$F:$F)</f>
        <v>1</v>
      </c>
      <c r="E590" s="645">
        <f t="shared" si="170"/>
        <v>317.2</v>
      </c>
      <c r="F590" s="646">
        <f t="shared" si="171"/>
        <v>317.2</v>
      </c>
      <c r="G590" s="782"/>
      <c r="H590" s="666"/>
      <c r="I590" s="879">
        <v>244.0</v>
      </c>
      <c r="J590" s="719">
        <v>0.0</v>
      </c>
      <c r="K590" s="720">
        <f t="shared" si="172"/>
        <v>244</v>
      </c>
      <c r="L590" s="720">
        <f t="shared" si="173"/>
        <v>244</v>
      </c>
      <c r="M590" s="721">
        <f t="shared" si="174"/>
        <v>73.2</v>
      </c>
      <c r="N590" s="659">
        <f t="shared" si="175"/>
        <v>0.3</v>
      </c>
      <c r="O590" s="722">
        <f t="shared" si="176"/>
        <v>0.2307692308</v>
      </c>
      <c r="P590" s="883"/>
      <c r="Q590" s="884" t="s">
        <v>7124</v>
      </c>
      <c r="R590" s="1"/>
      <c r="S590" s="729"/>
      <c r="T590" s="730"/>
      <c r="U590" s="1"/>
      <c r="V590" s="1"/>
      <c r="W590" s="1"/>
      <c r="X590" s="1"/>
      <c r="Y590" s="1"/>
    </row>
    <row r="591" ht="15.75" customHeight="1" outlineLevel="1">
      <c r="A591" s="641" t="s">
        <v>7125</v>
      </c>
      <c r="B591" s="859" t="s">
        <v>7126</v>
      </c>
      <c r="C591" s="643" t="s">
        <v>5636</v>
      </c>
      <c r="D591" s="644">
        <f>SUMIF('Orcamento RU Viora Build'!$A:$A,A591,'Orcamento RU Viora Build'!$F:$F)</f>
        <v>1</v>
      </c>
      <c r="E591" s="645">
        <f t="shared" si="170"/>
        <v>455</v>
      </c>
      <c r="F591" s="646">
        <f t="shared" si="171"/>
        <v>455</v>
      </c>
      <c r="G591" s="782"/>
      <c r="H591" s="666"/>
      <c r="I591" s="879">
        <v>350.0</v>
      </c>
      <c r="J591" s="719">
        <v>0.0</v>
      </c>
      <c r="K591" s="720">
        <f t="shared" si="172"/>
        <v>350</v>
      </c>
      <c r="L591" s="720">
        <f t="shared" si="173"/>
        <v>350</v>
      </c>
      <c r="M591" s="721">
        <f t="shared" si="174"/>
        <v>105</v>
      </c>
      <c r="N591" s="659">
        <f t="shared" si="175"/>
        <v>0.3</v>
      </c>
      <c r="O591" s="722">
        <f t="shared" si="176"/>
        <v>0.2307692308</v>
      </c>
      <c r="P591" s="883"/>
      <c r="Q591" s="884" t="s">
        <v>7127</v>
      </c>
      <c r="R591" s="1"/>
      <c r="S591" s="729"/>
      <c r="T591" s="730"/>
      <c r="U591" s="1"/>
      <c r="V591" s="1"/>
      <c r="W591" s="1"/>
      <c r="X591" s="1"/>
      <c r="Y591" s="1"/>
    </row>
    <row r="592" ht="15.75" customHeight="1" outlineLevel="1">
      <c r="A592" s="641" t="s">
        <v>7128</v>
      </c>
      <c r="B592" s="859" t="s">
        <v>7129</v>
      </c>
      <c r="C592" s="643" t="s">
        <v>5636</v>
      </c>
      <c r="D592" s="644">
        <f>SUMIF('Orcamento RU Viora Build'!$A:$A,A592,'Orcamento RU Viora Build'!$F:$F)</f>
        <v>1</v>
      </c>
      <c r="E592" s="645">
        <f t="shared" si="170"/>
        <v>468</v>
      </c>
      <c r="F592" s="646">
        <f t="shared" si="171"/>
        <v>468</v>
      </c>
      <c r="G592" s="782"/>
      <c r="H592" s="666"/>
      <c r="I592" s="879">
        <v>360.0</v>
      </c>
      <c r="J592" s="719">
        <v>0.0</v>
      </c>
      <c r="K592" s="720">
        <f t="shared" si="172"/>
        <v>360</v>
      </c>
      <c r="L592" s="720">
        <f t="shared" si="173"/>
        <v>360</v>
      </c>
      <c r="M592" s="721">
        <f t="shared" si="174"/>
        <v>108</v>
      </c>
      <c r="N592" s="659">
        <f t="shared" si="175"/>
        <v>0.3</v>
      </c>
      <c r="O592" s="722">
        <f t="shared" si="176"/>
        <v>0.2307692308</v>
      </c>
      <c r="P592" s="883"/>
      <c r="Q592" s="884" t="s">
        <v>7130</v>
      </c>
      <c r="R592" s="1"/>
      <c r="S592" s="729"/>
      <c r="T592" s="730"/>
      <c r="U592" s="1"/>
      <c r="V592" s="1"/>
      <c r="W592" s="1"/>
      <c r="X592" s="1"/>
      <c r="Y592" s="1"/>
    </row>
    <row r="593" ht="15.75" customHeight="1" outlineLevel="1">
      <c r="A593" s="641" t="s">
        <v>7131</v>
      </c>
      <c r="B593" s="859" t="s">
        <v>7132</v>
      </c>
      <c r="C593" s="643" t="s">
        <v>5631</v>
      </c>
      <c r="D593" s="644">
        <f>SUMIF('Orcamento RU Viora Build'!$A:$A,A593,'Orcamento RU Viora Build'!$F:$F)</f>
        <v>153.59</v>
      </c>
      <c r="E593" s="645">
        <f t="shared" si="170"/>
        <v>101.4</v>
      </c>
      <c r="F593" s="646">
        <f t="shared" si="171"/>
        <v>15574.026</v>
      </c>
      <c r="G593" s="782"/>
      <c r="H593" s="666"/>
      <c r="I593" s="879">
        <v>78.0</v>
      </c>
      <c r="J593" s="719">
        <v>0.0</v>
      </c>
      <c r="K593" s="720">
        <f t="shared" si="172"/>
        <v>78</v>
      </c>
      <c r="L593" s="720">
        <f t="shared" si="173"/>
        <v>11980.02</v>
      </c>
      <c r="M593" s="721">
        <f t="shared" si="174"/>
        <v>3594.006</v>
      </c>
      <c r="N593" s="659">
        <f t="shared" si="175"/>
        <v>0.3</v>
      </c>
      <c r="O593" s="722">
        <f t="shared" si="176"/>
        <v>0.2307692308</v>
      </c>
      <c r="P593" s="883"/>
      <c r="Q593" s="884" t="s">
        <v>7133</v>
      </c>
      <c r="R593" s="1"/>
      <c r="S593" s="729"/>
      <c r="T593" s="730"/>
      <c r="U593" s="1"/>
      <c r="V593" s="1"/>
      <c r="W593" s="1"/>
      <c r="X593" s="1"/>
      <c r="Y593" s="1"/>
    </row>
    <row r="594" ht="15.75" customHeight="1" outlineLevel="1">
      <c r="A594" s="641" t="s">
        <v>7134</v>
      </c>
      <c r="B594" s="859" t="s">
        <v>7063</v>
      </c>
      <c r="C594" s="643" t="s">
        <v>5631</v>
      </c>
      <c r="D594" s="644">
        <f>SUMIF('Orcamento RU Viora Build'!$A:$A,A594,'Orcamento RU Viora Build'!$F:$F)</f>
        <v>118.27</v>
      </c>
      <c r="E594" s="645">
        <f t="shared" si="170"/>
        <v>23.66</v>
      </c>
      <c r="F594" s="646">
        <f t="shared" si="171"/>
        <v>2798.2682</v>
      </c>
      <c r="G594" s="782"/>
      <c r="H594" s="666"/>
      <c r="I594" s="879">
        <v>18.2</v>
      </c>
      <c r="J594" s="719">
        <v>0.0</v>
      </c>
      <c r="K594" s="720">
        <f t="shared" si="172"/>
        <v>18.2</v>
      </c>
      <c r="L594" s="720">
        <f t="shared" si="173"/>
        <v>2152.514</v>
      </c>
      <c r="M594" s="721">
        <f t="shared" si="174"/>
        <v>645.7542</v>
      </c>
      <c r="N594" s="659">
        <f t="shared" si="175"/>
        <v>0.3</v>
      </c>
      <c r="O594" s="722">
        <f t="shared" si="176"/>
        <v>0.2307692308</v>
      </c>
      <c r="P594" s="883"/>
      <c r="Q594" s="884" t="s">
        <v>7135</v>
      </c>
      <c r="R594" s="1"/>
      <c r="S594" s="729"/>
      <c r="T594" s="730"/>
      <c r="U594" s="1"/>
      <c r="V594" s="1"/>
      <c r="W594" s="1"/>
      <c r="X594" s="1"/>
      <c r="Y594" s="1"/>
    </row>
    <row r="595" ht="15.75" customHeight="1" outlineLevel="1">
      <c r="A595" s="641" t="s">
        <v>7136</v>
      </c>
      <c r="B595" s="859" t="s">
        <v>7137</v>
      </c>
      <c r="C595" s="643" t="s">
        <v>5635</v>
      </c>
      <c r="D595" s="644">
        <f>SUMIF('Orcamento RU Viora Build'!$A:$A,A595,'Orcamento RU Viora Build'!$F:$F)</f>
        <v>7.38</v>
      </c>
      <c r="E595" s="645">
        <f t="shared" si="170"/>
        <v>113.1</v>
      </c>
      <c r="F595" s="646">
        <f t="shared" si="171"/>
        <v>834.678</v>
      </c>
      <c r="G595" s="782"/>
      <c r="H595" s="666"/>
      <c r="I595" s="879">
        <v>87.0</v>
      </c>
      <c r="J595" s="719">
        <v>0.0</v>
      </c>
      <c r="K595" s="720">
        <f t="shared" si="172"/>
        <v>87</v>
      </c>
      <c r="L595" s="720">
        <f t="shared" si="173"/>
        <v>642.06</v>
      </c>
      <c r="M595" s="721">
        <f t="shared" si="174"/>
        <v>192.618</v>
      </c>
      <c r="N595" s="659">
        <f t="shared" si="175"/>
        <v>0.3</v>
      </c>
      <c r="O595" s="722">
        <f t="shared" si="176"/>
        <v>0.2307692308</v>
      </c>
      <c r="P595" s="883"/>
      <c r="Q595" s="884" t="s">
        <v>7138</v>
      </c>
      <c r="R595" s="1"/>
      <c r="S595" s="729"/>
      <c r="T595" s="730"/>
      <c r="U595" s="1"/>
      <c r="V595" s="1"/>
      <c r="W595" s="1"/>
      <c r="X595" s="1"/>
      <c r="Y595" s="1"/>
    </row>
    <row r="596" ht="15.75" customHeight="1" outlineLevel="1">
      <c r="A596" s="641" t="s">
        <v>7139</v>
      </c>
      <c r="B596" s="859" t="s">
        <v>7140</v>
      </c>
      <c r="C596" s="643" t="s">
        <v>5636</v>
      </c>
      <c r="D596" s="644">
        <f>SUMIF('Orcamento RU Viora Build'!$A:$A,A596,'Orcamento RU Viora Build'!$F:$F)</f>
        <v>1</v>
      </c>
      <c r="E596" s="645">
        <f t="shared" si="170"/>
        <v>442</v>
      </c>
      <c r="F596" s="646">
        <f t="shared" si="171"/>
        <v>442</v>
      </c>
      <c r="G596" s="782"/>
      <c r="H596" s="666"/>
      <c r="I596" s="879">
        <v>340.0</v>
      </c>
      <c r="J596" s="719">
        <v>0.0</v>
      </c>
      <c r="K596" s="720">
        <f t="shared" si="172"/>
        <v>340</v>
      </c>
      <c r="L596" s="720">
        <f t="shared" si="173"/>
        <v>340</v>
      </c>
      <c r="M596" s="721">
        <f t="shared" si="174"/>
        <v>102</v>
      </c>
      <c r="N596" s="659">
        <f t="shared" si="175"/>
        <v>0.3</v>
      </c>
      <c r="O596" s="722">
        <f t="shared" si="176"/>
        <v>0.2307692308</v>
      </c>
      <c r="P596" s="883"/>
      <c r="Q596" s="884" t="s">
        <v>7141</v>
      </c>
      <c r="R596" s="1"/>
      <c r="S596" s="729"/>
      <c r="T596" s="730"/>
      <c r="U596" s="1"/>
      <c r="V596" s="1"/>
      <c r="W596" s="1"/>
      <c r="X596" s="1"/>
      <c r="Y596" s="1"/>
    </row>
    <row r="597" ht="15.75" customHeight="1" outlineLevel="1">
      <c r="A597" s="641" t="s">
        <v>7142</v>
      </c>
      <c r="B597" s="859" t="s">
        <v>7143</v>
      </c>
      <c r="C597" s="643" t="s">
        <v>5636</v>
      </c>
      <c r="D597" s="644">
        <f>SUMIF('Orcamento RU Viora Build'!$A:$A,A597,'Orcamento RU Viora Build'!$F:$F)</f>
        <v>1</v>
      </c>
      <c r="E597" s="645">
        <f t="shared" si="170"/>
        <v>1105</v>
      </c>
      <c r="F597" s="646">
        <f t="shared" si="171"/>
        <v>1105</v>
      </c>
      <c r="G597" s="782"/>
      <c r="H597" s="666"/>
      <c r="I597" s="879">
        <v>850.0</v>
      </c>
      <c r="J597" s="719">
        <v>0.0</v>
      </c>
      <c r="K597" s="720">
        <f t="shared" si="172"/>
        <v>850</v>
      </c>
      <c r="L597" s="720">
        <f t="shared" si="173"/>
        <v>850</v>
      </c>
      <c r="M597" s="721">
        <f t="shared" si="174"/>
        <v>255</v>
      </c>
      <c r="N597" s="659">
        <f t="shared" si="175"/>
        <v>0.3</v>
      </c>
      <c r="O597" s="722">
        <f t="shared" si="176"/>
        <v>0.2307692308</v>
      </c>
      <c r="P597" s="883"/>
      <c r="Q597" s="884" t="s">
        <v>7144</v>
      </c>
      <c r="R597" s="1"/>
      <c r="S597" s="729"/>
      <c r="T597" s="730"/>
      <c r="U597" s="1"/>
      <c r="V597" s="1"/>
      <c r="W597" s="1"/>
      <c r="X597" s="1"/>
      <c r="Y597" s="1"/>
    </row>
    <row r="598" ht="15.75" customHeight="1" outlineLevel="1">
      <c r="A598" s="641" t="s">
        <v>7145</v>
      </c>
      <c r="B598" s="859" t="s">
        <v>7146</v>
      </c>
      <c r="C598" s="643" t="s">
        <v>5636</v>
      </c>
      <c r="D598" s="644">
        <f>SUMIF('Orcamento RU Viora Build'!$A:$A,A598,'Orcamento RU Viora Build'!$F:$F)</f>
        <v>1</v>
      </c>
      <c r="E598" s="645">
        <f t="shared" si="170"/>
        <v>546</v>
      </c>
      <c r="F598" s="646">
        <f t="shared" si="171"/>
        <v>546</v>
      </c>
      <c r="G598" s="782"/>
      <c r="H598" s="666"/>
      <c r="I598" s="879">
        <v>420.0</v>
      </c>
      <c r="J598" s="719">
        <v>0.0</v>
      </c>
      <c r="K598" s="720">
        <f t="shared" si="172"/>
        <v>420</v>
      </c>
      <c r="L598" s="720">
        <f t="shared" si="173"/>
        <v>420</v>
      </c>
      <c r="M598" s="721">
        <f t="shared" si="174"/>
        <v>126</v>
      </c>
      <c r="N598" s="659">
        <f t="shared" si="175"/>
        <v>0.3</v>
      </c>
      <c r="O598" s="722">
        <f t="shared" si="176"/>
        <v>0.2307692308</v>
      </c>
      <c r="P598" s="883"/>
      <c r="Q598" s="884" t="s">
        <v>7147</v>
      </c>
      <c r="R598" s="1"/>
      <c r="S598" s="729"/>
      <c r="T598" s="730"/>
      <c r="U598" s="1"/>
      <c r="V598" s="1"/>
      <c r="W598" s="1"/>
      <c r="X598" s="1"/>
      <c r="Y598" s="1"/>
    </row>
    <row r="599" ht="15.75" customHeight="1" outlineLevel="1">
      <c r="A599" s="641" t="s">
        <v>7148</v>
      </c>
      <c r="B599" s="859" t="s">
        <v>7149</v>
      </c>
      <c r="C599" s="643" t="s">
        <v>5636</v>
      </c>
      <c r="D599" s="644">
        <f>SUMIF('Orcamento RU Viora Build'!$A:$A,A599,'Orcamento RU Viora Build'!$F:$F)</f>
        <v>1</v>
      </c>
      <c r="E599" s="645">
        <f t="shared" si="170"/>
        <v>546</v>
      </c>
      <c r="F599" s="646">
        <f t="shared" si="171"/>
        <v>546</v>
      </c>
      <c r="G599" s="782"/>
      <c r="H599" s="666"/>
      <c r="I599" s="879">
        <v>420.0</v>
      </c>
      <c r="J599" s="719">
        <v>0.0</v>
      </c>
      <c r="K599" s="720">
        <f t="shared" si="172"/>
        <v>420</v>
      </c>
      <c r="L599" s="720">
        <f t="shared" si="173"/>
        <v>420</v>
      </c>
      <c r="M599" s="721">
        <f t="shared" si="174"/>
        <v>126</v>
      </c>
      <c r="N599" s="659">
        <f t="shared" si="175"/>
        <v>0.3</v>
      </c>
      <c r="O599" s="722">
        <f t="shared" si="176"/>
        <v>0.2307692308</v>
      </c>
      <c r="P599" s="883"/>
      <c r="Q599" s="884" t="s">
        <v>7150</v>
      </c>
      <c r="R599" s="1"/>
      <c r="S599" s="729"/>
      <c r="T599" s="730"/>
      <c r="U599" s="1"/>
      <c r="V599" s="1"/>
      <c r="W599" s="1"/>
      <c r="X599" s="1"/>
      <c r="Y599" s="1"/>
    </row>
    <row r="600" ht="15.75" customHeight="1" outlineLevel="1">
      <c r="A600" s="641" t="s">
        <v>7151</v>
      </c>
      <c r="B600" s="859" t="s">
        <v>7152</v>
      </c>
      <c r="C600" s="643" t="s">
        <v>5631</v>
      </c>
      <c r="D600" s="644">
        <f>SUMIF('Orcamento RU Viora Build'!$A:$A,A600,'Orcamento RU Viora Build'!$F:$F)</f>
        <v>2.1</v>
      </c>
      <c r="E600" s="645">
        <f t="shared" si="170"/>
        <v>123.5</v>
      </c>
      <c r="F600" s="646">
        <f t="shared" si="171"/>
        <v>259.35</v>
      </c>
      <c r="G600" s="782"/>
      <c r="H600" s="666"/>
      <c r="I600" s="879">
        <v>95.0</v>
      </c>
      <c r="J600" s="719">
        <v>0.0</v>
      </c>
      <c r="K600" s="720">
        <f t="shared" si="172"/>
        <v>95</v>
      </c>
      <c r="L600" s="720">
        <f t="shared" si="173"/>
        <v>199.5</v>
      </c>
      <c r="M600" s="721">
        <f t="shared" si="174"/>
        <v>59.85</v>
      </c>
      <c r="N600" s="659">
        <f t="shared" si="175"/>
        <v>0.3</v>
      </c>
      <c r="O600" s="722">
        <f t="shared" si="176"/>
        <v>0.2307692308</v>
      </c>
      <c r="P600" s="883"/>
      <c r="Q600" s="884" t="s">
        <v>7153</v>
      </c>
      <c r="R600" s="1"/>
      <c r="S600" s="729"/>
      <c r="T600" s="730"/>
      <c r="U600" s="1"/>
      <c r="V600" s="1"/>
      <c r="W600" s="1"/>
      <c r="X600" s="1"/>
      <c r="Y600" s="1"/>
    </row>
    <row r="601" ht="15.75" customHeight="1" outlineLevel="1">
      <c r="A601" s="641" t="s">
        <v>7154</v>
      </c>
      <c r="B601" s="859" t="s">
        <v>7155</v>
      </c>
      <c r="C601" s="643" t="s">
        <v>5636</v>
      </c>
      <c r="D601" s="644">
        <f>SUMIF('Orcamento RU Viora Build'!$A:$A,A601,'Orcamento RU Viora Build'!$F:$F)</f>
        <v>1</v>
      </c>
      <c r="E601" s="645">
        <f t="shared" si="170"/>
        <v>58.5</v>
      </c>
      <c r="F601" s="646">
        <f t="shared" si="171"/>
        <v>58.5</v>
      </c>
      <c r="G601" s="782"/>
      <c r="H601" s="666"/>
      <c r="I601" s="879">
        <v>45.0</v>
      </c>
      <c r="J601" s="719">
        <v>0.0</v>
      </c>
      <c r="K601" s="720">
        <f t="shared" si="172"/>
        <v>45</v>
      </c>
      <c r="L601" s="720">
        <f t="shared" si="173"/>
        <v>45</v>
      </c>
      <c r="M601" s="721">
        <f t="shared" si="174"/>
        <v>13.5</v>
      </c>
      <c r="N601" s="659">
        <f t="shared" si="175"/>
        <v>0.3</v>
      </c>
      <c r="O601" s="722">
        <f t="shared" si="176"/>
        <v>0.2307692308</v>
      </c>
      <c r="P601" s="883"/>
      <c r="Q601" s="884" t="s">
        <v>7156</v>
      </c>
      <c r="R601" s="1"/>
      <c r="S601" s="729"/>
      <c r="T601" s="730"/>
      <c r="U601" s="1"/>
      <c r="V601" s="1"/>
      <c r="W601" s="1"/>
      <c r="X601" s="1"/>
      <c r="Y601" s="1"/>
    </row>
    <row r="602" ht="15.75" customHeight="1" outlineLevel="1">
      <c r="A602" s="641" t="s">
        <v>7157</v>
      </c>
      <c r="B602" s="859" t="s">
        <v>7158</v>
      </c>
      <c r="C602" s="643" t="s">
        <v>5636</v>
      </c>
      <c r="D602" s="644">
        <f>SUMIF('Orcamento RU Viora Build'!$A:$A,A602,'Orcamento RU Viora Build'!$F:$F)</f>
        <v>1</v>
      </c>
      <c r="E602" s="645">
        <f t="shared" si="170"/>
        <v>1274</v>
      </c>
      <c r="F602" s="646">
        <f t="shared" si="171"/>
        <v>1274</v>
      </c>
      <c r="G602" s="782"/>
      <c r="H602" s="666"/>
      <c r="I602" s="879">
        <v>980.0</v>
      </c>
      <c r="J602" s="719">
        <v>0.0</v>
      </c>
      <c r="K602" s="720">
        <f t="shared" si="172"/>
        <v>980</v>
      </c>
      <c r="L602" s="720">
        <f t="shared" si="173"/>
        <v>980</v>
      </c>
      <c r="M602" s="721">
        <f t="shared" si="174"/>
        <v>294</v>
      </c>
      <c r="N602" s="659">
        <f t="shared" si="175"/>
        <v>0.3</v>
      </c>
      <c r="O602" s="722">
        <f t="shared" si="176"/>
        <v>0.2307692308</v>
      </c>
      <c r="P602" s="883"/>
      <c r="Q602" s="884" t="s">
        <v>7159</v>
      </c>
      <c r="R602" s="1"/>
      <c r="S602" s="729"/>
      <c r="T602" s="730"/>
      <c r="U602" s="1"/>
      <c r="V602" s="1"/>
      <c r="W602" s="1"/>
      <c r="X602" s="1"/>
      <c r="Y602" s="1"/>
    </row>
    <row r="603" ht="15.75" customHeight="1" outlineLevel="1">
      <c r="A603" s="641" t="s">
        <v>7160</v>
      </c>
      <c r="B603" s="859" t="s">
        <v>7161</v>
      </c>
      <c r="C603" s="643" t="s">
        <v>5636</v>
      </c>
      <c r="D603" s="644">
        <f>SUMIF('Orcamento RU Viora Build'!$A:$A,A603,'Orcamento RU Viora Build'!$F:$F)</f>
        <v>1</v>
      </c>
      <c r="E603" s="645">
        <f t="shared" si="170"/>
        <v>2145</v>
      </c>
      <c r="F603" s="646">
        <f t="shared" si="171"/>
        <v>2145</v>
      </c>
      <c r="G603" s="782"/>
      <c r="H603" s="666"/>
      <c r="I603" s="879">
        <v>1650.0</v>
      </c>
      <c r="J603" s="719">
        <v>0.0</v>
      </c>
      <c r="K603" s="720">
        <f t="shared" si="172"/>
        <v>1650</v>
      </c>
      <c r="L603" s="720">
        <f t="shared" si="173"/>
        <v>1650</v>
      </c>
      <c r="M603" s="721">
        <f t="shared" si="174"/>
        <v>495</v>
      </c>
      <c r="N603" s="659">
        <f t="shared" si="175"/>
        <v>0.3</v>
      </c>
      <c r="O603" s="722">
        <f t="shared" si="176"/>
        <v>0.2307692308</v>
      </c>
      <c r="P603" s="883"/>
      <c r="Q603" s="884" t="s">
        <v>7162</v>
      </c>
      <c r="R603" s="1"/>
      <c r="S603" s="729"/>
      <c r="T603" s="730"/>
      <c r="U603" s="1"/>
      <c r="V603" s="1"/>
      <c r="W603" s="1"/>
      <c r="X603" s="1"/>
      <c r="Y603" s="1"/>
    </row>
    <row r="604" ht="15.75" customHeight="1" outlineLevel="1">
      <c r="A604" s="641" t="s">
        <v>7163</v>
      </c>
      <c r="B604" s="859" t="s">
        <v>7164</v>
      </c>
      <c r="C604" s="643" t="s">
        <v>5636</v>
      </c>
      <c r="D604" s="644">
        <f>SUMIF('Orcamento RU Viora Build'!$A:$A,A604,'Orcamento RU Viora Build'!$F:$F)</f>
        <v>1</v>
      </c>
      <c r="E604" s="645">
        <f t="shared" si="170"/>
        <v>1105</v>
      </c>
      <c r="F604" s="646">
        <f t="shared" si="171"/>
        <v>1105</v>
      </c>
      <c r="G604" s="782"/>
      <c r="H604" s="666"/>
      <c r="I604" s="879">
        <v>850.0</v>
      </c>
      <c r="J604" s="719">
        <v>0.0</v>
      </c>
      <c r="K604" s="720">
        <f t="shared" si="172"/>
        <v>850</v>
      </c>
      <c r="L604" s="720">
        <f t="shared" si="173"/>
        <v>850</v>
      </c>
      <c r="M604" s="721">
        <f t="shared" si="174"/>
        <v>255</v>
      </c>
      <c r="N604" s="659">
        <f t="shared" si="175"/>
        <v>0.3</v>
      </c>
      <c r="O604" s="722">
        <f t="shared" si="176"/>
        <v>0.2307692308</v>
      </c>
      <c r="P604" s="885"/>
      <c r="Q604" s="886" t="s">
        <v>7165</v>
      </c>
      <c r="R604" s="1"/>
      <c r="S604" s="729"/>
      <c r="T604" s="730"/>
      <c r="U604" s="1"/>
      <c r="V604" s="1"/>
      <c r="W604" s="1"/>
      <c r="X604" s="1"/>
      <c r="Y604" s="1"/>
    </row>
    <row r="605" ht="15.75" customHeight="1" outlineLevel="1">
      <c r="A605" s="641" t="s">
        <v>7166</v>
      </c>
      <c r="B605" s="859" t="s">
        <v>7167</v>
      </c>
      <c r="C605" s="643" t="s">
        <v>5636</v>
      </c>
      <c r="D605" s="644">
        <f>SUMIF('Orcamento RU Viora Build'!$A:$A,A605,'Orcamento RU Viora Build'!$F:$F)</f>
        <v>1</v>
      </c>
      <c r="E605" s="645">
        <f t="shared" si="170"/>
        <v>2665</v>
      </c>
      <c r="F605" s="646">
        <f t="shared" si="171"/>
        <v>2665</v>
      </c>
      <c r="G605" s="782"/>
      <c r="H605" s="666"/>
      <c r="I605" s="879">
        <v>2050.0</v>
      </c>
      <c r="J605" s="719">
        <v>0.0</v>
      </c>
      <c r="K605" s="720">
        <f t="shared" si="172"/>
        <v>2050</v>
      </c>
      <c r="L605" s="720">
        <f t="shared" si="173"/>
        <v>2050</v>
      </c>
      <c r="M605" s="721">
        <f t="shared" si="174"/>
        <v>615</v>
      </c>
      <c r="N605" s="659">
        <f t="shared" si="175"/>
        <v>0.3</v>
      </c>
      <c r="O605" s="722">
        <f t="shared" si="176"/>
        <v>0.2307692308</v>
      </c>
      <c r="P605" s="883"/>
      <c r="Q605" s="884" t="s">
        <v>7168</v>
      </c>
      <c r="R605" s="1"/>
      <c r="S605" s="874"/>
      <c r="T605" s="875"/>
      <c r="U605" s="1"/>
      <c r="V605" s="1"/>
      <c r="W605" s="1"/>
      <c r="X605" s="1"/>
      <c r="Y605" s="1"/>
    </row>
    <row r="606" ht="15.75" customHeight="1" outlineLevel="1">
      <c r="A606" s="701" t="s">
        <v>6038</v>
      </c>
      <c r="B606" s="702"/>
      <c r="C606" s="703"/>
      <c r="D606" s="705"/>
      <c r="E606" s="635"/>
      <c r="F606" s="388"/>
      <c r="G606" s="782"/>
      <c r="H606" s="666"/>
      <c r="I606" s="771"/>
      <c r="J606" s="390"/>
      <c r="K606" s="390"/>
      <c r="L606" s="390"/>
      <c r="M606" s="390"/>
      <c r="N606" s="390"/>
      <c r="O606" s="390"/>
      <c r="P606" s="636"/>
      <c r="Q606" s="887"/>
      <c r="R606" s="684"/>
      <c r="S606" s="796"/>
      <c r="T606" s="797"/>
      <c r="U606" s="1"/>
      <c r="V606" s="1"/>
      <c r="W606" s="1"/>
      <c r="X606" s="1"/>
      <c r="Y606" s="1"/>
    </row>
    <row r="607" ht="15.75" customHeight="1" outlineLevel="1">
      <c r="A607" s="641" t="s">
        <v>7169</v>
      </c>
      <c r="B607" s="642" t="s">
        <v>7170</v>
      </c>
      <c r="C607" s="643" t="s">
        <v>5636</v>
      </c>
      <c r="D607" s="644">
        <f>SUMIF('Orcamento RU Viora Build'!$A:$A,A607,'Orcamento RU Viora Build'!$F:$F)</f>
        <v>1</v>
      </c>
      <c r="E607" s="645">
        <f t="shared" ref="E607:E672" si="177">K607+(K607*N607)</f>
        <v>261.3</v>
      </c>
      <c r="F607" s="646">
        <f t="shared" ref="F607:F672" si="178">D607*E607</f>
        <v>261.3</v>
      </c>
      <c r="G607" s="782"/>
      <c r="H607" s="666"/>
      <c r="I607" s="879">
        <v>201.0</v>
      </c>
      <c r="J607" s="719">
        <v>0.0</v>
      </c>
      <c r="K607" s="720">
        <f t="shared" ref="K607:K672" si="179">I607-I607*J607</f>
        <v>201</v>
      </c>
      <c r="L607" s="720">
        <f t="shared" ref="L607:L672" si="180">K607*D607</f>
        <v>201</v>
      </c>
      <c r="M607" s="721">
        <f t="shared" ref="M607:M672" si="181">F607-L607</f>
        <v>60.3</v>
      </c>
      <c r="N607" s="659">
        <f t="shared" ref="N607:N672" si="182">$N$2</f>
        <v>0.3</v>
      </c>
      <c r="O607" s="722">
        <f t="shared" ref="O607:O672" si="183">M607/F607</f>
        <v>0.2307692308</v>
      </c>
      <c r="P607" s="883"/>
      <c r="Q607" s="884" t="s">
        <v>7171</v>
      </c>
      <c r="R607" s="1"/>
      <c r="S607" s="725"/>
      <c r="T607" s="726"/>
      <c r="U607" s="1"/>
      <c r="V607" s="1"/>
      <c r="W607" s="1"/>
      <c r="X607" s="1"/>
      <c r="Y607" s="1"/>
    </row>
    <row r="608" ht="15.75" customHeight="1" outlineLevel="1">
      <c r="A608" s="641" t="s">
        <v>7172</v>
      </c>
      <c r="B608" s="642" t="s">
        <v>7173</v>
      </c>
      <c r="C608" s="643" t="s">
        <v>5636</v>
      </c>
      <c r="D608" s="644">
        <f>SUMIF('Orcamento RU Viora Build'!$A:$A,A608,'Orcamento RU Viora Build'!$F:$F)</f>
        <v>1</v>
      </c>
      <c r="E608" s="645">
        <f t="shared" si="177"/>
        <v>980.2</v>
      </c>
      <c r="F608" s="646">
        <f t="shared" si="178"/>
        <v>980.2</v>
      </c>
      <c r="G608" s="782"/>
      <c r="H608" s="666"/>
      <c r="I608" s="879">
        <v>754.0</v>
      </c>
      <c r="J608" s="719">
        <v>0.0</v>
      </c>
      <c r="K608" s="720">
        <f t="shared" si="179"/>
        <v>754</v>
      </c>
      <c r="L608" s="720">
        <f t="shared" si="180"/>
        <v>754</v>
      </c>
      <c r="M608" s="721">
        <f t="shared" si="181"/>
        <v>226.2</v>
      </c>
      <c r="N608" s="659">
        <f t="shared" si="182"/>
        <v>0.3</v>
      </c>
      <c r="O608" s="722">
        <f t="shared" si="183"/>
        <v>0.2307692308</v>
      </c>
      <c r="P608" s="883"/>
      <c r="Q608" s="884" t="s">
        <v>7174</v>
      </c>
      <c r="R608" s="1"/>
      <c r="S608" s="729"/>
      <c r="T608" s="730"/>
      <c r="U608" s="1"/>
      <c r="V608" s="1"/>
      <c r="W608" s="1"/>
      <c r="X608" s="1"/>
      <c r="Y608" s="1"/>
    </row>
    <row r="609" ht="15.75" customHeight="1" outlineLevel="1">
      <c r="A609" s="641" t="s">
        <v>7175</v>
      </c>
      <c r="B609" s="642" t="s">
        <v>7176</v>
      </c>
      <c r="C609" s="643" t="s">
        <v>5636</v>
      </c>
      <c r="D609" s="644">
        <f>SUMIF('Orcamento RU Viora Build'!$A:$A,A609,'Orcamento RU Viora Build'!$F:$F)</f>
        <v>1</v>
      </c>
      <c r="E609" s="645">
        <f t="shared" si="177"/>
        <v>964.6</v>
      </c>
      <c r="F609" s="646">
        <f t="shared" si="178"/>
        <v>964.6</v>
      </c>
      <c r="G609" s="782"/>
      <c r="H609" s="666"/>
      <c r="I609" s="879">
        <v>742.0</v>
      </c>
      <c r="J609" s="719">
        <v>0.0</v>
      </c>
      <c r="K609" s="720">
        <f t="shared" si="179"/>
        <v>742</v>
      </c>
      <c r="L609" s="720">
        <f t="shared" si="180"/>
        <v>742</v>
      </c>
      <c r="M609" s="721">
        <f t="shared" si="181"/>
        <v>222.6</v>
      </c>
      <c r="N609" s="659">
        <f t="shared" si="182"/>
        <v>0.3</v>
      </c>
      <c r="O609" s="722">
        <f t="shared" si="183"/>
        <v>0.2307692308</v>
      </c>
      <c r="P609" s="883"/>
      <c r="Q609" s="884" t="s">
        <v>7177</v>
      </c>
      <c r="R609" s="1"/>
      <c r="S609" s="729"/>
      <c r="T609" s="730"/>
      <c r="U609" s="1"/>
      <c r="V609" s="1"/>
      <c r="W609" s="1"/>
      <c r="X609" s="1"/>
      <c r="Y609" s="1"/>
    </row>
    <row r="610" ht="15.75" customHeight="1" outlineLevel="1">
      <c r="A610" s="641" t="s">
        <v>7178</v>
      </c>
      <c r="B610" s="642" t="s">
        <v>7179</v>
      </c>
      <c r="C610" s="643" t="s">
        <v>5636</v>
      </c>
      <c r="D610" s="644">
        <f>SUMIF('Orcamento RU Viora Build'!$A:$A,A610,'Orcamento RU Viora Build'!$F:$F)</f>
        <v>1</v>
      </c>
      <c r="E610" s="645">
        <f t="shared" si="177"/>
        <v>637</v>
      </c>
      <c r="F610" s="646">
        <f t="shared" si="178"/>
        <v>637</v>
      </c>
      <c r="G610" s="782"/>
      <c r="H610" s="666"/>
      <c r="I610" s="879">
        <v>490.0</v>
      </c>
      <c r="J610" s="719">
        <v>0.0</v>
      </c>
      <c r="K610" s="720">
        <f t="shared" si="179"/>
        <v>490</v>
      </c>
      <c r="L610" s="720">
        <f t="shared" si="180"/>
        <v>490</v>
      </c>
      <c r="M610" s="721">
        <f t="shared" si="181"/>
        <v>147</v>
      </c>
      <c r="N610" s="659">
        <f t="shared" si="182"/>
        <v>0.3</v>
      </c>
      <c r="O610" s="722">
        <f t="shared" si="183"/>
        <v>0.2307692308</v>
      </c>
      <c r="P610" s="883"/>
      <c r="Q610" s="884" t="s">
        <v>7180</v>
      </c>
      <c r="R610" s="1"/>
      <c r="S610" s="729"/>
      <c r="T610" s="730"/>
      <c r="U610" s="1"/>
      <c r="V610" s="1"/>
      <c r="W610" s="1"/>
      <c r="X610" s="1"/>
      <c r="Y610" s="1"/>
    </row>
    <row r="611" ht="15.75" customHeight="1" outlineLevel="1">
      <c r="A611" s="641" t="s">
        <v>7181</v>
      </c>
      <c r="B611" s="642" t="s">
        <v>7182</v>
      </c>
      <c r="C611" s="643" t="s">
        <v>5636</v>
      </c>
      <c r="D611" s="644">
        <f>SUMIF('Orcamento RU Viora Build'!$A:$A,A611,'Orcamento RU Viora Build'!$F:$F)</f>
        <v>1</v>
      </c>
      <c r="E611" s="645">
        <f t="shared" si="177"/>
        <v>1242.8</v>
      </c>
      <c r="F611" s="646">
        <f t="shared" si="178"/>
        <v>1242.8</v>
      </c>
      <c r="G611" s="782"/>
      <c r="H611" s="666"/>
      <c r="I611" s="879">
        <v>956.0</v>
      </c>
      <c r="J611" s="719">
        <v>0.0</v>
      </c>
      <c r="K611" s="720">
        <f t="shared" si="179"/>
        <v>956</v>
      </c>
      <c r="L611" s="720">
        <f t="shared" si="180"/>
        <v>956</v>
      </c>
      <c r="M611" s="721">
        <f t="shared" si="181"/>
        <v>286.8</v>
      </c>
      <c r="N611" s="659">
        <f t="shared" si="182"/>
        <v>0.3</v>
      </c>
      <c r="O611" s="722">
        <f t="shared" si="183"/>
        <v>0.2307692308</v>
      </c>
      <c r="P611" s="883"/>
      <c r="Q611" s="884" t="s">
        <v>7183</v>
      </c>
      <c r="R611" s="1"/>
      <c r="S611" s="729"/>
      <c r="T611" s="730"/>
      <c r="U611" s="1"/>
      <c r="V611" s="1"/>
      <c r="W611" s="1"/>
      <c r="X611" s="1"/>
      <c r="Y611" s="1"/>
    </row>
    <row r="612" ht="15.75" customHeight="1" outlineLevel="1">
      <c r="A612" s="641" t="s">
        <v>7184</v>
      </c>
      <c r="B612" s="642" t="s">
        <v>7185</v>
      </c>
      <c r="C612" s="643" t="s">
        <v>5636</v>
      </c>
      <c r="D612" s="644">
        <f>SUMIF('Orcamento RU Viora Build'!$A:$A,A612,'Orcamento RU Viora Build'!$F:$F)</f>
        <v>1</v>
      </c>
      <c r="E612" s="645">
        <f t="shared" si="177"/>
        <v>1297.4</v>
      </c>
      <c r="F612" s="646">
        <f t="shared" si="178"/>
        <v>1297.4</v>
      </c>
      <c r="G612" s="782"/>
      <c r="H612" s="666"/>
      <c r="I612" s="879">
        <v>998.0</v>
      </c>
      <c r="J612" s="719">
        <v>0.0</v>
      </c>
      <c r="K612" s="720">
        <f t="shared" si="179"/>
        <v>998</v>
      </c>
      <c r="L612" s="720">
        <f t="shared" si="180"/>
        <v>998</v>
      </c>
      <c r="M612" s="721">
        <f t="shared" si="181"/>
        <v>299.4</v>
      </c>
      <c r="N612" s="659">
        <f t="shared" si="182"/>
        <v>0.3</v>
      </c>
      <c r="O612" s="722">
        <f t="shared" si="183"/>
        <v>0.2307692308</v>
      </c>
      <c r="P612" s="883"/>
      <c r="Q612" s="884" t="s">
        <v>7186</v>
      </c>
      <c r="R612" s="1"/>
      <c r="S612" s="729"/>
      <c r="T612" s="730"/>
      <c r="U612" s="1"/>
      <c r="V612" s="1"/>
      <c r="W612" s="1"/>
      <c r="X612" s="1"/>
      <c r="Y612" s="1"/>
    </row>
    <row r="613" ht="15.75" customHeight="1" outlineLevel="1">
      <c r="A613" s="641" t="s">
        <v>7187</v>
      </c>
      <c r="B613" s="642" t="s">
        <v>7188</v>
      </c>
      <c r="C613" s="643" t="s">
        <v>5636</v>
      </c>
      <c r="D613" s="644">
        <f>SUMIF('Orcamento RU Viora Build'!$A:$A,A613,'Orcamento RU Viora Build'!$F:$F)</f>
        <v>1</v>
      </c>
      <c r="E613" s="645">
        <f t="shared" si="177"/>
        <v>1034.8</v>
      </c>
      <c r="F613" s="646">
        <f t="shared" si="178"/>
        <v>1034.8</v>
      </c>
      <c r="G613" s="782"/>
      <c r="H613" s="666"/>
      <c r="I613" s="879">
        <v>796.0</v>
      </c>
      <c r="J613" s="719">
        <v>0.0</v>
      </c>
      <c r="K613" s="720">
        <f t="shared" si="179"/>
        <v>796</v>
      </c>
      <c r="L613" s="720">
        <f t="shared" si="180"/>
        <v>796</v>
      </c>
      <c r="M613" s="721">
        <f t="shared" si="181"/>
        <v>238.8</v>
      </c>
      <c r="N613" s="659">
        <f t="shared" si="182"/>
        <v>0.3</v>
      </c>
      <c r="O613" s="722">
        <f t="shared" si="183"/>
        <v>0.2307692308</v>
      </c>
      <c r="P613" s="883"/>
      <c r="Q613" s="884" t="s">
        <v>7189</v>
      </c>
      <c r="R613" s="1"/>
      <c r="S613" s="729"/>
      <c r="T613" s="730"/>
      <c r="U613" s="1"/>
      <c r="V613" s="1"/>
      <c r="W613" s="1"/>
      <c r="X613" s="1"/>
      <c r="Y613" s="1"/>
    </row>
    <row r="614" ht="15.75" customHeight="1" outlineLevel="1">
      <c r="A614" s="641" t="s">
        <v>7190</v>
      </c>
      <c r="B614" s="642" t="s">
        <v>7191</v>
      </c>
      <c r="C614" s="643" t="s">
        <v>5636</v>
      </c>
      <c r="D614" s="644">
        <f>SUMIF('Orcamento RU Viora Build'!$A:$A,A614,'Orcamento RU Viora Build'!$F:$F)</f>
        <v>1</v>
      </c>
      <c r="E614" s="645">
        <f t="shared" si="177"/>
        <v>1504.1</v>
      </c>
      <c r="F614" s="646">
        <f t="shared" si="178"/>
        <v>1504.1</v>
      </c>
      <c r="G614" s="782"/>
      <c r="H614" s="666"/>
      <c r="I614" s="879">
        <v>1157.0</v>
      </c>
      <c r="J614" s="719">
        <v>0.0</v>
      </c>
      <c r="K614" s="720">
        <f t="shared" si="179"/>
        <v>1157</v>
      </c>
      <c r="L614" s="720">
        <f t="shared" si="180"/>
        <v>1157</v>
      </c>
      <c r="M614" s="721">
        <f t="shared" si="181"/>
        <v>347.1</v>
      </c>
      <c r="N614" s="659">
        <f t="shared" si="182"/>
        <v>0.3</v>
      </c>
      <c r="O614" s="722">
        <f t="shared" si="183"/>
        <v>0.2307692308</v>
      </c>
      <c r="P614" s="883"/>
      <c r="Q614" s="884" t="s">
        <v>7192</v>
      </c>
      <c r="R614" s="1"/>
      <c r="S614" s="729"/>
      <c r="T614" s="730"/>
      <c r="U614" s="1"/>
      <c r="V614" s="1"/>
      <c r="W614" s="1"/>
      <c r="X614" s="1"/>
      <c r="Y614" s="1"/>
    </row>
    <row r="615" ht="15.75" customHeight="1" outlineLevel="1">
      <c r="A615" s="641" t="s">
        <v>7193</v>
      </c>
      <c r="B615" s="642" t="s">
        <v>7194</v>
      </c>
      <c r="C615" s="643" t="s">
        <v>5636</v>
      </c>
      <c r="D615" s="644">
        <f>SUMIF('Orcamento RU Viora Build'!$A:$A,A615,'Orcamento RU Viora Build'!$F:$F)</f>
        <v>1</v>
      </c>
      <c r="E615" s="645">
        <f t="shared" si="177"/>
        <v>1526.2</v>
      </c>
      <c r="F615" s="646">
        <f t="shared" si="178"/>
        <v>1526.2</v>
      </c>
      <c r="G615" s="782"/>
      <c r="H615" s="666"/>
      <c r="I615" s="879">
        <v>1174.0</v>
      </c>
      <c r="J615" s="719">
        <v>0.0</v>
      </c>
      <c r="K615" s="720">
        <f t="shared" si="179"/>
        <v>1174</v>
      </c>
      <c r="L615" s="720">
        <f t="shared" si="180"/>
        <v>1174</v>
      </c>
      <c r="M615" s="721">
        <f t="shared" si="181"/>
        <v>352.2</v>
      </c>
      <c r="N615" s="659">
        <f t="shared" si="182"/>
        <v>0.3</v>
      </c>
      <c r="O615" s="722">
        <f t="shared" si="183"/>
        <v>0.2307692308</v>
      </c>
      <c r="P615" s="883"/>
      <c r="Q615" s="884" t="s">
        <v>7195</v>
      </c>
      <c r="R615" s="1"/>
      <c r="S615" s="729"/>
      <c r="T615" s="730"/>
      <c r="U615" s="1"/>
      <c r="V615" s="1"/>
      <c r="W615" s="1"/>
      <c r="X615" s="1"/>
      <c r="Y615" s="1"/>
    </row>
    <row r="616" ht="15.75" customHeight="1" outlineLevel="1">
      <c r="A616" s="641" t="s">
        <v>7196</v>
      </c>
      <c r="B616" s="642" t="s">
        <v>7197</v>
      </c>
      <c r="C616" s="643" t="s">
        <v>5636</v>
      </c>
      <c r="D616" s="644">
        <f>SUMIF('Orcamento RU Viora Build'!$A:$A,A616,'Orcamento RU Viora Build'!$F:$F)</f>
        <v>1</v>
      </c>
      <c r="E616" s="645">
        <f t="shared" si="177"/>
        <v>470.6</v>
      </c>
      <c r="F616" s="646">
        <f t="shared" si="178"/>
        <v>470.6</v>
      </c>
      <c r="G616" s="782"/>
      <c r="H616" s="666"/>
      <c r="I616" s="879">
        <v>362.0</v>
      </c>
      <c r="J616" s="719">
        <v>0.0</v>
      </c>
      <c r="K616" s="720">
        <f t="shared" si="179"/>
        <v>362</v>
      </c>
      <c r="L616" s="720">
        <f t="shared" si="180"/>
        <v>362</v>
      </c>
      <c r="M616" s="721">
        <f t="shared" si="181"/>
        <v>108.6</v>
      </c>
      <c r="N616" s="659">
        <f t="shared" si="182"/>
        <v>0.3</v>
      </c>
      <c r="O616" s="722">
        <f t="shared" si="183"/>
        <v>0.2307692308</v>
      </c>
      <c r="P616" s="883"/>
      <c r="Q616" s="884" t="s">
        <v>7198</v>
      </c>
      <c r="R616" s="1"/>
      <c r="S616" s="729"/>
      <c r="T616" s="730"/>
      <c r="U616" s="1"/>
      <c r="V616" s="1"/>
      <c r="W616" s="1"/>
      <c r="X616" s="1"/>
      <c r="Y616" s="1"/>
    </row>
    <row r="617" ht="15.75" customHeight="1" outlineLevel="1">
      <c r="A617" s="641" t="s">
        <v>7199</v>
      </c>
      <c r="B617" s="642" t="s">
        <v>7200</v>
      </c>
      <c r="C617" s="643" t="s">
        <v>5636</v>
      </c>
      <c r="D617" s="644">
        <f>SUMIF('Orcamento RU Viora Build'!$A:$A,A617,'Orcamento RU Viora Build'!$F:$F)</f>
        <v>1</v>
      </c>
      <c r="E617" s="645">
        <f t="shared" si="177"/>
        <v>445.9</v>
      </c>
      <c r="F617" s="646">
        <f t="shared" si="178"/>
        <v>445.9</v>
      </c>
      <c r="G617" s="782"/>
      <c r="H617" s="666"/>
      <c r="I617" s="879">
        <v>343.0</v>
      </c>
      <c r="J617" s="719">
        <v>0.0</v>
      </c>
      <c r="K617" s="720">
        <f t="shared" si="179"/>
        <v>343</v>
      </c>
      <c r="L617" s="720">
        <f t="shared" si="180"/>
        <v>343</v>
      </c>
      <c r="M617" s="721">
        <f t="shared" si="181"/>
        <v>102.9</v>
      </c>
      <c r="N617" s="659">
        <f t="shared" si="182"/>
        <v>0.3</v>
      </c>
      <c r="O617" s="722">
        <f t="shared" si="183"/>
        <v>0.2307692308</v>
      </c>
      <c r="P617" s="883"/>
      <c r="Q617" s="884" t="s">
        <v>7201</v>
      </c>
      <c r="R617" s="1"/>
      <c r="S617" s="729"/>
      <c r="T617" s="730"/>
      <c r="U617" s="1"/>
      <c r="V617" s="1"/>
      <c r="W617" s="1"/>
      <c r="X617" s="1"/>
      <c r="Y617" s="1"/>
    </row>
    <row r="618" ht="15.75" customHeight="1" outlineLevel="1">
      <c r="A618" s="641" t="s">
        <v>7202</v>
      </c>
      <c r="B618" s="642" t="s">
        <v>7203</v>
      </c>
      <c r="C618" s="643" t="s">
        <v>5636</v>
      </c>
      <c r="D618" s="644">
        <f>SUMIF('Orcamento RU Viora Build'!$A:$A,A618,'Orcamento RU Viora Build'!$F:$F)</f>
        <v>1</v>
      </c>
      <c r="E618" s="645">
        <f t="shared" si="177"/>
        <v>540.8</v>
      </c>
      <c r="F618" s="646">
        <f t="shared" si="178"/>
        <v>540.8</v>
      </c>
      <c r="G618" s="782"/>
      <c r="H618" s="666"/>
      <c r="I618" s="879">
        <v>416.0</v>
      </c>
      <c r="J618" s="719">
        <v>0.0</v>
      </c>
      <c r="K618" s="720">
        <f t="shared" si="179"/>
        <v>416</v>
      </c>
      <c r="L618" s="720">
        <f t="shared" si="180"/>
        <v>416</v>
      </c>
      <c r="M618" s="721">
        <f t="shared" si="181"/>
        <v>124.8</v>
      </c>
      <c r="N618" s="659">
        <f t="shared" si="182"/>
        <v>0.3</v>
      </c>
      <c r="O618" s="722">
        <f t="shared" si="183"/>
        <v>0.2307692308</v>
      </c>
      <c r="P618" s="883"/>
      <c r="Q618" s="884" t="s">
        <v>7204</v>
      </c>
      <c r="R618" s="1"/>
      <c r="S618" s="729"/>
      <c r="T618" s="730"/>
      <c r="U618" s="1"/>
      <c r="V618" s="1"/>
      <c r="W618" s="1"/>
      <c r="X618" s="1"/>
      <c r="Y618" s="1"/>
    </row>
    <row r="619" ht="15.75" customHeight="1" outlineLevel="1">
      <c r="A619" s="641" t="s">
        <v>7205</v>
      </c>
      <c r="B619" s="642" t="s">
        <v>7206</v>
      </c>
      <c r="C619" s="643" t="s">
        <v>5636</v>
      </c>
      <c r="D619" s="644">
        <f>SUMIF('Orcamento RU Viora Build'!$A:$A,A619,'Orcamento RU Viora Build'!$F:$F)</f>
        <v>1</v>
      </c>
      <c r="E619" s="645">
        <f t="shared" si="177"/>
        <v>3655.6</v>
      </c>
      <c r="F619" s="646">
        <f t="shared" si="178"/>
        <v>3655.6</v>
      </c>
      <c r="G619" s="782"/>
      <c r="H619" s="666"/>
      <c r="I619" s="879">
        <v>2812.0</v>
      </c>
      <c r="J619" s="719">
        <v>0.0</v>
      </c>
      <c r="K619" s="720">
        <f t="shared" si="179"/>
        <v>2812</v>
      </c>
      <c r="L619" s="720">
        <f t="shared" si="180"/>
        <v>2812</v>
      </c>
      <c r="M619" s="721">
        <f t="shared" si="181"/>
        <v>843.6</v>
      </c>
      <c r="N619" s="659">
        <f t="shared" si="182"/>
        <v>0.3</v>
      </c>
      <c r="O619" s="722">
        <f t="shared" si="183"/>
        <v>0.2307692308</v>
      </c>
      <c r="P619" s="883"/>
      <c r="Q619" s="884" t="s">
        <v>7207</v>
      </c>
      <c r="R619" s="1"/>
      <c r="S619" s="729"/>
      <c r="T619" s="730"/>
      <c r="U619" s="1"/>
      <c r="V619" s="1"/>
      <c r="W619" s="1"/>
      <c r="X619" s="1"/>
      <c r="Y619" s="1"/>
    </row>
    <row r="620" ht="15.75" customHeight="1" outlineLevel="1">
      <c r="A620" s="641" t="s">
        <v>7208</v>
      </c>
      <c r="B620" s="642" t="s">
        <v>7209</v>
      </c>
      <c r="C620" s="643" t="s">
        <v>5636</v>
      </c>
      <c r="D620" s="644">
        <f>SUMIF('Orcamento RU Viora Build'!$A:$A,A620,'Orcamento RU Viora Build'!$F:$F)</f>
        <v>1</v>
      </c>
      <c r="E620" s="645">
        <f t="shared" si="177"/>
        <v>999.7</v>
      </c>
      <c r="F620" s="646">
        <f t="shared" si="178"/>
        <v>999.7</v>
      </c>
      <c r="G620" s="782"/>
      <c r="H620" s="666"/>
      <c r="I620" s="879">
        <v>769.0</v>
      </c>
      <c r="J620" s="719">
        <v>0.0</v>
      </c>
      <c r="K620" s="720">
        <f t="shared" si="179"/>
        <v>769</v>
      </c>
      <c r="L620" s="720">
        <f t="shared" si="180"/>
        <v>769</v>
      </c>
      <c r="M620" s="721">
        <f t="shared" si="181"/>
        <v>230.7</v>
      </c>
      <c r="N620" s="659">
        <f t="shared" si="182"/>
        <v>0.3</v>
      </c>
      <c r="O620" s="722">
        <f t="shared" si="183"/>
        <v>0.2307692308</v>
      </c>
      <c r="P620" s="883"/>
      <c r="Q620" s="884" t="s">
        <v>7210</v>
      </c>
      <c r="R620" s="1"/>
      <c r="S620" s="729"/>
      <c r="T620" s="730"/>
      <c r="U620" s="1"/>
      <c r="V620" s="1"/>
      <c r="W620" s="1"/>
      <c r="X620" s="1"/>
      <c r="Y620" s="1"/>
    </row>
    <row r="621" ht="15.75" customHeight="1" outlineLevel="1">
      <c r="A621" s="641" t="s">
        <v>7211</v>
      </c>
      <c r="B621" s="642" t="s">
        <v>7212</v>
      </c>
      <c r="C621" s="643" t="s">
        <v>5636</v>
      </c>
      <c r="D621" s="644">
        <f>SUMIF('Orcamento RU Viora Build'!$A:$A,A621,'Orcamento RU Viora Build'!$F:$F)</f>
        <v>1</v>
      </c>
      <c r="E621" s="645">
        <f t="shared" si="177"/>
        <v>378.3</v>
      </c>
      <c r="F621" s="646">
        <f t="shared" si="178"/>
        <v>378.3</v>
      </c>
      <c r="G621" s="782"/>
      <c r="H621" s="666"/>
      <c r="I621" s="879">
        <v>291.0</v>
      </c>
      <c r="J621" s="719">
        <v>0.0</v>
      </c>
      <c r="K621" s="720">
        <f t="shared" si="179"/>
        <v>291</v>
      </c>
      <c r="L621" s="720">
        <f t="shared" si="180"/>
        <v>291</v>
      </c>
      <c r="M621" s="721">
        <f t="shared" si="181"/>
        <v>87.3</v>
      </c>
      <c r="N621" s="659">
        <f t="shared" si="182"/>
        <v>0.3</v>
      </c>
      <c r="O621" s="722">
        <f t="shared" si="183"/>
        <v>0.2307692308</v>
      </c>
      <c r="P621" s="883"/>
      <c r="Q621" s="884" t="s">
        <v>7213</v>
      </c>
      <c r="R621" s="1"/>
      <c r="S621" s="729"/>
      <c r="T621" s="730"/>
      <c r="U621" s="1"/>
      <c r="V621" s="1"/>
      <c r="W621" s="1"/>
      <c r="X621" s="1"/>
      <c r="Y621" s="1"/>
    </row>
    <row r="622" ht="15.75" customHeight="1" outlineLevel="1">
      <c r="A622" s="641" t="s">
        <v>7214</v>
      </c>
      <c r="B622" s="642" t="s">
        <v>7215</v>
      </c>
      <c r="C622" s="643" t="s">
        <v>5636</v>
      </c>
      <c r="D622" s="644">
        <f>SUMIF('Orcamento RU Viora Build'!$A:$A,A622,'Orcamento RU Viora Build'!$F:$F)</f>
        <v>1</v>
      </c>
      <c r="E622" s="645">
        <f t="shared" si="177"/>
        <v>486.2</v>
      </c>
      <c r="F622" s="646">
        <f t="shared" si="178"/>
        <v>486.2</v>
      </c>
      <c r="G622" s="782"/>
      <c r="H622" s="666"/>
      <c r="I622" s="879">
        <v>374.0</v>
      </c>
      <c r="J622" s="719">
        <v>0.0</v>
      </c>
      <c r="K622" s="720">
        <f t="shared" si="179"/>
        <v>374</v>
      </c>
      <c r="L622" s="720">
        <f t="shared" si="180"/>
        <v>374</v>
      </c>
      <c r="M622" s="721">
        <f t="shared" si="181"/>
        <v>112.2</v>
      </c>
      <c r="N622" s="659">
        <f t="shared" si="182"/>
        <v>0.3</v>
      </c>
      <c r="O622" s="722">
        <f t="shared" si="183"/>
        <v>0.2307692308</v>
      </c>
      <c r="P622" s="883"/>
      <c r="Q622" s="884" t="s">
        <v>7216</v>
      </c>
      <c r="R622" s="1"/>
      <c r="S622" s="729"/>
      <c r="T622" s="730"/>
      <c r="U622" s="1"/>
      <c r="V622" s="1"/>
      <c r="W622" s="1"/>
      <c r="X622" s="1"/>
      <c r="Y622" s="1"/>
    </row>
    <row r="623" ht="15.75" customHeight="1" outlineLevel="1">
      <c r="A623" s="641" t="s">
        <v>7217</v>
      </c>
      <c r="B623" s="642" t="s">
        <v>7218</v>
      </c>
      <c r="C623" s="643" t="s">
        <v>5636</v>
      </c>
      <c r="D623" s="644">
        <f>SUMIF('Orcamento RU Viora Build'!$A:$A,A623,'Orcamento RU Viora Build'!$F:$F)</f>
        <v>1</v>
      </c>
      <c r="E623" s="645">
        <f t="shared" si="177"/>
        <v>691.6</v>
      </c>
      <c r="F623" s="646">
        <f t="shared" si="178"/>
        <v>691.6</v>
      </c>
      <c r="G623" s="782"/>
      <c r="H623" s="666"/>
      <c r="I623" s="879">
        <v>532.0</v>
      </c>
      <c r="J623" s="719">
        <v>0.0</v>
      </c>
      <c r="K623" s="720">
        <f t="shared" si="179"/>
        <v>532</v>
      </c>
      <c r="L623" s="720">
        <f t="shared" si="180"/>
        <v>532</v>
      </c>
      <c r="M623" s="721">
        <f t="shared" si="181"/>
        <v>159.6</v>
      </c>
      <c r="N623" s="659">
        <f t="shared" si="182"/>
        <v>0.3</v>
      </c>
      <c r="O623" s="722">
        <f t="shared" si="183"/>
        <v>0.2307692308</v>
      </c>
      <c r="P623" s="883"/>
      <c r="Q623" s="884" t="s">
        <v>7219</v>
      </c>
      <c r="R623" s="1"/>
      <c r="S623" s="729"/>
      <c r="T623" s="730"/>
      <c r="U623" s="1"/>
      <c r="V623" s="1"/>
      <c r="W623" s="1"/>
      <c r="X623" s="1"/>
      <c r="Y623" s="1"/>
    </row>
    <row r="624" ht="15.75" customHeight="1" outlineLevel="1">
      <c r="A624" s="641" t="s">
        <v>7220</v>
      </c>
      <c r="B624" s="642" t="s">
        <v>7221</v>
      </c>
      <c r="C624" s="643" t="s">
        <v>5636</v>
      </c>
      <c r="D624" s="644">
        <f>SUMIF('Orcamento RU Viora Build'!$A:$A,A624,'Orcamento RU Viora Build'!$F:$F)</f>
        <v>1</v>
      </c>
      <c r="E624" s="645">
        <f t="shared" si="177"/>
        <v>708.5</v>
      </c>
      <c r="F624" s="646">
        <f t="shared" si="178"/>
        <v>708.5</v>
      </c>
      <c r="G624" s="782"/>
      <c r="H624" s="666"/>
      <c r="I624" s="879">
        <v>545.0</v>
      </c>
      <c r="J624" s="719">
        <v>0.0</v>
      </c>
      <c r="K624" s="720">
        <f t="shared" si="179"/>
        <v>545</v>
      </c>
      <c r="L624" s="720">
        <f t="shared" si="180"/>
        <v>545</v>
      </c>
      <c r="M624" s="721">
        <f t="shared" si="181"/>
        <v>163.5</v>
      </c>
      <c r="N624" s="659">
        <f t="shared" si="182"/>
        <v>0.3</v>
      </c>
      <c r="O624" s="722">
        <f t="shared" si="183"/>
        <v>0.2307692308</v>
      </c>
      <c r="P624" s="883"/>
      <c r="Q624" s="884" t="s">
        <v>7222</v>
      </c>
      <c r="R624" s="1"/>
      <c r="S624" s="729"/>
      <c r="T624" s="730"/>
      <c r="U624" s="1"/>
      <c r="V624" s="1"/>
      <c r="W624" s="1"/>
      <c r="X624" s="1"/>
      <c r="Y624" s="1"/>
    </row>
    <row r="625" ht="15.75" customHeight="1" outlineLevel="1">
      <c r="A625" s="641" t="s">
        <v>7223</v>
      </c>
      <c r="B625" s="642" t="s">
        <v>7224</v>
      </c>
      <c r="C625" s="643" t="s">
        <v>5636</v>
      </c>
      <c r="D625" s="644">
        <f>SUMIF('Orcamento RU Viora Build'!$A:$A,A625,'Orcamento RU Viora Build'!$F:$F)</f>
        <v>1</v>
      </c>
      <c r="E625" s="645">
        <f t="shared" si="177"/>
        <v>461.5</v>
      </c>
      <c r="F625" s="646">
        <f t="shared" si="178"/>
        <v>461.5</v>
      </c>
      <c r="G625" s="782"/>
      <c r="H625" s="666"/>
      <c r="I625" s="879">
        <v>355.0</v>
      </c>
      <c r="J625" s="719">
        <v>0.0</v>
      </c>
      <c r="K625" s="720">
        <f t="shared" si="179"/>
        <v>355</v>
      </c>
      <c r="L625" s="720">
        <f t="shared" si="180"/>
        <v>355</v>
      </c>
      <c r="M625" s="721">
        <f t="shared" si="181"/>
        <v>106.5</v>
      </c>
      <c r="N625" s="659">
        <f t="shared" si="182"/>
        <v>0.3</v>
      </c>
      <c r="O625" s="722">
        <f t="shared" si="183"/>
        <v>0.2307692308</v>
      </c>
      <c r="P625" s="883"/>
      <c r="Q625" s="884" t="s">
        <v>7225</v>
      </c>
      <c r="R625" s="1"/>
      <c r="S625" s="729"/>
      <c r="T625" s="730"/>
      <c r="U625" s="1"/>
      <c r="V625" s="1"/>
      <c r="W625" s="1"/>
      <c r="X625" s="1"/>
      <c r="Y625" s="1"/>
    </row>
    <row r="626" ht="15.75" customHeight="1" outlineLevel="1">
      <c r="A626" s="641" t="s">
        <v>7226</v>
      </c>
      <c r="B626" s="642" t="s">
        <v>7200</v>
      </c>
      <c r="C626" s="643" t="s">
        <v>5636</v>
      </c>
      <c r="D626" s="644">
        <f>SUMIF('Orcamento RU Viora Build'!$A:$A,A626,'Orcamento RU Viora Build'!$F:$F)</f>
        <v>1</v>
      </c>
      <c r="E626" s="645">
        <f t="shared" si="177"/>
        <v>445.9</v>
      </c>
      <c r="F626" s="646">
        <f t="shared" si="178"/>
        <v>445.9</v>
      </c>
      <c r="G626" s="782"/>
      <c r="H626" s="666"/>
      <c r="I626" s="879">
        <v>343.0</v>
      </c>
      <c r="J626" s="719">
        <v>0.0</v>
      </c>
      <c r="K626" s="720">
        <f t="shared" si="179"/>
        <v>343</v>
      </c>
      <c r="L626" s="720">
        <f t="shared" si="180"/>
        <v>343</v>
      </c>
      <c r="M626" s="721">
        <f t="shared" si="181"/>
        <v>102.9</v>
      </c>
      <c r="N626" s="659">
        <f t="shared" si="182"/>
        <v>0.3</v>
      </c>
      <c r="O626" s="722">
        <f t="shared" si="183"/>
        <v>0.2307692308</v>
      </c>
      <c r="P626" s="883"/>
      <c r="Q626" s="884" t="s">
        <v>7201</v>
      </c>
      <c r="R626" s="1"/>
      <c r="S626" s="729"/>
      <c r="T626" s="730"/>
      <c r="U626" s="1"/>
      <c r="V626" s="1"/>
      <c r="W626" s="1"/>
      <c r="X626" s="1"/>
      <c r="Y626" s="1"/>
    </row>
    <row r="627" ht="15.75" customHeight="1" outlineLevel="1">
      <c r="A627" s="641" t="s">
        <v>7227</v>
      </c>
      <c r="B627" s="642" t="s">
        <v>7228</v>
      </c>
      <c r="C627" s="643" t="s">
        <v>5636</v>
      </c>
      <c r="D627" s="644">
        <f>SUMIF('Orcamento RU Viora Build'!$A:$A,A627,'Orcamento RU Viora Build'!$F:$F)</f>
        <v>1</v>
      </c>
      <c r="E627" s="645">
        <f t="shared" si="177"/>
        <v>217.1</v>
      </c>
      <c r="F627" s="646">
        <f t="shared" si="178"/>
        <v>217.1</v>
      </c>
      <c r="G627" s="782"/>
      <c r="H627" s="666"/>
      <c r="I627" s="879">
        <v>167.0</v>
      </c>
      <c r="J627" s="719">
        <v>0.0</v>
      </c>
      <c r="K627" s="720">
        <f t="shared" si="179"/>
        <v>167</v>
      </c>
      <c r="L627" s="720">
        <f t="shared" si="180"/>
        <v>167</v>
      </c>
      <c r="M627" s="721">
        <f t="shared" si="181"/>
        <v>50.1</v>
      </c>
      <c r="N627" s="659">
        <f t="shared" si="182"/>
        <v>0.3</v>
      </c>
      <c r="O627" s="722">
        <f t="shared" si="183"/>
        <v>0.2307692308</v>
      </c>
      <c r="P627" s="883"/>
      <c r="Q627" s="884" t="s">
        <v>7229</v>
      </c>
      <c r="R627" s="1"/>
      <c r="S627" s="729"/>
      <c r="T627" s="730"/>
      <c r="U627" s="1"/>
      <c r="V627" s="1"/>
      <c r="W627" s="1"/>
      <c r="X627" s="1"/>
      <c r="Y627" s="1"/>
    </row>
    <row r="628" ht="15.75" customHeight="1" outlineLevel="1">
      <c r="A628" s="641" t="s">
        <v>7230</v>
      </c>
      <c r="B628" s="642" t="s">
        <v>7231</v>
      </c>
      <c r="C628" s="643" t="s">
        <v>5636</v>
      </c>
      <c r="D628" s="644">
        <f>SUMIF('Orcamento RU Viora Build'!$A:$A,A628,'Orcamento RU Viora Build'!$F:$F)</f>
        <v>1</v>
      </c>
      <c r="E628" s="645">
        <f t="shared" si="177"/>
        <v>156</v>
      </c>
      <c r="F628" s="646">
        <f t="shared" si="178"/>
        <v>156</v>
      </c>
      <c r="G628" s="782"/>
      <c r="H628" s="666"/>
      <c r="I628" s="879">
        <v>120.0</v>
      </c>
      <c r="J628" s="719">
        <v>0.0</v>
      </c>
      <c r="K628" s="720">
        <f t="shared" si="179"/>
        <v>120</v>
      </c>
      <c r="L628" s="720">
        <f t="shared" si="180"/>
        <v>120</v>
      </c>
      <c r="M628" s="721">
        <f t="shared" si="181"/>
        <v>36</v>
      </c>
      <c r="N628" s="659">
        <f t="shared" si="182"/>
        <v>0.3</v>
      </c>
      <c r="O628" s="722">
        <f t="shared" si="183"/>
        <v>0.2307692308</v>
      </c>
      <c r="P628" s="883"/>
      <c r="Q628" s="884" t="s">
        <v>7232</v>
      </c>
      <c r="R628" s="1"/>
      <c r="S628" s="729"/>
      <c r="T628" s="730"/>
      <c r="U628" s="1"/>
      <c r="V628" s="1"/>
      <c r="W628" s="1"/>
      <c r="X628" s="1"/>
      <c r="Y628" s="1"/>
    </row>
    <row r="629" ht="15.75" customHeight="1" outlineLevel="1">
      <c r="A629" s="641" t="s">
        <v>7233</v>
      </c>
      <c r="B629" s="642" t="s">
        <v>7234</v>
      </c>
      <c r="C629" s="643" t="s">
        <v>5636</v>
      </c>
      <c r="D629" s="644">
        <f>SUMIF('Orcamento RU Viora Build'!$A:$A,A629,'Orcamento RU Viora Build'!$F:$F)</f>
        <v>1</v>
      </c>
      <c r="E629" s="645">
        <f t="shared" si="177"/>
        <v>188.5</v>
      </c>
      <c r="F629" s="646">
        <f t="shared" si="178"/>
        <v>188.5</v>
      </c>
      <c r="G629" s="782"/>
      <c r="H629" s="666"/>
      <c r="I629" s="879">
        <v>145.0</v>
      </c>
      <c r="J629" s="719">
        <v>0.0</v>
      </c>
      <c r="K629" s="720">
        <f t="shared" si="179"/>
        <v>145</v>
      </c>
      <c r="L629" s="720">
        <f t="shared" si="180"/>
        <v>145</v>
      </c>
      <c r="M629" s="721">
        <f t="shared" si="181"/>
        <v>43.5</v>
      </c>
      <c r="N629" s="659">
        <f t="shared" si="182"/>
        <v>0.3</v>
      </c>
      <c r="O629" s="722">
        <f t="shared" si="183"/>
        <v>0.2307692308</v>
      </c>
      <c r="P629" s="883"/>
      <c r="Q629" s="888" t="s">
        <v>7235</v>
      </c>
      <c r="R629" s="1"/>
      <c r="S629" s="729"/>
      <c r="T629" s="730"/>
      <c r="U629" s="1"/>
      <c r="V629" s="1"/>
      <c r="W629" s="1"/>
      <c r="X629" s="1"/>
      <c r="Y629" s="1"/>
    </row>
    <row r="630" ht="15.75" customHeight="1" outlineLevel="1">
      <c r="A630" s="641" t="s">
        <v>7236</v>
      </c>
      <c r="B630" s="642" t="s">
        <v>7234</v>
      </c>
      <c r="C630" s="643" t="s">
        <v>5636</v>
      </c>
      <c r="D630" s="644">
        <f>SUMIF('Orcamento RU Viora Build'!$A:$A,A630,'Orcamento RU Viora Build'!$F:$F)</f>
        <v>1</v>
      </c>
      <c r="E630" s="645">
        <f t="shared" si="177"/>
        <v>188.5</v>
      </c>
      <c r="F630" s="646">
        <f t="shared" si="178"/>
        <v>188.5</v>
      </c>
      <c r="G630" s="782"/>
      <c r="H630" s="666"/>
      <c r="I630" s="879">
        <v>145.0</v>
      </c>
      <c r="J630" s="719">
        <v>0.0</v>
      </c>
      <c r="K630" s="720">
        <f t="shared" si="179"/>
        <v>145</v>
      </c>
      <c r="L630" s="720">
        <f t="shared" si="180"/>
        <v>145</v>
      </c>
      <c r="M630" s="721">
        <f t="shared" si="181"/>
        <v>43.5</v>
      </c>
      <c r="N630" s="659">
        <f t="shared" si="182"/>
        <v>0.3</v>
      </c>
      <c r="O630" s="722">
        <f t="shared" si="183"/>
        <v>0.2307692308</v>
      </c>
      <c r="P630" s="883"/>
      <c r="Q630" s="888" t="s">
        <v>7237</v>
      </c>
      <c r="R630" s="1"/>
      <c r="S630" s="729"/>
      <c r="T630" s="730"/>
      <c r="U630" s="1"/>
      <c r="V630" s="1"/>
      <c r="W630" s="1"/>
      <c r="X630" s="1"/>
      <c r="Y630" s="1"/>
    </row>
    <row r="631" ht="15.75" customHeight="1" outlineLevel="1">
      <c r="A631" s="641" t="s">
        <v>7238</v>
      </c>
      <c r="B631" s="642" t="s">
        <v>7239</v>
      </c>
      <c r="C631" s="643" t="s">
        <v>5636</v>
      </c>
      <c r="D631" s="644">
        <f>SUMIF('Orcamento RU Viora Build'!$A:$A,A631,'Orcamento RU Viora Build'!$F:$F)</f>
        <v>1</v>
      </c>
      <c r="E631" s="645">
        <f t="shared" si="177"/>
        <v>197.6</v>
      </c>
      <c r="F631" s="646">
        <f t="shared" si="178"/>
        <v>197.6</v>
      </c>
      <c r="G631" s="782"/>
      <c r="H631" s="666"/>
      <c r="I631" s="879">
        <v>152.0</v>
      </c>
      <c r="J631" s="719">
        <v>0.0</v>
      </c>
      <c r="K631" s="720">
        <f t="shared" si="179"/>
        <v>152</v>
      </c>
      <c r="L631" s="720">
        <f t="shared" si="180"/>
        <v>152</v>
      </c>
      <c r="M631" s="721">
        <f t="shared" si="181"/>
        <v>45.6</v>
      </c>
      <c r="N631" s="659">
        <f t="shared" si="182"/>
        <v>0.3</v>
      </c>
      <c r="O631" s="722">
        <f t="shared" si="183"/>
        <v>0.2307692308</v>
      </c>
      <c r="P631" s="883"/>
      <c r="Q631" s="888" t="s">
        <v>7237</v>
      </c>
      <c r="R631" s="1"/>
      <c r="S631" s="729"/>
      <c r="T631" s="730"/>
      <c r="U631" s="1"/>
      <c r="V631" s="1"/>
      <c r="W631" s="1"/>
      <c r="X631" s="1"/>
      <c r="Y631" s="1"/>
    </row>
    <row r="632" ht="15.75" customHeight="1" outlineLevel="1">
      <c r="A632" s="641" t="s">
        <v>7240</v>
      </c>
      <c r="B632" s="642" t="s">
        <v>7239</v>
      </c>
      <c r="C632" s="643" t="s">
        <v>5636</v>
      </c>
      <c r="D632" s="644">
        <f>SUMIF('Orcamento RU Viora Build'!$A:$A,A632,'Orcamento RU Viora Build'!$F:$F)</f>
        <v>1</v>
      </c>
      <c r="E632" s="645">
        <f t="shared" si="177"/>
        <v>197.6</v>
      </c>
      <c r="F632" s="646">
        <f t="shared" si="178"/>
        <v>197.6</v>
      </c>
      <c r="G632" s="782"/>
      <c r="H632" s="666"/>
      <c r="I632" s="879">
        <v>152.0</v>
      </c>
      <c r="J632" s="719">
        <v>0.0</v>
      </c>
      <c r="K632" s="720">
        <f t="shared" si="179"/>
        <v>152</v>
      </c>
      <c r="L632" s="720">
        <f t="shared" si="180"/>
        <v>152</v>
      </c>
      <c r="M632" s="721">
        <f t="shared" si="181"/>
        <v>45.6</v>
      </c>
      <c r="N632" s="659">
        <f t="shared" si="182"/>
        <v>0.3</v>
      </c>
      <c r="O632" s="722">
        <f t="shared" si="183"/>
        <v>0.2307692308</v>
      </c>
      <c r="P632" s="883"/>
      <c r="Q632" s="888" t="s">
        <v>7237</v>
      </c>
      <c r="R632" s="1"/>
      <c r="S632" s="729"/>
      <c r="T632" s="730"/>
      <c r="U632" s="1"/>
      <c r="V632" s="1"/>
      <c r="W632" s="1"/>
      <c r="X632" s="1"/>
      <c r="Y632" s="1"/>
    </row>
    <row r="633" ht="15.75" customHeight="1" outlineLevel="1">
      <c r="A633" s="641" t="s">
        <v>7241</v>
      </c>
      <c r="B633" s="642" t="s">
        <v>7242</v>
      </c>
      <c r="C633" s="643" t="s">
        <v>5636</v>
      </c>
      <c r="D633" s="644">
        <f>SUMIF('Orcamento RU Viora Build'!$A:$A,A633,'Orcamento RU Viora Build'!$F:$F)</f>
        <v>1</v>
      </c>
      <c r="E633" s="645">
        <f t="shared" si="177"/>
        <v>191.1</v>
      </c>
      <c r="F633" s="646">
        <f t="shared" si="178"/>
        <v>191.1</v>
      </c>
      <c r="G633" s="782"/>
      <c r="H633" s="666"/>
      <c r="I633" s="879">
        <v>147.0</v>
      </c>
      <c r="J633" s="719">
        <v>0.0</v>
      </c>
      <c r="K633" s="720">
        <f t="shared" si="179"/>
        <v>147</v>
      </c>
      <c r="L633" s="720">
        <f t="shared" si="180"/>
        <v>147</v>
      </c>
      <c r="M633" s="721">
        <f t="shared" si="181"/>
        <v>44.1</v>
      </c>
      <c r="N633" s="659">
        <f t="shared" si="182"/>
        <v>0.3</v>
      </c>
      <c r="O633" s="722">
        <f t="shared" si="183"/>
        <v>0.2307692308</v>
      </c>
      <c r="P633" s="883"/>
      <c r="Q633" s="888" t="s">
        <v>7237</v>
      </c>
      <c r="R633" s="1"/>
      <c r="S633" s="729"/>
      <c r="T633" s="730"/>
      <c r="U633" s="1"/>
      <c r="V633" s="1"/>
      <c r="W633" s="1"/>
      <c r="X633" s="1"/>
      <c r="Y633" s="1"/>
    </row>
    <row r="634" ht="15.75" customHeight="1" outlineLevel="1">
      <c r="A634" s="641" t="s">
        <v>7243</v>
      </c>
      <c r="B634" s="642" t="s">
        <v>7244</v>
      </c>
      <c r="C634" s="643" t="s">
        <v>5636</v>
      </c>
      <c r="D634" s="644">
        <f>SUMIF('Orcamento RU Viora Build'!$A:$A,A634,'Orcamento RU Viora Build'!$F:$F)</f>
        <v>1</v>
      </c>
      <c r="E634" s="645">
        <f t="shared" si="177"/>
        <v>175.5</v>
      </c>
      <c r="F634" s="646">
        <f t="shared" si="178"/>
        <v>175.5</v>
      </c>
      <c r="G634" s="782"/>
      <c r="H634" s="666"/>
      <c r="I634" s="879">
        <v>135.0</v>
      </c>
      <c r="J634" s="719">
        <v>0.0</v>
      </c>
      <c r="K634" s="720">
        <f t="shared" si="179"/>
        <v>135</v>
      </c>
      <c r="L634" s="720">
        <f t="shared" si="180"/>
        <v>135</v>
      </c>
      <c r="M634" s="721">
        <f t="shared" si="181"/>
        <v>40.5</v>
      </c>
      <c r="N634" s="659">
        <f t="shared" si="182"/>
        <v>0.3</v>
      </c>
      <c r="O634" s="722">
        <f t="shared" si="183"/>
        <v>0.2307692308</v>
      </c>
      <c r="P634" s="883"/>
      <c r="Q634" s="888" t="s">
        <v>7245</v>
      </c>
      <c r="R634" s="1"/>
      <c r="S634" s="729"/>
      <c r="T634" s="730"/>
      <c r="U634" s="1"/>
      <c r="V634" s="1"/>
      <c r="W634" s="1"/>
      <c r="X634" s="1"/>
      <c r="Y634" s="1"/>
    </row>
    <row r="635" ht="15.75" customHeight="1" outlineLevel="1">
      <c r="A635" s="641" t="s">
        <v>7246</v>
      </c>
      <c r="B635" s="642" t="s">
        <v>7247</v>
      </c>
      <c r="C635" s="643" t="s">
        <v>5636</v>
      </c>
      <c r="D635" s="644">
        <f>SUMIF('Orcamento RU Viora Build'!$A:$A,A635,'Orcamento RU Viora Build'!$F:$F)</f>
        <v>1</v>
      </c>
      <c r="E635" s="645">
        <f t="shared" si="177"/>
        <v>188.5</v>
      </c>
      <c r="F635" s="646">
        <f t="shared" si="178"/>
        <v>188.5</v>
      </c>
      <c r="G635" s="782"/>
      <c r="H635" s="666"/>
      <c r="I635" s="879">
        <v>145.0</v>
      </c>
      <c r="J635" s="719">
        <v>0.0</v>
      </c>
      <c r="K635" s="720">
        <f t="shared" si="179"/>
        <v>145</v>
      </c>
      <c r="L635" s="720">
        <f t="shared" si="180"/>
        <v>145</v>
      </c>
      <c r="M635" s="721">
        <f t="shared" si="181"/>
        <v>43.5</v>
      </c>
      <c r="N635" s="659">
        <f t="shared" si="182"/>
        <v>0.3</v>
      </c>
      <c r="O635" s="722">
        <f t="shared" si="183"/>
        <v>0.2307692308</v>
      </c>
      <c r="P635" s="883"/>
      <c r="Q635" s="888" t="s">
        <v>7237</v>
      </c>
      <c r="R635" s="1"/>
      <c r="S635" s="729"/>
      <c r="T635" s="730"/>
      <c r="U635" s="1"/>
      <c r="V635" s="1"/>
      <c r="W635" s="1"/>
      <c r="X635" s="1"/>
      <c r="Y635" s="1"/>
    </row>
    <row r="636" ht="15.75" customHeight="1" outlineLevel="1">
      <c r="A636" s="641" t="s">
        <v>7248</v>
      </c>
      <c r="B636" s="642" t="s">
        <v>7249</v>
      </c>
      <c r="C636" s="643" t="s">
        <v>5636</v>
      </c>
      <c r="D636" s="644">
        <f>SUMIF('Orcamento RU Viora Build'!$A:$A,A636,'Orcamento RU Viora Build'!$F:$F)</f>
        <v>1</v>
      </c>
      <c r="E636" s="645">
        <f t="shared" si="177"/>
        <v>442</v>
      </c>
      <c r="F636" s="646">
        <f t="shared" si="178"/>
        <v>442</v>
      </c>
      <c r="G636" s="782"/>
      <c r="H636" s="666"/>
      <c r="I636" s="879">
        <v>340.0</v>
      </c>
      <c r="J636" s="719">
        <v>0.0</v>
      </c>
      <c r="K636" s="720">
        <f t="shared" si="179"/>
        <v>340</v>
      </c>
      <c r="L636" s="720">
        <f t="shared" si="180"/>
        <v>340</v>
      </c>
      <c r="M636" s="721">
        <f t="shared" si="181"/>
        <v>102</v>
      </c>
      <c r="N636" s="659">
        <f t="shared" si="182"/>
        <v>0.3</v>
      </c>
      <c r="O636" s="722">
        <f t="shared" si="183"/>
        <v>0.2307692308</v>
      </c>
      <c r="P636" s="883"/>
      <c r="Q636" s="888" t="s">
        <v>7250</v>
      </c>
      <c r="R636" s="1"/>
      <c r="S636" s="729"/>
      <c r="T636" s="730"/>
      <c r="U636" s="1"/>
      <c r="V636" s="1"/>
      <c r="W636" s="1"/>
      <c r="X636" s="1"/>
      <c r="Y636" s="1"/>
    </row>
    <row r="637" ht="15.75" customHeight="1" outlineLevel="1">
      <c r="A637" s="641" t="s">
        <v>7251</v>
      </c>
      <c r="B637" s="642" t="s">
        <v>7252</v>
      </c>
      <c r="C637" s="643" t="s">
        <v>5636</v>
      </c>
      <c r="D637" s="644">
        <f>SUMIF('Orcamento RU Viora Build'!$A:$A,A637,'Orcamento RU Viora Build'!$F:$F)</f>
        <v>1</v>
      </c>
      <c r="E637" s="645">
        <f t="shared" si="177"/>
        <v>188.5</v>
      </c>
      <c r="F637" s="646">
        <f t="shared" si="178"/>
        <v>188.5</v>
      </c>
      <c r="G637" s="782"/>
      <c r="H637" s="666"/>
      <c r="I637" s="879">
        <v>145.0</v>
      </c>
      <c r="J637" s="719">
        <v>0.0</v>
      </c>
      <c r="K637" s="720">
        <f t="shared" si="179"/>
        <v>145</v>
      </c>
      <c r="L637" s="720">
        <f t="shared" si="180"/>
        <v>145</v>
      </c>
      <c r="M637" s="721">
        <f t="shared" si="181"/>
        <v>43.5</v>
      </c>
      <c r="N637" s="659">
        <f t="shared" si="182"/>
        <v>0.3</v>
      </c>
      <c r="O637" s="722">
        <f t="shared" si="183"/>
        <v>0.2307692308</v>
      </c>
      <c r="P637" s="883"/>
      <c r="Q637" s="888" t="s">
        <v>7253</v>
      </c>
      <c r="R637" s="1"/>
      <c r="S637" s="729"/>
      <c r="T637" s="730"/>
      <c r="U637" s="1"/>
      <c r="V637" s="1"/>
      <c r="W637" s="1"/>
      <c r="X637" s="1"/>
      <c r="Y637" s="1"/>
    </row>
    <row r="638" ht="15.75" customHeight="1" outlineLevel="1">
      <c r="A638" s="641" t="s">
        <v>7254</v>
      </c>
      <c r="B638" s="642" t="s">
        <v>7255</v>
      </c>
      <c r="C638" s="643" t="s">
        <v>5636</v>
      </c>
      <c r="D638" s="644">
        <f>SUMIF('Orcamento RU Viora Build'!$A:$A,A638,'Orcamento RU Viora Build'!$F:$F)</f>
        <v>4</v>
      </c>
      <c r="E638" s="645">
        <f t="shared" si="177"/>
        <v>197.6</v>
      </c>
      <c r="F638" s="646">
        <f t="shared" si="178"/>
        <v>790.4</v>
      </c>
      <c r="G638" s="782"/>
      <c r="H638" s="666"/>
      <c r="I638" s="879">
        <v>152.0</v>
      </c>
      <c r="J638" s="719">
        <v>0.0</v>
      </c>
      <c r="K638" s="720">
        <f t="shared" si="179"/>
        <v>152</v>
      </c>
      <c r="L638" s="720">
        <f t="shared" si="180"/>
        <v>608</v>
      </c>
      <c r="M638" s="721">
        <f t="shared" si="181"/>
        <v>182.4</v>
      </c>
      <c r="N638" s="659">
        <f t="shared" si="182"/>
        <v>0.3</v>
      </c>
      <c r="O638" s="722">
        <f t="shared" si="183"/>
        <v>0.2307692308</v>
      </c>
      <c r="P638" s="883"/>
      <c r="Q638" s="884" t="s">
        <v>7256</v>
      </c>
      <c r="R638" s="1"/>
      <c r="S638" s="729"/>
      <c r="T638" s="730"/>
      <c r="U638" s="1"/>
      <c r="V638" s="1"/>
      <c r="W638" s="1"/>
      <c r="X638" s="1"/>
      <c r="Y638" s="1"/>
    </row>
    <row r="639" ht="15.75" customHeight="1" outlineLevel="1">
      <c r="A639" s="641" t="s">
        <v>7257</v>
      </c>
      <c r="B639" s="642" t="s">
        <v>7258</v>
      </c>
      <c r="C639" s="643" t="s">
        <v>5636</v>
      </c>
      <c r="D639" s="644">
        <f>SUMIF('Orcamento RU Viora Build'!$A:$A,A639,'Orcamento RU Viora Build'!$F:$F)</f>
        <v>2</v>
      </c>
      <c r="E639" s="645">
        <f t="shared" si="177"/>
        <v>214.5</v>
      </c>
      <c r="F639" s="646">
        <f t="shared" si="178"/>
        <v>429</v>
      </c>
      <c r="G639" s="782"/>
      <c r="H639" s="666"/>
      <c r="I639" s="879">
        <v>165.0</v>
      </c>
      <c r="J639" s="719">
        <v>0.0</v>
      </c>
      <c r="K639" s="720">
        <f t="shared" si="179"/>
        <v>165</v>
      </c>
      <c r="L639" s="720">
        <f t="shared" si="180"/>
        <v>330</v>
      </c>
      <c r="M639" s="721">
        <f t="shared" si="181"/>
        <v>99</v>
      </c>
      <c r="N639" s="659">
        <f t="shared" si="182"/>
        <v>0.3</v>
      </c>
      <c r="O639" s="722">
        <f t="shared" si="183"/>
        <v>0.2307692308</v>
      </c>
      <c r="P639" s="883"/>
      <c r="Q639" s="884" t="s">
        <v>7259</v>
      </c>
      <c r="R639" s="1"/>
      <c r="S639" s="729"/>
      <c r="T639" s="730"/>
      <c r="U639" s="1"/>
      <c r="V639" s="1"/>
      <c r="W639" s="1"/>
      <c r="X639" s="1"/>
      <c r="Y639" s="1"/>
    </row>
    <row r="640" ht="15.75" customHeight="1" outlineLevel="1">
      <c r="A640" s="641" t="s">
        <v>7260</v>
      </c>
      <c r="B640" s="642" t="s">
        <v>7261</v>
      </c>
      <c r="C640" s="643" t="s">
        <v>5636</v>
      </c>
      <c r="D640" s="644">
        <f>SUMIF('Orcamento RU Viora Build'!$A:$A,A640,'Orcamento RU Viora Build'!$F:$F)</f>
        <v>2</v>
      </c>
      <c r="E640" s="645">
        <f t="shared" si="177"/>
        <v>232.7</v>
      </c>
      <c r="F640" s="646">
        <f t="shared" si="178"/>
        <v>465.4</v>
      </c>
      <c r="G640" s="782"/>
      <c r="H640" s="666"/>
      <c r="I640" s="879">
        <v>179.0</v>
      </c>
      <c r="J640" s="719">
        <v>0.0</v>
      </c>
      <c r="K640" s="720">
        <f t="shared" si="179"/>
        <v>179</v>
      </c>
      <c r="L640" s="720">
        <f t="shared" si="180"/>
        <v>358</v>
      </c>
      <c r="M640" s="721">
        <f t="shared" si="181"/>
        <v>107.4</v>
      </c>
      <c r="N640" s="659">
        <f t="shared" si="182"/>
        <v>0.3</v>
      </c>
      <c r="O640" s="722">
        <f t="shared" si="183"/>
        <v>0.2307692308</v>
      </c>
      <c r="P640" s="883"/>
      <c r="Q640" s="884" t="s">
        <v>7262</v>
      </c>
      <c r="R640" s="1"/>
      <c r="S640" s="729"/>
      <c r="T640" s="730"/>
      <c r="U640" s="1"/>
      <c r="V640" s="1"/>
      <c r="W640" s="1"/>
      <c r="X640" s="1"/>
      <c r="Y640" s="1"/>
    </row>
    <row r="641" ht="15.75" customHeight="1" outlineLevel="1">
      <c r="A641" s="641" t="s">
        <v>7263</v>
      </c>
      <c r="B641" s="642" t="s">
        <v>7264</v>
      </c>
      <c r="C641" s="643" t="s">
        <v>5636</v>
      </c>
      <c r="D641" s="644">
        <f>SUMIF('Orcamento RU Viora Build'!$A:$A,A641,'Orcamento RU Viora Build'!$F:$F)</f>
        <v>1</v>
      </c>
      <c r="E641" s="645">
        <f t="shared" si="177"/>
        <v>226.2</v>
      </c>
      <c r="F641" s="646">
        <f t="shared" si="178"/>
        <v>226.2</v>
      </c>
      <c r="G641" s="782"/>
      <c r="H641" s="666"/>
      <c r="I641" s="879">
        <v>174.0</v>
      </c>
      <c r="J641" s="719">
        <v>0.0</v>
      </c>
      <c r="K641" s="720">
        <f t="shared" si="179"/>
        <v>174</v>
      </c>
      <c r="L641" s="720">
        <f t="shared" si="180"/>
        <v>174</v>
      </c>
      <c r="M641" s="721">
        <f t="shared" si="181"/>
        <v>52.2</v>
      </c>
      <c r="N641" s="659">
        <f t="shared" si="182"/>
        <v>0.3</v>
      </c>
      <c r="O641" s="722">
        <f t="shared" si="183"/>
        <v>0.2307692308</v>
      </c>
      <c r="P641" s="883"/>
      <c r="Q641" s="884" t="s">
        <v>7265</v>
      </c>
      <c r="R641" s="1"/>
      <c r="S641" s="729"/>
      <c r="T641" s="730"/>
      <c r="U641" s="1"/>
      <c r="V641" s="1"/>
      <c r="W641" s="1"/>
      <c r="X641" s="1"/>
      <c r="Y641" s="1"/>
    </row>
    <row r="642" ht="15.75" customHeight="1" outlineLevel="1">
      <c r="A642" s="641" t="s">
        <v>7266</v>
      </c>
      <c r="B642" s="642" t="s">
        <v>7267</v>
      </c>
      <c r="C642" s="643" t="s">
        <v>5636</v>
      </c>
      <c r="D642" s="644">
        <f>SUMIF('Orcamento RU Viora Build'!$A:$A,A642,'Orcamento RU Viora Build'!$F:$F)</f>
        <v>1</v>
      </c>
      <c r="E642" s="645">
        <f t="shared" si="177"/>
        <v>191.1</v>
      </c>
      <c r="F642" s="646">
        <f t="shared" si="178"/>
        <v>191.1</v>
      </c>
      <c r="G642" s="782"/>
      <c r="H642" s="666"/>
      <c r="I642" s="879">
        <v>147.0</v>
      </c>
      <c r="J642" s="719">
        <v>0.0</v>
      </c>
      <c r="K642" s="720">
        <f t="shared" si="179"/>
        <v>147</v>
      </c>
      <c r="L642" s="720">
        <f t="shared" si="180"/>
        <v>147</v>
      </c>
      <c r="M642" s="721">
        <f t="shared" si="181"/>
        <v>44.1</v>
      </c>
      <c r="N642" s="659">
        <f t="shared" si="182"/>
        <v>0.3</v>
      </c>
      <c r="O642" s="722">
        <f t="shared" si="183"/>
        <v>0.2307692308</v>
      </c>
      <c r="P642" s="883"/>
      <c r="Q642" s="884" t="s">
        <v>7268</v>
      </c>
      <c r="R642" s="1"/>
      <c r="S642" s="729"/>
      <c r="T642" s="730"/>
      <c r="U642" s="1"/>
      <c r="V642" s="1"/>
      <c r="W642" s="1"/>
      <c r="X642" s="1"/>
      <c r="Y642" s="1"/>
    </row>
    <row r="643" ht="15.75" customHeight="1" outlineLevel="1">
      <c r="A643" s="641" t="s">
        <v>7269</v>
      </c>
      <c r="B643" s="642" t="s">
        <v>7270</v>
      </c>
      <c r="C643" s="643" t="s">
        <v>5636</v>
      </c>
      <c r="D643" s="644">
        <f>SUMIF('Orcamento RU Viora Build'!$A:$A,A643,'Orcamento RU Viora Build'!$F:$F)</f>
        <v>1</v>
      </c>
      <c r="E643" s="645">
        <f t="shared" si="177"/>
        <v>195</v>
      </c>
      <c r="F643" s="646">
        <f t="shared" si="178"/>
        <v>195</v>
      </c>
      <c r="G643" s="782"/>
      <c r="H643" s="666"/>
      <c r="I643" s="879">
        <v>150.0</v>
      </c>
      <c r="J643" s="719">
        <v>0.0</v>
      </c>
      <c r="K643" s="720">
        <f t="shared" si="179"/>
        <v>150</v>
      </c>
      <c r="L643" s="720">
        <f t="shared" si="180"/>
        <v>150</v>
      </c>
      <c r="M643" s="721">
        <f t="shared" si="181"/>
        <v>45</v>
      </c>
      <c r="N643" s="659">
        <f t="shared" si="182"/>
        <v>0.3</v>
      </c>
      <c r="O643" s="722">
        <f t="shared" si="183"/>
        <v>0.2307692308</v>
      </c>
      <c r="P643" s="883"/>
      <c r="Q643" s="884" t="s">
        <v>7271</v>
      </c>
      <c r="R643" s="1"/>
      <c r="S643" s="729"/>
      <c r="T643" s="730"/>
      <c r="U643" s="1"/>
      <c r="V643" s="1"/>
      <c r="W643" s="1"/>
      <c r="X643" s="1"/>
      <c r="Y643" s="1"/>
    </row>
    <row r="644" ht="15.75" customHeight="1" outlineLevel="1">
      <c r="A644" s="641" t="s">
        <v>7272</v>
      </c>
      <c r="B644" s="642" t="s">
        <v>7273</v>
      </c>
      <c r="C644" s="643" t="s">
        <v>5636</v>
      </c>
      <c r="D644" s="644">
        <f>SUMIF('Orcamento RU Viora Build'!$A:$A,A644,'Orcamento RU Viora Build'!$F:$F)</f>
        <v>2</v>
      </c>
      <c r="E644" s="645">
        <f t="shared" si="177"/>
        <v>224.9</v>
      </c>
      <c r="F644" s="646">
        <f t="shared" si="178"/>
        <v>449.8</v>
      </c>
      <c r="G644" s="782"/>
      <c r="H644" s="666"/>
      <c r="I644" s="879">
        <v>173.0</v>
      </c>
      <c r="J644" s="719">
        <v>0.0</v>
      </c>
      <c r="K644" s="720">
        <f t="shared" si="179"/>
        <v>173</v>
      </c>
      <c r="L644" s="720">
        <f t="shared" si="180"/>
        <v>346</v>
      </c>
      <c r="M644" s="721">
        <f t="shared" si="181"/>
        <v>103.8</v>
      </c>
      <c r="N644" s="659">
        <f t="shared" si="182"/>
        <v>0.3</v>
      </c>
      <c r="O644" s="722">
        <f t="shared" si="183"/>
        <v>0.2307692308</v>
      </c>
      <c r="P644" s="883"/>
      <c r="Q644" s="884" t="s">
        <v>7265</v>
      </c>
      <c r="R644" s="1"/>
      <c r="S644" s="729"/>
      <c r="T644" s="730"/>
      <c r="U644" s="1"/>
      <c r="V644" s="1"/>
      <c r="W644" s="1"/>
      <c r="X644" s="1"/>
      <c r="Y644" s="1"/>
    </row>
    <row r="645" ht="15.75" customHeight="1" outlineLevel="1">
      <c r="A645" s="641" t="s">
        <v>7274</v>
      </c>
      <c r="B645" s="642" t="s">
        <v>7275</v>
      </c>
      <c r="C645" s="643" t="s">
        <v>5636</v>
      </c>
      <c r="D645" s="644">
        <f>SUMIF('Orcamento RU Viora Build'!$A:$A,A645,'Orcamento RU Viora Build'!$F:$F)</f>
        <v>1</v>
      </c>
      <c r="E645" s="645">
        <f t="shared" si="177"/>
        <v>183.3</v>
      </c>
      <c r="F645" s="646">
        <f t="shared" si="178"/>
        <v>183.3</v>
      </c>
      <c r="G645" s="782"/>
      <c r="H645" s="666"/>
      <c r="I645" s="879">
        <v>141.0</v>
      </c>
      <c r="J645" s="719">
        <v>0.0</v>
      </c>
      <c r="K645" s="720">
        <f t="shared" si="179"/>
        <v>141</v>
      </c>
      <c r="L645" s="720">
        <f t="shared" si="180"/>
        <v>141</v>
      </c>
      <c r="M645" s="721">
        <f t="shared" si="181"/>
        <v>42.3</v>
      </c>
      <c r="N645" s="659">
        <f t="shared" si="182"/>
        <v>0.3</v>
      </c>
      <c r="O645" s="722">
        <f t="shared" si="183"/>
        <v>0.2307692308</v>
      </c>
      <c r="P645" s="883"/>
      <c r="Q645" s="884" t="s">
        <v>7276</v>
      </c>
      <c r="R645" s="1"/>
      <c r="S645" s="729"/>
      <c r="T645" s="730"/>
      <c r="U645" s="1"/>
      <c r="V645" s="1"/>
      <c r="W645" s="1"/>
      <c r="X645" s="1"/>
      <c r="Y645" s="1"/>
    </row>
    <row r="646" ht="15.75" customHeight="1" outlineLevel="1">
      <c r="A646" s="641" t="s">
        <v>7277</v>
      </c>
      <c r="B646" s="642" t="s">
        <v>7278</v>
      </c>
      <c r="C646" s="643" t="s">
        <v>5636</v>
      </c>
      <c r="D646" s="644">
        <f>SUMIF('Orcamento RU Viora Build'!$A:$A,A646,'Orcamento RU Viora Build'!$F:$F)</f>
        <v>1</v>
      </c>
      <c r="E646" s="645">
        <f t="shared" si="177"/>
        <v>188.5</v>
      </c>
      <c r="F646" s="646">
        <f t="shared" si="178"/>
        <v>188.5</v>
      </c>
      <c r="G646" s="782"/>
      <c r="H646" s="666"/>
      <c r="I646" s="879">
        <v>145.0</v>
      </c>
      <c r="J646" s="719">
        <v>0.0</v>
      </c>
      <c r="K646" s="720">
        <f t="shared" si="179"/>
        <v>145</v>
      </c>
      <c r="L646" s="720">
        <f t="shared" si="180"/>
        <v>145</v>
      </c>
      <c r="M646" s="721">
        <f t="shared" si="181"/>
        <v>43.5</v>
      </c>
      <c r="N646" s="659">
        <f t="shared" si="182"/>
        <v>0.3</v>
      </c>
      <c r="O646" s="722">
        <f t="shared" si="183"/>
        <v>0.2307692308</v>
      </c>
      <c r="P646" s="883"/>
      <c r="Q646" s="884" t="s">
        <v>7279</v>
      </c>
      <c r="R646" s="1"/>
      <c r="S646" s="729"/>
      <c r="T646" s="730"/>
      <c r="U646" s="1"/>
      <c r="V646" s="1"/>
      <c r="W646" s="1"/>
      <c r="X646" s="1"/>
      <c r="Y646" s="1"/>
    </row>
    <row r="647" ht="15.75" customHeight="1" outlineLevel="1">
      <c r="A647" s="641" t="s">
        <v>7280</v>
      </c>
      <c r="B647" s="642" t="s">
        <v>7281</v>
      </c>
      <c r="C647" s="643" t="s">
        <v>5635</v>
      </c>
      <c r="D647" s="644">
        <f>SUMIF('Orcamento RU Viora Build'!$A:$A,A647,'Orcamento RU Viora Build'!$F:$F)</f>
        <v>158.61</v>
      </c>
      <c r="E647" s="645">
        <f t="shared" si="177"/>
        <v>58.5</v>
      </c>
      <c r="F647" s="646">
        <f t="shared" si="178"/>
        <v>9278.685</v>
      </c>
      <c r="G647" s="782"/>
      <c r="H647" s="666"/>
      <c r="I647" s="879">
        <v>45.0</v>
      </c>
      <c r="J647" s="719">
        <v>0.0</v>
      </c>
      <c r="K647" s="720">
        <f t="shared" si="179"/>
        <v>45</v>
      </c>
      <c r="L647" s="720">
        <f t="shared" si="180"/>
        <v>7137.45</v>
      </c>
      <c r="M647" s="721">
        <f t="shared" si="181"/>
        <v>2141.235</v>
      </c>
      <c r="N647" s="659">
        <f t="shared" si="182"/>
        <v>0.3</v>
      </c>
      <c r="O647" s="722">
        <f t="shared" si="183"/>
        <v>0.2307692308</v>
      </c>
      <c r="P647" s="883"/>
      <c r="Q647" s="884" t="s">
        <v>7282</v>
      </c>
      <c r="R647" s="1"/>
      <c r="S647" s="729"/>
      <c r="T647" s="730"/>
      <c r="U647" s="1"/>
      <c r="V647" s="1"/>
      <c r="W647" s="1"/>
      <c r="X647" s="1"/>
      <c r="Y647" s="1"/>
    </row>
    <row r="648" ht="15.75" customHeight="1" outlineLevel="1">
      <c r="A648" s="641" t="s">
        <v>7283</v>
      </c>
      <c r="B648" s="642" t="s">
        <v>7284</v>
      </c>
      <c r="C648" s="643" t="s">
        <v>5636</v>
      </c>
      <c r="D648" s="644">
        <f>SUMIF('Orcamento RU Viora Build'!$A:$A,A648,'Orcamento RU Viora Build'!$F:$F)</f>
        <v>1</v>
      </c>
      <c r="E648" s="645">
        <f t="shared" si="177"/>
        <v>520</v>
      </c>
      <c r="F648" s="646">
        <f t="shared" si="178"/>
        <v>520</v>
      </c>
      <c r="G648" s="782"/>
      <c r="H648" s="666"/>
      <c r="I648" s="879">
        <v>400.0</v>
      </c>
      <c r="J648" s="719">
        <v>0.0</v>
      </c>
      <c r="K648" s="720">
        <f t="shared" si="179"/>
        <v>400</v>
      </c>
      <c r="L648" s="720">
        <f t="shared" si="180"/>
        <v>400</v>
      </c>
      <c r="M648" s="721">
        <f t="shared" si="181"/>
        <v>120</v>
      </c>
      <c r="N648" s="659">
        <f t="shared" si="182"/>
        <v>0.3</v>
      </c>
      <c r="O648" s="722">
        <f t="shared" si="183"/>
        <v>0.2307692308</v>
      </c>
      <c r="P648" s="883"/>
      <c r="Q648" s="884" t="s">
        <v>7285</v>
      </c>
      <c r="R648" s="1"/>
      <c r="S648" s="729"/>
      <c r="T648" s="730"/>
      <c r="U648" s="1"/>
      <c r="V648" s="1"/>
      <c r="W648" s="1"/>
      <c r="X648" s="1"/>
      <c r="Y648" s="1"/>
    </row>
    <row r="649" ht="15.75" customHeight="1" outlineLevel="1">
      <c r="A649" s="641" t="s">
        <v>7286</v>
      </c>
      <c r="B649" s="642" t="s">
        <v>7287</v>
      </c>
      <c r="C649" s="643" t="s">
        <v>5636</v>
      </c>
      <c r="D649" s="644">
        <f>SUMIF('Orcamento RU Viora Build'!$A:$A,A649,'Orcamento RU Viora Build'!$F:$F)</f>
        <v>1</v>
      </c>
      <c r="E649" s="645">
        <f t="shared" si="177"/>
        <v>547.3</v>
      </c>
      <c r="F649" s="646">
        <f t="shared" si="178"/>
        <v>547.3</v>
      </c>
      <c r="G649" s="782"/>
      <c r="H649" s="666"/>
      <c r="I649" s="879">
        <v>421.0</v>
      </c>
      <c r="J649" s="719">
        <v>0.0</v>
      </c>
      <c r="K649" s="720">
        <f t="shared" si="179"/>
        <v>421</v>
      </c>
      <c r="L649" s="720">
        <f t="shared" si="180"/>
        <v>421</v>
      </c>
      <c r="M649" s="721">
        <f t="shared" si="181"/>
        <v>126.3</v>
      </c>
      <c r="N649" s="659">
        <f t="shared" si="182"/>
        <v>0.3</v>
      </c>
      <c r="O649" s="722">
        <f t="shared" si="183"/>
        <v>0.2307692308</v>
      </c>
      <c r="P649" s="883"/>
      <c r="Q649" s="884" t="s">
        <v>7288</v>
      </c>
      <c r="R649" s="1"/>
      <c r="S649" s="729"/>
      <c r="T649" s="730"/>
      <c r="U649" s="1"/>
      <c r="V649" s="1"/>
      <c r="W649" s="1"/>
      <c r="X649" s="1"/>
      <c r="Y649" s="1"/>
    </row>
    <row r="650" ht="15.75" customHeight="1" outlineLevel="1">
      <c r="A650" s="641" t="s">
        <v>7289</v>
      </c>
      <c r="B650" s="642" t="s">
        <v>7290</v>
      </c>
      <c r="C650" s="643" t="s">
        <v>5636</v>
      </c>
      <c r="D650" s="644">
        <f>SUMIF('Orcamento RU Viora Build'!$A:$A,A650,'Orcamento RU Viora Build'!$F:$F)</f>
        <v>1</v>
      </c>
      <c r="E650" s="645">
        <f t="shared" si="177"/>
        <v>455</v>
      </c>
      <c r="F650" s="646">
        <f t="shared" si="178"/>
        <v>455</v>
      </c>
      <c r="G650" s="782"/>
      <c r="H650" s="666"/>
      <c r="I650" s="879">
        <v>350.0</v>
      </c>
      <c r="J650" s="719">
        <v>0.0</v>
      </c>
      <c r="K650" s="720">
        <f t="shared" si="179"/>
        <v>350</v>
      </c>
      <c r="L650" s="720">
        <f t="shared" si="180"/>
        <v>350</v>
      </c>
      <c r="M650" s="721">
        <f t="shared" si="181"/>
        <v>105</v>
      </c>
      <c r="N650" s="659">
        <f t="shared" si="182"/>
        <v>0.3</v>
      </c>
      <c r="O650" s="722">
        <f t="shared" si="183"/>
        <v>0.2307692308</v>
      </c>
      <c r="P650" s="883"/>
      <c r="Q650" s="884" t="s">
        <v>7291</v>
      </c>
      <c r="R650" s="1"/>
      <c r="S650" s="729"/>
      <c r="T650" s="730"/>
      <c r="U650" s="1"/>
      <c r="V650" s="1"/>
      <c r="W650" s="1"/>
      <c r="X650" s="1"/>
      <c r="Y650" s="1"/>
    </row>
    <row r="651" ht="15.75" customHeight="1" outlineLevel="1">
      <c r="A651" s="641" t="s">
        <v>7292</v>
      </c>
      <c r="B651" s="642" t="s">
        <v>7293</v>
      </c>
      <c r="C651" s="643" t="s">
        <v>5636</v>
      </c>
      <c r="D651" s="644">
        <f>SUMIF('Orcamento RU Viora Build'!$A:$A,A651,'Orcamento RU Viora Build'!$F:$F)</f>
        <v>1</v>
      </c>
      <c r="E651" s="645">
        <f t="shared" si="177"/>
        <v>630.5</v>
      </c>
      <c r="F651" s="646">
        <f t="shared" si="178"/>
        <v>630.5</v>
      </c>
      <c r="G651" s="782"/>
      <c r="H651" s="666"/>
      <c r="I651" s="879">
        <v>485.0</v>
      </c>
      <c r="J651" s="719">
        <v>0.0</v>
      </c>
      <c r="K651" s="720">
        <f t="shared" si="179"/>
        <v>485</v>
      </c>
      <c r="L651" s="720">
        <f t="shared" si="180"/>
        <v>485</v>
      </c>
      <c r="M651" s="721">
        <f t="shared" si="181"/>
        <v>145.5</v>
      </c>
      <c r="N651" s="659">
        <f t="shared" si="182"/>
        <v>0.3</v>
      </c>
      <c r="O651" s="722">
        <f t="shared" si="183"/>
        <v>0.2307692308</v>
      </c>
      <c r="P651" s="883"/>
      <c r="Q651" s="884" t="s">
        <v>7294</v>
      </c>
      <c r="R651" s="1"/>
      <c r="S651" s="729"/>
      <c r="T651" s="730"/>
      <c r="U651" s="1"/>
      <c r="V651" s="1"/>
      <c r="W651" s="1"/>
      <c r="X651" s="1"/>
      <c r="Y651" s="1"/>
    </row>
    <row r="652" ht="15.75" customHeight="1" outlineLevel="1">
      <c r="A652" s="641" t="s">
        <v>7295</v>
      </c>
      <c r="B652" s="642" t="s">
        <v>7296</v>
      </c>
      <c r="C652" s="643" t="s">
        <v>5636</v>
      </c>
      <c r="D652" s="644">
        <f>SUMIF('Orcamento RU Viora Build'!$A:$A,A652,'Orcamento RU Viora Build'!$F:$F)</f>
        <v>1</v>
      </c>
      <c r="E652" s="645">
        <f t="shared" si="177"/>
        <v>357.5</v>
      </c>
      <c r="F652" s="646">
        <f t="shared" si="178"/>
        <v>357.5</v>
      </c>
      <c r="G652" s="782"/>
      <c r="H652" s="666"/>
      <c r="I652" s="879">
        <v>275.0</v>
      </c>
      <c r="J652" s="719">
        <v>0.0</v>
      </c>
      <c r="K652" s="720">
        <f t="shared" si="179"/>
        <v>275</v>
      </c>
      <c r="L652" s="720">
        <f t="shared" si="180"/>
        <v>275</v>
      </c>
      <c r="M652" s="721">
        <f t="shared" si="181"/>
        <v>82.5</v>
      </c>
      <c r="N652" s="659">
        <f t="shared" si="182"/>
        <v>0.3</v>
      </c>
      <c r="O652" s="722">
        <f t="shared" si="183"/>
        <v>0.2307692308</v>
      </c>
      <c r="P652" s="883"/>
      <c r="Q652" s="884" t="s">
        <v>7297</v>
      </c>
      <c r="R652" s="1"/>
      <c r="S652" s="729"/>
      <c r="T652" s="730"/>
      <c r="U652" s="1"/>
      <c r="V652" s="1"/>
      <c r="W652" s="1"/>
      <c r="X652" s="1"/>
      <c r="Y652" s="1"/>
    </row>
    <row r="653" ht="15.75" customHeight="1" outlineLevel="1">
      <c r="A653" s="641" t="s">
        <v>7298</v>
      </c>
      <c r="B653" s="642" t="s">
        <v>7299</v>
      </c>
      <c r="C653" s="643" t="s">
        <v>5636</v>
      </c>
      <c r="D653" s="644">
        <f>SUMIF('Orcamento RU Viora Build'!$A:$A,A653,'Orcamento RU Viora Build'!$F:$F)</f>
        <v>1</v>
      </c>
      <c r="E653" s="645">
        <f t="shared" si="177"/>
        <v>384.8</v>
      </c>
      <c r="F653" s="646">
        <f t="shared" si="178"/>
        <v>384.8</v>
      </c>
      <c r="G653" s="782"/>
      <c r="H653" s="666"/>
      <c r="I653" s="879">
        <v>296.0</v>
      </c>
      <c r="J653" s="719">
        <v>0.0</v>
      </c>
      <c r="K653" s="720">
        <f t="shared" si="179"/>
        <v>296</v>
      </c>
      <c r="L653" s="720">
        <f t="shared" si="180"/>
        <v>296</v>
      </c>
      <c r="M653" s="721">
        <f t="shared" si="181"/>
        <v>88.8</v>
      </c>
      <c r="N653" s="659">
        <f t="shared" si="182"/>
        <v>0.3</v>
      </c>
      <c r="O653" s="722">
        <f t="shared" si="183"/>
        <v>0.2307692308</v>
      </c>
      <c r="P653" s="883"/>
      <c r="Q653" s="884" t="s">
        <v>7300</v>
      </c>
      <c r="R653" s="1"/>
      <c r="S653" s="729"/>
      <c r="T653" s="730"/>
      <c r="U653" s="1"/>
      <c r="V653" s="1"/>
      <c r="W653" s="1"/>
      <c r="X653" s="1"/>
      <c r="Y653" s="1"/>
    </row>
    <row r="654" ht="15.75" customHeight="1" outlineLevel="1">
      <c r="A654" s="641" t="s">
        <v>7301</v>
      </c>
      <c r="B654" s="642" t="s">
        <v>7302</v>
      </c>
      <c r="C654" s="643" t="s">
        <v>5636</v>
      </c>
      <c r="D654" s="644">
        <f>SUMIF('Orcamento RU Viora Build'!$A:$A,A654,'Orcamento RU Viora Build'!$F:$F)</f>
        <v>1</v>
      </c>
      <c r="E654" s="645">
        <f t="shared" si="177"/>
        <v>702</v>
      </c>
      <c r="F654" s="646">
        <f t="shared" si="178"/>
        <v>702</v>
      </c>
      <c r="G654" s="782"/>
      <c r="H654" s="666"/>
      <c r="I654" s="879">
        <v>540.0</v>
      </c>
      <c r="J654" s="719">
        <v>0.0</v>
      </c>
      <c r="K654" s="720">
        <f t="shared" si="179"/>
        <v>540</v>
      </c>
      <c r="L654" s="720">
        <f t="shared" si="180"/>
        <v>540</v>
      </c>
      <c r="M654" s="721">
        <f t="shared" si="181"/>
        <v>162</v>
      </c>
      <c r="N654" s="659">
        <f t="shared" si="182"/>
        <v>0.3</v>
      </c>
      <c r="O654" s="722">
        <f t="shared" si="183"/>
        <v>0.2307692308</v>
      </c>
      <c r="P654" s="883"/>
      <c r="Q654" s="884" t="s">
        <v>7303</v>
      </c>
      <c r="R654" s="1"/>
      <c r="S654" s="729"/>
      <c r="T654" s="730"/>
      <c r="U654" s="1"/>
      <c r="V654" s="1"/>
      <c r="W654" s="1"/>
      <c r="X654" s="1"/>
      <c r="Y654" s="1"/>
    </row>
    <row r="655" ht="15.75" customHeight="1" outlineLevel="1">
      <c r="A655" s="641" t="s">
        <v>7304</v>
      </c>
      <c r="B655" s="642" t="s">
        <v>7305</v>
      </c>
      <c r="C655" s="643" t="s">
        <v>5636</v>
      </c>
      <c r="D655" s="644">
        <f>SUMIF('Orcamento RU Viora Build'!$A:$A,A655,'Orcamento RU Viora Build'!$F:$F)</f>
        <v>1</v>
      </c>
      <c r="E655" s="645">
        <f t="shared" si="177"/>
        <v>305.5</v>
      </c>
      <c r="F655" s="646">
        <f t="shared" si="178"/>
        <v>305.5</v>
      </c>
      <c r="G655" s="782"/>
      <c r="H655" s="666"/>
      <c r="I655" s="879">
        <v>235.0</v>
      </c>
      <c r="J655" s="719">
        <v>0.0</v>
      </c>
      <c r="K655" s="720">
        <f t="shared" si="179"/>
        <v>235</v>
      </c>
      <c r="L655" s="720">
        <f t="shared" si="180"/>
        <v>235</v>
      </c>
      <c r="M655" s="721">
        <f t="shared" si="181"/>
        <v>70.5</v>
      </c>
      <c r="N655" s="659">
        <f t="shared" si="182"/>
        <v>0.3</v>
      </c>
      <c r="O655" s="722">
        <f t="shared" si="183"/>
        <v>0.2307692308</v>
      </c>
      <c r="P655" s="883"/>
      <c r="Q655" s="884" t="s">
        <v>7306</v>
      </c>
      <c r="R655" s="1"/>
      <c r="S655" s="729"/>
      <c r="T655" s="730"/>
      <c r="U655" s="1"/>
      <c r="V655" s="1"/>
      <c r="W655" s="1"/>
      <c r="X655" s="1"/>
      <c r="Y655" s="1"/>
    </row>
    <row r="656" ht="15.75" customHeight="1" outlineLevel="1">
      <c r="A656" s="641" t="s">
        <v>7307</v>
      </c>
      <c r="B656" s="642" t="s">
        <v>7308</v>
      </c>
      <c r="C656" s="643" t="s">
        <v>5636</v>
      </c>
      <c r="D656" s="644">
        <f>SUMIF('Orcamento RU Viora Build'!$A:$A,A656,'Orcamento RU Viora Build'!$F:$F)</f>
        <v>1</v>
      </c>
      <c r="E656" s="645">
        <f t="shared" si="177"/>
        <v>169</v>
      </c>
      <c r="F656" s="646">
        <f t="shared" si="178"/>
        <v>169</v>
      </c>
      <c r="G656" s="782"/>
      <c r="H656" s="666"/>
      <c r="I656" s="879">
        <v>130.0</v>
      </c>
      <c r="J656" s="719">
        <v>0.0</v>
      </c>
      <c r="K656" s="720">
        <f t="shared" si="179"/>
        <v>130</v>
      </c>
      <c r="L656" s="720">
        <f t="shared" si="180"/>
        <v>130</v>
      </c>
      <c r="M656" s="721">
        <f t="shared" si="181"/>
        <v>39</v>
      </c>
      <c r="N656" s="659">
        <f t="shared" si="182"/>
        <v>0.3</v>
      </c>
      <c r="O656" s="722">
        <f t="shared" si="183"/>
        <v>0.2307692308</v>
      </c>
      <c r="P656" s="883"/>
      <c r="Q656" s="884" t="s">
        <v>7309</v>
      </c>
      <c r="R656" s="1"/>
      <c r="S656" s="729"/>
      <c r="T656" s="730"/>
      <c r="U656" s="1"/>
      <c r="V656" s="1"/>
      <c r="W656" s="1"/>
      <c r="X656" s="1"/>
      <c r="Y656" s="1"/>
    </row>
    <row r="657" ht="15.75" customHeight="1" outlineLevel="1">
      <c r="A657" s="641" t="s">
        <v>7310</v>
      </c>
      <c r="B657" s="642" t="s">
        <v>7311</v>
      </c>
      <c r="C657" s="643" t="s">
        <v>5636</v>
      </c>
      <c r="D657" s="644">
        <f>SUMIF('Orcamento RU Viora Build'!$A:$A,A657,'Orcamento RU Viora Build'!$F:$F)</f>
        <v>1</v>
      </c>
      <c r="E657" s="645">
        <f t="shared" si="177"/>
        <v>266.5</v>
      </c>
      <c r="F657" s="646">
        <f t="shared" si="178"/>
        <v>266.5</v>
      </c>
      <c r="G657" s="782"/>
      <c r="H657" s="666"/>
      <c r="I657" s="879">
        <v>205.0</v>
      </c>
      <c r="J657" s="719">
        <v>0.0</v>
      </c>
      <c r="K657" s="720">
        <f t="shared" si="179"/>
        <v>205</v>
      </c>
      <c r="L657" s="720">
        <f t="shared" si="180"/>
        <v>205</v>
      </c>
      <c r="M657" s="721">
        <f t="shared" si="181"/>
        <v>61.5</v>
      </c>
      <c r="N657" s="659">
        <f t="shared" si="182"/>
        <v>0.3</v>
      </c>
      <c r="O657" s="722">
        <f t="shared" si="183"/>
        <v>0.2307692308</v>
      </c>
      <c r="P657" s="883"/>
      <c r="Q657" s="884" t="s">
        <v>7312</v>
      </c>
      <c r="R657" s="1"/>
      <c r="S657" s="729"/>
      <c r="T657" s="730"/>
      <c r="U657" s="1"/>
      <c r="V657" s="1"/>
      <c r="W657" s="1"/>
      <c r="X657" s="1"/>
      <c r="Y657" s="1"/>
    </row>
    <row r="658" ht="15.75" customHeight="1" outlineLevel="1">
      <c r="A658" s="641" t="s">
        <v>7313</v>
      </c>
      <c r="B658" s="642" t="s">
        <v>7314</v>
      </c>
      <c r="C658" s="643" t="s">
        <v>5636</v>
      </c>
      <c r="D658" s="644">
        <f>SUMIF('Orcamento RU Viora Build'!$A:$A,A658,'Orcamento RU Viora Build'!$F:$F)</f>
        <v>1</v>
      </c>
      <c r="E658" s="645">
        <f t="shared" si="177"/>
        <v>265.2</v>
      </c>
      <c r="F658" s="646">
        <f t="shared" si="178"/>
        <v>265.2</v>
      </c>
      <c r="G658" s="782"/>
      <c r="H658" s="666"/>
      <c r="I658" s="879">
        <v>204.0</v>
      </c>
      <c r="J658" s="719">
        <v>0.0</v>
      </c>
      <c r="K658" s="720">
        <f t="shared" si="179"/>
        <v>204</v>
      </c>
      <c r="L658" s="720">
        <f t="shared" si="180"/>
        <v>204</v>
      </c>
      <c r="M658" s="721">
        <f t="shared" si="181"/>
        <v>61.2</v>
      </c>
      <c r="N658" s="659">
        <f t="shared" si="182"/>
        <v>0.3</v>
      </c>
      <c r="O658" s="722">
        <f t="shared" si="183"/>
        <v>0.2307692308</v>
      </c>
      <c r="P658" s="883"/>
      <c r="Q658" s="884" t="s">
        <v>7315</v>
      </c>
      <c r="R658" s="1"/>
      <c r="S658" s="729"/>
      <c r="T658" s="730"/>
      <c r="U658" s="1"/>
      <c r="V658" s="1"/>
      <c r="W658" s="1"/>
      <c r="X658" s="1"/>
      <c r="Y658" s="1"/>
    </row>
    <row r="659" ht="15.75" customHeight="1" outlineLevel="1">
      <c r="A659" s="641" t="s">
        <v>7316</v>
      </c>
      <c r="B659" s="642" t="s">
        <v>7317</v>
      </c>
      <c r="C659" s="643" t="s">
        <v>5636</v>
      </c>
      <c r="D659" s="644">
        <f>SUMIF('Orcamento RU Viora Build'!$A:$A,A659,'Orcamento RU Viora Build'!$F:$F)</f>
        <v>1</v>
      </c>
      <c r="E659" s="645">
        <f t="shared" si="177"/>
        <v>234</v>
      </c>
      <c r="F659" s="646">
        <f t="shared" si="178"/>
        <v>234</v>
      </c>
      <c r="G659" s="782"/>
      <c r="H659" s="666"/>
      <c r="I659" s="879">
        <v>180.0</v>
      </c>
      <c r="J659" s="719">
        <v>0.0</v>
      </c>
      <c r="K659" s="720">
        <f t="shared" si="179"/>
        <v>180</v>
      </c>
      <c r="L659" s="720">
        <f t="shared" si="180"/>
        <v>180</v>
      </c>
      <c r="M659" s="721">
        <f t="shared" si="181"/>
        <v>54</v>
      </c>
      <c r="N659" s="659">
        <f t="shared" si="182"/>
        <v>0.3</v>
      </c>
      <c r="O659" s="722">
        <f t="shared" si="183"/>
        <v>0.2307692308</v>
      </c>
      <c r="P659" s="883"/>
      <c r="Q659" s="884" t="s">
        <v>7318</v>
      </c>
      <c r="R659" s="1"/>
      <c r="S659" s="729"/>
      <c r="T659" s="730"/>
      <c r="U659" s="1"/>
      <c r="V659" s="1"/>
      <c r="W659" s="1"/>
      <c r="X659" s="1"/>
      <c r="Y659" s="1"/>
    </row>
    <row r="660" ht="15.75" customHeight="1" outlineLevel="1">
      <c r="A660" s="641" t="s">
        <v>7319</v>
      </c>
      <c r="B660" s="642" t="s">
        <v>7320</v>
      </c>
      <c r="C660" s="643" t="s">
        <v>5636</v>
      </c>
      <c r="D660" s="644">
        <f>SUMIF('Orcamento RU Viora Build'!$A:$A,A660,'Orcamento RU Viora Build'!$F:$F)</f>
        <v>1</v>
      </c>
      <c r="E660" s="645">
        <f t="shared" si="177"/>
        <v>312</v>
      </c>
      <c r="F660" s="646">
        <f t="shared" si="178"/>
        <v>312</v>
      </c>
      <c r="G660" s="782"/>
      <c r="H660" s="666"/>
      <c r="I660" s="879">
        <v>240.0</v>
      </c>
      <c r="J660" s="719">
        <v>0.0</v>
      </c>
      <c r="K660" s="720">
        <f t="shared" si="179"/>
        <v>240</v>
      </c>
      <c r="L660" s="720">
        <f t="shared" si="180"/>
        <v>240</v>
      </c>
      <c r="M660" s="721">
        <f t="shared" si="181"/>
        <v>72</v>
      </c>
      <c r="N660" s="659">
        <f t="shared" si="182"/>
        <v>0.3</v>
      </c>
      <c r="O660" s="722">
        <f t="shared" si="183"/>
        <v>0.2307692308</v>
      </c>
      <c r="P660" s="883"/>
      <c r="Q660" s="884" t="s">
        <v>7321</v>
      </c>
      <c r="R660" s="1"/>
      <c r="S660" s="729"/>
      <c r="T660" s="730"/>
      <c r="U660" s="1"/>
      <c r="V660" s="1"/>
      <c r="W660" s="1"/>
      <c r="X660" s="1"/>
      <c r="Y660" s="1"/>
    </row>
    <row r="661" ht="15.75" customHeight="1" outlineLevel="1">
      <c r="A661" s="641" t="s">
        <v>7322</v>
      </c>
      <c r="B661" s="642" t="s">
        <v>7323</v>
      </c>
      <c r="C661" s="643" t="s">
        <v>5636</v>
      </c>
      <c r="D661" s="644">
        <f>SUMIF('Orcamento RU Viora Build'!$A:$A,A661,'Orcamento RU Viora Build'!$F:$F)</f>
        <v>1</v>
      </c>
      <c r="E661" s="645">
        <f t="shared" si="177"/>
        <v>318.5</v>
      </c>
      <c r="F661" s="646">
        <f t="shared" si="178"/>
        <v>318.5</v>
      </c>
      <c r="G661" s="782"/>
      <c r="H661" s="666"/>
      <c r="I661" s="879">
        <v>245.0</v>
      </c>
      <c r="J661" s="719">
        <v>0.0</v>
      </c>
      <c r="K661" s="720">
        <f t="shared" si="179"/>
        <v>245</v>
      </c>
      <c r="L661" s="720">
        <f t="shared" si="180"/>
        <v>245</v>
      </c>
      <c r="M661" s="721">
        <f t="shared" si="181"/>
        <v>73.5</v>
      </c>
      <c r="N661" s="659">
        <f t="shared" si="182"/>
        <v>0.3</v>
      </c>
      <c r="O661" s="722">
        <f t="shared" si="183"/>
        <v>0.2307692308</v>
      </c>
      <c r="P661" s="883"/>
      <c r="Q661" s="884" t="s">
        <v>7324</v>
      </c>
      <c r="R661" s="1"/>
      <c r="S661" s="729"/>
      <c r="T661" s="730"/>
      <c r="U661" s="1"/>
      <c r="V661" s="1"/>
      <c r="W661" s="1"/>
      <c r="X661" s="1"/>
      <c r="Y661" s="1"/>
    </row>
    <row r="662" ht="15.75" customHeight="1" outlineLevel="1">
      <c r="A662" s="641" t="s">
        <v>7325</v>
      </c>
      <c r="B662" s="642" t="s">
        <v>7326</v>
      </c>
      <c r="C662" s="643" t="s">
        <v>5636</v>
      </c>
      <c r="D662" s="644">
        <f>SUMIF('Orcamento RU Viora Build'!$A:$A,A662,'Orcamento RU Viora Build'!$F:$F)</f>
        <v>1</v>
      </c>
      <c r="E662" s="645">
        <f t="shared" si="177"/>
        <v>286</v>
      </c>
      <c r="F662" s="646">
        <f t="shared" si="178"/>
        <v>286</v>
      </c>
      <c r="G662" s="782"/>
      <c r="H662" s="666"/>
      <c r="I662" s="879">
        <v>220.0</v>
      </c>
      <c r="J662" s="719">
        <v>0.0</v>
      </c>
      <c r="K662" s="720">
        <f t="shared" si="179"/>
        <v>220</v>
      </c>
      <c r="L662" s="720">
        <f t="shared" si="180"/>
        <v>220</v>
      </c>
      <c r="M662" s="721">
        <f t="shared" si="181"/>
        <v>66</v>
      </c>
      <c r="N662" s="659">
        <f t="shared" si="182"/>
        <v>0.3</v>
      </c>
      <c r="O662" s="722">
        <f t="shared" si="183"/>
        <v>0.2307692308</v>
      </c>
      <c r="P662" s="883"/>
      <c r="Q662" s="884" t="s">
        <v>7327</v>
      </c>
      <c r="R662" s="1"/>
      <c r="S662" s="729"/>
      <c r="T662" s="730"/>
      <c r="U662" s="1"/>
      <c r="V662" s="1"/>
      <c r="W662" s="1"/>
      <c r="X662" s="1"/>
      <c r="Y662" s="1"/>
    </row>
    <row r="663" ht="15.75" customHeight="1" outlineLevel="1">
      <c r="A663" s="641" t="s">
        <v>7328</v>
      </c>
      <c r="B663" s="642" t="s">
        <v>7329</v>
      </c>
      <c r="C663" s="643" t="s">
        <v>5636</v>
      </c>
      <c r="D663" s="644">
        <f>SUMIF('Orcamento RU Viora Build'!$A:$A,A663,'Orcamento RU Viora Build'!$F:$F)</f>
        <v>1</v>
      </c>
      <c r="E663" s="645">
        <f t="shared" si="177"/>
        <v>344.5</v>
      </c>
      <c r="F663" s="646">
        <f t="shared" si="178"/>
        <v>344.5</v>
      </c>
      <c r="G663" s="782"/>
      <c r="H663" s="666"/>
      <c r="I663" s="879">
        <v>265.0</v>
      </c>
      <c r="J663" s="719">
        <v>0.0</v>
      </c>
      <c r="K663" s="720">
        <f t="shared" si="179"/>
        <v>265</v>
      </c>
      <c r="L663" s="720">
        <f t="shared" si="180"/>
        <v>265</v>
      </c>
      <c r="M663" s="721">
        <f t="shared" si="181"/>
        <v>79.5</v>
      </c>
      <c r="N663" s="659">
        <f t="shared" si="182"/>
        <v>0.3</v>
      </c>
      <c r="O663" s="722">
        <f t="shared" si="183"/>
        <v>0.2307692308</v>
      </c>
      <c r="P663" s="883"/>
      <c r="Q663" s="884" t="s">
        <v>7330</v>
      </c>
      <c r="R663" s="1"/>
      <c r="S663" s="729"/>
      <c r="T663" s="730"/>
      <c r="U663" s="1"/>
      <c r="V663" s="1"/>
      <c r="W663" s="1"/>
      <c r="X663" s="1"/>
      <c r="Y663" s="1"/>
    </row>
    <row r="664" ht="15.75" customHeight="1" outlineLevel="1">
      <c r="A664" s="641" t="s">
        <v>7331</v>
      </c>
      <c r="B664" s="642" t="s">
        <v>7332</v>
      </c>
      <c r="C664" s="643" t="s">
        <v>5636</v>
      </c>
      <c r="D664" s="644">
        <f>SUMIF('Orcamento RU Viora Build'!$A:$A,A664,'Orcamento RU Viora Build'!$F:$F)</f>
        <v>1</v>
      </c>
      <c r="E664" s="645">
        <f t="shared" si="177"/>
        <v>351</v>
      </c>
      <c r="F664" s="646">
        <f t="shared" si="178"/>
        <v>351</v>
      </c>
      <c r="G664" s="782"/>
      <c r="H664" s="666"/>
      <c r="I664" s="879">
        <v>270.0</v>
      </c>
      <c r="J664" s="719">
        <v>0.0</v>
      </c>
      <c r="K664" s="720">
        <f t="shared" si="179"/>
        <v>270</v>
      </c>
      <c r="L664" s="720">
        <f t="shared" si="180"/>
        <v>270</v>
      </c>
      <c r="M664" s="721">
        <f t="shared" si="181"/>
        <v>81</v>
      </c>
      <c r="N664" s="659">
        <f t="shared" si="182"/>
        <v>0.3</v>
      </c>
      <c r="O664" s="722">
        <f t="shared" si="183"/>
        <v>0.2307692308</v>
      </c>
      <c r="P664" s="883"/>
      <c r="Q664" s="884" t="s">
        <v>7333</v>
      </c>
      <c r="R664" s="1"/>
      <c r="S664" s="729"/>
      <c r="T664" s="730"/>
      <c r="U664" s="1"/>
      <c r="V664" s="1"/>
      <c r="W664" s="1"/>
      <c r="X664" s="1"/>
      <c r="Y664" s="1"/>
    </row>
    <row r="665" ht="15.75" customHeight="1" outlineLevel="1">
      <c r="A665" s="641" t="s">
        <v>7334</v>
      </c>
      <c r="B665" s="642" t="s">
        <v>7335</v>
      </c>
      <c r="C665" s="643" t="s">
        <v>5636</v>
      </c>
      <c r="D665" s="644">
        <f>SUMIF('Orcamento RU Viora Build'!$A:$A,A665,'Orcamento RU Viora Build'!$F:$F)</f>
        <v>1</v>
      </c>
      <c r="E665" s="645">
        <f t="shared" si="177"/>
        <v>221</v>
      </c>
      <c r="F665" s="646">
        <f t="shared" si="178"/>
        <v>221</v>
      </c>
      <c r="G665" s="782"/>
      <c r="H665" s="666"/>
      <c r="I665" s="879">
        <v>170.0</v>
      </c>
      <c r="J665" s="719">
        <v>0.0</v>
      </c>
      <c r="K665" s="720">
        <f t="shared" si="179"/>
        <v>170</v>
      </c>
      <c r="L665" s="720">
        <f t="shared" si="180"/>
        <v>170</v>
      </c>
      <c r="M665" s="721">
        <f t="shared" si="181"/>
        <v>51</v>
      </c>
      <c r="N665" s="659">
        <f t="shared" si="182"/>
        <v>0.3</v>
      </c>
      <c r="O665" s="722">
        <f t="shared" si="183"/>
        <v>0.2307692308</v>
      </c>
      <c r="P665" s="883"/>
      <c r="Q665" s="884" t="s">
        <v>7336</v>
      </c>
      <c r="R665" s="1"/>
      <c r="S665" s="729"/>
      <c r="T665" s="730"/>
      <c r="U665" s="1"/>
      <c r="V665" s="1"/>
      <c r="W665" s="1"/>
      <c r="X665" s="1"/>
      <c r="Y665" s="1"/>
    </row>
    <row r="666" ht="15.75" customHeight="1" outlineLevel="1">
      <c r="A666" s="641" t="s">
        <v>7337</v>
      </c>
      <c r="B666" s="642" t="s">
        <v>7338</v>
      </c>
      <c r="C666" s="643" t="s">
        <v>5636</v>
      </c>
      <c r="D666" s="644">
        <f>SUMIF('Orcamento RU Viora Build'!$A:$A,A666,'Orcamento RU Viora Build'!$F:$F)</f>
        <v>1</v>
      </c>
      <c r="E666" s="645">
        <f t="shared" si="177"/>
        <v>617.5</v>
      </c>
      <c r="F666" s="646">
        <f t="shared" si="178"/>
        <v>617.5</v>
      </c>
      <c r="G666" s="782"/>
      <c r="H666" s="666"/>
      <c r="I666" s="879">
        <v>475.0</v>
      </c>
      <c r="J666" s="719">
        <v>0.0</v>
      </c>
      <c r="K666" s="720">
        <f t="shared" si="179"/>
        <v>475</v>
      </c>
      <c r="L666" s="720">
        <f t="shared" si="180"/>
        <v>475</v>
      </c>
      <c r="M666" s="721">
        <f t="shared" si="181"/>
        <v>142.5</v>
      </c>
      <c r="N666" s="659">
        <f t="shared" si="182"/>
        <v>0.3</v>
      </c>
      <c r="O666" s="722">
        <f t="shared" si="183"/>
        <v>0.2307692308</v>
      </c>
      <c r="P666" s="883"/>
      <c r="Q666" s="884" t="s">
        <v>7339</v>
      </c>
      <c r="R666" s="1"/>
      <c r="S666" s="729"/>
      <c r="T666" s="730"/>
      <c r="U666" s="1"/>
      <c r="V666" s="1"/>
      <c r="W666" s="1"/>
      <c r="X666" s="1"/>
      <c r="Y666" s="1"/>
    </row>
    <row r="667" ht="15.75" customHeight="1" outlineLevel="1">
      <c r="A667" s="641" t="s">
        <v>7340</v>
      </c>
      <c r="B667" s="642" t="s">
        <v>7341</v>
      </c>
      <c r="C667" s="643" t="s">
        <v>5636</v>
      </c>
      <c r="D667" s="644">
        <f>SUMIF('Orcamento RU Viora Build'!$A:$A,A667,'Orcamento RU Viora Build'!$F:$F)</f>
        <v>1</v>
      </c>
      <c r="E667" s="645">
        <f t="shared" si="177"/>
        <v>279.5</v>
      </c>
      <c r="F667" s="646">
        <f t="shared" si="178"/>
        <v>279.5</v>
      </c>
      <c r="G667" s="782"/>
      <c r="H667" s="666"/>
      <c r="I667" s="879">
        <v>215.0</v>
      </c>
      <c r="J667" s="719">
        <v>0.0</v>
      </c>
      <c r="K667" s="720">
        <f t="shared" si="179"/>
        <v>215</v>
      </c>
      <c r="L667" s="720">
        <f t="shared" si="180"/>
        <v>215</v>
      </c>
      <c r="M667" s="721">
        <f t="shared" si="181"/>
        <v>64.5</v>
      </c>
      <c r="N667" s="659">
        <f t="shared" si="182"/>
        <v>0.3</v>
      </c>
      <c r="O667" s="722">
        <f t="shared" si="183"/>
        <v>0.2307692308</v>
      </c>
      <c r="P667" s="883"/>
      <c r="Q667" s="884" t="s">
        <v>7342</v>
      </c>
      <c r="R667" s="1"/>
      <c r="S667" s="729"/>
      <c r="T667" s="730"/>
      <c r="U667" s="1"/>
      <c r="V667" s="1"/>
      <c r="W667" s="1"/>
      <c r="X667" s="1"/>
      <c r="Y667" s="1"/>
    </row>
    <row r="668" ht="15.75" customHeight="1" outlineLevel="1">
      <c r="A668" s="641" t="s">
        <v>7343</v>
      </c>
      <c r="B668" s="642" t="s">
        <v>7344</v>
      </c>
      <c r="C668" s="643" t="s">
        <v>5636</v>
      </c>
      <c r="D668" s="644">
        <f>SUMIF('Orcamento RU Viora Build'!$A:$A,A668,'Orcamento RU Viora Build'!$F:$F)</f>
        <v>1</v>
      </c>
      <c r="E668" s="645">
        <f t="shared" si="177"/>
        <v>208</v>
      </c>
      <c r="F668" s="646">
        <f t="shared" si="178"/>
        <v>208</v>
      </c>
      <c r="G668" s="782"/>
      <c r="H668" s="666"/>
      <c r="I668" s="879">
        <v>160.0</v>
      </c>
      <c r="J668" s="719">
        <v>0.0</v>
      </c>
      <c r="K668" s="720">
        <f t="shared" si="179"/>
        <v>160</v>
      </c>
      <c r="L668" s="720">
        <f t="shared" si="180"/>
        <v>160</v>
      </c>
      <c r="M668" s="721">
        <f t="shared" si="181"/>
        <v>48</v>
      </c>
      <c r="N668" s="659">
        <f t="shared" si="182"/>
        <v>0.3</v>
      </c>
      <c r="O668" s="722">
        <f t="shared" si="183"/>
        <v>0.2307692308</v>
      </c>
      <c r="P668" s="883"/>
      <c r="Q668" s="884" t="s">
        <v>7345</v>
      </c>
      <c r="R668" s="1"/>
      <c r="S668" s="729"/>
      <c r="T668" s="730"/>
      <c r="U668" s="1"/>
      <c r="V668" s="1"/>
      <c r="W668" s="1"/>
      <c r="X668" s="1"/>
      <c r="Y668" s="1"/>
    </row>
    <row r="669" ht="15.75" customHeight="1" outlineLevel="1">
      <c r="A669" s="641" t="s">
        <v>7346</v>
      </c>
      <c r="B669" s="642" t="s">
        <v>7347</v>
      </c>
      <c r="C669" s="643" t="s">
        <v>5636</v>
      </c>
      <c r="D669" s="644">
        <f>SUMIF('Orcamento RU Viora Build'!$A:$A,A669,'Orcamento RU Viora Build'!$F:$F)</f>
        <v>1</v>
      </c>
      <c r="E669" s="645">
        <f t="shared" si="177"/>
        <v>221</v>
      </c>
      <c r="F669" s="646">
        <f t="shared" si="178"/>
        <v>221</v>
      </c>
      <c r="G669" s="782"/>
      <c r="H669" s="666"/>
      <c r="I669" s="879">
        <v>170.0</v>
      </c>
      <c r="J669" s="719">
        <v>0.0</v>
      </c>
      <c r="K669" s="720">
        <f t="shared" si="179"/>
        <v>170</v>
      </c>
      <c r="L669" s="720">
        <f t="shared" si="180"/>
        <v>170</v>
      </c>
      <c r="M669" s="721">
        <f t="shared" si="181"/>
        <v>51</v>
      </c>
      <c r="N669" s="659">
        <f t="shared" si="182"/>
        <v>0.3</v>
      </c>
      <c r="O669" s="722">
        <f t="shared" si="183"/>
        <v>0.2307692308</v>
      </c>
      <c r="P669" s="883"/>
      <c r="Q669" s="884" t="s">
        <v>7348</v>
      </c>
      <c r="R669" s="1"/>
      <c r="S669" s="729"/>
      <c r="T669" s="730"/>
      <c r="U669" s="1"/>
      <c r="V669" s="1"/>
      <c r="W669" s="1"/>
      <c r="X669" s="1"/>
      <c r="Y669" s="1"/>
    </row>
    <row r="670" ht="15.75" customHeight="1" outlineLevel="1">
      <c r="A670" s="641" t="s">
        <v>7349</v>
      </c>
      <c r="B670" s="642" t="s">
        <v>7350</v>
      </c>
      <c r="C670" s="643" t="s">
        <v>5636</v>
      </c>
      <c r="D670" s="644">
        <f>SUMIF('Orcamento RU Viora Build'!$A:$A,A670,'Orcamento RU Viora Build'!$F:$F)</f>
        <v>1</v>
      </c>
      <c r="E670" s="645">
        <f t="shared" si="177"/>
        <v>240.5</v>
      </c>
      <c r="F670" s="646">
        <f t="shared" si="178"/>
        <v>240.5</v>
      </c>
      <c r="G670" s="782"/>
      <c r="H670" s="666"/>
      <c r="I670" s="879">
        <v>185.0</v>
      </c>
      <c r="J670" s="719">
        <v>0.0</v>
      </c>
      <c r="K670" s="720">
        <f t="shared" si="179"/>
        <v>185</v>
      </c>
      <c r="L670" s="720">
        <f t="shared" si="180"/>
        <v>185</v>
      </c>
      <c r="M670" s="721">
        <f t="shared" si="181"/>
        <v>55.5</v>
      </c>
      <c r="N670" s="659">
        <f t="shared" si="182"/>
        <v>0.3</v>
      </c>
      <c r="O670" s="722">
        <f t="shared" si="183"/>
        <v>0.2307692308</v>
      </c>
      <c r="P670" s="883"/>
      <c r="Q670" s="884" t="s">
        <v>7351</v>
      </c>
      <c r="R670" s="1"/>
      <c r="S670" s="729"/>
      <c r="T670" s="730"/>
      <c r="U670" s="1"/>
      <c r="V670" s="1"/>
      <c r="W670" s="1"/>
      <c r="X670" s="1"/>
      <c r="Y670" s="1"/>
    </row>
    <row r="671" ht="15.75" customHeight="1" outlineLevel="1">
      <c r="A671" s="641" t="s">
        <v>7352</v>
      </c>
      <c r="B671" s="642" t="s">
        <v>7353</v>
      </c>
      <c r="C671" s="643" t="s">
        <v>5636</v>
      </c>
      <c r="D671" s="644">
        <f>SUMIF('Orcamento RU Viora Build'!$A:$A,A671,'Orcamento RU Viora Build'!$F:$F)</f>
        <v>1</v>
      </c>
      <c r="E671" s="645">
        <f t="shared" si="177"/>
        <v>247</v>
      </c>
      <c r="F671" s="646">
        <f t="shared" si="178"/>
        <v>247</v>
      </c>
      <c r="G671" s="782"/>
      <c r="H671" s="666"/>
      <c r="I671" s="879">
        <v>190.0</v>
      </c>
      <c r="J671" s="719">
        <v>0.0</v>
      </c>
      <c r="K671" s="720">
        <f t="shared" si="179"/>
        <v>190</v>
      </c>
      <c r="L671" s="720">
        <f t="shared" si="180"/>
        <v>190</v>
      </c>
      <c r="M671" s="721">
        <f t="shared" si="181"/>
        <v>57</v>
      </c>
      <c r="N671" s="659">
        <f t="shared" si="182"/>
        <v>0.3</v>
      </c>
      <c r="O671" s="722">
        <f t="shared" si="183"/>
        <v>0.2307692308</v>
      </c>
      <c r="P671" s="883"/>
      <c r="Q671" s="884" t="s">
        <v>7354</v>
      </c>
      <c r="R671" s="1"/>
      <c r="S671" s="729"/>
      <c r="T671" s="730"/>
      <c r="U671" s="1"/>
      <c r="V671" s="1"/>
      <c r="W671" s="1"/>
      <c r="X671" s="1"/>
      <c r="Y671" s="1"/>
    </row>
    <row r="672" ht="15.75" customHeight="1" outlineLevel="1">
      <c r="A672" s="641" t="s">
        <v>7355</v>
      </c>
      <c r="B672" s="642" t="s">
        <v>7356</v>
      </c>
      <c r="C672" s="643" t="s">
        <v>5636</v>
      </c>
      <c r="D672" s="644">
        <f>SUMIF('Orcamento RU Viora Build'!$A:$A,A672,'Orcamento RU Viora Build'!$F:$F)</f>
        <v>1</v>
      </c>
      <c r="E672" s="645">
        <f t="shared" si="177"/>
        <v>201.5</v>
      </c>
      <c r="F672" s="646">
        <f t="shared" si="178"/>
        <v>201.5</v>
      </c>
      <c r="G672" s="782"/>
      <c r="H672" s="666"/>
      <c r="I672" s="879">
        <v>155.0</v>
      </c>
      <c r="J672" s="719">
        <v>0.0</v>
      </c>
      <c r="K672" s="720">
        <f t="shared" si="179"/>
        <v>155</v>
      </c>
      <c r="L672" s="720">
        <f t="shared" si="180"/>
        <v>155</v>
      </c>
      <c r="M672" s="721">
        <f t="shared" si="181"/>
        <v>46.5</v>
      </c>
      <c r="N672" s="659">
        <f t="shared" si="182"/>
        <v>0.3</v>
      </c>
      <c r="O672" s="722">
        <f t="shared" si="183"/>
        <v>0.2307692308</v>
      </c>
      <c r="P672" s="883"/>
      <c r="Q672" s="884" t="s">
        <v>7357</v>
      </c>
      <c r="R672" s="1"/>
      <c r="S672" s="874"/>
      <c r="T672" s="875"/>
      <c r="U672" s="1"/>
      <c r="V672" s="1"/>
      <c r="W672" s="1"/>
      <c r="X672" s="1"/>
      <c r="Y672" s="1"/>
    </row>
    <row r="673" ht="15.75" customHeight="1" outlineLevel="1">
      <c r="A673" s="701" t="s">
        <v>7358</v>
      </c>
      <c r="B673" s="702"/>
      <c r="C673" s="703"/>
      <c r="D673" s="704"/>
      <c r="E673" s="635"/>
      <c r="F673" s="388"/>
      <c r="G673" s="782"/>
      <c r="H673" s="666"/>
      <c r="I673" s="632"/>
      <c r="J673" s="633"/>
      <c r="K673" s="634"/>
      <c r="L673" s="634"/>
      <c r="M673" s="635"/>
      <c r="N673" s="390"/>
      <c r="O673" s="636"/>
      <c r="P673" s="709"/>
      <c r="Q673" s="710"/>
      <c r="R673" s="422"/>
      <c r="S673" s="711"/>
      <c r="T673" s="712"/>
      <c r="U673" s="422"/>
      <c r="V673" s="422"/>
      <c r="W673" s="422"/>
      <c r="X673" s="422"/>
      <c r="Y673" s="422"/>
    </row>
    <row r="674" ht="15.75" customHeight="1" outlineLevel="1">
      <c r="A674" s="641" t="s">
        <v>7359</v>
      </c>
      <c r="B674" s="798" t="s">
        <v>7360</v>
      </c>
      <c r="C674" s="643" t="s">
        <v>5636</v>
      </c>
      <c r="D674" s="644">
        <f>SUMIF('Orcamento RU Viora Build'!$A:$A,A674,'Orcamento RU Viora Build'!$F:$F)</f>
        <v>7</v>
      </c>
      <c r="E674" s="645">
        <f t="shared" ref="E674:E787" si="184">K674+(K674*N674)</f>
        <v>390</v>
      </c>
      <c r="F674" s="646">
        <f t="shared" ref="F674:F787" si="185">D674*E674</f>
        <v>2730</v>
      </c>
      <c r="G674" s="782"/>
      <c r="H674" s="666"/>
      <c r="I674" s="889">
        <v>300.0</v>
      </c>
      <c r="J674" s="719">
        <v>0.0</v>
      </c>
      <c r="K674" s="720">
        <f t="shared" ref="K674:K787" si="186">I674-I674*J674</f>
        <v>300</v>
      </c>
      <c r="L674" s="720">
        <f t="shared" ref="L674:L787" si="187">K674*D674</f>
        <v>2100</v>
      </c>
      <c r="M674" s="721">
        <f t="shared" ref="M674:M787" si="188">F674-L674</f>
        <v>630</v>
      </c>
      <c r="N674" s="659">
        <f t="shared" ref="N674:N787" si="189">$N$2</f>
        <v>0.3</v>
      </c>
      <c r="O674" s="722">
        <f t="shared" ref="O674:O787" si="190">M674/F674</f>
        <v>0.2307692308</v>
      </c>
      <c r="P674" s="880"/>
      <c r="Q674" s="890" t="s">
        <v>7361</v>
      </c>
      <c r="R674" s="1"/>
      <c r="S674" s="725"/>
      <c r="T674" s="891"/>
      <c r="U674" s="422"/>
      <c r="V674" s="422"/>
      <c r="W674" s="422"/>
      <c r="X674" s="422"/>
      <c r="Y674" s="422"/>
    </row>
    <row r="675" ht="15.75" customHeight="1" outlineLevel="1">
      <c r="A675" s="641" t="s">
        <v>7362</v>
      </c>
      <c r="B675" s="798" t="s">
        <v>7363</v>
      </c>
      <c r="C675" s="643" t="s">
        <v>5636</v>
      </c>
      <c r="D675" s="644">
        <f>SUMIF('Orcamento RU Viora Build'!$A:$A,A675,'Orcamento RU Viora Build'!$F:$F)</f>
        <v>1</v>
      </c>
      <c r="E675" s="645">
        <f t="shared" si="184"/>
        <v>741</v>
      </c>
      <c r="F675" s="646">
        <f t="shared" si="185"/>
        <v>741</v>
      </c>
      <c r="G675" s="782"/>
      <c r="H675" s="666"/>
      <c r="I675" s="889">
        <v>570.0</v>
      </c>
      <c r="J675" s="719">
        <v>0.0</v>
      </c>
      <c r="K675" s="720">
        <f t="shared" si="186"/>
        <v>570</v>
      </c>
      <c r="L675" s="720">
        <f t="shared" si="187"/>
        <v>570</v>
      </c>
      <c r="M675" s="721">
        <f t="shared" si="188"/>
        <v>171</v>
      </c>
      <c r="N675" s="659">
        <f t="shared" si="189"/>
        <v>0.3</v>
      </c>
      <c r="O675" s="722">
        <f t="shared" si="190"/>
        <v>0.2307692308</v>
      </c>
      <c r="P675" s="880"/>
      <c r="Q675" s="890" t="s">
        <v>7364</v>
      </c>
      <c r="R675" s="1"/>
      <c r="S675" s="729"/>
      <c r="T675" s="863"/>
      <c r="U675" s="422"/>
      <c r="V675" s="422"/>
      <c r="W675" s="422"/>
      <c r="X675" s="422"/>
      <c r="Y675" s="422"/>
    </row>
    <row r="676" ht="15.75" customHeight="1" outlineLevel="1">
      <c r="A676" s="641" t="s">
        <v>7365</v>
      </c>
      <c r="B676" s="798" t="s">
        <v>7366</v>
      </c>
      <c r="C676" s="643" t="s">
        <v>5636</v>
      </c>
      <c r="D676" s="644">
        <f>SUMIF('Orcamento RU Viora Build'!$A:$A,A676,'Orcamento RU Viora Build'!$F:$F)</f>
        <v>6</v>
      </c>
      <c r="E676" s="645">
        <f t="shared" si="184"/>
        <v>481</v>
      </c>
      <c r="F676" s="646">
        <f t="shared" si="185"/>
        <v>2886</v>
      </c>
      <c r="G676" s="782"/>
      <c r="H676" s="666"/>
      <c r="I676" s="889">
        <v>370.0</v>
      </c>
      <c r="J676" s="719">
        <v>0.0</v>
      </c>
      <c r="K676" s="720">
        <f t="shared" si="186"/>
        <v>370</v>
      </c>
      <c r="L676" s="720">
        <f t="shared" si="187"/>
        <v>2220</v>
      </c>
      <c r="M676" s="721">
        <f t="shared" si="188"/>
        <v>666</v>
      </c>
      <c r="N676" s="659">
        <f t="shared" si="189"/>
        <v>0.3</v>
      </c>
      <c r="O676" s="722">
        <f t="shared" si="190"/>
        <v>0.2307692308</v>
      </c>
      <c r="P676" s="880"/>
      <c r="Q676" s="890" t="s">
        <v>7367</v>
      </c>
      <c r="R676" s="1"/>
      <c r="S676" s="729"/>
      <c r="T676" s="863"/>
      <c r="U676" s="422"/>
      <c r="V676" s="422"/>
      <c r="W676" s="422"/>
      <c r="X676" s="422"/>
      <c r="Y676" s="422"/>
    </row>
    <row r="677" ht="15.75" customHeight="1" outlineLevel="1">
      <c r="A677" s="641" t="s">
        <v>7368</v>
      </c>
      <c r="B677" s="798" t="s">
        <v>7369</v>
      </c>
      <c r="C677" s="643" t="s">
        <v>5636</v>
      </c>
      <c r="D677" s="644">
        <f>SUMIF('Orcamento RU Viora Build'!$A:$A,A677,'Orcamento RU Viora Build'!$F:$F)</f>
        <v>6</v>
      </c>
      <c r="E677" s="645">
        <f t="shared" si="184"/>
        <v>32.5</v>
      </c>
      <c r="F677" s="646">
        <f t="shared" si="185"/>
        <v>195</v>
      </c>
      <c r="G677" s="782"/>
      <c r="H677" s="666"/>
      <c r="I677" s="889">
        <v>25.0</v>
      </c>
      <c r="J677" s="719">
        <v>0.0</v>
      </c>
      <c r="K677" s="720">
        <f t="shared" si="186"/>
        <v>25</v>
      </c>
      <c r="L677" s="720">
        <f t="shared" si="187"/>
        <v>150</v>
      </c>
      <c r="M677" s="721">
        <f t="shared" si="188"/>
        <v>45</v>
      </c>
      <c r="N677" s="659">
        <f t="shared" si="189"/>
        <v>0.3</v>
      </c>
      <c r="O677" s="722">
        <f t="shared" si="190"/>
        <v>0.2307692308</v>
      </c>
      <c r="P677" s="880"/>
      <c r="Q677" s="890" t="s">
        <v>7370</v>
      </c>
      <c r="R677" s="1"/>
      <c r="S677" s="729"/>
      <c r="T677" s="863"/>
      <c r="U677" s="422"/>
      <c r="V677" s="422"/>
      <c r="W677" s="422"/>
      <c r="X677" s="422"/>
      <c r="Y677" s="422"/>
    </row>
    <row r="678" ht="15.75" customHeight="1" outlineLevel="1">
      <c r="A678" s="641" t="s">
        <v>7371</v>
      </c>
      <c r="B678" s="798" t="s">
        <v>7372</v>
      </c>
      <c r="C678" s="643" t="s">
        <v>5636</v>
      </c>
      <c r="D678" s="644">
        <f>SUMIF('Orcamento RU Viora Build'!$A:$A,A678,'Orcamento RU Viora Build'!$F:$F)</f>
        <v>14</v>
      </c>
      <c r="E678" s="645">
        <f t="shared" si="184"/>
        <v>45.5</v>
      </c>
      <c r="F678" s="646">
        <f t="shared" si="185"/>
        <v>637</v>
      </c>
      <c r="G678" s="782"/>
      <c r="H678" s="666"/>
      <c r="I678" s="889">
        <v>35.0</v>
      </c>
      <c r="J678" s="719">
        <v>0.0</v>
      </c>
      <c r="K678" s="720">
        <f t="shared" si="186"/>
        <v>35</v>
      </c>
      <c r="L678" s="720">
        <f t="shared" si="187"/>
        <v>490</v>
      </c>
      <c r="M678" s="721">
        <f t="shared" si="188"/>
        <v>147</v>
      </c>
      <c r="N678" s="659">
        <f t="shared" si="189"/>
        <v>0.3</v>
      </c>
      <c r="O678" s="722">
        <f t="shared" si="190"/>
        <v>0.2307692308</v>
      </c>
      <c r="P678" s="880"/>
      <c r="Q678" s="890" t="s">
        <v>7373</v>
      </c>
      <c r="R678" s="1"/>
      <c r="S678" s="729"/>
      <c r="T678" s="863"/>
      <c r="U678" s="422"/>
      <c r="V678" s="422"/>
      <c r="W678" s="422"/>
      <c r="X678" s="422"/>
      <c r="Y678" s="422"/>
    </row>
    <row r="679" ht="15.75" customHeight="1" outlineLevel="1">
      <c r="A679" s="641" t="s">
        <v>7374</v>
      </c>
      <c r="B679" s="798" t="s">
        <v>7375</v>
      </c>
      <c r="C679" s="643" t="s">
        <v>5636</v>
      </c>
      <c r="D679" s="644">
        <f>SUMIF('Orcamento RU Viora Build'!$A:$A,A679,'Orcamento RU Viora Build'!$F:$F)</f>
        <v>6</v>
      </c>
      <c r="E679" s="645">
        <f t="shared" si="184"/>
        <v>39</v>
      </c>
      <c r="F679" s="646">
        <f t="shared" si="185"/>
        <v>234</v>
      </c>
      <c r="G679" s="782"/>
      <c r="H679" s="666"/>
      <c r="I679" s="889">
        <v>30.0</v>
      </c>
      <c r="J679" s="719">
        <v>0.0</v>
      </c>
      <c r="K679" s="720">
        <f t="shared" si="186"/>
        <v>30</v>
      </c>
      <c r="L679" s="720">
        <f t="shared" si="187"/>
        <v>180</v>
      </c>
      <c r="M679" s="721">
        <f t="shared" si="188"/>
        <v>54</v>
      </c>
      <c r="N679" s="659">
        <f t="shared" si="189"/>
        <v>0.3</v>
      </c>
      <c r="O679" s="722">
        <f t="shared" si="190"/>
        <v>0.2307692308</v>
      </c>
      <c r="P679" s="880"/>
      <c r="Q679" s="890" t="s">
        <v>7376</v>
      </c>
      <c r="R679" s="1"/>
      <c r="S679" s="729"/>
      <c r="T679" s="863"/>
      <c r="U679" s="422"/>
      <c r="V679" s="422"/>
      <c r="W679" s="422"/>
      <c r="X679" s="422"/>
      <c r="Y679" s="422"/>
    </row>
    <row r="680" ht="15.75" customHeight="1" outlineLevel="1">
      <c r="A680" s="641" t="s">
        <v>7377</v>
      </c>
      <c r="B680" s="798" t="s">
        <v>7378</v>
      </c>
      <c r="C680" s="643" t="s">
        <v>5636</v>
      </c>
      <c r="D680" s="644">
        <f>SUMIF('Orcamento RU Viora Build'!$A:$A,A680,'Orcamento RU Viora Build'!$F:$F)</f>
        <v>6</v>
      </c>
      <c r="E680" s="645">
        <f t="shared" si="184"/>
        <v>65</v>
      </c>
      <c r="F680" s="646">
        <f t="shared" si="185"/>
        <v>390</v>
      </c>
      <c r="G680" s="782"/>
      <c r="H680" s="666"/>
      <c r="I680" s="889">
        <v>50.0</v>
      </c>
      <c r="J680" s="719">
        <v>0.0</v>
      </c>
      <c r="K680" s="720">
        <f t="shared" si="186"/>
        <v>50</v>
      </c>
      <c r="L680" s="720">
        <f t="shared" si="187"/>
        <v>300</v>
      </c>
      <c r="M680" s="721">
        <f t="shared" si="188"/>
        <v>90</v>
      </c>
      <c r="N680" s="659">
        <f t="shared" si="189"/>
        <v>0.3</v>
      </c>
      <c r="O680" s="722">
        <f t="shared" si="190"/>
        <v>0.2307692308</v>
      </c>
      <c r="P680" s="880"/>
      <c r="Q680" s="890" t="s">
        <v>7379</v>
      </c>
      <c r="R680" s="1"/>
      <c r="S680" s="729"/>
      <c r="T680" s="863"/>
      <c r="U680" s="422"/>
      <c r="V680" s="422"/>
      <c r="W680" s="422"/>
      <c r="X680" s="422"/>
      <c r="Y680" s="422"/>
    </row>
    <row r="681" ht="15.75" customHeight="1" outlineLevel="1">
      <c r="A681" s="641" t="s">
        <v>7380</v>
      </c>
      <c r="B681" s="798" t="s">
        <v>7381</v>
      </c>
      <c r="C681" s="643" t="s">
        <v>5636</v>
      </c>
      <c r="D681" s="644">
        <f>SUMIF('Orcamento RU Viora Build'!$A:$A,A681,'Orcamento RU Viora Build'!$F:$F)</f>
        <v>1</v>
      </c>
      <c r="E681" s="645">
        <f t="shared" si="184"/>
        <v>91</v>
      </c>
      <c r="F681" s="646">
        <f t="shared" si="185"/>
        <v>91</v>
      </c>
      <c r="G681" s="782"/>
      <c r="H681" s="666"/>
      <c r="I681" s="889">
        <v>70.0</v>
      </c>
      <c r="J681" s="719">
        <v>0.0</v>
      </c>
      <c r="K681" s="720">
        <f t="shared" si="186"/>
        <v>70</v>
      </c>
      <c r="L681" s="720">
        <f t="shared" si="187"/>
        <v>70</v>
      </c>
      <c r="M681" s="721">
        <f t="shared" si="188"/>
        <v>21</v>
      </c>
      <c r="N681" s="659">
        <f t="shared" si="189"/>
        <v>0.3</v>
      </c>
      <c r="O681" s="722">
        <f t="shared" si="190"/>
        <v>0.2307692308</v>
      </c>
      <c r="P681" s="880"/>
      <c r="Q681" s="890" t="s">
        <v>7382</v>
      </c>
      <c r="R681" s="1"/>
      <c r="S681" s="729"/>
      <c r="T681" s="863"/>
      <c r="U681" s="422"/>
      <c r="V681" s="422"/>
      <c r="W681" s="422"/>
      <c r="X681" s="422"/>
      <c r="Y681" s="422"/>
    </row>
    <row r="682" ht="15.75" customHeight="1" outlineLevel="1">
      <c r="A682" s="641" t="s">
        <v>7383</v>
      </c>
      <c r="B682" s="798" t="s">
        <v>7384</v>
      </c>
      <c r="C682" s="643" t="s">
        <v>5636</v>
      </c>
      <c r="D682" s="644">
        <f>SUMIF('Orcamento RU Viora Build'!$A:$A,A682,'Orcamento RU Viora Build'!$F:$F)</f>
        <v>6</v>
      </c>
      <c r="E682" s="645">
        <f t="shared" si="184"/>
        <v>65</v>
      </c>
      <c r="F682" s="646">
        <f t="shared" si="185"/>
        <v>390</v>
      </c>
      <c r="G682" s="782"/>
      <c r="H682" s="666"/>
      <c r="I682" s="889">
        <v>50.0</v>
      </c>
      <c r="J682" s="719">
        <v>0.0</v>
      </c>
      <c r="K682" s="720">
        <f t="shared" si="186"/>
        <v>50</v>
      </c>
      <c r="L682" s="720">
        <f t="shared" si="187"/>
        <v>300</v>
      </c>
      <c r="M682" s="721">
        <f t="shared" si="188"/>
        <v>90</v>
      </c>
      <c r="N682" s="659">
        <f t="shared" si="189"/>
        <v>0.3</v>
      </c>
      <c r="O682" s="722">
        <f t="shared" si="190"/>
        <v>0.2307692308</v>
      </c>
      <c r="P682" s="880"/>
      <c r="Q682" s="890" t="s">
        <v>7385</v>
      </c>
      <c r="R682" s="1"/>
      <c r="S682" s="729"/>
      <c r="T682" s="863"/>
      <c r="U682" s="422"/>
      <c r="V682" s="422"/>
      <c r="W682" s="422"/>
      <c r="X682" s="422"/>
      <c r="Y682" s="422"/>
    </row>
    <row r="683" ht="15.75" customHeight="1" outlineLevel="1">
      <c r="A683" s="641" t="s">
        <v>7386</v>
      </c>
      <c r="B683" s="798" t="s">
        <v>7387</v>
      </c>
      <c r="C683" s="643" t="s">
        <v>5636</v>
      </c>
      <c r="D683" s="644">
        <f>SUMIF('Orcamento RU Viora Build'!$A:$A,A683,'Orcamento RU Viora Build'!$F:$F)</f>
        <v>7</v>
      </c>
      <c r="E683" s="645">
        <f t="shared" si="184"/>
        <v>65</v>
      </c>
      <c r="F683" s="646">
        <f t="shared" si="185"/>
        <v>455</v>
      </c>
      <c r="G683" s="782"/>
      <c r="H683" s="666"/>
      <c r="I683" s="889">
        <v>50.0</v>
      </c>
      <c r="J683" s="719">
        <v>0.0</v>
      </c>
      <c r="K683" s="720">
        <f t="shared" si="186"/>
        <v>50</v>
      </c>
      <c r="L683" s="720">
        <f t="shared" si="187"/>
        <v>350</v>
      </c>
      <c r="M683" s="721">
        <f t="shared" si="188"/>
        <v>105</v>
      </c>
      <c r="N683" s="659">
        <f t="shared" si="189"/>
        <v>0.3</v>
      </c>
      <c r="O683" s="722">
        <f t="shared" si="190"/>
        <v>0.2307692308</v>
      </c>
      <c r="P683" s="880"/>
      <c r="Q683" s="890" t="s">
        <v>7388</v>
      </c>
      <c r="R683" s="1"/>
      <c r="S683" s="729"/>
      <c r="T683" s="863"/>
      <c r="U683" s="422"/>
      <c r="V683" s="422"/>
      <c r="W683" s="422"/>
      <c r="X683" s="422"/>
      <c r="Y683" s="422"/>
    </row>
    <row r="684" ht="15.75" customHeight="1" outlineLevel="1">
      <c r="A684" s="641" t="s">
        <v>7389</v>
      </c>
      <c r="B684" s="798" t="s">
        <v>7390</v>
      </c>
      <c r="C684" s="643" t="s">
        <v>5636</v>
      </c>
      <c r="D684" s="644">
        <f>SUMIF('Orcamento RU Viora Build'!$A:$A,A684,'Orcamento RU Viora Build'!$F:$F)</f>
        <v>6</v>
      </c>
      <c r="E684" s="645">
        <f t="shared" si="184"/>
        <v>19.5</v>
      </c>
      <c r="F684" s="646">
        <f t="shared" si="185"/>
        <v>117</v>
      </c>
      <c r="G684" s="782"/>
      <c r="H684" s="666"/>
      <c r="I684" s="889">
        <v>15.0</v>
      </c>
      <c r="J684" s="719">
        <v>0.0</v>
      </c>
      <c r="K684" s="720">
        <f t="shared" si="186"/>
        <v>15</v>
      </c>
      <c r="L684" s="720">
        <f t="shared" si="187"/>
        <v>90</v>
      </c>
      <c r="M684" s="721">
        <f t="shared" si="188"/>
        <v>27</v>
      </c>
      <c r="N684" s="659">
        <f t="shared" si="189"/>
        <v>0.3</v>
      </c>
      <c r="O684" s="722">
        <f t="shared" si="190"/>
        <v>0.2307692308</v>
      </c>
      <c r="P684" s="880"/>
      <c r="Q684" s="890" t="s">
        <v>7391</v>
      </c>
      <c r="R684" s="1"/>
      <c r="S684" s="729"/>
      <c r="T684" s="863"/>
      <c r="U684" s="422"/>
      <c r="V684" s="422"/>
      <c r="W684" s="422"/>
      <c r="X684" s="422"/>
      <c r="Y684" s="422"/>
    </row>
    <row r="685" ht="15.75" customHeight="1" outlineLevel="1">
      <c r="A685" s="641" t="s">
        <v>7392</v>
      </c>
      <c r="B685" s="798" t="s">
        <v>7393</v>
      </c>
      <c r="C685" s="643" t="s">
        <v>5636</v>
      </c>
      <c r="D685" s="644">
        <f>SUMIF('Orcamento RU Viora Build'!$A:$A,A685,'Orcamento RU Viora Build'!$F:$F)</f>
        <v>11</v>
      </c>
      <c r="E685" s="645">
        <f t="shared" si="184"/>
        <v>23.4</v>
      </c>
      <c r="F685" s="646">
        <f t="shared" si="185"/>
        <v>257.4</v>
      </c>
      <c r="G685" s="782"/>
      <c r="H685" s="666"/>
      <c r="I685" s="889">
        <v>18.0</v>
      </c>
      <c r="J685" s="719">
        <v>0.0</v>
      </c>
      <c r="K685" s="720">
        <f t="shared" si="186"/>
        <v>18</v>
      </c>
      <c r="L685" s="720">
        <f t="shared" si="187"/>
        <v>198</v>
      </c>
      <c r="M685" s="721">
        <f t="shared" si="188"/>
        <v>59.4</v>
      </c>
      <c r="N685" s="659">
        <f t="shared" si="189"/>
        <v>0.3</v>
      </c>
      <c r="O685" s="722">
        <f t="shared" si="190"/>
        <v>0.2307692308</v>
      </c>
      <c r="P685" s="880"/>
      <c r="Q685" s="890" t="s">
        <v>7394</v>
      </c>
      <c r="R685" s="1"/>
      <c r="S685" s="729"/>
      <c r="T685" s="863"/>
      <c r="U685" s="422"/>
      <c r="V685" s="422"/>
      <c r="W685" s="422"/>
      <c r="X685" s="422"/>
      <c r="Y685" s="422"/>
    </row>
    <row r="686" ht="15.75" customHeight="1" outlineLevel="1">
      <c r="A686" s="641" t="s">
        <v>7395</v>
      </c>
      <c r="B686" s="798" t="s">
        <v>7396</v>
      </c>
      <c r="C686" s="643" t="s">
        <v>5636</v>
      </c>
      <c r="D686" s="644">
        <f>SUMIF('Orcamento RU Viora Build'!$A:$A,A686,'Orcamento RU Viora Build'!$F:$F)</f>
        <v>6</v>
      </c>
      <c r="E686" s="645">
        <f t="shared" si="184"/>
        <v>23.4</v>
      </c>
      <c r="F686" s="646">
        <f t="shared" si="185"/>
        <v>140.4</v>
      </c>
      <c r="G686" s="782"/>
      <c r="H686" s="666"/>
      <c r="I686" s="889">
        <v>18.0</v>
      </c>
      <c r="J686" s="719">
        <v>0.0</v>
      </c>
      <c r="K686" s="720">
        <f t="shared" si="186"/>
        <v>18</v>
      </c>
      <c r="L686" s="720">
        <f t="shared" si="187"/>
        <v>108</v>
      </c>
      <c r="M686" s="721">
        <f t="shared" si="188"/>
        <v>32.4</v>
      </c>
      <c r="N686" s="659">
        <f t="shared" si="189"/>
        <v>0.3</v>
      </c>
      <c r="O686" s="722">
        <f t="shared" si="190"/>
        <v>0.2307692308</v>
      </c>
      <c r="P686" s="880"/>
      <c r="Q686" s="890" t="s">
        <v>7397</v>
      </c>
      <c r="R686" s="1"/>
      <c r="S686" s="729"/>
      <c r="T686" s="863"/>
      <c r="U686" s="422"/>
      <c r="V686" s="422"/>
      <c r="W686" s="422"/>
      <c r="X686" s="422"/>
      <c r="Y686" s="422"/>
    </row>
    <row r="687" ht="15.75" customHeight="1" outlineLevel="1">
      <c r="A687" s="641" t="s">
        <v>7398</v>
      </c>
      <c r="B687" s="798" t="s">
        <v>7399</v>
      </c>
      <c r="C687" s="643" t="s">
        <v>5636</v>
      </c>
      <c r="D687" s="644">
        <f>SUMIF('Orcamento RU Viora Build'!$A:$A,A687,'Orcamento RU Viora Build'!$F:$F)</f>
        <v>1</v>
      </c>
      <c r="E687" s="645">
        <f t="shared" si="184"/>
        <v>156</v>
      </c>
      <c r="F687" s="646">
        <f t="shared" si="185"/>
        <v>156</v>
      </c>
      <c r="G687" s="782"/>
      <c r="H687" s="666"/>
      <c r="I687" s="889">
        <v>120.0</v>
      </c>
      <c r="J687" s="719">
        <v>0.0</v>
      </c>
      <c r="K687" s="720">
        <f t="shared" si="186"/>
        <v>120</v>
      </c>
      <c r="L687" s="720">
        <f t="shared" si="187"/>
        <v>120</v>
      </c>
      <c r="M687" s="721">
        <f t="shared" si="188"/>
        <v>36</v>
      </c>
      <c r="N687" s="659">
        <f t="shared" si="189"/>
        <v>0.3</v>
      </c>
      <c r="O687" s="722">
        <f t="shared" si="190"/>
        <v>0.2307692308</v>
      </c>
      <c r="P687" s="880"/>
      <c r="Q687" s="890" t="s">
        <v>7400</v>
      </c>
      <c r="R687" s="1"/>
      <c r="S687" s="729"/>
      <c r="T687" s="863"/>
      <c r="U687" s="422"/>
      <c r="V687" s="422"/>
      <c r="W687" s="422"/>
      <c r="X687" s="422"/>
      <c r="Y687" s="422"/>
    </row>
    <row r="688" ht="15.75" customHeight="1" outlineLevel="1">
      <c r="A688" s="641" t="s">
        <v>7401</v>
      </c>
      <c r="B688" s="798" t="s">
        <v>7402</v>
      </c>
      <c r="C688" s="643" t="s">
        <v>5635</v>
      </c>
      <c r="D688" s="644">
        <f>SUMIF('Orcamento RU Viora Build'!$A:$A,A688,'Orcamento RU Viora Build'!$F:$F)</f>
        <v>21.85</v>
      </c>
      <c r="E688" s="645">
        <f t="shared" si="184"/>
        <v>104</v>
      </c>
      <c r="F688" s="646">
        <f t="shared" si="185"/>
        <v>2272.4</v>
      </c>
      <c r="G688" s="782"/>
      <c r="H688" s="666"/>
      <c r="I688" s="889">
        <v>80.0</v>
      </c>
      <c r="J688" s="719">
        <v>0.0</v>
      </c>
      <c r="K688" s="720">
        <f t="shared" si="186"/>
        <v>80</v>
      </c>
      <c r="L688" s="720">
        <f t="shared" si="187"/>
        <v>1748</v>
      </c>
      <c r="M688" s="721">
        <f t="shared" si="188"/>
        <v>524.4</v>
      </c>
      <c r="N688" s="659">
        <f t="shared" si="189"/>
        <v>0.3</v>
      </c>
      <c r="O688" s="722">
        <f t="shared" si="190"/>
        <v>0.2307692308</v>
      </c>
      <c r="P688" s="880"/>
      <c r="Q688" s="890" t="s">
        <v>7403</v>
      </c>
      <c r="R688" s="1"/>
      <c r="S688" s="729"/>
      <c r="T688" s="863"/>
      <c r="U688" s="422"/>
      <c r="V688" s="422"/>
      <c r="W688" s="422"/>
      <c r="X688" s="422"/>
      <c r="Y688" s="422"/>
    </row>
    <row r="689" ht="15.75" customHeight="1" outlineLevel="1">
      <c r="A689" s="641" t="s">
        <v>7404</v>
      </c>
      <c r="B689" s="798" t="s">
        <v>7405</v>
      </c>
      <c r="C689" s="643" t="s">
        <v>5636</v>
      </c>
      <c r="D689" s="644">
        <f>SUMIF('Orcamento RU Viora Build'!$A:$A,A689,'Orcamento RU Viora Build'!$F:$F)</f>
        <v>2</v>
      </c>
      <c r="E689" s="645">
        <f t="shared" si="184"/>
        <v>26</v>
      </c>
      <c r="F689" s="646">
        <f t="shared" si="185"/>
        <v>52</v>
      </c>
      <c r="G689" s="782"/>
      <c r="H689" s="666"/>
      <c r="I689" s="889">
        <v>20.0</v>
      </c>
      <c r="J689" s="719">
        <v>0.0</v>
      </c>
      <c r="K689" s="720">
        <f t="shared" si="186"/>
        <v>20</v>
      </c>
      <c r="L689" s="720">
        <f t="shared" si="187"/>
        <v>40</v>
      </c>
      <c r="M689" s="721">
        <f t="shared" si="188"/>
        <v>12</v>
      </c>
      <c r="N689" s="659">
        <f t="shared" si="189"/>
        <v>0.3</v>
      </c>
      <c r="O689" s="722">
        <f t="shared" si="190"/>
        <v>0.2307692308</v>
      </c>
      <c r="P689" s="880"/>
      <c r="Q689" s="890" t="s">
        <v>7406</v>
      </c>
      <c r="R689" s="1"/>
      <c r="S689" s="729"/>
      <c r="T689" s="863"/>
      <c r="U689" s="422"/>
      <c r="V689" s="422"/>
      <c r="W689" s="422"/>
      <c r="X689" s="422"/>
      <c r="Y689" s="422"/>
    </row>
    <row r="690" ht="15.75" customHeight="1" outlineLevel="1">
      <c r="A690" s="641" t="s">
        <v>7407</v>
      </c>
      <c r="B690" s="798" t="s">
        <v>7408</v>
      </c>
      <c r="C690" s="643" t="s">
        <v>5635</v>
      </c>
      <c r="D690" s="644">
        <f>SUMIF('Orcamento RU Viora Build'!$A:$A,A690,'Orcamento RU Viora Build'!$F:$F)</f>
        <v>22.6</v>
      </c>
      <c r="E690" s="645">
        <f t="shared" si="184"/>
        <v>49.4</v>
      </c>
      <c r="F690" s="646">
        <f t="shared" si="185"/>
        <v>1116.44</v>
      </c>
      <c r="G690" s="782"/>
      <c r="H690" s="666"/>
      <c r="I690" s="889">
        <v>38.0</v>
      </c>
      <c r="J690" s="719">
        <v>0.0</v>
      </c>
      <c r="K690" s="720">
        <f t="shared" si="186"/>
        <v>38</v>
      </c>
      <c r="L690" s="720">
        <f t="shared" si="187"/>
        <v>858.8</v>
      </c>
      <c r="M690" s="721">
        <f t="shared" si="188"/>
        <v>257.64</v>
      </c>
      <c r="N690" s="659">
        <f t="shared" si="189"/>
        <v>0.3</v>
      </c>
      <c r="O690" s="722">
        <f t="shared" si="190"/>
        <v>0.2307692308</v>
      </c>
      <c r="P690" s="880"/>
      <c r="Q690" s="890" t="s">
        <v>7409</v>
      </c>
      <c r="R690" s="1"/>
      <c r="S690" s="729"/>
      <c r="T690" s="863"/>
      <c r="U690" s="422"/>
      <c r="V690" s="422"/>
      <c r="W690" s="422"/>
      <c r="X690" s="422"/>
      <c r="Y690" s="422"/>
    </row>
    <row r="691" ht="15.75" customHeight="1" outlineLevel="1">
      <c r="A691" s="641" t="s">
        <v>7410</v>
      </c>
      <c r="B691" s="798" t="s">
        <v>7411</v>
      </c>
      <c r="C691" s="643" t="s">
        <v>5636</v>
      </c>
      <c r="D691" s="644">
        <f>SUMIF('Orcamento RU Viora Build'!$A:$A,A691,'Orcamento RU Viora Build'!$F:$F)</f>
        <v>1</v>
      </c>
      <c r="E691" s="645">
        <f t="shared" si="184"/>
        <v>65</v>
      </c>
      <c r="F691" s="646">
        <f t="shared" si="185"/>
        <v>65</v>
      </c>
      <c r="G691" s="782"/>
      <c r="H691" s="666"/>
      <c r="I691" s="889">
        <v>50.0</v>
      </c>
      <c r="J691" s="719">
        <v>0.0</v>
      </c>
      <c r="K691" s="720">
        <f t="shared" si="186"/>
        <v>50</v>
      </c>
      <c r="L691" s="720">
        <f t="shared" si="187"/>
        <v>50</v>
      </c>
      <c r="M691" s="721">
        <f t="shared" si="188"/>
        <v>15</v>
      </c>
      <c r="N691" s="659">
        <f t="shared" si="189"/>
        <v>0.3</v>
      </c>
      <c r="O691" s="722">
        <f t="shared" si="190"/>
        <v>0.2307692308</v>
      </c>
      <c r="P691" s="880"/>
      <c r="Q691" s="890" t="s">
        <v>7412</v>
      </c>
      <c r="R691" s="1"/>
      <c r="S691" s="729"/>
      <c r="T691" s="863"/>
      <c r="U691" s="422"/>
      <c r="V691" s="422"/>
      <c r="W691" s="422"/>
      <c r="X691" s="422"/>
      <c r="Y691" s="422"/>
    </row>
    <row r="692" ht="15.75" customHeight="1" outlineLevel="1">
      <c r="A692" s="641" t="s">
        <v>7413</v>
      </c>
      <c r="B692" s="798" t="s">
        <v>7414</v>
      </c>
      <c r="C692" s="643" t="s">
        <v>5636</v>
      </c>
      <c r="D692" s="644">
        <f>SUMIF('Orcamento RU Viora Build'!$A:$A,A692,'Orcamento RU Viora Build'!$F:$F)</f>
        <v>1</v>
      </c>
      <c r="E692" s="645">
        <f t="shared" si="184"/>
        <v>39</v>
      </c>
      <c r="F692" s="646">
        <f t="shared" si="185"/>
        <v>39</v>
      </c>
      <c r="G692" s="782"/>
      <c r="H692" s="666"/>
      <c r="I692" s="889">
        <v>30.0</v>
      </c>
      <c r="J692" s="719">
        <v>0.0</v>
      </c>
      <c r="K692" s="720">
        <f t="shared" si="186"/>
        <v>30</v>
      </c>
      <c r="L692" s="720">
        <f t="shared" si="187"/>
        <v>30</v>
      </c>
      <c r="M692" s="721">
        <f t="shared" si="188"/>
        <v>9</v>
      </c>
      <c r="N692" s="659">
        <f t="shared" si="189"/>
        <v>0.3</v>
      </c>
      <c r="O692" s="722">
        <f t="shared" si="190"/>
        <v>0.2307692308</v>
      </c>
      <c r="P692" s="880"/>
      <c r="Q692" s="890" t="s">
        <v>7415</v>
      </c>
      <c r="R692" s="1"/>
      <c r="S692" s="729"/>
      <c r="T692" s="863"/>
      <c r="U692" s="422"/>
      <c r="V692" s="422"/>
      <c r="W692" s="422"/>
      <c r="X692" s="422"/>
      <c r="Y692" s="422"/>
    </row>
    <row r="693" ht="15.75" customHeight="1" outlineLevel="1">
      <c r="A693" s="641" t="s">
        <v>7416</v>
      </c>
      <c r="B693" s="798" t="s">
        <v>7417</v>
      </c>
      <c r="C693" s="643" t="s">
        <v>5631</v>
      </c>
      <c r="D693" s="644">
        <f>SUMIF('Orcamento RU Viora Build'!$A:$A,A693,'Orcamento RU Viora Build'!$F:$F)</f>
        <v>551.44</v>
      </c>
      <c r="E693" s="645">
        <f t="shared" si="184"/>
        <v>5.85</v>
      </c>
      <c r="F693" s="646">
        <f t="shared" si="185"/>
        <v>3225.924</v>
      </c>
      <c r="G693" s="782"/>
      <c r="H693" s="666"/>
      <c r="I693" s="889">
        <v>4.5</v>
      </c>
      <c r="J693" s="719">
        <v>0.0</v>
      </c>
      <c r="K693" s="720">
        <f t="shared" si="186"/>
        <v>4.5</v>
      </c>
      <c r="L693" s="720">
        <f t="shared" si="187"/>
        <v>2481.48</v>
      </c>
      <c r="M693" s="721">
        <f t="shared" si="188"/>
        <v>744.444</v>
      </c>
      <c r="N693" s="659">
        <f t="shared" si="189"/>
        <v>0.3</v>
      </c>
      <c r="O693" s="722">
        <f t="shared" si="190"/>
        <v>0.2307692308</v>
      </c>
      <c r="P693" s="880"/>
      <c r="Q693" s="890" t="s">
        <v>7418</v>
      </c>
      <c r="R693" s="1"/>
      <c r="S693" s="729"/>
      <c r="T693" s="863"/>
      <c r="U693" s="422"/>
      <c r="V693" s="422"/>
      <c r="W693" s="422"/>
      <c r="X693" s="422"/>
      <c r="Y693" s="422"/>
    </row>
    <row r="694" ht="15.75" customHeight="1" outlineLevel="1">
      <c r="A694" s="641" t="s">
        <v>7419</v>
      </c>
      <c r="B694" s="798" t="s">
        <v>7420</v>
      </c>
      <c r="C694" s="643" t="s">
        <v>5631</v>
      </c>
      <c r="D694" s="644">
        <f>SUMIF('Orcamento RU Viora Build'!$A:$A,A694,'Orcamento RU Viora Build'!$F:$F)</f>
        <v>256.67</v>
      </c>
      <c r="E694" s="645">
        <f t="shared" si="184"/>
        <v>7.15</v>
      </c>
      <c r="F694" s="646">
        <f t="shared" si="185"/>
        <v>1835.1905</v>
      </c>
      <c r="G694" s="782"/>
      <c r="H694" s="666"/>
      <c r="I694" s="889">
        <v>5.5</v>
      </c>
      <c r="J694" s="719">
        <v>0.0</v>
      </c>
      <c r="K694" s="720">
        <f t="shared" si="186"/>
        <v>5.5</v>
      </c>
      <c r="L694" s="720">
        <f t="shared" si="187"/>
        <v>1411.685</v>
      </c>
      <c r="M694" s="721">
        <f t="shared" si="188"/>
        <v>423.5055</v>
      </c>
      <c r="N694" s="659">
        <f t="shared" si="189"/>
        <v>0.3</v>
      </c>
      <c r="O694" s="722">
        <f t="shared" si="190"/>
        <v>0.2307692308</v>
      </c>
      <c r="P694" s="880"/>
      <c r="Q694" s="890" t="s">
        <v>7421</v>
      </c>
      <c r="R694" s="1"/>
      <c r="S694" s="729"/>
      <c r="T694" s="863"/>
      <c r="U694" s="422"/>
      <c r="V694" s="422"/>
      <c r="W694" s="422"/>
      <c r="X694" s="422"/>
      <c r="Y694" s="422"/>
    </row>
    <row r="695" ht="15.75" customHeight="1" outlineLevel="1">
      <c r="A695" s="641" t="s">
        <v>7422</v>
      </c>
      <c r="B695" s="798" t="s">
        <v>7423</v>
      </c>
      <c r="C695" s="643" t="s">
        <v>5631</v>
      </c>
      <c r="D695" s="644">
        <f>SUMIF('Orcamento RU Viora Build'!$A:$A,A695,'Orcamento RU Viora Build'!$F:$F)</f>
        <v>124.08</v>
      </c>
      <c r="E695" s="645">
        <f t="shared" si="184"/>
        <v>9.1</v>
      </c>
      <c r="F695" s="646">
        <f t="shared" si="185"/>
        <v>1129.128</v>
      </c>
      <c r="G695" s="782"/>
      <c r="H695" s="666"/>
      <c r="I695" s="889">
        <v>7.0</v>
      </c>
      <c r="J695" s="719">
        <v>0.0</v>
      </c>
      <c r="K695" s="720">
        <f t="shared" si="186"/>
        <v>7</v>
      </c>
      <c r="L695" s="720">
        <f t="shared" si="187"/>
        <v>868.56</v>
      </c>
      <c r="M695" s="721">
        <f t="shared" si="188"/>
        <v>260.568</v>
      </c>
      <c r="N695" s="659">
        <f t="shared" si="189"/>
        <v>0.3</v>
      </c>
      <c r="O695" s="722">
        <f t="shared" si="190"/>
        <v>0.2307692308</v>
      </c>
      <c r="P695" s="880"/>
      <c r="Q695" s="890" t="s">
        <v>7424</v>
      </c>
      <c r="R695" s="1"/>
      <c r="S695" s="729"/>
      <c r="T695" s="863"/>
      <c r="U695" s="422"/>
      <c r="V695" s="422"/>
      <c r="W695" s="422"/>
      <c r="X695" s="422"/>
      <c r="Y695" s="422"/>
    </row>
    <row r="696" ht="15.75" customHeight="1" outlineLevel="1">
      <c r="A696" s="641" t="s">
        <v>7425</v>
      </c>
      <c r="B696" s="798" t="s">
        <v>7426</v>
      </c>
      <c r="C696" s="643" t="s">
        <v>5631</v>
      </c>
      <c r="D696" s="644">
        <f>SUMIF('Orcamento RU Viora Build'!$A:$A,A696,'Orcamento RU Viora Build'!$F:$F)</f>
        <v>87.02</v>
      </c>
      <c r="E696" s="645">
        <f t="shared" si="184"/>
        <v>10.4</v>
      </c>
      <c r="F696" s="646">
        <f t="shared" si="185"/>
        <v>905.008</v>
      </c>
      <c r="G696" s="782"/>
      <c r="H696" s="666"/>
      <c r="I696" s="889">
        <v>8.0</v>
      </c>
      <c r="J696" s="719">
        <v>0.0</v>
      </c>
      <c r="K696" s="720">
        <f t="shared" si="186"/>
        <v>8</v>
      </c>
      <c r="L696" s="720">
        <f t="shared" si="187"/>
        <v>696.16</v>
      </c>
      <c r="M696" s="721">
        <f t="shared" si="188"/>
        <v>208.848</v>
      </c>
      <c r="N696" s="659">
        <f t="shared" si="189"/>
        <v>0.3</v>
      </c>
      <c r="O696" s="722">
        <f t="shared" si="190"/>
        <v>0.2307692308</v>
      </c>
      <c r="P696" s="880"/>
      <c r="Q696" s="890" t="s">
        <v>7427</v>
      </c>
      <c r="R696" s="1"/>
      <c r="S696" s="729"/>
      <c r="T696" s="863"/>
      <c r="U696" s="422"/>
      <c r="V696" s="422"/>
      <c r="W696" s="422"/>
      <c r="X696" s="422"/>
      <c r="Y696" s="422"/>
    </row>
    <row r="697" ht="15.75" customHeight="1" outlineLevel="1">
      <c r="A697" s="641" t="s">
        <v>7428</v>
      </c>
      <c r="B697" s="798" t="s">
        <v>7429</v>
      </c>
      <c r="C697" s="643" t="s">
        <v>5631</v>
      </c>
      <c r="D697" s="644">
        <f>SUMIF('Orcamento RU Viora Build'!$A:$A,A697,'Orcamento RU Viora Build'!$F:$F)</f>
        <v>166.96</v>
      </c>
      <c r="E697" s="645">
        <f t="shared" si="184"/>
        <v>13</v>
      </c>
      <c r="F697" s="646">
        <f t="shared" si="185"/>
        <v>2170.48</v>
      </c>
      <c r="G697" s="782"/>
      <c r="H697" s="666"/>
      <c r="I697" s="889">
        <v>10.0</v>
      </c>
      <c r="J697" s="719">
        <v>0.0</v>
      </c>
      <c r="K697" s="720">
        <f t="shared" si="186"/>
        <v>10</v>
      </c>
      <c r="L697" s="720">
        <f t="shared" si="187"/>
        <v>1669.6</v>
      </c>
      <c r="M697" s="721">
        <f t="shared" si="188"/>
        <v>500.88</v>
      </c>
      <c r="N697" s="659">
        <f t="shared" si="189"/>
        <v>0.3</v>
      </c>
      <c r="O697" s="722">
        <f t="shared" si="190"/>
        <v>0.2307692308</v>
      </c>
      <c r="P697" s="880"/>
      <c r="Q697" s="890" t="s">
        <v>7430</v>
      </c>
      <c r="R697" s="1"/>
      <c r="S697" s="729"/>
      <c r="T697" s="863"/>
      <c r="U697" s="422"/>
      <c r="V697" s="422"/>
      <c r="W697" s="422"/>
      <c r="X697" s="422"/>
      <c r="Y697" s="422"/>
    </row>
    <row r="698" ht="15.75" customHeight="1" outlineLevel="1">
      <c r="A698" s="641" t="s">
        <v>7431</v>
      </c>
      <c r="B698" s="798" t="s">
        <v>7432</v>
      </c>
      <c r="C698" s="643" t="s">
        <v>5631</v>
      </c>
      <c r="D698" s="644">
        <f>SUMIF('Orcamento RU Viora Build'!$A:$A,A698,'Orcamento RU Viora Build'!$F:$F)</f>
        <v>19.19</v>
      </c>
      <c r="E698" s="645">
        <f t="shared" si="184"/>
        <v>7.8</v>
      </c>
      <c r="F698" s="646">
        <f t="shared" si="185"/>
        <v>149.682</v>
      </c>
      <c r="G698" s="782"/>
      <c r="H698" s="666"/>
      <c r="I698" s="889">
        <v>6.0</v>
      </c>
      <c r="J698" s="719">
        <v>0.0</v>
      </c>
      <c r="K698" s="720">
        <f t="shared" si="186"/>
        <v>6</v>
      </c>
      <c r="L698" s="720">
        <f t="shared" si="187"/>
        <v>115.14</v>
      </c>
      <c r="M698" s="721">
        <f t="shared" si="188"/>
        <v>34.542</v>
      </c>
      <c r="N698" s="659">
        <f t="shared" si="189"/>
        <v>0.3</v>
      </c>
      <c r="O698" s="722">
        <f t="shared" si="190"/>
        <v>0.2307692308</v>
      </c>
      <c r="P698" s="880"/>
      <c r="Q698" s="890" t="s">
        <v>7433</v>
      </c>
      <c r="R698" s="1"/>
      <c r="S698" s="729"/>
      <c r="T698" s="863"/>
      <c r="U698" s="422"/>
      <c r="V698" s="422"/>
      <c r="W698" s="422"/>
      <c r="X698" s="422"/>
      <c r="Y698" s="422"/>
    </row>
    <row r="699" ht="15.75" customHeight="1" outlineLevel="1">
      <c r="A699" s="641" t="s">
        <v>7434</v>
      </c>
      <c r="B699" s="798" t="s">
        <v>7435</v>
      </c>
      <c r="C699" s="643" t="s">
        <v>5631</v>
      </c>
      <c r="D699" s="644">
        <f>SUMIF('Orcamento RU Viora Build'!$A:$A,A699,'Orcamento RU Viora Build'!$F:$F)</f>
        <v>13.91</v>
      </c>
      <c r="E699" s="645">
        <f t="shared" si="184"/>
        <v>10.4</v>
      </c>
      <c r="F699" s="646">
        <f t="shared" si="185"/>
        <v>144.664</v>
      </c>
      <c r="G699" s="782"/>
      <c r="H699" s="666"/>
      <c r="I699" s="889">
        <v>8.0</v>
      </c>
      <c r="J699" s="719">
        <v>0.0</v>
      </c>
      <c r="K699" s="720">
        <f t="shared" si="186"/>
        <v>8</v>
      </c>
      <c r="L699" s="720">
        <f t="shared" si="187"/>
        <v>111.28</v>
      </c>
      <c r="M699" s="721">
        <f t="shared" si="188"/>
        <v>33.384</v>
      </c>
      <c r="N699" s="659">
        <f t="shared" si="189"/>
        <v>0.3</v>
      </c>
      <c r="O699" s="722">
        <f t="shared" si="190"/>
        <v>0.2307692308</v>
      </c>
      <c r="P699" s="880"/>
      <c r="Q699" s="890" t="s">
        <v>7436</v>
      </c>
      <c r="R699" s="1"/>
      <c r="S699" s="729"/>
      <c r="T699" s="863"/>
      <c r="U699" s="422"/>
      <c r="V699" s="422"/>
      <c r="W699" s="422"/>
      <c r="X699" s="422"/>
      <c r="Y699" s="422"/>
    </row>
    <row r="700" ht="15.75" customHeight="1" outlineLevel="1">
      <c r="A700" s="641" t="s">
        <v>7437</v>
      </c>
      <c r="B700" s="798" t="s">
        <v>7438</v>
      </c>
      <c r="C700" s="643" t="s">
        <v>5631</v>
      </c>
      <c r="D700" s="644">
        <f>SUMIF('Orcamento RU Viora Build'!$A:$A,A700,'Orcamento RU Viora Build'!$F:$F)</f>
        <v>15.56</v>
      </c>
      <c r="E700" s="645">
        <f t="shared" si="184"/>
        <v>7.8</v>
      </c>
      <c r="F700" s="646">
        <f t="shared" si="185"/>
        <v>121.368</v>
      </c>
      <c r="G700" s="782"/>
      <c r="H700" s="666"/>
      <c r="I700" s="889">
        <v>6.0</v>
      </c>
      <c r="J700" s="719">
        <v>0.0</v>
      </c>
      <c r="K700" s="720">
        <f t="shared" si="186"/>
        <v>6</v>
      </c>
      <c r="L700" s="720">
        <f t="shared" si="187"/>
        <v>93.36</v>
      </c>
      <c r="M700" s="721">
        <f t="shared" si="188"/>
        <v>28.008</v>
      </c>
      <c r="N700" s="659">
        <f t="shared" si="189"/>
        <v>0.3</v>
      </c>
      <c r="O700" s="722">
        <f t="shared" si="190"/>
        <v>0.2307692308</v>
      </c>
      <c r="P700" s="880"/>
      <c r="Q700" s="890" t="s">
        <v>7439</v>
      </c>
      <c r="R700" s="1"/>
      <c r="S700" s="729"/>
      <c r="T700" s="863"/>
      <c r="U700" s="422"/>
      <c r="V700" s="422"/>
      <c r="W700" s="422"/>
      <c r="X700" s="422"/>
      <c r="Y700" s="422"/>
    </row>
    <row r="701" ht="15.75" customHeight="1" outlineLevel="1">
      <c r="A701" s="641" t="s">
        <v>7440</v>
      </c>
      <c r="B701" s="798" t="s">
        <v>7441</v>
      </c>
      <c r="C701" s="643" t="s">
        <v>5631</v>
      </c>
      <c r="D701" s="644">
        <f>SUMIF('Orcamento RU Viora Build'!$A:$A,A701,'Orcamento RU Viora Build'!$F:$F)</f>
        <v>51.98</v>
      </c>
      <c r="E701" s="645">
        <f t="shared" si="184"/>
        <v>9.1</v>
      </c>
      <c r="F701" s="646">
        <f t="shared" si="185"/>
        <v>473.018</v>
      </c>
      <c r="G701" s="782"/>
      <c r="H701" s="666"/>
      <c r="I701" s="889">
        <v>7.0</v>
      </c>
      <c r="J701" s="719">
        <v>0.0</v>
      </c>
      <c r="K701" s="720">
        <f t="shared" si="186"/>
        <v>7</v>
      </c>
      <c r="L701" s="720">
        <f t="shared" si="187"/>
        <v>363.86</v>
      </c>
      <c r="M701" s="721">
        <f t="shared" si="188"/>
        <v>109.158</v>
      </c>
      <c r="N701" s="659">
        <f t="shared" si="189"/>
        <v>0.3</v>
      </c>
      <c r="O701" s="722">
        <f t="shared" si="190"/>
        <v>0.2307692308</v>
      </c>
      <c r="P701" s="880"/>
      <c r="Q701" s="890" t="s">
        <v>7442</v>
      </c>
      <c r="R701" s="1"/>
      <c r="S701" s="729"/>
      <c r="T701" s="863"/>
      <c r="U701" s="422"/>
      <c r="V701" s="422"/>
      <c r="W701" s="422"/>
      <c r="X701" s="422"/>
      <c r="Y701" s="422"/>
    </row>
    <row r="702" ht="15.75" customHeight="1" outlineLevel="1">
      <c r="A702" s="641" t="s">
        <v>7443</v>
      </c>
      <c r="B702" s="798" t="s">
        <v>7444</v>
      </c>
      <c r="C702" s="643" t="s">
        <v>5631</v>
      </c>
      <c r="D702" s="644">
        <f>SUMIF('Orcamento RU Viora Build'!$A:$A,A702,'Orcamento RU Viora Build'!$F:$F)</f>
        <v>36.35</v>
      </c>
      <c r="E702" s="645">
        <f t="shared" si="184"/>
        <v>11.05</v>
      </c>
      <c r="F702" s="646">
        <f t="shared" si="185"/>
        <v>401.6675</v>
      </c>
      <c r="G702" s="782"/>
      <c r="H702" s="666"/>
      <c r="I702" s="889">
        <v>8.5</v>
      </c>
      <c r="J702" s="719">
        <v>0.0</v>
      </c>
      <c r="K702" s="720">
        <f t="shared" si="186"/>
        <v>8.5</v>
      </c>
      <c r="L702" s="720">
        <f t="shared" si="187"/>
        <v>308.975</v>
      </c>
      <c r="M702" s="721">
        <f t="shared" si="188"/>
        <v>92.6925</v>
      </c>
      <c r="N702" s="659">
        <f t="shared" si="189"/>
        <v>0.3</v>
      </c>
      <c r="O702" s="722">
        <f t="shared" si="190"/>
        <v>0.2307692308</v>
      </c>
      <c r="P702" s="880"/>
      <c r="Q702" s="890" t="s">
        <v>7445</v>
      </c>
      <c r="R702" s="1"/>
      <c r="S702" s="729"/>
      <c r="T702" s="863"/>
      <c r="U702" s="422"/>
      <c r="V702" s="422"/>
      <c r="W702" s="422"/>
      <c r="X702" s="422"/>
      <c r="Y702" s="422"/>
    </row>
    <row r="703" ht="15.75" customHeight="1" outlineLevel="1">
      <c r="A703" s="641" t="s">
        <v>7446</v>
      </c>
      <c r="B703" s="798" t="s">
        <v>7447</v>
      </c>
      <c r="C703" s="643" t="s">
        <v>5631</v>
      </c>
      <c r="D703" s="644">
        <f>SUMIF('Orcamento RU Viora Build'!$A:$A,A703,'Orcamento RU Viora Build'!$F:$F)</f>
        <v>164.27</v>
      </c>
      <c r="E703" s="645">
        <f t="shared" si="184"/>
        <v>12.35</v>
      </c>
      <c r="F703" s="646">
        <f t="shared" si="185"/>
        <v>2028.7345</v>
      </c>
      <c r="G703" s="782"/>
      <c r="H703" s="666"/>
      <c r="I703" s="889">
        <v>9.5</v>
      </c>
      <c r="J703" s="719">
        <v>0.0</v>
      </c>
      <c r="K703" s="720">
        <f t="shared" si="186"/>
        <v>9.5</v>
      </c>
      <c r="L703" s="720">
        <f t="shared" si="187"/>
        <v>1560.565</v>
      </c>
      <c r="M703" s="721">
        <f t="shared" si="188"/>
        <v>468.1695</v>
      </c>
      <c r="N703" s="659">
        <f t="shared" si="189"/>
        <v>0.3</v>
      </c>
      <c r="O703" s="722">
        <f t="shared" si="190"/>
        <v>0.2307692308</v>
      </c>
      <c r="P703" s="880"/>
      <c r="Q703" s="890" t="s">
        <v>7448</v>
      </c>
      <c r="R703" s="1"/>
      <c r="S703" s="729"/>
      <c r="T703" s="863"/>
      <c r="U703" s="422"/>
      <c r="V703" s="422"/>
      <c r="W703" s="422"/>
      <c r="X703" s="422"/>
      <c r="Y703" s="422"/>
    </row>
    <row r="704" ht="15.75" customHeight="1" outlineLevel="1">
      <c r="A704" s="641" t="s">
        <v>7449</v>
      </c>
      <c r="B704" s="798" t="s">
        <v>7450</v>
      </c>
      <c r="C704" s="643" t="s">
        <v>5631</v>
      </c>
      <c r="D704" s="644">
        <f>SUMIF('Orcamento RU Viora Build'!$A:$A,A704,'Orcamento RU Viora Build'!$F:$F)</f>
        <v>17.62</v>
      </c>
      <c r="E704" s="645">
        <f t="shared" si="184"/>
        <v>11.05</v>
      </c>
      <c r="F704" s="646">
        <f t="shared" si="185"/>
        <v>194.701</v>
      </c>
      <c r="G704" s="782"/>
      <c r="H704" s="666"/>
      <c r="I704" s="889">
        <v>8.5</v>
      </c>
      <c r="J704" s="719">
        <v>0.0</v>
      </c>
      <c r="K704" s="720">
        <f t="shared" si="186"/>
        <v>8.5</v>
      </c>
      <c r="L704" s="720">
        <f t="shared" si="187"/>
        <v>149.77</v>
      </c>
      <c r="M704" s="721">
        <f t="shared" si="188"/>
        <v>44.931</v>
      </c>
      <c r="N704" s="659">
        <f t="shared" si="189"/>
        <v>0.3</v>
      </c>
      <c r="O704" s="722">
        <f t="shared" si="190"/>
        <v>0.2307692308</v>
      </c>
      <c r="P704" s="880"/>
      <c r="Q704" s="890" t="s">
        <v>7451</v>
      </c>
      <c r="R704" s="1"/>
      <c r="S704" s="729"/>
      <c r="T704" s="863"/>
      <c r="U704" s="422"/>
      <c r="V704" s="422"/>
      <c r="W704" s="422"/>
      <c r="X704" s="422"/>
      <c r="Y704" s="422"/>
    </row>
    <row r="705" ht="15.75" customHeight="1" outlineLevel="1">
      <c r="A705" s="641" t="s">
        <v>7452</v>
      </c>
      <c r="B705" s="798" t="s">
        <v>7453</v>
      </c>
      <c r="C705" s="643" t="s">
        <v>5631</v>
      </c>
      <c r="D705" s="644">
        <f>SUMIF('Orcamento RU Viora Build'!$A:$A,A705,'Orcamento RU Viora Build'!$F:$F)</f>
        <v>12.6</v>
      </c>
      <c r="E705" s="645">
        <f t="shared" si="184"/>
        <v>14.3</v>
      </c>
      <c r="F705" s="646">
        <f t="shared" si="185"/>
        <v>180.18</v>
      </c>
      <c r="G705" s="782"/>
      <c r="H705" s="666"/>
      <c r="I705" s="889">
        <v>11.0</v>
      </c>
      <c r="J705" s="719">
        <v>0.0</v>
      </c>
      <c r="K705" s="720">
        <f t="shared" si="186"/>
        <v>11</v>
      </c>
      <c r="L705" s="720">
        <f t="shared" si="187"/>
        <v>138.6</v>
      </c>
      <c r="M705" s="721">
        <f t="shared" si="188"/>
        <v>41.58</v>
      </c>
      <c r="N705" s="659">
        <f t="shared" si="189"/>
        <v>0.3</v>
      </c>
      <c r="O705" s="722">
        <f t="shared" si="190"/>
        <v>0.2307692308</v>
      </c>
      <c r="P705" s="880"/>
      <c r="Q705" s="890" t="s">
        <v>7454</v>
      </c>
      <c r="R705" s="1"/>
      <c r="S705" s="729"/>
      <c r="T705" s="863"/>
      <c r="U705" s="422"/>
      <c r="V705" s="422"/>
      <c r="W705" s="422"/>
      <c r="X705" s="422"/>
      <c r="Y705" s="422"/>
    </row>
    <row r="706" ht="15.75" customHeight="1" outlineLevel="1">
      <c r="A706" s="641" t="s">
        <v>7455</v>
      </c>
      <c r="B706" s="798" t="s">
        <v>7456</v>
      </c>
      <c r="C706" s="643" t="s">
        <v>5631</v>
      </c>
      <c r="D706" s="644">
        <f>SUMIF('Orcamento RU Viora Build'!$A:$A,A706,'Orcamento RU Viora Build'!$F:$F)</f>
        <v>8.24</v>
      </c>
      <c r="E706" s="645">
        <f t="shared" si="184"/>
        <v>14.3</v>
      </c>
      <c r="F706" s="646">
        <f t="shared" si="185"/>
        <v>117.832</v>
      </c>
      <c r="G706" s="782"/>
      <c r="H706" s="666"/>
      <c r="I706" s="889">
        <v>11.0</v>
      </c>
      <c r="J706" s="719">
        <v>0.0</v>
      </c>
      <c r="K706" s="720">
        <f t="shared" si="186"/>
        <v>11</v>
      </c>
      <c r="L706" s="720">
        <f t="shared" si="187"/>
        <v>90.64</v>
      </c>
      <c r="M706" s="721">
        <f t="shared" si="188"/>
        <v>27.192</v>
      </c>
      <c r="N706" s="659">
        <f t="shared" si="189"/>
        <v>0.3</v>
      </c>
      <c r="O706" s="722">
        <f t="shared" si="190"/>
        <v>0.2307692308</v>
      </c>
      <c r="P706" s="880"/>
      <c r="Q706" s="890" t="s">
        <v>7457</v>
      </c>
      <c r="R706" s="1"/>
      <c r="S706" s="729"/>
      <c r="T706" s="863"/>
      <c r="U706" s="422"/>
      <c r="V706" s="422"/>
      <c r="W706" s="422"/>
      <c r="X706" s="422"/>
      <c r="Y706" s="422"/>
    </row>
    <row r="707" ht="15.75" customHeight="1" outlineLevel="1">
      <c r="A707" s="641" t="s">
        <v>7458</v>
      </c>
      <c r="B707" s="798" t="s">
        <v>7459</v>
      </c>
      <c r="C707" s="643" t="s">
        <v>5636</v>
      </c>
      <c r="D707" s="644">
        <f>SUMIF('Orcamento RU Viora Build'!$A:$A,A707,'Orcamento RU Viora Build'!$F:$F)</f>
        <v>2</v>
      </c>
      <c r="E707" s="645">
        <f t="shared" si="184"/>
        <v>39</v>
      </c>
      <c r="F707" s="646">
        <f t="shared" si="185"/>
        <v>78</v>
      </c>
      <c r="G707" s="782"/>
      <c r="H707" s="666"/>
      <c r="I707" s="889">
        <v>30.0</v>
      </c>
      <c r="J707" s="719">
        <v>0.0</v>
      </c>
      <c r="K707" s="720">
        <f t="shared" si="186"/>
        <v>30</v>
      </c>
      <c r="L707" s="720">
        <f t="shared" si="187"/>
        <v>60</v>
      </c>
      <c r="M707" s="721">
        <f t="shared" si="188"/>
        <v>18</v>
      </c>
      <c r="N707" s="659">
        <f t="shared" si="189"/>
        <v>0.3</v>
      </c>
      <c r="O707" s="722">
        <f t="shared" si="190"/>
        <v>0.2307692308</v>
      </c>
      <c r="P707" s="880"/>
      <c r="Q707" s="890" t="s">
        <v>7460</v>
      </c>
      <c r="R707" s="1"/>
      <c r="S707" s="729"/>
      <c r="T707" s="863"/>
      <c r="U707" s="422"/>
      <c r="V707" s="422"/>
      <c r="W707" s="422"/>
      <c r="X707" s="422"/>
      <c r="Y707" s="422"/>
    </row>
    <row r="708" ht="15.75" customHeight="1" outlineLevel="1">
      <c r="A708" s="641" t="s">
        <v>7461</v>
      </c>
      <c r="B708" s="798" t="s">
        <v>7462</v>
      </c>
      <c r="C708" s="643" t="s">
        <v>5636</v>
      </c>
      <c r="D708" s="644">
        <f>SUMIF('Orcamento RU Viora Build'!$A:$A,A708,'Orcamento RU Viora Build'!$F:$F)</f>
        <v>2</v>
      </c>
      <c r="E708" s="645">
        <f t="shared" si="184"/>
        <v>58.5</v>
      </c>
      <c r="F708" s="646">
        <f t="shared" si="185"/>
        <v>117</v>
      </c>
      <c r="G708" s="782"/>
      <c r="H708" s="666"/>
      <c r="I708" s="889">
        <v>45.0</v>
      </c>
      <c r="J708" s="719">
        <v>0.0</v>
      </c>
      <c r="K708" s="720">
        <f t="shared" si="186"/>
        <v>45</v>
      </c>
      <c r="L708" s="720">
        <f t="shared" si="187"/>
        <v>90</v>
      </c>
      <c r="M708" s="721">
        <f t="shared" si="188"/>
        <v>27</v>
      </c>
      <c r="N708" s="659">
        <f t="shared" si="189"/>
        <v>0.3</v>
      </c>
      <c r="O708" s="722">
        <f t="shared" si="190"/>
        <v>0.2307692308</v>
      </c>
      <c r="P708" s="880"/>
      <c r="Q708" s="890" t="s">
        <v>7463</v>
      </c>
      <c r="R708" s="1"/>
      <c r="S708" s="729"/>
      <c r="T708" s="863"/>
      <c r="U708" s="422"/>
      <c r="V708" s="422"/>
      <c r="W708" s="422"/>
      <c r="X708" s="422"/>
      <c r="Y708" s="422"/>
    </row>
    <row r="709" ht="15.75" customHeight="1" outlineLevel="1">
      <c r="A709" s="641" t="s">
        <v>7464</v>
      </c>
      <c r="B709" s="798" t="s">
        <v>7465</v>
      </c>
      <c r="C709" s="643" t="s">
        <v>5636</v>
      </c>
      <c r="D709" s="644">
        <f>SUMIF('Orcamento RU Viora Build'!$A:$A,A709,'Orcamento RU Viora Build'!$F:$F)</f>
        <v>1</v>
      </c>
      <c r="E709" s="645">
        <f t="shared" si="184"/>
        <v>156</v>
      </c>
      <c r="F709" s="646">
        <f t="shared" si="185"/>
        <v>156</v>
      </c>
      <c r="G709" s="782"/>
      <c r="H709" s="666"/>
      <c r="I709" s="889">
        <v>120.0</v>
      </c>
      <c r="J709" s="719">
        <v>0.0</v>
      </c>
      <c r="K709" s="720">
        <f t="shared" si="186"/>
        <v>120</v>
      </c>
      <c r="L709" s="720">
        <f t="shared" si="187"/>
        <v>120</v>
      </c>
      <c r="M709" s="721">
        <f t="shared" si="188"/>
        <v>36</v>
      </c>
      <c r="N709" s="659">
        <f t="shared" si="189"/>
        <v>0.3</v>
      </c>
      <c r="O709" s="722">
        <f t="shared" si="190"/>
        <v>0.2307692308</v>
      </c>
      <c r="P709" s="880"/>
      <c r="Q709" s="890" t="s">
        <v>7466</v>
      </c>
      <c r="R709" s="1"/>
      <c r="S709" s="729"/>
      <c r="T709" s="863"/>
      <c r="U709" s="422"/>
      <c r="V709" s="422"/>
      <c r="W709" s="422"/>
      <c r="X709" s="422"/>
      <c r="Y709" s="422"/>
    </row>
    <row r="710" ht="15.75" customHeight="1" outlineLevel="1">
      <c r="A710" s="641" t="s">
        <v>7467</v>
      </c>
      <c r="B710" s="798" t="s">
        <v>7468</v>
      </c>
      <c r="C710" s="643" t="s">
        <v>5636</v>
      </c>
      <c r="D710" s="644">
        <f>SUMIF('Orcamento RU Viora Build'!$A:$A,A710,'Orcamento RU Viora Build'!$F:$F)</f>
        <v>1</v>
      </c>
      <c r="E710" s="645">
        <f t="shared" si="184"/>
        <v>71.5</v>
      </c>
      <c r="F710" s="646">
        <f t="shared" si="185"/>
        <v>71.5</v>
      </c>
      <c r="G710" s="782"/>
      <c r="H710" s="666"/>
      <c r="I710" s="889">
        <v>55.0</v>
      </c>
      <c r="J710" s="719">
        <v>0.0</v>
      </c>
      <c r="K710" s="720">
        <f t="shared" si="186"/>
        <v>55</v>
      </c>
      <c r="L710" s="720">
        <f t="shared" si="187"/>
        <v>55</v>
      </c>
      <c r="M710" s="721">
        <f t="shared" si="188"/>
        <v>16.5</v>
      </c>
      <c r="N710" s="659">
        <f t="shared" si="189"/>
        <v>0.3</v>
      </c>
      <c r="O710" s="722">
        <f t="shared" si="190"/>
        <v>0.2307692308</v>
      </c>
      <c r="P710" s="880"/>
      <c r="Q710" s="890" t="s">
        <v>7469</v>
      </c>
      <c r="R710" s="1"/>
      <c r="S710" s="729"/>
      <c r="T710" s="863"/>
      <c r="U710" s="422"/>
      <c r="V710" s="422"/>
      <c r="W710" s="422"/>
      <c r="X710" s="422"/>
      <c r="Y710" s="422"/>
    </row>
    <row r="711" ht="15.75" customHeight="1" outlineLevel="1">
      <c r="A711" s="641" t="s">
        <v>7470</v>
      </c>
      <c r="B711" s="798" t="s">
        <v>7471</v>
      </c>
      <c r="C711" s="643" t="s">
        <v>5636</v>
      </c>
      <c r="D711" s="644">
        <f>SUMIF('Orcamento RU Viora Build'!$A:$A,A711,'Orcamento RU Viora Build'!$F:$F)</f>
        <v>1</v>
      </c>
      <c r="E711" s="645">
        <f t="shared" si="184"/>
        <v>234</v>
      </c>
      <c r="F711" s="646">
        <f t="shared" si="185"/>
        <v>234</v>
      </c>
      <c r="G711" s="782"/>
      <c r="H711" s="666"/>
      <c r="I711" s="889">
        <v>180.0</v>
      </c>
      <c r="J711" s="719">
        <v>0.0</v>
      </c>
      <c r="K711" s="720">
        <f t="shared" si="186"/>
        <v>180</v>
      </c>
      <c r="L711" s="720">
        <f t="shared" si="187"/>
        <v>180</v>
      </c>
      <c r="M711" s="721">
        <f t="shared" si="188"/>
        <v>54</v>
      </c>
      <c r="N711" s="659">
        <f t="shared" si="189"/>
        <v>0.3</v>
      </c>
      <c r="O711" s="722">
        <f t="shared" si="190"/>
        <v>0.2307692308</v>
      </c>
      <c r="P711" s="880"/>
      <c r="Q711" s="890" t="s">
        <v>7472</v>
      </c>
      <c r="R711" s="1"/>
      <c r="S711" s="729"/>
      <c r="T711" s="863"/>
      <c r="U711" s="422"/>
      <c r="V711" s="422"/>
      <c r="W711" s="422"/>
      <c r="X711" s="422"/>
      <c r="Y711" s="422"/>
    </row>
    <row r="712" ht="15.75" customHeight="1" outlineLevel="1">
      <c r="A712" s="641" t="s">
        <v>7473</v>
      </c>
      <c r="B712" s="798" t="s">
        <v>7474</v>
      </c>
      <c r="C712" s="643" t="s">
        <v>5636</v>
      </c>
      <c r="D712" s="644">
        <f>SUMIF('Orcamento RU Viora Build'!$A:$A,A712,'Orcamento RU Viora Build'!$F:$F)</f>
        <v>1</v>
      </c>
      <c r="E712" s="645">
        <f t="shared" si="184"/>
        <v>1105</v>
      </c>
      <c r="F712" s="646">
        <f t="shared" si="185"/>
        <v>1105</v>
      </c>
      <c r="G712" s="782"/>
      <c r="H712" s="666"/>
      <c r="I712" s="889">
        <v>850.0</v>
      </c>
      <c r="J712" s="719">
        <v>0.0</v>
      </c>
      <c r="K712" s="720">
        <f t="shared" si="186"/>
        <v>850</v>
      </c>
      <c r="L712" s="720">
        <f t="shared" si="187"/>
        <v>850</v>
      </c>
      <c r="M712" s="721">
        <f t="shared" si="188"/>
        <v>255</v>
      </c>
      <c r="N712" s="659">
        <f t="shared" si="189"/>
        <v>0.3</v>
      </c>
      <c r="O712" s="722">
        <f t="shared" si="190"/>
        <v>0.2307692308</v>
      </c>
      <c r="P712" s="880"/>
      <c r="Q712" s="890" t="s">
        <v>7475</v>
      </c>
      <c r="R712" s="1"/>
      <c r="S712" s="729"/>
      <c r="T712" s="863"/>
      <c r="U712" s="422"/>
      <c r="V712" s="422"/>
      <c r="W712" s="422"/>
      <c r="X712" s="422"/>
      <c r="Y712" s="422"/>
    </row>
    <row r="713" ht="15.75" customHeight="1" outlineLevel="1">
      <c r="A713" s="641" t="s">
        <v>7476</v>
      </c>
      <c r="B713" s="798" t="s">
        <v>7477</v>
      </c>
      <c r="C713" s="643" t="s">
        <v>5636</v>
      </c>
      <c r="D713" s="644">
        <f>SUMIF('Orcamento RU Viora Build'!$A:$A,A713,'Orcamento RU Viora Build'!$F:$F)</f>
        <v>35</v>
      </c>
      <c r="E713" s="645">
        <f t="shared" si="184"/>
        <v>39</v>
      </c>
      <c r="F713" s="646">
        <f t="shared" si="185"/>
        <v>1365</v>
      </c>
      <c r="G713" s="782"/>
      <c r="H713" s="666"/>
      <c r="I713" s="889">
        <v>30.0</v>
      </c>
      <c r="J713" s="719">
        <v>0.0</v>
      </c>
      <c r="K713" s="720">
        <f t="shared" si="186"/>
        <v>30</v>
      </c>
      <c r="L713" s="720">
        <f t="shared" si="187"/>
        <v>1050</v>
      </c>
      <c r="M713" s="721">
        <f t="shared" si="188"/>
        <v>315</v>
      </c>
      <c r="N713" s="659">
        <f t="shared" si="189"/>
        <v>0.3</v>
      </c>
      <c r="O713" s="722">
        <f t="shared" si="190"/>
        <v>0.2307692308</v>
      </c>
      <c r="P713" s="880"/>
      <c r="Q713" s="890" t="s">
        <v>7460</v>
      </c>
      <c r="R713" s="1"/>
      <c r="S713" s="729"/>
      <c r="T713" s="863"/>
      <c r="U713" s="422"/>
      <c r="V713" s="422"/>
      <c r="W713" s="422"/>
      <c r="X713" s="422"/>
      <c r="Y713" s="422"/>
    </row>
    <row r="714" ht="15.75" customHeight="1" outlineLevel="1">
      <c r="A714" s="641" t="s">
        <v>7478</v>
      </c>
      <c r="B714" s="798" t="s">
        <v>7479</v>
      </c>
      <c r="C714" s="643" t="s">
        <v>5636</v>
      </c>
      <c r="D714" s="644">
        <f>SUMIF('Orcamento RU Viora Build'!$A:$A,A714,'Orcamento RU Viora Build'!$F:$F)</f>
        <v>1</v>
      </c>
      <c r="E714" s="645">
        <f t="shared" si="184"/>
        <v>455</v>
      </c>
      <c r="F714" s="646">
        <f t="shared" si="185"/>
        <v>455</v>
      </c>
      <c r="G714" s="782"/>
      <c r="H714" s="666"/>
      <c r="I714" s="889">
        <v>350.0</v>
      </c>
      <c r="J714" s="719">
        <v>0.0</v>
      </c>
      <c r="K714" s="720">
        <f t="shared" si="186"/>
        <v>350</v>
      </c>
      <c r="L714" s="720">
        <f t="shared" si="187"/>
        <v>350</v>
      </c>
      <c r="M714" s="721">
        <f t="shared" si="188"/>
        <v>105</v>
      </c>
      <c r="N714" s="659">
        <f t="shared" si="189"/>
        <v>0.3</v>
      </c>
      <c r="O714" s="722">
        <f t="shared" si="190"/>
        <v>0.2307692308</v>
      </c>
      <c r="P714" s="880"/>
      <c r="Q714" s="890" t="s">
        <v>7480</v>
      </c>
      <c r="R714" s="1"/>
      <c r="S714" s="729"/>
      <c r="T714" s="863"/>
      <c r="U714" s="422"/>
      <c r="V714" s="422"/>
      <c r="W714" s="422"/>
      <c r="X714" s="422"/>
      <c r="Y714" s="422"/>
    </row>
    <row r="715" ht="15.75" customHeight="1" outlineLevel="1">
      <c r="A715" s="641" t="s">
        <v>7481</v>
      </c>
      <c r="B715" s="798" t="s">
        <v>7482</v>
      </c>
      <c r="C715" s="643" t="s">
        <v>5636</v>
      </c>
      <c r="D715" s="644">
        <f>SUMIF('Orcamento RU Viora Build'!$A:$A,A715,'Orcamento RU Viora Build'!$F:$F)</f>
        <v>1</v>
      </c>
      <c r="E715" s="645">
        <f t="shared" si="184"/>
        <v>1560</v>
      </c>
      <c r="F715" s="646">
        <f t="shared" si="185"/>
        <v>1560</v>
      </c>
      <c r="G715" s="782"/>
      <c r="H715" s="666"/>
      <c r="I715" s="889">
        <v>1200.0</v>
      </c>
      <c r="J715" s="719">
        <v>0.0</v>
      </c>
      <c r="K715" s="720">
        <f t="shared" si="186"/>
        <v>1200</v>
      </c>
      <c r="L715" s="720">
        <f t="shared" si="187"/>
        <v>1200</v>
      </c>
      <c r="M715" s="721">
        <f t="shared" si="188"/>
        <v>360</v>
      </c>
      <c r="N715" s="659">
        <f t="shared" si="189"/>
        <v>0.3</v>
      </c>
      <c r="O715" s="722">
        <f t="shared" si="190"/>
        <v>0.2307692308</v>
      </c>
      <c r="P715" s="880"/>
      <c r="Q715" s="890" t="s">
        <v>7483</v>
      </c>
      <c r="R715" s="1"/>
      <c r="S715" s="729"/>
      <c r="T715" s="863"/>
      <c r="U715" s="422"/>
      <c r="V715" s="422"/>
      <c r="W715" s="422"/>
      <c r="X715" s="422"/>
      <c r="Y715" s="422"/>
    </row>
    <row r="716" ht="15.75" customHeight="1" outlineLevel="1">
      <c r="A716" s="641" t="s">
        <v>7484</v>
      </c>
      <c r="B716" s="798" t="s">
        <v>7485</v>
      </c>
      <c r="C716" s="643" t="s">
        <v>5636</v>
      </c>
      <c r="D716" s="644">
        <f>SUMIF('Orcamento RU Viora Build'!$A:$A,A716,'Orcamento RU Viora Build'!$F:$F)</f>
        <v>1</v>
      </c>
      <c r="E716" s="645">
        <f t="shared" si="184"/>
        <v>585</v>
      </c>
      <c r="F716" s="646">
        <f t="shared" si="185"/>
        <v>585</v>
      </c>
      <c r="G716" s="782"/>
      <c r="H716" s="666"/>
      <c r="I716" s="889">
        <v>450.0</v>
      </c>
      <c r="J716" s="719">
        <v>0.0</v>
      </c>
      <c r="K716" s="720">
        <f t="shared" si="186"/>
        <v>450</v>
      </c>
      <c r="L716" s="720">
        <f t="shared" si="187"/>
        <v>450</v>
      </c>
      <c r="M716" s="721">
        <f t="shared" si="188"/>
        <v>135</v>
      </c>
      <c r="N716" s="659">
        <f t="shared" si="189"/>
        <v>0.3</v>
      </c>
      <c r="O716" s="722">
        <f t="shared" si="190"/>
        <v>0.2307692308</v>
      </c>
      <c r="P716" s="880"/>
      <c r="Q716" s="890" t="s">
        <v>7486</v>
      </c>
      <c r="R716" s="1"/>
      <c r="S716" s="729"/>
      <c r="T716" s="863"/>
      <c r="U716" s="422"/>
      <c r="V716" s="422"/>
      <c r="W716" s="422"/>
      <c r="X716" s="422"/>
      <c r="Y716" s="422"/>
    </row>
    <row r="717" ht="15.75" customHeight="1" outlineLevel="1">
      <c r="A717" s="641" t="s">
        <v>7487</v>
      </c>
      <c r="B717" s="798" t="s">
        <v>7488</v>
      </c>
      <c r="C717" s="643" t="s">
        <v>5636</v>
      </c>
      <c r="D717" s="644">
        <f>SUMIF('Orcamento RU Viora Build'!$A:$A,A717,'Orcamento RU Viora Build'!$F:$F)</f>
        <v>2</v>
      </c>
      <c r="E717" s="645">
        <f t="shared" si="184"/>
        <v>1950</v>
      </c>
      <c r="F717" s="646">
        <f t="shared" si="185"/>
        <v>3900</v>
      </c>
      <c r="G717" s="782"/>
      <c r="H717" s="666"/>
      <c r="I717" s="889">
        <v>1500.0</v>
      </c>
      <c r="J717" s="719">
        <v>0.0</v>
      </c>
      <c r="K717" s="720">
        <f t="shared" si="186"/>
        <v>1500</v>
      </c>
      <c r="L717" s="720">
        <f t="shared" si="187"/>
        <v>3000</v>
      </c>
      <c r="M717" s="721">
        <f t="shared" si="188"/>
        <v>900</v>
      </c>
      <c r="N717" s="659">
        <f t="shared" si="189"/>
        <v>0.3</v>
      </c>
      <c r="O717" s="722">
        <f t="shared" si="190"/>
        <v>0.2307692308</v>
      </c>
      <c r="P717" s="880"/>
      <c r="Q717" s="890" t="s">
        <v>7489</v>
      </c>
      <c r="R717" s="1"/>
      <c r="S717" s="729"/>
      <c r="T717" s="863"/>
      <c r="U717" s="422"/>
      <c r="V717" s="422"/>
      <c r="W717" s="422"/>
      <c r="X717" s="422"/>
      <c r="Y717" s="422"/>
    </row>
    <row r="718" ht="15.75" customHeight="1" outlineLevel="1">
      <c r="A718" s="641" t="s">
        <v>7490</v>
      </c>
      <c r="B718" s="798" t="s">
        <v>7491</v>
      </c>
      <c r="C718" s="643" t="s">
        <v>5636</v>
      </c>
      <c r="D718" s="644">
        <f>SUMIF('Orcamento RU Viora Build'!$A:$A,A718,'Orcamento RU Viora Build'!$F:$F)</f>
        <v>1</v>
      </c>
      <c r="E718" s="645">
        <f t="shared" si="184"/>
        <v>455</v>
      </c>
      <c r="F718" s="646">
        <f t="shared" si="185"/>
        <v>455</v>
      </c>
      <c r="G718" s="782"/>
      <c r="H718" s="666"/>
      <c r="I718" s="889">
        <v>350.0</v>
      </c>
      <c r="J718" s="719">
        <v>0.0</v>
      </c>
      <c r="K718" s="720">
        <f t="shared" si="186"/>
        <v>350</v>
      </c>
      <c r="L718" s="720">
        <f t="shared" si="187"/>
        <v>350</v>
      </c>
      <c r="M718" s="721">
        <f t="shared" si="188"/>
        <v>105</v>
      </c>
      <c r="N718" s="659">
        <f t="shared" si="189"/>
        <v>0.3</v>
      </c>
      <c r="O718" s="722">
        <f t="shared" si="190"/>
        <v>0.2307692308</v>
      </c>
      <c r="P718" s="880"/>
      <c r="Q718" s="890" t="s">
        <v>7492</v>
      </c>
      <c r="R718" s="1"/>
      <c r="S718" s="729"/>
      <c r="T718" s="863"/>
      <c r="U718" s="422"/>
      <c r="V718" s="422"/>
      <c r="W718" s="422"/>
      <c r="X718" s="422"/>
      <c r="Y718" s="422"/>
    </row>
    <row r="719" ht="15.75" customHeight="1" outlineLevel="1">
      <c r="A719" s="641" t="s">
        <v>7493</v>
      </c>
      <c r="B719" s="798" t="s">
        <v>7494</v>
      </c>
      <c r="C719" s="643" t="s">
        <v>5636</v>
      </c>
      <c r="D719" s="644">
        <f>SUMIF('Orcamento RU Viora Build'!$A:$A,A719,'Orcamento RU Viora Build'!$F:$F)</f>
        <v>1</v>
      </c>
      <c r="E719" s="645">
        <f t="shared" si="184"/>
        <v>2340</v>
      </c>
      <c r="F719" s="646">
        <f t="shared" si="185"/>
        <v>2340</v>
      </c>
      <c r="G719" s="782"/>
      <c r="H719" s="666"/>
      <c r="I719" s="889">
        <v>1800.0</v>
      </c>
      <c r="J719" s="719">
        <v>0.0</v>
      </c>
      <c r="K719" s="720">
        <f t="shared" si="186"/>
        <v>1800</v>
      </c>
      <c r="L719" s="720">
        <f t="shared" si="187"/>
        <v>1800</v>
      </c>
      <c r="M719" s="721">
        <f t="shared" si="188"/>
        <v>540</v>
      </c>
      <c r="N719" s="659">
        <f t="shared" si="189"/>
        <v>0.3</v>
      </c>
      <c r="O719" s="722">
        <f t="shared" si="190"/>
        <v>0.2307692308</v>
      </c>
      <c r="P719" s="880"/>
      <c r="Q719" s="890" t="s">
        <v>7495</v>
      </c>
      <c r="R719" s="1"/>
      <c r="S719" s="729"/>
      <c r="T719" s="863"/>
      <c r="U719" s="422"/>
      <c r="V719" s="422"/>
      <c r="W719" s="422"/>
      <c r="X719" s="422"/>
      <c r="Y719" s="422"/>
    </row>
    <row r="720" ht="15.75" customHeight="1" outlineLevel="1">
      <c r="A720" s="641" t="s">
        <v>7496</v>
      </c>
      <c r="B720" s="798" t="s">
        <v>7497</v>
      </c>
      <c r="C720" s="643" t="s">
        <v>5636</v>
      </c>
      <c r="D720" s="644">
        <f>SUMIF('Orcamento RU Viora Build'!$A:$A,A720,'Orcamento RU Viora Build'!$F:$F)</f>
        <v>1</v>
      </c>
      <c r="E720" s="645">
        <f t="shared" si="184"/>
        <v>520</v>
      </c>
      <c r="F720" s="646">
        <f t="shared" si="185"/>
        <v>520</v>
      </c>
      <c r="G720" s="782"/>
      <c r="H720" s="666"/>
      <c r="I720" s="889">
        <v>400.0</v>
      </c>
      <c r="J720" s="719">
        <v>0.0</v>
      </c>
      <c r="K720" s="720">
        <f t="shared" si="186"/>
        <v>400</v>
      </c>
      <c r="L720" s="720">
        <f t="shared" si="187"/>
        <v>400</v>
      </c>
      <c r="M720" s="721">
        <f t="shared" si="188"/>
        <v>120</v>
      </c>
      <c r="N720" s="659">
        <f t="shared" si="189"/>
        <v>0.3</v>
      </c>
      <c r="O720" s="722">
        <f t="shared" si="190"/>
        <v>0.2307692308</v>
      </c>
      <c r="P720" s="880"/>
      <c r="Q720" s="890" t="s">
        <v>7498</v>
      </c>
      <c r="R720" s="1"/>
      <c r="S720" s="729"/>
      <c r="T720" s="863"/>
      <c r="U720" s="422"/>
      <c r="V720" s="422"/>
      <c r="W720" s="422"/>
      <c r="X720" s="422"/>
      <c r="Y720" s="422"/>
    </row>
    <row r="721" ht="15.75" customHeight="1" outlineLevel="1">
      <c r="A721" s="641" t="s">
        <v>7499</v>
      </c>
      <c r="B721" s="798" t="s">
        <v>7500</v>
      </c>
      <c r="C721" s="643" t="s">
        <v>5636</v>
      </c>
      <c r="D721" s="644">
        <f>SUMIF('Orcamento RU Viora Build'!$A:$A,A721,'Orcamento RU Viora Build'!$F:$F)</f>
        <v>1</v>
      </c>
      <c r="E721" s="645">
        <f t="shared" si="184"/>
        <v>1846</v>
      </c>
      <c r="F721" s="646">
        <f t="shared" si="185"/>
        <v>1846</v>
      </c>
      <c r="G721" s="782"/>
      <c r="H721" s="666"/>
      <c r="I721" s="889">
        <v>1420.0</v>
      </c>
      <c r="J721" s="719">
        <v>0.0</v>
      </c>
      <c r="K721" s="720">
        <f t="shared" si="186"/>
        <v>1420</v>
      </c>
      <c r="L721" s="720">
        <f t="shared" si="187"/>
        <v>1420</v>
      </c>
      <c r="M721" s="721">
        <f t="shared" si="188"/>
        <v>426</v>
      </c>
      <c r="N721" s="659">
        <f t="shared" si="189"/>
        <v>0.3</v>
      </c>
      <c r="O721" s="722">
        <f t="shared" si="190"/>
        <v>0.2307692308</v>
      </c>
      <c r="P721" s="880"/>
      <c r="Q721" s="890" t="s">
        <v>7501</v>
      </c>
      <c r="R721" s="1"/>
      <c r="S721" s="729"/>
      <c r="T721" s="863"/>
      <c r="U721" s="422"/>
      <c r="V721" s="422"/>
      <c r="W721" s="422"/>
      <c r="X721" s="422"/>
      <c r="Y721" s="422"/>
    </row>
    <row r="722" ht="15.75" customHeight="1" outlineLevel="1">
      <c r="A722" s="641" t="s">
        <v>7502</v>
      </c>
      <c r="B722" s="798" t="s">
        <v>7503</v>
      </c>
      <c r="C722" s="643" t="s">
        <v>5636</v>
      </c>
      <c r="D722" s="644">
        <f>SUMIF('Orcamento RU Viora Build'!$A:$A,A722,'Orcamento RU Viora Build'!$F:$F)</f>
        <v>2</v>
      </c>
      <c r="E722" s="645">
        <f t="shared" si="184"/>
        <v>325</v>
      </c>
      <c r="F722" s="646">
        <f t="shared" si="185"/>
        <v>650</v>
      </c>
      <c r="G722" s="782"/>
      <c r="H722" s="666"/>
      <c r="I722" s="889">
        <v>250.0</v>
      </c>
      <c r="J722" s="719">
        <v>0.0</v>
      </c>
      <c r="K722" s="720">
        <f t="shared" si="186"/>
        <v>250</v>
      </c>
      <c r="L722" s="720">
        <f t="shared" si="187"/>
        <v>500</v>
      </c>
      <c r="M722" s="721">
        <f t="shared" si="188"/>
        <v>150</v>
      </c>
      <c r="N722" s="659">
        <f t="shared" si="189"/>
        <v>0.3</v>
      </c>
      <c r="O722" s="722">
        <f t="shared" si="190"/>
        <v>0.2307692308</v>
      </c>
      <c r="P722" s="880"/>
      <c r="Q722" s="890" t="s">
        <v>7504</v>
      </c>
      <c r="R722" s="1"/>
      <c r="S722" s="729"/>
      <c r="T722" s="863"/>
      <c r="U722" s="422"/>
      <c r="V722" s="422"/>
      <c r="W722" s="422"/>
      <c r="X722" s="422"/>
      <c r="Y722" s="422"/>
    </row>
    <row r="723" ht="15.75" customHeight="1" outlineLevel="1">
      <c r="A723" s="641" t="s">
        <v>7505</v>
      </c>
      <c r="B723" s="798" t="s">
        <v>7506</v>
      </c>
      <c r="C723" s="643" t="s">
        <v>5636</v>
      </c>
      <c r="D723" s="644">
        <f>SUMIF('Orcamento RU Viora Build'!$A:$A,A723,'Orcamento RU Viora Build'!$F:$F)</f>
        <v>4</v>
      </c>
      <c r="E723" s="645">
        <f t="shared" si="184"/>
        <v>455</v>
      </c>
      <c r="F723" s="646">
        <f t="shared" si="185"/>
        <v>1820</v>
      </c>
      <c r="G723" s="782"/>
      <c r="H723" s="666"/>
      <c r="I723" s="889">
        <v>350.0</v>
      </c>
      <c r="J723" s="719">
        <v>0.0</v>
      </c>
      <c r="K723" s="720">
        <f t="shared" si="186"/>
        <v>350</v>
      </c>
      <c r="L723" s="720">
        <f t="shared" si="187"/>
        <v>1400</v>
      </c>
      <c r="M723" s="721">
        <f t="shared" si="188"/>
        <v>420</v>
      </c>
      <c r="N723" s="659">
        <f t="shared" si="189"/>
        <v>0.3</v>
      </c>
      <c r="O723" s="722">
        <f t="shared" si="190"/>
        <v>0.2307692308</v>
      </c>
      <c r="P723" s="880"/>
      <c r="Q723" s="890" t="s">
        <v>7507</v>
      </c>
      <c r="R723" s="1"/>
      <c r="S723" s="729"/>
      <c r="T723" s="863"/>
      <c r="U723" s="422"/>
      <c r="V723" s="422"/>
      <c r="W723" s="422"/>
      <c r="X723" s="422"/>
      <c r="Y723" s="422"/>
    </row>
    <row r="724" ht="15.75" customHeight="1" outlineLevel="1">
      <c r="A724" s="641" t="s">
        <v>7508</v>
      </c>
      <c r="B724" s="798" t="s">
        <v>7509</v>
      </c>
      <c r="C724" s="643" t="s">
        <v>5636</v>
      </c>
      <c r="D724" s="644">
        <f>SUMIF('Orcamento RU Viora Build'!$A:$A,A724,'Orcamento RU Viora Build'!$F:$F)</f>
        <v>1</v>
      </c>
      <c r="E724" s="645">
        <f t="shared" si="184"/>
        <v>1040</v>
      </c>
      <c r="F724" s="646">
        <f t="shared" si="185"/>
        <v>1040</v>
      </c>
      <c r="G724" s="782"/>
      <c r="H724" s="666"/>
      <c r="I724" s="889">
        <v>800.0</v>
      </c>
      <c r="J724" s="719">
        <v>0.0</v>
      </c>
      <c r="K724" s="720">
        <f t="shared" si="186"/>
        <v>800</v>
      </c>
      <c r="L724" s="720">
        <f t="shared" si="187"/>
        <v>800</v>
      </c>
      <c r="M724" s="721">
        <f t="shared" si="188"/>
        <v>240</v>
      </c>
      <c r="N724" s="659">
        <f t="shared" si="189"/>
        <v>0.3</v>
      </c>
      <c r="O724" s="722">
        <f t="shared" si="190"/>
        <v>0.2307692308</v>
      </c>
      <c r="P724" s="880"/>
      <c r="Q724" s="890" t="s">
        <v>7510</v>
      </c>
      <c r="R724" s="1"/>
      <c r="S724" s="729"/>
      <c r="T724" s="863"/>
      <c r="U724" s="422"/>
      <c r="V724" s="422"/>
      <c r="W724" s="422"/>
      <c r="X724" s="422"/>
      <c r="Y724" s="422"/>
    </row>
    <row r="725" ht="15.75" customHeight="1" outlineLevel="1">
      <c r="A725" s="641" t="s">
        <v>7511</v>
      </c>
      <c r="B725" s="798" t="s">
        <v>7512</v>
      </c>
      <c r="C725" s="643" t="s">
        <v>5636</v>
      </c>
      <c r="D725" s="644">
        <f>SUMIF('Orcamento RU Viora Build'!$A:$A,A725,'Orcamento RU Viora Build'!$F:$F)</f>
        <v>7</v>
      </c>
      <c r="E725" s="645">
        <f t="shared" si="184"/>
        <v>58.5</v>
      </c>
      <c r="F725" s="646">
        <f t="shared" si="185"/>
        <v>409.5</v>
      </c>
      <c r="G725" s="782"/>
      <c r="H725" s="666"/>
      <c r="I725" s="889">
        <v>45.0</v>
      </c>
      <c r="J725" s="719">
        <v>0.0</v>
      </c>
      <c r="K725" s="720">
        <f t="shared" si="186"/>
        <v>45</v>
      </c>
      <c r="L725" s="720">
        <f t="shared" si="187"/>
        <v>315</v>
      </c>
      <c r="M725" s="721">
        <f t="shared" si="188"/>
        <v>94.5</v>
      </c>
      <c r="N725" s="659">
        <f t="shared" si="189"/>
        <v>0.3</v>
      </c>
      <c r="O725" s="722">
        <f t="shared" si="190"/>
        <v>0.2307692308</v>
      </c>
      <c r="P725" s="880"/>
      <c r="Q725" s="890" t="s">
        <v>7513</v>
      </c>
      <c r="R725" s="1"/>
      <c r="S725" s="729"/>
      <c r="T725" s="863"/>
      <c r="U725" s="422"/>
      <c r="V725" s="422"/>
      <c r="W725" s="422"/>
      <c r="X725" s="422"/>
      <c r="Y725" s="422"/>
    </row>
    <row r="726" ht="15.75" customHeight="1" outlineLevel="1">
      <c r="A726" s="641" t="s">
        <v>7514</v>
      </c>
      <c r="B726" s="798" t="s">
        <v>7515</v>
      </c>
      <c r="C726" s="643" t="s">
        <v>5636</v>
      </c>
      <c r="D726" s="644">
        <f>SUMIF('Orcamento RU Viora Build'!$A:$A,A726,'Orcamento RU Viora Build'!$F:$F)</f>
        <v>6</v>
      </c>
      <c r="E726" s="645">
        <f t="shared" si="184"/>
        <v>234</v>
      </c>
      <c r="F726" s="646">
        <f t="shared" si="185"/>
        <v>1404</v>
      </c>
      <c r="G726" s="782"/>
      <c r="H726" s="666"/>
      <c r="I726" s="889">
        <v>180.0</v>
      </c>
      <c r="J726" s="719">
        <v>0.0</v>
      </c>
      <c r="K726" s="720">
        <f t="shared" si="186"/>
        <v>180</v>
      </c>
      <c r="L726" s="720">
        <f t="shared" si="187"/>
        <v>1080</v>
      </c>
      <c r="M726" s="721">
        <f t="shared" si="188"/>
        <v>324</v>
      </c>
      <c r="N726" s="659">
        <f t="shared" si="189"/>
        <v>0.3</v>
      </c>
      <c r="O726" s="722">
        <f t="shared" si="190"/>
        <v>0.2307692308</v>
      </c>
      <c r="P726" s="880"/>
      <c r="Q726" s="890" t="s">
        <v>7516</v>
      </c>
      <c r="R726" s="1"/>
      <c r="S726" s="729"/>
      <c r="T726" s="863"/>
      <c r="U726" s="422"/>
      <c r="V726" s="422"/>
      <c r="W726" s="422"/>
      <c r="X726" s="422"/>
      <c r="Y726" s="422"/>
    </row>
    <row r="727" ht="15.75" customHeight="1" outlineLevel="1">
      <c r="A727" s="641" t="s">
        <v>7517</v>
      </c>
      <c r="B727" s="798" t="s">
        <v>7518</v>
      </c>
      <c r="C727" s="643" t="s">
        <v>5636</v>
      </c>
      <c r="D727" s="644">
        <f>SUMIF('Orcamento RU Viora Build'!$A:$A,A727,'Orcamento RU Viora Build'!$F:$F)</f>
        <v>1</v>
      </c>
      <c r="E727" s="645">
        <f t="shared" si="184"/>
        <v>1560</v>
      </c>
      <c r="F727" s="646">
        <f t="shared" si="185"/>
        <v>1560</v>
      </c>
      <c r="G727" s="782"/>
      <c r="H727" s="666"/>
      <c r="I727" s="889">
        <v>1200.0</v>
      </c>
      <c r="J727" s="719">
        <v>0.0</v>
      </c>
      <c r="K727" s="720">
        <f t="shared" si="186"/>
        <v>1200</v>
      </c>
      <c r="L727" s="720">
        <f t="shared" si="187"/>
        <v>1200</v>
      </c>
      <c r="M727" s="721">
        <f t="shared" si="188"/>
        <v>360</v>
      </c>
      <c r="N727" s="659">
        <f t="shared" si="189"/>
        <v>0.3</v>
      </c>
      <c r="O727" s="722">
        <f t="shared" si="190"/>
        <v>0.2307692308</v>
      </c>
      <c r="P727" s="880"/>
      <c r="Q727" s="890" t="s">
        <v>7519</v>
      </c>
      <c r="R727" s="1"/>
      <c r="S727" s="729"/>
      <c r="T727" s="863"/>
      <c r="U727" s="422"/>
      <c r="V727" s="422"/>
      <c r="W727" s="422"/>
      <c r="X727" s="422"/>
      <c r="Y727" s="422"/>
    </row>
    <row r="728" ht="15.75" customHeight="1" outlineLevel="1">
      <c r="A728" s="641" t="s">
        <v>7520</v>
      </c>
      <c r="B728" s="798" t="s">
        <v>7521</v>
      </c>
      <c r="C728" s="643" t="s">
        <v>5636</v>
      </c>
      <c r="D728" s="644">
        <f>SUMIF('Orcamento RU Viora Build'!$A:$A,A728,'Orcamento RU Viora Build'!$F:$F)</f>
        <v>1</v>
      </c>
      <c r="E728" s="645">
        <f t="shared" si="184"/>
        <v>585</v>
      </c>
      <c r="F728" s="646">
        <f t="shared" si="185"/>
        <v>585</v>
      </c>
      <c r="G728" s="782"/>
      <c r="H728" s="666"/>
      <c r="I728" s="889">
        <v>450.0</v>
      </c>
      <c r="J728" s="719">
        <v>0.0</v>
      </c>
      <c r="K728" s="720">
        <f t="shared" si="186"/>
        <v>450</v>
      </c>
      <c r="L728" s="720">
        <f t="shared" si="187"/>
        <v>450</v>
      </c>
      <c r="M728" s="721">
        <f t="shared" si="188"/>
        <v>135</v>
      </c>
      <c r="N728" s="659">
        <f t="shared" si="189"/>
        <v>0.3</v>
      </c>
      <c r="O728" s="722">
        <f t="shared" si="190"/>
        <v>0.2307692308</v>
      </c>
      <c r="P728" s="880"/>
      <c r="Q728" s="890" t="s">
        <v>7522</v>
      </c>
      <c r="R728" s="1"/>
      <c r="S728" s="729"/>
      <c r="T728" s="863"/>
      <c r="U728" s="422"/>
      <c r="V728" s="422"/>
      <c r="W728" s="422"/>
      <c r="X728" s="422"/>
      <c r="Y728" s="422"/>
    </row>
    <row r="729" ht="15.75" customHeight="1" outlineLevel="1">
      <c r="A729" s="641" t="s">
        <v>7523</v>
      </c>
      <c r="B729" s="798" t="s">
        <v>7524</v>
      </c>
      <c r="C729" s="643" t="s">
        <v>5636</v>
      </c>
      <c r="D729" s="644">
        <f>SUMIF('Orcamento RU Viora Build'!$A:$A,A729,'Orcamento RU Viora Build'!$F:$F)</f>
        <v>7</v>
      </c>
      <c r="E729" s="645">
        <f t="shared" si="184"/>
        <v>110.5</v>
      </c>
      <c r="F729" s="646">
        <f t="shared" si="185"/>
        <v>773.5</v>
      </c>
      <c r="G729" s="782"/>
      <c r="H729" s="666"/>
      <c r="I729" s="889">
        <v>85.0</v>
      </c>
      <c r="J729" s="719">
        <v>0.0</v>
      </c>
      <c r="K729" s="720">
        <f t="shared" si="186"/>
        <v>85</v>
      </c>
      <c r="L729" s="720">
        <f t="shared" si="187"/>
        <v>595</v>
      </c>
      <c r="M729" s="721">
        <f t="shared" si="188"/>
        <v>178.5</v>
      </c>
      <c r="N729" s="659">
        <f t="shared" si="189"/>
        <v>0.3</v>
      </c>
      <c r="O729" s="722">
        <f t="shared" si="190"/>
        <v>0.2307692308</v>
      </c>
      <c r="P729" s="880"/>
      <c r="Q729" s="890" t="s">
        <v>7525</v>
      </c>
      <c r="R729" s="1"/>
      <c r="S729" s="729"/>
      <c r="T729" s="863"/>
      <c r="U729" s="422"/>
      <c r="V729" s="422"/>
      <c r="W729" s="422"/>
      <c r="X729" s="422"/>
      <c r="Y729" s="422"/>
    </row>
    <row r="730" ht="15.75" customHeight="1" outlineLevel="1">
      <c r="A730" s="641" t="s">
        <v>7526</v>
      </c>
      <c r="B730" s="798" t="s">
        <v>7527</v>
      </c>
      <c r="C730" s="643" t="s">
        <v>5631</v>
      </c>
      <c r="D730" s="644">
        <f>SUMIF('Orcamento RU Viora Build'!$A:$A,A730,'Orcamento RU Viora Build'!$F:$F)</f>
        <v>76</v>
      </c>
      <c r="E730" s="645">
        <f t="shared" si="184"/>
        <v>7.8</v>
      </c>
      <c r="F730" s="646">
        <f t="shared" si="185"/>
        <v>592.8</v>
      </c>
      <c r="G730" s="782"/>
      <c r="H730" s="666"/>
      <c r="I730" s="889">
        <v>6.0</v>
      </c>
      <c r="J730" s="719">
        <v>0.0</v>
      </c>
      <c r="K730" s="720">
        <f t="shared" si="186"/>
        <v>6</v>
      </c>
      <c r="L730" s="720">
        <f t="shared" si="187"/>
        <v>456</v>
      </c>
      <c r="M730" s="721">
        <f t="shared" si="188"/>
        <v>136.8</v>
      </c>
      <c r="N730" s="659">
        <f t="shared" si="189"/>
        <v>0.3</v>
      </c>
      <c r="O730" s="722">
        <f t="shared" si="190"/>
        <v>0.2307692308</v>
      </c>
      <c r="P730" s="880"/>
      <c r="Q730" s="890" t="s">
        <v>7528</v>
      </c>
      <c r="R730" s="1"/>
      <c r="S730" s="729"/>
      <c r="T730" s="863"/>
      <c r="U730" s="422"/>
      <c r="V730" s="422"/>
      <c r="W730" s="422"/>
      <c r="X730" s="422"/>
      <c r="Y730" s="422"/>
    </row>
    <row r="731" ht="15.75" customHeight="1" outlineLevel="1">
      <c r="A731" s="641" t="s">
        <v>7529</v>
      </c>
      <c r="B731" s="798" t="s">
        <v>7530</v>
      </c>
      <c r="C731" s="643" t="s">
        <v>5631</v>
      </c>
      <c r="D731" s="644">
        <f>SUMIF('Orcamento RU Viora Build'!$A:$A,A731,'Orcamento RU Viora Build'!$F:$F)</f>
        <v>178</v>
      </c>
      <c r="E731" s="645">
        <f t="shared" si="184"/>
        <v>10.4</v>
      </c>
      <c r="F731" s="646">
        <f t="shared" si="185"/>
        <v>1851.2</v>
      </c>
      <c r="G731" s="782"/>
      <c r="H731" s="666"/>
      <c r="I731" s="889">
        <v>8.0</v>
      </c>
      <c r="J731" s="719">
        <v>0.0</v>
      </c>
      <c r="K731" s="720">
        <f t="shared" si="186"/>
        <v>8</v>
      </c>
      <c r="L731" s="720">
        <f t="shared" si="187"/>
        <v>1424</v>
      </c>
      <c r="M731" s="721">
        <f t="shared" si="188"/>
        <v>427.2</v>
      </c>
      <c r="N731" s="659">
        <f t="shared" si="189"/>
        <v>0.3</v>
      </c>
      <c r="O731" s="722">
        <f t="shared" si="190"/>
        <v>0.2307692308</v>
      </c>
      <c r="P731" s="880"/>
      <c r="Q731" s="890" t="s">
        <v>7531</v>
      </c>
      <c r="R731" s="1"/>
      <c r="S731" s="729"/>
      <c r="T731" s="863"/>
      <c r="U731" s="422"/>
      <c r="V731" s="422"/>
      <c r="W731" s="422"/>
      <c r="X731" s="422"/>
      <c r="Y731" s="422"/>
    </row>
    <row r="732" ht="15.75" customHeight="1" outlineLevel="1">
      <c r="A732" s="641" t="s">
        <v>7532</v>
      </c>
      <c r="B732" s="798" t="s">
        <v>7533</v>
      </c>
      <c r="C732" s="643" t="s">
        <v>5631</v>
      </c>
      <c r="D732" s="644">
        <f>SUMIF('Orcamento RU Viora Build'!$A:$A,A732,'Orcamento RU Viora Build'!$F:$F)</f>
        <v>42</v>
      </c>
      <c r="E732" s="645">
        <f t="shared" si="184"/>
        <v>13</v>
      </c>
      <c r="F732" s="646">
        <f t="shared" si="185"/>
        <v>546</v>
      </c>
      <c r="G732" s="782"/>
      <c r="H732" s="666"/>
      <c r="I732" s="889">
        <v>10.0</v>
      </c>
      <c r="J732" s="719">
        <v>0.0</v>
      </c>
      <c r="K732" s="720">
        <f t="shared" si="186"/>
        <v>10</v>
      </c>
      <c r="L732" s="720">
        <f t="shared" si="187"/>
        <v>420</v>
      </c>
      <c r="M732" s="721">
        <f t="shared" si="188"/>
        <v>126</v>
      </c>
      <c r="N732" s="659">
        <f t="shared" si="189"/>
        <v>0.3</v>
      </c>
      <c r="O732" s="722">
        <f t="shared" si="190"/>
        <v>0.2307692308</v>
      </c>
      <c r="P732" s="880"/>
      <c r="Q732" s="890" t="s">
        <v>7534</v>
      </c>
      <c r="R732" s="1"/>
      <c r="S732" s="729"/>
      <c r="T732" s="863"/>
      <c r="U732" s="422"/>
      <c r="V732" s="422"/>
      <c r="W732" s="422"/>
      <c r="X732" s="422"/>
      <c r="Y732" s="422"/>
    </row>
    <row r="733" ht="15.75" customHeight="1" outlineLevel="1">
      <c r="A733" s="641" t="s">
        <v>7535</v>
      </c>
      <c r="B733" s="798" t="s">
        <v>7536</v>
      </c>
      <c r="C733" s="643" t="s">
        <v>5631</v>
      </c>
      <c r="D733" s="644">
        <f>SUMIF('Orcamento RU Viora Build'!$A:$A,A733,'Orcamento RU Viora Build'!$F:$F)</f>
        <v>76</v>
      </c>
      <c r="E733" s="645">
        <f t="shared" si="184"/>
        <v>1.95</v>
      </c>
      <c r="F733" s="646">
        <f t="shared" si="185"/>
        <v>148.2</v>
      </c>
      <c r="G733" s="782"/>
      <c r="H733" s="666"/>
      <c r="I733" s="889">
        <v>1.5</v>
      </c>
      <c r="J733" s="719">
        <v>0.0</v>
      </c>
      <c r="K733" s="720">
        <f t="shared" si="186"/>
        <v>1.5</v>
      </c>
      <c r="L733" s="720">
        <f t="shared" si="187"/>
        <v>114</v>
      </c>
      <c r="M733" s="721">
        <f t="shared" si="188"/>
        <v>34.2</v>
      </c>
      <c r="N733" s="659">
        <f t="shared" si="189"/>
        <v>0.3</v>
      </c>
      <c r="O733" s="722">
        <f t="shared" si="190"/>
        <v>0.2307692308</v>
      </c>
      <c r="P733" s="880"/>
      <c r="Q733" s="890" t="s">
        <v>7537</v>
      </c>
      <c r="R733" s="1"/>
      <c r="S733" s="729"/>
      <c r="T733" s="863"/>
      <c r="U733" s="422"/>
      <c r="V733" s="422"/>
      <c r="W733" s="422"/>
      <c r="X733" s="422"/>
      <c r="Y733" s="422"/>
    </row>
    <row r="734" ht="15.75" customHeight="1" outlineLevel="1">
      <c r="A734" s="641" t="s">
        <v>7538</v>
      </c>
      <c r="B734" s="798" t="s">
        <v>7539</v>
      </c>
      <c r="C734" s="643" t="s">
        <v>5631</v>
      </c>
      <c r="D734" s="644">
        <f>SUMIF('Orcamento RU Viora Build'!$A:$A,A734,'Orcamento RU Viora Build'!$F:$F)</f>
        <v>166</v>
      </c>
      <c r="E734" s="645">
        <f t="shared" si="184"/>
        <v>2.6</v>
      </c>
      <c r="F734" s="646">
        <f t="shared" si="185"/>
        <v>431.6</v>
      </c>
      <c r="G734" s="782"/>
      <c r="H734" s="666"/>
      <c r="I734" s="889">
        <v>2.0</v>
      </c>
      <c r="J734" s="719">
        <v>0.0</v>
      </c>
      <c r="K734" s="720">
        <f t="shared" si="186"/>
        <v>2</v>
      </c>
      <c r="L734" s="720">
        <f t="shared" si="187"/>
        <v>332</v>
      </c>
      <c r="M734" s="721">
        <f t="shared" si="188"/>
        <v>99.6</v>
      </c>
      <c r="N734" s="659">
        <f t="shared" si="189"/>
        <v>0.3</v>
      </c>
      <c r="O734" s="722">
        <f t="shared" si="190"/>
        <v>0.2307692308</v>
      </c>
      <c r="P734" s="880"/>
      <c r="Q734" s="890" t="s">
        <v>7540</v>
      </c>
      <c r="R734" s="1"/>
      <c r="S734" s="729"/>
      <c r="T734" s="863"/>
      <c r="U734" s="422"/>
      <c r="V734" s="422"/>
      <c r="W734" s="422"/>
      <c r="X734" s="422"/>
      <c r="Y734" s="422"/>
    </row>
    <row r="735" ht="15.75" customHeight="1" outlineLevel="1">
      <c r="A735" s="641" t="s">
        <v>7541</v>
      </c>
      <c r="B735" s="798" t="s">
        <v>7542</v>
      </c>
      <c r="C735" s="643" t="s">
        <v>5631</v>
      </c>
      <c r="D735" s="644">
        <f>SUMIF('Orcamento RU Viora Build'!$A:$A,A735,'Orcamento RU Viora Build'!$F:$F)</f>
        <v>94</v>
      </c>
      <c r="E735" s="645">
        <f t="shared" si="184"/>
        <v>3.25</v>
      </c>
      <c r="F735" s="646">
        <f t="shared" si="185"/>
        <v>305.5</v>
      </c>
      <c r="G735" s="782"/>
      <c r="H735" s="666"/>
      <c r="I735" s="889">
        <v>2.5</v>
      </c>
      <c r="J735" s="719">
        <v>0.0</v>
      </c>
      <c r="K735" s="720">
        <f t="shared" si="186"/>
        <v>2.5</v>
      </c>
      <c r="L735" s="720">
        <f t="shared" si="187"/>
        <v>235</v>
      </c>
      <c r="M735" s="721">
        <f t="shared" si="188"/>
        <v>70.5</v>
      </c>
      <c r="N735" s="659">
        <f t="shared" si="189"/>
        <v>0.3</v>
      </c>
      <c r="O735" s="722">
        <f t="shared" si="190"/>
        <v>0.2307692308</v>
      </c>
      <c r="P735" s="880"/>
      <c r="Q735" s="890" t="s">
        <v>7543</v>
      </c>
      <c r="R735" s="1"/>
      <c r="S735" s="729"/>
      <c r="T735" s="863"/>
      <c r="U735" s="422"/>
      <c r="V735" s="422"/>
      <c r="W735" s="422"/>
      <c r="X735" s="422"/>
      <c r="Y735" s="422"/>
    </row>
    <row r="736" ht="15.75" customHeight="1" outlineLevel="1">
      <c r="A736" s="641" t="s">
        <v>7544</v>
      </c>
      <c r="B736" s="798" t="s">
        <v>7545</v>
      </c>
      <c r="C736" s="643" t="s">
        <v>5631</v>
      </c>
      <c r="D736" s="644">
        <f>SUMIF('Orcamento RU Viora Build'!$A:$A,A736,'Orcamento RU Viora Build'!$F:$F)</f>
        <v>106.2</v>
      </c>
      <c r="E736" s="645">
        <f t="shared" si="184"/>
        <v>7.15</v>
      </c>
      <c r="F736" s="646">
        <f t="shared" si="185"/>
        <v>759.33</v>
      </c>
      <c r="G736" s="782"/>
      <c r="H736" s="666"/>
      <c r="I736" s="889">
        <v>5.5</v>
      </c>
      <c r="J736" s="719">
        <v>0.0</v>
      </c>
      <c r="K736" s="720">
        <f t="shared" si="186"/>
        <v>5.5</v>
      </c>
      <c r="L736" s="720">
        <f t="shared" si="187"/>
        <v>584.1</v>
      </c>
      <c r="M736" s="721">
        <f t="shared" si="188"/>
        <v>175.23</v>
      </c>
      <c r="N736" s="659">
        <f t="shared" si="189"/>
        <v>0.3</v>
      </c>
      <c r="O736" s="722">
        <f t="shared" si="190"/>
        <v>0.2307692308</v>
      </c>
      <c r="P736" s="880"/>
      <c r="Q736" s="890" t="s">
        <v>7546</v>
      </c>
      <c r="R736" s="1"/>
      <c r="S736" s="729"/>
      <c r="T736" s="863"/>
      <c r="U736" s="422"/>
      <c r="V736" s="422"/>
      <c r="W736" s="422"/>
      <c r="X736" s="422"/>
      <c r="Y736" s="422"/>
    </row>
    <row r="737" ht="15.75" customHeight="1" outlineLevel="1">
      <c r="A737" s="641" t="s">
        <v>7547</v>
      </c>
      <c r="B737" s="798" t="s">
        <v>7548</v>
      </c>
      <c r="C737" s="643" t="s">
        <v>5631</v>
      </c>
      <c r="D737" s="644">
        <f>SUMIF('Orcamento RU Viora Build'!$A:$A,A737,'Orcamento RU Viora Build'!$F:$F)</f>
        <v>111.56</v>
      </c>
      <c r="E737" s="645">
        <f t="shared" si="184"/>
        <v>3.9</v>
      </c>
      <c r="F737" s="646">
        <f t="shared" si="185"/>
        <v>435.084</v>
      </c>
      <c r="G737" s="782"/>
      <c r="H737" s="666"/>
      <c r="I737" s="889">
        <v>3.0</v>
      </c>
      <c r="J737" s="719">
        <v>0.0</v>
      </c>
      <c r="K737" s="720">
        <f t="shared" si="186"/>
        <v>3</v>
      </c>
      <c r="L737" s="720">
        <f t="shared" si="187"/>
        <v>334.68</v>
      </c>
      <c r="M737" s="721">
        <f t="shared" si="188"/>
        <v>100.404</v>
      </c>
      <c r="N737" s="659">
        <f t="shared" si="189"/>
        <v>0.3</v>
      </c>
      <c r="O737" s="722">
        <f t="shared" si="190"/>
        <v>0.2307692308</v>
      </c>
      <c r="P737" s="880"/>
      <c r="Q737" s="890" t="s">
        <v>7549</v>
      </c>
      <c r="R737" s="1"/>
      <c r="S737" s="729"/>
      <c r="T737" s="863"/>
      <c r="U737" s="422"/>
      <c r="V737" s="422"/>
      <c r="W737" s="422"/>
      <c r="X737" s="422"/>
      <c r="Y737" s="422"/>
    </row>
    <row r="738" ht="15.75" customHeight="1" outlineLevel="1">
      <c r="A738" s="641" t="s">
        <v>7550</v>
      </c>
      <c r="B738" s="798" t="s">
        <v>7551</v>
      </c>
      <c r="C738" s="643" t="s">
        <v>5631</v>
      </c>
      <c r="D738" s="644">
        <f>SUMIF('Orcamento RU Viora Build'!$A:$A,A738,'Orcamento RU Viora Build'!$F:$F)</f>
        <v>51.98</v>
      </c>
      <c r="E738" s="645">
        <f t="shared" si="184"/>
        <v>4.55</v>
      </c>
      <c r="F738" s="646">
        <f t="shared" si="185"/>
        <v>236.509</v>
      </c>
      <c r="G738" s="782"/>
      <c r="H738" s="666"/>
      <c r="I738" s="889">
        <v>3.5</v>
      </c>
      <c r="J738" s="719">
        <v>0.0</v>
      </c>
      <c r="K738" s="720">
        <f t="shared" si="186"/>
        <v>3.5</v>
      </c>
      <c r="L738" s="720">
        <f t="shared" si="187"/>
        <v>181.93</v>
      </c>
      <c r="M738" s="721">
        <f t="shared" si="188"/>
        <v>54.579</v>
      </c>
      <c r="N738" s="659">
        <f t="shared" si="189"/>
        <v>0.3</v>
      </c>
      <c r="O738" s="722">
        <f t="shared" si="190"/>
        <v>0.2307692308</v>
      </c>
      <c r="P738" s="880"/>
      <c r="Q738" s="890" t="s">
        <v>7552</v>
      </c>
      <c r="R738" s="1"/>
      <c r="S738" s="729"/>
      <c r="T738" s="863"/>
      <c r="U738" s="422"/>
      <c r="V738" s="422"/>
      <c r="W738" s="422"/>
      <c r="X738" s="422"/>
      <c r="Y738" s="422"/>
    </row>
    <row r="739" ht="15.75" customHeight="1" outlineLevel="1">
      <c r="A739" s="641" t="s">
        <v>7553</v>
      </c>
      <c r="B739" s="798" t="s">
        <v>7554</v>
      </c>
      <c r="C739" s="643" t="s">
        <v>5631</v>
      </c>
      <c r="D739" s="644">
        <f>SUMIF('Orcamento RU Viora Build'!$A:$A,A739,'Orcamento RU Viora Build'!$F:$F)</f>
        <v>36.35</v>
      </c>
      <c r="E739" s="645">
        <f t="shared" si="184"/>
        <v>5.85</v>
      </c>
      <c r="F739" s="646">
        <f t="shared" si="185"/>
        <v>212.6475</v>
      </c>
      <c r="G739" s="782"/>
      <c r="H739" s="666"/>
      <c r="I739" s="889">
        <v>4.5</v>
      </c>
      <c r="J739" s="719">
        <v>0.0</v>
      </c>
      <c r="K739" s="720">
        <f t="shared" si="186"/>
        <v>4.5</v>
      </c>
      <c r="L739" s="720">
        <f t="shared" si="187"/>
        <v>163.575</v>
      </c>
      <c r="M739" s="721">
        <f t="shared" si="188"/>
        <v>49.0725</v>
      </c>
      <c r="N739" s="659">
        <f t="shared" si="189"/>
        <v>0.3</v>
      </c>
      <c r="O739" s="722">
        <f t="shared" si="190"/>
        <v>0.2307692308</v>
      </c>
      <c r="P739" s="880"/>
      <c r="Q739" s="890" t="s">
        <v>7555</v>
      </c>
      <c r="R739" s="1"/>
      <c r="S739" s="729"/>
      <c r="T739" s="863"/>
      <c r="U739" s="422"/>
      <c r="V739" s="422"/>
      <c r="W739" s="422"/>
      <c r="X739" s="422"/>
      <c r="Y739" s="422"/>
    </row>
    <row r="740" ht="15.75" customHeight="1" outlineLevel="1">
      <c r="A740" s="641" t="s">
        <v>7556</v>
      </c>
      <c r="B740" s="798" t="s">
        <v>7557</v>
      </c>
      <c r="C740" s="643" t="s">
        <v>5631</v>
      </c>
      <c r="D740" s="644">
        <f>SUMIF('Orcamento RU Viora Build'!$A:$A,A740,'Orcamento RU Viora Build'!$F:$F)</f>
        <v>164.27</v>
      </c>
      <c r="E740" s="645">
        <f t="shared" si="184"/>
        <v>6.5</v>
      </c>
      <c r="F740" s="646">
        <f t="shared" si="185"/>
        <v>1067.755</v>
      </c>
      <c r="G740" s="782"/>
      <c r="H740" s="666"/>
      <c r="I740" s="889">
        <v>5.0</v>
      </c>
      <c r="J740" s="719">
        <v>0.0</v>
      </c>
      <c r="K740" s="720">
        <f t="shared" si="186"/>
        <v>5</v>
      </c>
      <c r="L740" s="720">
        <f t="shared" si="187"/>
        <v>821.35</v>
      </c>
      <c r="M740" s="721">
        <f t="shared" si="188"/>
        <v>246.405</v>
      </c>
      <c r="N740" s="659">
        <f t="shared" si="189"/>
        <v>0.3</v>
      </c>
      <c r="O740" s="722">
        <f t="shared" si="190"/>
        <v>0.2307692308</v>
      </c>
      <c r="P740" s="880"/>
      <c r="Q740" s="890" t="s">
        <v>7558</v>
      </c>
      <c r="R740" s="1"/>
      <c r="S740" s="729"/>
      <c r="T740" s="863"/>
      <c r="U740" s="422"/>
      <c r="V740" s="422"/>
      <c r="W740" s="422"/>
      <c r="X740" s="422"/>
      <c r="Y740" s="422"/>
    </row>
    <row r="741" ht="15.75" customHeight="1" outlineLevel="1">
      <c r="A741" s="641" t="s">
        <v>7559</v>
      </c>
      <c r="B741" s="798" t="s">
        <v>7560</v>
      </c>
      <c r="C741" s="643" t="s">
        <v>5631</v>
      </c>
      <c r="D741" s="644">
        <f>SUMIF('Orcamento RU Viora Build'!$A:$A,A741,'Orcamento RU Viora Build'!$F:$F)</f>
        <v>8.74</v>
      </c>
      <c r="E741" s="645">
        <f t="shared" si="184"/>
        <v>7.8</v>
      </c>
      <c r="F741" s="646">
        <f t="shared" si="185"/>
        <v>68.172</v>
      </c>
      <c r="G741" s="782"/>
      <c r="H741" s="666"/>
      <c r="I741" s="889">
        <v>6.0</v>
      </c>
      <c r="J741" s="719">
        <v>0.0</v>
      </c>
      <c r="K741" s="720">
        <f t="shared" si="186"/>
        <v>6</v>
      </c>
      <c r="L741" s="720">
        <f t="shared" si="187"/>
        <v>52.44</v>
      </c>
      <c r="M741" s="721">
        <f t="shared" si="188"/>
        <v>15.732</v>
      </c>
      <c r="N741" s="659">
        <f t="shared" si="189"/>
        <v>0.3</v>
      </c>
      <c r="O741" s="722">
        <f t="shared" si="190"/>
        <v>0.2307692308</v>
      </c>
      <c r="P741" s="880"/>
      <c r="Q741" s="890" t="s">
        <v>7561</v>
      </c>
      <c r="R741" s="1"/>
      <c r="S741" s="729"/>
      <c r="T741" s="863"/>
      <c r="U741" s="422"/>
      <c r="V741" s="422"/>
      <c r="W741" s="422"/>
      <c r="X741" s="422"/>
      <c r="Y741" s="422"/>
    </row>
    <row r="742" ht="15.75" customHeight="1" outlineLevel="1">
      <c r="A742" s="641" t="s">
        <v>7562</v>
      </c>
      <c r="B742" s="798" t="s">
        <v>7563</v>
      </c>
      <c r="C742" s="643" t="s">
        <v>5631</v>
      </c>
      <c r="D742" s="644">
        <f>SUMIF('Orcamento RU Viora Build'!$A:$A,A742,'Orcamento RU Viora Build'!$F:$F)</f>
        <v>2200</v>
      </c>
      <c r="E742" s="645">
        <f t="shared" si="184"/>
        <v>3.9</v>
      </c>
      <c r="F742" s="646">
        <f t="shared" si="185"/>
        <v>8580</v>
      </c>
      <c r="G742" s="782"/>
      <c r="H742" s="666"/>
      <c r="I742" s="889">
        <v>3.0</v>
      </c>
      <c r="J742" s="719">
        <v>0.0</v>
      </c>
      <c r="K742" s="720">
        <f t="shared" si="186"/>
        <v>3</v>
      </c>
      <c r="L742" s="720">
        <f t="shared" si="187"/>
        <v>6600</v>
      </c>
      <c r="M742" s="721">
        <f t="shared" si="188"/>
        <v>1980</v>
      </c>
      <c r="N742" s="659">
        <f t="shared" si="189"/>
        <v>0.3</v>
      </c>
      <c r="O742" s="722">
        <f t="shared" si="190"/>
        <v>0.2307692308</v>
      </c>
      <c r="P742" s="880"/>
      <c r="Q742" s="890" t="s">
        <v>7564</v>
      </c>
      <c r="R742" s="1"/>
      <c r="S742" s="729"/>
      <c r="T742" s="863"/>
      <c r="U742" s="422"/>
      <c r="V742" s="422"/>
      <c r="W742" s="422"/>
      <c r="X742" s="422"/>
      <c r="Y742" s="422"/>
    </row>
    <row r="743" ht="15.75" customHeight="1" outlineLevel="1">
      <c r="A743" s="641" t="s">
        <v>7565</v>
      </c>
      <c r="B743" s="798" t="s">
        <v>7566</v>
      </c>
      <c r="C743" s="643" t="s">
        <v>5635</v>
      </c>
      <c r="D743" s="644">
        <f>SUMIF('Orcamento RU Viora Build'!$A:$A,A743,'Orcamento RU Viora Build'!$F:$F)</f>
        <v>300</v>
      </c>
      <c r="E743" s="645">
        <f t="shared" si="184"/>
        <v>13</v>
      </c>
      <c r="F743" s="646">
        <f t="shared" si="185"/>
        <v>3900</v>
      </c>
      <c r="G743" s="782"/>
      <c r="H743" s="666"/>
      <c r="I743" s="889">
        <v>10.0</v>
      </c>
      <c r="J743" s="719">
        <v>0.0</v>
      </c>
      <c r="K743" s="720">
        <f t="shared" si="186"/>
        <v>10</v>
      </c>
      <c r="L743" s="720">
        <f t="shared" si="187"/>
        <v>3000</v>
      </c>
      <c r="M743" s="721">
        <f t="shared" si="188"/>
        <v>900</v>
      </c>
      <c r="N743" s="659">
        <f t="shared" si="189"/>
        <v>0.3</v>
      </c>
      <c r="O743" s="722">
        <f t="shared" si="190"/>
        <v>0.2307692308</v>
      </c>
      <c r="P743" s="880"/>
      <c r="Q743" s="890" t="s">
        <v>7567</v>
      </c>
      <c r="R743" s="1"/>
      <c r="S743" s="729"/>
      <c r="T743" s="863"/>
      <c r="U743" s="422"/>
      <c r="V743" s="422"/>
      <c r="W743" s="422"/>
      <c r="X743" s="422"/>
      <c r="Y743" s="422"/>
    </row>
    <row r="744" ht="15.75" customHeight="1" outlineLevel="1">
      <c r="A744" s="641" t="s">
        <v>7568</v>
      </c>
      <c r="B744" s="798" t="s">
        <v>7569</v>
      </c>
      <c r="C744" s="643" t="s">
        <v>5636</v>
      </c>
      <c r="D744" s="644">
        <f>SUMIF('Orcamento RU Viora Build'!$A:$A,A744,'Orcamento RU Viora Build'!$F:$F)</f>
        <v>4</v>
      </c>
      <c r="E744" s="645">
        <f t="shared" si="184"/>
        <v>156</v>
      </c>
      <c r="F744" s="646">
        <f t="shared" si="185"/>
        <v>624</v>
      </c>
      <c r="G744" s="782"/>
      <c r="H744" s="666"/>
      <c r="I744" s="889">
        <v>120.0</v>
      </c>
      <c r="J744" s="719">
        <v>0.0</v>
      </c>
      <c r="K744" s="720">
        <f t="shared" si="186"/>
        <v>120</v>
      </c>
      <c r="L744" s="720">
        <f t="shared" si="187"/>
        <v>480</v>
      </c>
      <c r="M744" s="721">
        <f t="shared" si="188"/>
        <v>144</v>
      </c>
      <c r="N744" s="659">
        <f t="shared" si="189"/>
        <v>0.3</v>
      </c>
      <c r="O744" s="722">
        <f t="shared" si="190"/>
        <v>0.2307692308</v>
      </c>
      <c r="P744" s="880"/>
      <c r="Q744" s="890" t="s">
        <v>7570</v>
      </c>
      <c r="R744" s="1"/>
      <c r="S744" s="729"/>
      <c r="T744" s="863"/>
      <c r="U744" s="422"/>
      <c r="V744" s="422"/>
      <c r="W744" s="422"/>
      <c r="X744" s="422"/>
      <c r="Y744" s="422"/>
    </row>
    <row r="745" ht="15.75" customHeight="1" outlineLevel="1">
      <c r="A745" s="641" t="s">
        <v>7571</v>
      </c>
      <c r="B745" s="798" t="s">
        <v>7572</v>
      </c>
      <c r="C745" s="643" t="s">
        <v>5636</v>
      </c>
      <c r="D745" s="644">
        <f>SUMIF('Orcamento RU Viora Build'!$A:$A,A745,'Orcamento RU Viora Build'!$F:$F)</f>
        <v>4</v>
      </c>
      <c r="E745" s="645">
        <f t="shared" si="184"/>
        <v>84.5</v>
      </c>
      <c r="F745" s="646">
        <f t="shared" si="185"/>
        <v>338</v>
      </c>
      <c r="G745" s="782"/>
      <c r="H745" s="666"/>
      <c r="I745" s="889">
        <v>65.0</v>
      </c>
      <c r="J745" s="719">
        <v>0.0</v>
      </c>
      <c r="K745" s="720">
        <f t="shared" si="186"/>
        <v>65</v>
      </c>
      <c r="L745" s="720">
        <f t="shared" si="187"/>
        <v>260</v>
      </c>
      <c r="M745" s="721">
        <f t="shared" si="188"/>
        <v>78</v>
      </c>
      <c r="N745" s="659">
        <f t="shared" si="189"/>
        <v>0.3</v>
      </c>
      <c r="O745" s="722">
        <f t="shared" si="190"/>
        <v>0.2307692308</v>
      </c>
      <c r="P745" s="880"/>
      <c r="Q745" s="890" t="s">
        <v>7573</v>
      </c>
      <c r="R745" s="1"/>
      <c r="S745" s="729"/>
      <c r="T745" s="863"/>
      <c r="U745" s="422"/>
      <c r="V745" s="422"/>
      <c r="W745" s="422"/>
      <c r="X745" s="422"/>
      <c r="Y745" s="422"/>
    </row>
    <row r="746" ht="15.75" customHeight="1" outlineLevel="1">
      <c r="A746" s="641" t="s">
        <v>7574</v>
      </c>
      <c r="B746" s="798" t="s">
        <v>7575</v>
      </c>
      <c r="C746" s="643" t="s">
        <v>5636</v>
      </c>
      <c r="D746" s="644">
        <f>SUMIF('Orcamento RU Viora Build'!$A:$A,A746,'Orcamento RU Viora Build'!$F:$F)</f>
        <v>1</v>
      </c>
      <c r="E746" s="645">
        <f t="shared" si="184"/>
        <v>110.5</v>
      </c>
      <c r="F746" s="646">
        <f t="shared" si="185"/>
        <v>110.5</v>
      </c>
      <c r="G746" s="782"/>
      <c r="H746" s="666"/>
      <c r="I746" s="889">
        <v>85.0</v>
      </c>
      <c r="J746" s="719">
        <v>0.0</v>
      </c>
      <c r="K746" s="720">
        <f t="shared" si="186"/>
        <v>85</v>
      </c>
      <c r="L746" s="720">
        <f t="shared" si="187"/>
        <v>85</v>
      </c>
      <c r="M746" s="721">
        <f t="shared" si="188"/>
        <v>25.5</v>
      </c>
      <c r="N746" s="659">
        <f t="shared" si="189"/>
        <v>0.3</v>
      </c>
      <c r="O746" s="722">
        <f t="shared" si="190"/>
        <v>0.2307692308</v>
      </c>
      <c r="P746" s="880"/>
      <c r="Q746" s="890" t="s">
        <v>7576</v>
      </c>
      <c r="R746" s="1"/>
      <c r="S746" s="729"/>
      <c r="T746" s="863"/>
      <c r="U746" s="422"/>
      <c r="V746" s="422"/>
      <c r="W746" s="422"/>
      <c r="X746" s="422"/>
      <c r="Y746" s="422"/>
    </row>
    <row r="747" ht="15.75" customHeight="1" outlineLevel="1">
      <c r="A747" s="641" t="s">
        <v>7577</v>
      </c>
      <c r="B747" s="798" t="s">
        <v>7578</v>
      </c>
      <c r="C747" s="643" t="s">
        <v>5636</v>
      </c>
      <c r="D747" s="644">
        <f>SUMIF('Orcamento RU Viora Build'!$A:$A,A747,'Orcamento RU Viora Build'!$F:$F)</f>
        <v>1</v>
      </c>
      <c r="E747" s="645">
        <f t="shared" si="184"/>
        <v>156</v>
      </c>
      <c r="F747" s="646">
        <f t="shared" si="185"/>
        <v>156</v>
      </c>
      <c r="G747" s="782"/>
      <c r="H747" s="666"/>
      <c r="I747" s="889">
        <v>120.0</v>
      </c>
      <c r="J747" s="719">
        <v>0.0</v>
      </c>
      <c r="K747" s="720">
        <f t="shared" si="186"/>
        <v>120</v>
      </c>
      <c r="L747" s="720">
        <f t="shared" si="187"/>
        <v>120</v>
      </c>
      <c r="M747" s="721">
        <f t="shared" si="188"/>
        <v>36</v>
      </c>
      <c r="N747" s="659">
        <f t="shared" si="189"/>
        <v>0.3</v>
      </c>
      <c r="O747" s="722">
        <f t="shared" si="190"/>
        <v>0.2307692308</v>
      </c>
      <c r="P747" s="880"/>
      <c r="Q747" s="890" t="s">
        <v>7570</v>
      </c>
      <c r="R747" s="1"/>
      <c r="S747" s="729"/>
      <c r="T747" s="863"/>
      <c r="U747" s="422"/>
      <c r="V747" s="422"/>
      <c r="W747" s="422"/>
      <c r="X747" s="422"/>
      <c r="Y747" s="422"/>
    </row>
    <row r="748" ht="15.75" customHeight="1" outlineLevel="1">
      <c r="A748" s="641" t="s">
        <v>7579</v>
      </c>
      <c r="B748" s="798" t="s">
        <v>7580</v>
      </c>
      <c r="C748" s="643" t="s">
        <v>5636</v>
      </c>
      <c r="D748" s="644">
        <f>SUMIF('Orcamento RU Viora Build'!$A:$A,A748,'Orcamento RU Viora Build'!$F:$F)</f>
        <v>1</v>
      </c>
      <c r="E748" s="645">
        <f t="shared" si="184"/>
        <v>84.5</v>
      </c>
      <c r="F748" s="646">
        <f t="shared" si="185"/>
        <v>84.5</v>
      </c>
      <c r="G748" s="782"/>
      <c r="H748" s="666"/>
      <c r="I748" s="889">
        <v>65.0</v>
      </c>
      <c r="J748" s="719">
        <v>0.0</v>
      </c>
      <c r="K748" s="720">
        <f t="shared" si="186"/>
        <v>65</v>
      </c>
      <c r="L748" s="720">
        <f t="shared" si="187"/>
        <v>65</v>
      </c>
      <c r="M748" s="721">
        <f t="shared" si="188"/>
        <v>19.5</v>
      </c>
      <c r="N748" s="659">
        <f t="shared" si="189"/>
        <v>0.3</v>
      </c>
      <c r="O748" s="722">
        <f t="shared" si="190"/>
        <v>0.2307692308</v>
      </c>
      <c r="P748" s="880"/>
      <c r="Q748" s="890" t="s">
        <v>7581</v>
      </c>
      <c r="R748" s="1"/>
      <c r="S748" s="729"/>
      <c r="T748" s="863"/>
      <c r="U748" s="422"/>
      <c r="V748" s="422"/>
      <c r="W748" s="422"/>
      <c r="X748" s="422"/>
      <c r="Y748" s="422"/>
    </row>
    <row r="749" ht="15.75" customHeight="1" outlineLevel="1">
      <c r="A749" s="641" t="s">
        <v>7582</v>
      </c>
      <c r="B749" s="798" t="s">
        <v>7583</v>
      </c>
      <c r="C749" s="643" t="s">
        <v>5636</v>
      </c>
      <c r="D749" s="644">
        <f>SUMIF('Orcamento RU Viora Build'!$A:$A,A749,'Orcamento RU Viora Build'!$F:$F)</f>
        <v>24</v>
      </c>
      <c r="E749" s="645">
        <f t="shared" si="184"/>
        <v>28.6</v>
      </c>
      <c r="F749" s="646">
        <f t="shared" si="185"/>
        <v>686.4</v>
      </c>
      <c r="G749" s="782"/>
      <c r="H749" s="666"/>
      <c r="I749" s="889">
        <v>22.0</v>
      </c>
      <c r="J749" s="719">
        <v>0.0</v>
      </c>
      <c r="K749" s="720">
        <f t="shared" si="186"/>
        <v>22</v>
      </c>
      <c r="L749" s="720">
        <f t="shared" si="187"/>
        <v>528</v>
      </c>
      <c r="M749" s="721">
        <f t="shared" si="188"/>
        <v>158.4</v>
      </c>
      <c r="N749" s="659">
        <f t="shared" si="189"/>
        <v>0.3</v>
      </c>
      <c r="O749" s="722">
        <f t="shared" si="190"/>
        <v>0.2307692308</v>
      </c>
      <c r="P749" s="880"/>
      <c r="Q749" s="890" t="s">
        <v>7584</v>
      </c>
      <c r="R749" s="1"/>
      <c r="S749" s="729"/>
      <c r="T749" s="863"/>
      <c r="U749" s="422"/>
      <c r="V749" s="422"/>
      <c r="W749" s="422"/>
      <c r="X749" s="422"/>
      <c r="Y749" s="422"/>
    </row>
    <row r="750" ht="15.75" customHeight="1" outlineLevel="1">
      <c r="A750" s="641" t="s">
        <v>7585</v>
      </c>
      <c r="B750" s="798" t="s">
        <v>7586</v>
      </c>
      <c r="C750" s="643" t="s">
        <v>5636</v>
      </c>
      <c r="D750" s="644">
        <f>SUMIF('Orcamento RU Viora Build'!$A:$A,A750,'Orcamento RU Viora Build'!$F:$F)</f>
        <v>2</v>
      </c>
      <c r="E750" s="645">
        <f t="shared" si="184"/>
        <v>123.5</v>
      </c>
      <c r="F750" s="646">
        <f t="shared" si="185"/>
        <v>247</v>
      </c>
      <c r="G750" s="782"/>
      <c r="H750" s="666"/>
      <c r="I750" s="889">
        <v>95.0</v>
      </c>
      <c r="J750" s="719">
        <v>0.0</v>
      </c>
      <c r="K750" s="720">
        <f t="shared" si="186"/>
        <v>95</v>
      </c>
      <c r="L750" s="720">
        <f t="shared" si="187"/>
        <v>190</v>
      </c>
      <c r="M750" s="721">
        <f t="shared" si="188"/>
        <v>57</v>
      </c>
      <c r="N750" s="659">
        <f t="shared" si="189"/>
        <v>0.3</v>
      </c>
      <c r="O750" s="722">
        <f t="shared" si="190"/>
        <v>0.2307692308</v>
      </c>
      <c r="P750" s="880"/>
      <c r="Q750" s="890" t="s">
        <v>7587</v>
      </c>
      <c r="R750" s="1"/>
      <c r="S750" s="729"/>
      <c r="T750" s="863"/>
      <c r="U750" s="422"/>
      <c r="V750" s="422"/>
      <c r="W750" s="422"/>
      <c r="X750" s="422"/>
      <c r="Y750" s="422"/>
    </row>
    <row r="751" ht="15.75" customHeight="1" outlineLevel="1">
      <c r="A751" s="641" t="s">
        <v>7588</v>
      </c>
      <c r="B751" s="798" t="s">
        <v>7589</v>
      </c>
      <c r="C751" s="643" t="s">
        <v>5636</v>
      </c>
      <c r="D751" s="644">
        <f>SUMIF('Orcamento RU Viora Build'!$A:$A,A751,'Orcamento RU Viora Build'!$F:$F)</f>
        <v>3</v>
      </c>
      <c r="E751" s="645">
        <f t="shared" si="184"/>
        <v>312</v>
      </c>
      <c r="F751" s="646">
        <f t="shared" si="185"/>
        <v>936</v>
      </c>
      <c r="G751" s="782"/>
      <c r="H751" s="666"/>
      <c r="I751" s="889">
        <v>240.0</v>
      </c>
      <c r="J751" s="719">
        <v>0.0</v>
      </c>
      <c r="K751" s="720">
        <f t="shared" si="186"/>
        <v>240</v>
      </c>
      <c r="L751" s="720">
        <f t="shared" si="187"/>
        <v>720</v>
      </c>
      <c r="M751" s="721">
        <f t="shared" si="188"/>
        <v>216</v>
      </c>
      <c r="N751" s="659">
        <f t="shared" si="189"/>
        <v>0.3</v>
      </c>
      <c r="O751" s="722">
        <f t="shared" si="190"/>
        <v>0.2307692308</v>
      </c>
      <c r="P751" s="880"/>
      <c r="Q751" s="890" t="s">
        <v>7590</v>
      </c>
      <c r="R751" s="1"/>
      <c r="S751" s="729"/>
      <c r="T751" s="863"/>
      <c r="U751" s="422"/>
      <c r="V751" s="422"/>
      <c r="W751" s="422"/>
      <c r="X751" s="422"/>
      <c r="Y751" s="422"/>
    </row>
    <row r="752" ht="15.75" customHeight="1" outlineLevel="1">
      <c r="A752" s="641" t="s">
        <v>7591</v>
      </c>
      <c r="B752" s="798" t="s">
        <v>7592</v>
      </c>
      <c r="C752" s="643" t="s">
        <v>5636</v>
      </c>
      <c r="D752" s="644">
        <f>SUMIF('Orcamento RU Viora Build'!$A:$A,A752,'Orcamento RU Viora Build'!$F:$F)</f>
        <v>3</v>
      </c>
      <c r="E752" s="645">
        <f t="shared" si="184"/>
        <v>117</v>
      </c>
      <c r="F752" s="646">
        <f t="shared" si="185"/>
        <v>351</v>
      </c>
      <c r="G752" s="782"/>
      <c r="H752" s="666"/>
      <c r="I752" s="889">
        <v>90.0</v>
      </c>
      <c r="J752" s="719">
        <v>0.0</v>
      </c>
      <c r="K752" s="720">
        <f t="shared" si="186"/>
        <v>90</v>
      </c>
      <c r="L752" s="720">
        <f t="shared" si="187"/>
        <v>270</v>
      </c>
      <c r="M752" s="721">
        <f t="shared" si="188"/>
        <v>81</v>
      </c>
      <c r="N752" s="659">
        <f t="shared" si="189"/>
        <v>0.3</v>
      </c>
      <c r="O752" s="722">
        <f t="shared" si="190"/>
        <v>0.2307692308</v>
      </c>
      <c r="P752" s="880"/>
      <c r="Q752" s="890" t="s">
        <v>7593</v>
      </c>
      <c r="R752" s="1"/>
      <c r="S752" s="729"/>
      <c r="T752" s="863"/>
      <c r="U752" s="422"/>
      <c r="V752" s="422"/>
      <c r="W752" s="422"/>
      <c r="X752" s="422"/>
      <c r="Y752" s="422"/>
    </row>
    <row r="753" ht="15.75" customHeight="1" outlineLevel="1">
      <c r="A753" s="641" t="s">
        <v>7594</v>
      </c>
      <c r="B753" s="798" t="s">
        <v>7595</v>
      </c>
      <c r="C753" s="643" t="s">
        <v>5636</v>
      </c>
      <c r="D753" s="644">
        <f>SUMIF('Orcamento RU Viora Build'!$A:$A,A753,'Orcamento RU Viora Build'!$F:$F)</f>
        <v>1</v>
      </c>
      <c r="E753" s="645">
        <f t="shared" si="184"/>
        <v>403</v>
      </c>
      <c r="F753" s="646">
        <f t="shared" si="185"/>
        <v>403</v>
      </c>
      <c r="G753" s="782"/>
      <c r="H753" s="666"/>
      <c r="I753" s="889">
        <v>310.0</v>
      </c>
      <c r="J753" s="719">
        <v>0.0</v>
      </c>
      <c r="K753" s="720">
        <f t="shared" si="186"/>
        <v>310</v>
      </c>
      <c r="L753" s="720">
        <f t="shared" si="187"/>
        <v>310</v>
      </c>
      <c r="M753" s="721">
        <f t="shared" si="188"/>
        <v>93</v>
      </c>
      <c r="N753" s="659">
        <f t="shared" si="189"/>
        <v>0.3</v>
      </c>
      <c r="O753" s="722">
        <f t="shared" si="190"/>
        <v>0.2307692308</v>
      </c>
      <c r="P753" s="880"/>
      <c r="Q753" s="890" t="s">
        <v>7596</v>
      </c>
      <c r="R753" s="1"/>
      <c r="S753" s="729"/>
      <c r="T753" s="863"/>
      <c r="U753" s="422"/>
      <c r="V753" s="422"/>
      <c r="W753" s="422"/>
      <c r="X753" s="422"/>
      <c r="Y753" s="422"/>
    </row>
    <row r="754" ht="15.75" customHeight="1" outlineLevel="1">
      <c r="A754" s="641" t="s">
        <v>7597</v>
      </c>
      <c r="B754" s="798" t="s">
        <v>7598</v>
      </c>
      <c r="C754" s="643" t="s">
        <v>5636</v>
      </c>
      <c r="D754" s="644">
        <f>SUMIF('Orcamento RU Viora Build'!$A:$A,A754,'Orcamento RU Viora Build'!$F:$F)</f>
        <v>1</v>
      </c>
      <c r="E754" s="645">
        <f t="shared" si="184"/>
        <v>175.5</v>
      </c>
      <c r="F754" s="646">
        <f t="shared" si="185"/>
        <v>175.5</v>
      </c>
      <c r="G754" s="782"/>
      <c r="H754" s="666"/>
      <c r="I754" s="889">
        <v>135.0</v>
      </c>
      <c r="J754" s="719">
        <v>0.0</v>
      </c>
      <c r="K754" s="720">
        <f t="shared" si="186"/>
        <v>135</v>
      </c>
      <c r="L754" s="720">
        <f t="shared" si="187"/>
        <v>135</v>
      </c>
      <c r="M754" s="721">
        <f t="shared" si="188"/>
        <v>40.5</v>
      </c>
      <c r="N754" s="659">
        <f t="shared" si="189"/>
        <v>0.3</v>
      </c>
      <c r="O754" s="722">
        <f t="shared" si="190"/>
        <v>0.2307692308</v>
      </c>
      <c r="P754" s="880"/>
      <c r="Q754" s="890" t="s">
        <v>7599</v>
      </c>
      <c r="R754" s="1"/>
      <c r="S754" s="729"/>
      <c r="T754" s="863"/>
      <c r="U754" s="422"/>
      <c r="V754" s="422"/>
      <c r="W754" s="422"/>
      <c r="X754" s="422"/>
      <c r="Y754" s="422"/>
    </row>
    <row r="755" ht="15.75" customHeight="1" outlineLevel="1">
      <c r="A755" s="641" t="s">
        <v>7600</v>
      </c>
      <c r="B755" s="798" t="s">
        <v>7575</v>
      </c>
      <c r="C755" s="643" t="s">
        <v>5636</v>
      </c>
      <c r="D755" s="644">
        <f>SUMIF('Orcamento RU Viora Build'!$A:$A,A755,'Orcamento RU Viora Build'!$F:$F)</f>
        <v>1</v>
      </c>
      <c r="E755" s="645">
        <f t="shared" si="184"/>
        <v>110.5</v>
      </c>
      <c r="F755" s="646">
        <f t="shared" si="185"/>
        <v>110.5</v>
      </c>
      <c r="G755" s="782"/>
      <c r="H755" s="666"/>
      <c r="I755" s="889">
        <v>85.0</v>
      </c>
      <c r="J755" s="719">
        <v>0.0</v>
      </c>
      <c r="K755" s="720">
        <f t="shared" si="186"/>
        <v>85</v>
      </c>
      <c r="L755" s="720">
        <f t="shared" si="187"/>
        <v>85</v>
      </c>
      <c r="M755" s="721">
        <f t="shared" si="188"/>
        <v>25.5</v>
      </c>
      <c r="N755" s="659">
        <f t="shared" si="189"/>
        <v>0.3</v>
      </c>
      <c r="O755" s="722">
        <f t="shared" si="190"/>
        <v>0.2307692308</v>
      </c>
      <c r="P755" s="880"/>
      <c r="Q755" s="890" t="s">
        <v>7601</v>
      </c>
      <c r="R755" s="1"/>
      <c r="S755" s="729"/>
      <c r="T755" s="863"/>
      <c r="U755" s="422"/>
      <c r="V755" s="422"/>
      <c r="W755" s="422"/>
      <c r="X755" s="422"/>
      <c r="Y755" s="422"/>
    </row>
    <row r="756" ht="15.75" customHeight="1" outlineLevel="1">
      <c r="A756" s="641" t="s">
        <v>7602</v>
      </c>
      <c r="B756" s="798" t="s">
        <v>7603</v>
      </c>
      <c r="C756" s="643" t="s">
        <v>5636</v>
      </c>
      <c r="D756" s="644">
        <f>SUMIF('Orcamento RU Viora Build'!$A:$A,A756,'Orcamento RU Viora Build'!$F:$F)</f>
        <v>3</v>
      </c>
      <c r="E756" s="645">
        <f t="shared" si="184"/>
        <v>84.5</v>
      </c>
      <c r="F756" s="646">
        <f t="shared" si="185"/>
        <v>253.5</v>
      </c>
      <c r="G756" s="782"/>
      <c r="H756" s="666"/>
      <c r="I756" s="889">
        <v>65.0</v>
      </c>
      <c r="J756" s="719">
        <v>0.0</v>
      </c>
      <c r="K756" s="720">
        <f t="shared" si="186"/>
        <v>65</v>
      </c>
      <c r="L756" s="720">
        <f t="shared" si="187"/>
        <v>195</v>
      </c>
      <c r="M756" s="721">
        <f t="shared" si="188"/>
        <v>58.5</v>
      </c>
      <c r="N756" s="659">
        <f t="shared" si="189"/>
        <v>0.3</v>
      </c>
      <c r="O756" s="722">
        <f t="shared" si="190"/>
        <v>0.2307692308</v>
      </c>
      <c r="P756" s="880"/>
      <c r="Q756" s="890" t="s">
        <v>7604</v>
      </c>
      <c r="R756" s="1"/>
      <c r="S756" s="729"/>
      <c r="T756" s="863"/>
      <c r="U756" s="422"/>
      <c r="V756" s="422"/>
      <c r="W756" s="422"/>
      <c r="X756" s="422"/>
      <c r="Y756" s="422"/>
    </row>
    <row r="757" ht="15.75" customHeight="1" outlineLevel="1">
      <c r="A757" s="641" t="s">
        <v>7605</v>
      </c>
      <c r="B757" s="798" t="s">
        <v>7606</v>
      </c>
      <c r="C757" s="643" t="s">
        <v>5636</v>
      </c>
      <c r="D757" s="644">
        <f>SUMIF('Orcamento RU Viora Build'!$A:$A,A757,'Orcamento RU Viora Build'!$F:$F)</f>
        <v>1</v>
      </c>
      <c r="E757" s="645">
        <f t="shared" si="184"/>
        <v>52</v>
      </c>
      <c r="F757" s="646">
        <f t="shared" si="185"/>
        <v>52</v>
      </c>
      <c r="G757" s="782"/>
      <c r="H757" s="666"/>
      <c r="I757" s="889">
        <v>40.0</v>
      </c>
      <c r="J757" s="719">
        <v>0.0</v>
      </c>
      <c r="K757" s="720">
        <f t="shared" si="186"/>
        <v>40</v>
      </c>
      <c r="L757" s="720">
        <f t="shared" si="187"/>
        <v>40</v>
      </c>
      <c r="M757" s="721">
        <f t="shared" si="188"/>
        <v>12</v>
      </c>
      <c r="N757" s="659">
        <f t="shared" si="189"/>
        <v>0.3</v>
      </c>
      <c r="O757" s="722">
        <f t="shared" si="190"/>
        <v>0.2307692308</v>
      </c>
      <c r="P757" s="880"/>
      <c r="Q757" s="890" t="s">
        <v>7607</v>
      </c>
      <c r="R757" s="1"/>
      <c r="S757" s="729"/>
      <c r="T757" s="863"/>
      <c r="U757" s="422"/>
      <c r="V757" s="422"/>
      <c r="W757" s="422"/>
      <c r="X757" s="422"/>
      <c r="Y757" s="422"/>
    </row>
    <row r="758" ht="15.75" customHeight="1" outlineLevel="1">
      <c r="A758" s="641" t="s">
        <v>7608</v>
      </c>
      <c r="B758" s="798" t="s">
        <v>7609</v>
      </c>
      <c r="C758" s="643" t="s">
        <v>5636</v>
      </c>
      <c r="D758" s="644">
        <f>SUMIF('Orcamento RU Viora Build'!$A:$A,A758,'Orcamento RU Viora Build'!$F:$F)</f>
        <v>4</v>
      </c>
      <c r="E758" s="645">
        <f t="shared" si="184"/>
        <v>65</v>
      </c>
      <c r="F758" s="646">
        <f t="shared" si="185"/>
        <v>260</v>
      </c>
      <c r="G758" s="782"/>
      <c r="H758" s="666"/>
      <c r="I758" s="889">
        <v>50.0</v>
      </c>
      <c r="J758" s="719">
        <v>0.0</v>
      </c>
      <c r="K758" s="720">
        <f t="shared" si="186"/>
        <v>50</v>
      </c>
      <c r="L758" s="720">
        <f t="shared" si="187"/>
        <v>200</v>
      </c>
      <c r="M758" s="721">
        <f t="shared" si="188"/>
        <v>60</v>
      </c>
      <c r="N758" s="659">
        <f t="shared" si="189"/>
        <v>0.3</v>
      </c>
      <c r="O758" s="722">
        <f t="shared" si="190"/>
        <v>0.2307692308</v>
      </c>
      <c r="P758" s="880"/>
      <c r="Q758" s="890" t="s">
        <v>7610</v>
      </c>
      <c r="R758" s="1"/>
      <c r="S758" s="729"/>
      <c r="T758" s="863"/>
      <c r="U758" s="422"/>
      <c r="V758" s="422"/>
      <c r="W758" s="422"/>
      <c r="X758" s="422"/>
      <c r="Y758" s="422"/>
    </row>
    <row r="759" ht="15.75" customHeight="1" outlineLevel="1">
      <c r="A759" s="641" t="s">
        <v>7611</v>
      </c>
      <c r="B759" s="798" t="s">
        <v>7612</v>
      </c>
      <c r="C759" s="643" t="s">
        <v>5636</v>
      </c>
      <c r="D759" s="644">
        <f>SUMIF('Orcamento RU Viora Build'!$A:$A,A759,'Orcamento RU Viora Build'!$F:$F)</f>
        <v>1</v>
      </c>
      <c r="E759" s="645">
        <f t="shared" si="184"/>
        <v>117</v>
      </c>
      <c r="F759" s="646">
        <f t="shared" si="185"/>
        <v>117</v>
      </c>
      <c r="G759" s="782"/>
      <c r="H759" s="666"/>
      <c r="I759" s="889">
        <v>90.0</v>
      </c>
      <c r="J759" s="719">
        <v>0.0</v>
      </c>
      <c r="K759" s="720">
        <f t="shared" si="186"/>
        <v>90</v>
      </c>
      <c r="L759" s="720">
        <f t="shared" si="187"/>
        <v>90</v>
      </c>
      <c r="M759" s="721">
        <f t="shared" si="188"/>
        <v>27</v>
      </c>
      <c r="N759" s="659">
        <f t="shared" si="189"/>
        <v>0.3</v>
      </c>
      <c r="O759" s="722">
        <f t="shared" si="190"/>
        <v>0.2307692308</v>
      </c>
      <c r="P759" s="880"/>
      <c r="Q759" s="890" t="s">
        <v>7613</v>
      </c>
      <c r="R759" s="1"/>
      <c r="S759" s="729"/>
      <c r="T759" s="863"/>
      <c r="U759" s="422"/>
      <c r="V759" s="422"/>
      <c r="W759" s="422"/>
      <c r="X759" s="422"/>
      <c r="Y759" s="422"/>
    </row>
    <row r="760" ht="15.75" customHeight="1" outlineLevel="1">
      <c r="A760" s="641" t="s">
        <v>7614</v>
      </c>
      <c r="B760" s="798" t="s">
        <v>7615</v>
      </c>
      <c r="C760" s="643" t="s">
        <v>5636</v>
      </c>
      <c r="D760" s="644">
        <f>SUMIF('Orcamento RU Viora Build'!$A:$A,A760,'Orcamento RU Viora Build'!$F:$F)</f>
        <v>2</v>
      </c>
      <c r="E760" s="645">
        <f t="shared" si="184"/>
        <v>39</v>
      </c>
      <c r="F760" s="646">
        <f t="shared" si="185"/>
        <v>78</v>
      </c>
      <c r="G760" s="782"/>
      <c r="H760" s="666"/>
      <c r="I760" s="889">
        <v>30.0</v>
      </c>
      <c r="J760" s="719">
        <v>0.0</v>
      </c>
      <c r="K760" s="720">
        <f t="shared" si="186"/>
        <v>30</v>
      </c>
      <c r="L760" s="720">
        <f t="shared" si="187"/>
        <v>60</v>
      </c>
      <c r="M760" s="721">
        <f t="shared" si="188"/>
        <v>18</v>
      </c>
      <c r="N760" s="659">
        <f t="shared" si="189"/>
        <v>0.3</v>
      </c>
      <c r="O760" s="722">
        <f t="shared" si="190"/>
        <v>0.2307692308</v>
      </c>
      <c r="P760" s="880"/>
      <c r="Q760" s="890" t="s">
        <v>7616</v>
      </c>
      <c r="R760" s="1"/>
      <c r="S760" s="729"/>
      <c r="T760" s="863"/>
      <c r="U760" s="422"/>
      <c r="V760" s="422"/>
      <c r="W760" s="422"/>
      <c r="X760" s="422"/>
      <c r="Y760" s="422"/>
    </row>
    <row r="761" ht="15.75" customHeight="1" outlineLevel="1">
      <c r="A761" s="641" t="s">
        <v>7617</v>
      </c>
      <c r="B761" s="798" t="s">
        <v>7618</v>
      </c>
      <c r="C761" s="643" t="s">
        <v>5636</v>
      </c>
      <c r="D761" s="644">
        <f>SUMIF('Orcamento RU Viora Build'!$A:$A,A761,'Orcamento RU Viora Build'!$F:$F)</f>
        <v>1</v>
      </c>
      <c r="E761" s="645">
        <f t="shared" si="184"/>
        <v>585</v>
      </c>
      <c r="F761" s="646">
        <f t="shared" si="185"/>
        <v>585</v>
      </c>
      <c r="G761" s="782"/>
      <c r="H761" s="666"/>
      <c r="I761" s="889">
        <v>450.0</v>
      </c>
      <c r="J761" s="719">
        <v>0.0</v>
      </c>
      <c r="K761" s="720">
        <f t="shared" si="186"/>
        <v>450</v>
      </c>
      <c r="L761" s="720">
        <f t="shared" si="187"/>
        <v>450</v>
      </c>
      <c r="M761" s="721">
        <f t="shared" si="188"/>
        <v>135</v>
      </c>
      <c r="N761" s="659">
        <f t="shared" si="189"/>
        <v>0.3</v>
      </c>
      <c r="O761" s="722">
        <f t="shared" si="190"/>
        <v>0.2307692308</v>
      </c>
      <c r="P761" s="880"/>
      <c r="Q761" s="890" t="s">
        <v>7619</v>
      </c>
      <c r="R761" s="1"/>
      <c r="S761" s="729"/>
      <c r="T761" s="863"/>
      <c r="U761" s="422"/>
      <c r="V761" s="422"/>
      <c r="W761" s="422"/>
      <c r="X761" s="422"/>
      <c r="Y761" s="422"/>
    </row>
    <row r="762" ht="15.75" customHeight="1" outlineLevel="1">
      <c r="A762" s="641" t="s">
        <v>7620</v>
      </c>
      <c r="B762" s="798" t="s">
        <v>7621</v>
      </c>
      <c r="C762" s="643" t="s">
        <v>5631</v>
      </c>
      <c r="D762" s="644">
        <f>SUMIF('Orcamento RU Viora Build'!$A:$A,A762,'Orcamento RU Viora Build'!$F:$F)</f>
        <v>244</v>
      </c>
      <c r="E762" s="645">
        <f t="shared" si="184"/>
        <v>7.8</v>
      </c>
      <c r="F762" s="646">
        <f t="shared" si="185"/>
        <v>1903.2</v>
      </c>
      <c r="G762" s="782"/>
      <c r="H762" s="666"/>
      <c r="I762" s="889">
        <v>6.0</v>
      </c>
      <c r="J762" s="719">
        <v>0.0</v>
      </c>
      <c r="K762" s="720">
        <f t="shared" si="186"/>
        <v>6</v>
      </c>
      <c r="L762" s="720">
        <f t="shared" si="187"/>
        <v>1464</v>
      </c>
      <c r="M762" s="721">
        <f t="shared" si="188"/>
        <v>439.2</v>
      </c>
      <c r="N762" s="659">
        <f t="shared" si="189"/>
        <v>0.3</v>
      </c>
      <c r="O762" s="722">
        <f t="shared" si="190"/>
        <v>0.2307692308</v>
      </c>
      <c r="P762" s="880"/>
      <c r="Q762" s="890" t="s">
        <v>7622</v>
      </c>
      <c r="R762" s="1"/>
      <c r="S762" s="729"/>
      <c r="T762" s="863"/>
      <c r="U762" s="422"/>
      <c r="V762" s="422"/>
      <c r="W762" s="422"/>
      <c r="X762" s="422"/>
      <c r="Y762" s="422"/>
    </row>
    <row r="763" ht="15.75" customHeight="1" outlineLevel="1">
      <c r="A763" s="641" t="s">
        <v>7623</v>
      </c>
      <c r="B763" s="798" t="s">
        <v>7624</v>
      </c>
      <c r="C763" s="643" t="s">
        <v>5631</v>
      </c>
      <c r="D763" s="644">
        <f>SUMIF('Orcamento RU Viora Build'!$A:$A,A763,'Orcamento RU Viora Build'!$F:$F)</f>
        <v>46</v>
      </c>
      <c r="E763" s="645">
        <f t="shared" si="184"/>
        <v>11.7</v>
      </c>
      <c r="F763" s="646">
        <f t="shared" si="185"/>
        <v>538.2</v>
      </c>
      <c r="G763" s="782"/>
      <c r="H763" s="666"/>
      <c r="I763" s="889">
        <v>9.0</v>
      </c>
      <c r="J763" s="719">
        <v>0.0</v>
      </c>
      <c r="K763" s="720">
        <f t="shared" si="186"/>
        <v>9</v>
      </c>
      <c r="L763" s="720">
        <f t="shared" si="187"/>
        <v>414</v>
      </c>
      <c r="M763" s="721">
        <f t="shared" si="188"/>
        <v>124.2</v>
      </c>
      <c r="N763" s="659">
        <f t="shared" si="189"/>
        <v>0.3</v>
      </c>
      <c r="O763" s="722">
        <f t="shared" si="190"/>
        <v>0.2307692308</v>
      </c>
      <c r="P763" s="880"/>
      <c r="Q763" s="890" t="s">
        <v>7625</v>
      </c>
      <c r="R763" s="1"/>
      <c r="S763" s="729"/>
      <c r="T763" s="863"/>
      <c r="U763" s="422"/>
      <c r="V763" s="422"/>
      <c r="W763" s="422"/>
      <c r="X763" s="422"/>
      <c r="Y763" s="422"/>
    </row>
    <row r="764" ht="15.75" customHeight="1" outlineLevel="1">
      <c r="A764" s="641" t="s">
        <v>7626</v>
      </c>
      <c r="B764" s="798" t="s">
        <v>7627</v>
      </c>
      <c r="C764" s="643" t="s">
        <v>5635</v>
      </c>
      <c r="D764" s="644">
        <f>SUMIF('Orcamento RU Viora Build'!$A:$A,A764,'Orcamento RU Viora Build'!$F:$F)</f>
        <v>110</v>
      </c>
      <c r="E764" s="645">
        <f t="shared" si="184"/>
        <v>20.8</v>
      </c>
      <c r="F764" s="646">
        <f t="shared" si="185"/>
        <v>2288</v>
      </c>
      <c r="G764" s="782"/>
      <c r="H764" s="666"/>
      <c r="I764" s="892">
        <v>16.0</v>
      </c>
      <c r="J764" s="719">
        <v>0.0</v>
      </c>
      <c r="K764" s="720">
        <f t="shared" si="186"/>
        <v>16</v>
      </c>
      <c r="L764" s="720">
        <f t="shared" si="187"/>
        <v>1760</v>
      </c>
      <c r="M764" s="721">
        <f t="shared" si="188"/>
        <v>528</v>
      </c>
      <c r="N764" s="659">
        <f t="shared" si="189"/>
        <v>0.3</v>
      </c>
      <c r="O764" s="722">
        <f t="shared" si="190"/>
        <v>0.2307692308</v>
      </c>
      <c r="P764" s="880"/>
      <c r="Q764" s="890" t="s">
        <v>7628</v>
      </c>
      <c r="R764" s="1"/>
      <c r="S764" s="729"/>
      <c r="T764" s="863"/>
      <c r="U764" s="422"/>
      <c r="V764" s="422"/>
      <c r="W764" s="422"/>
      <c r="X764" s="422"/>
      <c r="Y764" s="422"/>
    </row>
    <row r="765" ht="15.75" customHeight="1" outlineLevel="1">
      <c r="A765" s="641" t="s">
        <v>7629</v>
      </c>
      <c r="B765" s="798" t="s">
        <v>7630</v>
      </c>
      <c r="C765" s="643" t="s">
        <v>5636</v>
      </c>
      <c r="D765" s="644">
        <f>SUMIF('Orcamento RU Viora Build'!$A:$A,A765,'Orcamento RU Viora Build'!$F:$F)</f>
        <v>1</v>
      </c>
      <c r="E765" s="645">
        <f t="shared" si="184"/>
        <v>715</v>
      </c>
      <c r="F765" s="646">
        <f t="shared" si="185"/>
        <v>715</v>
      </c>
      <c r="G765" s="782"/>
      <c r="H765" s="666"/>
      <c r="I765" s="889">
        <v>550.0</v>
      </c>
      <c r="J765" s="719">
        <v>0.0</v>
      </c>
      <c r="K765" s="720">
        <f t="shared" si="186"/>
        <v>550</v>
      </c>
      <c r="L765" s="720">
        <f t="shared" si="187"/>
        <v>550</v>
      </c>
      <c r="M765" s="721">
        <f t="shared" si="188"/>
        <v>165</v>
      </c>
      <c r="N765" s="659">
        <f t="shared" si="189"/>
        <v>0.3</v>
      </c>
      <c r="O765" s="722">
        <f t="shared" si="190"/>
        <v>0.2307692308</v>
      </c>
      <c r="P765" s="880"/>
      <c r="Q765" s="890" t="s">
        <v>7631</v>
      </c>
      <c r="R765" s="1"/>
      <c r="S765" s="729"/>
      <c r="T765" s="863"/>
      <c r="U765" s="422"/>
      <c r="V765" s="422"/>
      <c r="W765" s="422"/>
      <c r="X765" s="422"/>
      <c r="Y765" s="422"/>
    </row>
    <row r="766" ht="15.75" customHeight="1" outlineLevel="1">
      <c r="A766" s="641" t="s">
        <v>7632</v>
      </c>
      <c r="B766" s="798" t="s">
        <v>7633</v>
      </c>
      <c r="C766" s="643" t="s">
        <v>5636</v>
      </c>
      <c r="D766" s="644">
        <f>SUMIF('Orcamento RU Viora Build'!$A:$A,A766,'Orcamento RU Viora Build'!$F:$F)</f>
        <v>1</v>
      </c>
      <c r="E766" s="645">
        <f t="shared" si="184"/>
        <v>104</v>
      </c>
      <c r="F766" s="646">
        <f t="shared" si="185"/>
        <v>104</v>
      </c>
      <c r="G766" s="782"/>
      <c r="H766" s="666"/>
      <c r="I766" s="889">
        <v>80.0</v>
      </c>
      <c r="J766" s="719">
        <v>0.0</v>
      </c>
      <c r="K766" s="720">
        <f t="shared" si="186"/>
        <v>80</v>
      </c>
      <c r="L766" s="720">
        <f t="shared" si="187"/>
        <v>80</v>
      </c>
      <c r="M766" s="721">
        <f t="shared" si="188"/>
        <v>24</v>
      </c>
      <c r="N766" s="659">
        <f t="shared" si="189"/>
        <v>0.3</v>
      </c>
      <c r="O766" s="722">
        <f t="shared" si="190"/>
        <v>0.2307692308</v>
      </c>
      <c r="P766" s="880"/>
      <c r="Q766" s="890" t="s">
        <v>7634</v>
      </c>
      <c r="R766" s="1"/>
      <c r="S766" s="729"/>
      <c r="T766" s="863"/>
      <c r="U766" s="422"/>
      <c r="V766" s="422"/>
      <c r="W766" s="422"/>
      <c r="X766" s="422"/>
      <c r="Y766" s="422"/>
    </row>
    <row r="767" ht="15.75" customHeight="1" outlineLevel="1">
      <c r="A767" s="641" t="s">
        <v>7635</v>
      </c>
      <c r="B767" s="798" t="s">
        <v>7636</v>
      </c>
      <c r="C767" s="643" t="s">
        <v>5636</v>
      </c>
      <c r="D767" s="644">
        <f>SUMIF('Orcamento RU Viora Build'!$A:$A,A767,'Orcamento RU Viora Build'!$F:$F)</f>
        <v>1</v>
      </c>
      <c r="E767" s="645">
        <f t="shared" si="184"/>
        <v>52</v>
      </c>
      <c r="F767" s="646">
        <f t="shared" si="185"/>
        <v>52</v>
      </c>
      <c r="G767" s="782"/>
      <c r="H767" s="666"/>
      <c r="I767" s="889">
        <v>40.0</v>
      </c>
      <c r="J767" s="719">
        <v>0.0</v>
      </c>
      <c r="K767" s="720">
        <f t="shared" si="186"/>
        <v>40</v>
      </c>
      <c r="L767" s="720">
        <f t="shared" si="187"/>
        <v>40</v>
      </c>
      <c r="M767" s="721">
        <f t="shared" si="188"/>
        <v>12</v>
      </c>
      <c r="N767" s="659">
        <f t="shared" si="189"/>
        <v>0.3</v>
      </c>
      <c r="O767" s="722">
        <f t="shared" si="190"/>
        <v>0.2307692308</v>
      </c>
      <c r="P767" s="880"/>
      <c r="Q767" s="890" t="s">
        <v>7637</v>
      </c>
      <c r="R767" s="1"/>
      <c r="S767" s="729"/>
      <c r="T767" s="863"/>
      <c r="U767" s="422"/>
      <c r="V767" s="422"/>
      <c r="W767" s="422"/>
      <c r="X767" s="422"/>
      <c r="Y767" s="422"/>
    </row>
    <row r="768" ht="15.75" customHeight="1" outlineLevel="1">
      <c r="A768" s="641" t="s">
        <v>7638</v>
      </c>
      <c r="B768" s="798" t="s">
        <v>7639</v>
      </c>
      <c r="C768" s="643" t="s">
        <v>5636</v>
      </c>
      <c r="D768" s="644">
        <f>SUMIF('Orcamento RU Viora Build'!$A:$A,A768,'Orcamento RU Viora Build'!$F:$F)</f>
        <v>10</v>
      </c>
      <c r="E768" s="645">
        <f t="shared" si="184"/>
        <v>32.5</v>
      </c>
      <c r="F768" s="646">
        <f t="shared" si="185"/>
        <v>325</v>
      </c>
      <c r="G768" s="782"/>
      <c r="H768" s="666"/>
      <c r="I768" s="889">
        <v>25.0</v>
      </c>
      <c r="J768" s="719">
        <v>0.0</v>
      </c>
      <c r="K768" s="720">
        <f t="shared" si="186"/>
        <v>25</v>
      </c>
      <c r="L768" s="720">
        <f t="shared" si="187"/>
        <v>250</v>
      </c>
      <c r="M768" s="721">
        <f t="shared" si="188"/>
        <v>75</v>
      </c>
      <c r="N768" s="659">
        <f t="shared" si="189"/>
        <v>0.3</v>
      </c>
      <c r="O768" s="722">
        <f t="shared" si="190"/>
        <v>0.2307692308</v>
      </c>
      <c r="P768" s="880"/>
      <c r="Q768" s="890" t="s">
        <v>7640</v>
      </c>
      <c r="R768" s="1"/>
      <c r="S768" s="729"/>
      <c r="T768" s="863"/>
      <c r="U768" s="422"/>
      <c r="V768" s="422"/>
      <c r="W768" s="422"/>
      <c r="X768" s="422"/>
      <c r="Y768" s="422"/>
    </row>
    <row r="769" ht="15.75" customHeight="1" outlineLevel="1">
      <c r="A769" s="641" t="s">
        <v>7641</v>
      </c>
      <c r="B769" s="798" t="s">
        <v>7642</v>
      </c>
      <c r="C769" s="643" t="s">
        <v>5636</v>
      </c>
      <c r="D769" s="644">
        <f>SUMIF('Orcamento RU Viora Build'!$A:$A,A769,'Orcamento RU Viora Build'!$F:$F)</f>
        <v>12</v>
      </c>
      <c r="E769" s="645">
        <f t="shared" si="184"/>
        <v>36.4</v>
      </c>
      <c r="F769" s="646">
        <f t="shared" si="185"/>
        <v>436.8</v>
      </c>
      <c r="G769" s="782"/>
      <c r="H769" s="666"/>
      <c r="I769" s="889">
        <v>28.0</v>
      </c>
      <c r="J769" s="719">
        <v>0.0</v>
      </c>
      <c r="K769" s="720">
        <f t="shared" si="186"/>
        <v>28</v>
      </c>
      <c r="L769" s="720">
        <f t="shared" si="187"/>
        <v>336</v>
      </c>
      <c r="M769" s="721">
        <f t="shared" si="188"/>
        <v>100.8</v>
      </c>
      <c r="N769" s="659">
        <f t="shared" si="189"/>
        <v>0.3</v>
      </c>
      <c r="O769" s="722">
        <f t="shared" si="190"/>
        <v>0.2307692308</v>
      </c>
      <c r="P769" s="880"/>
      <c r="Q769" s="890" t="s">
        <v>7643</v>
      </c>
      <c r="R769" s="1"/>
      <c r="S769" s="729"/>
      <c r="T769" s="863"/>
      <c r="U769" s="422"/>
      <c r="V769" s="422"/>
      <c r="W769" s="422"/>
      <c r="X769" s="422"/>
      <c r="Y769" s="422"/>
    </row>
    <row r="770" ht="15.75" customHeight="1" outlineLevel="1">
      <c r="A770" s="641" t="s">
        <v>7644</v>
      </c>
      <c r="B770" s="798" t="s">
        <v>7645</v>
      </c>
      <c r="C770" s="643" t="s">
        <v>5636</v>
      </c>
      <c r="D770" s="644">
        <f>SUMIF('Orcamento RU Viora Build'!$A:$A,A770,'Orcamento RU Viora Build'!$F:$F)</f>
        <v>10</v>
      </c>
      <c r="E770" s="645">
        <f t="shared" si="184"/>
        <v>23.4</v>
      </c>
      <c r="F770" s="646">
        <f t="shared" si="185"/>
        <v>234</v>
      </c>
      <c r="G770" s="782"/>
      <c r="H770" s="666"/>
      <c r="I770" s="889">
        <v>18.0</v>
      </c>
      <c r="J770" s="719">
        <v>0.0</v>
      </c>
      <c r="K770" s="720">
        <f t="shared" si="186"/>
        <v>18</v>
      </c>
      <c r="L770" s="720">
        <f t="shared" si="187"/>
        <v>180</v>
      </c>
      <c r="M770" s="721">
        <f t="shared" si="188"/>
        <v>54</v>
      </c>
      <c r="N770" s="659">
        <f t="shared" si="189"/>
        <v>0.3</v>
      </c>
      <c r="O770" s="722">
        <f t="shared" si="190"/>
        <v>0.2307692308</v>
      </c>
      <c r="P770" s="880"/>
      <c r="Q770" s="890" t="s">
        <v>7646</v>
      </c>
      <c r="R770" s="1"/>
      <c r="S770" s="729"/>
      <c r="T770" s="863"/>
      <c r="U770" s="422"/>
      <c r="V770" s="422"/>
      <c r="W770" s="422"/>
      <c r="X770" s="422"/>
      <c r="Y770" s="422"/>
    </row>
    <row r="771" ht="15.75" customHeight="1" outlineLevel="1">
      <c r="A771" s="641" t="s">
        <v>7647</v>
      </c>
      <c r="B771" s="798" t="s">
        <v>7648</v>
      </c>
      <c r="C771" s="643" t="s">
        <v>5631</v>
      </c>
      <c r="D771" s="644">
        <f>SUMIF('Orcamento RU Viora Build'!$A:$A,A771,'Orcamento RU Viora Build'!$F:$F)</f>
        <v>11.24</v>
      </c>
      <c r="E771" s="645">
        <f t="shared" si="184"/>
        <v>28.6</v>
      </c>
      <c r="F771" s="646">
        <f t="shared" si="185"/>
        <v>321.464</v>
      </c>
      <c r="G771" s="782"/>
      <c r="H771" s="666"/>
      <c r="I771" s="889">
        <v>22.0</v>
      </c>
      <c r="J771" s="719">
        <v>0.0</v>
      </c>
      <c r="K771" s="720">
        <f t="shared" si="186"/>
        <v>22</v>
      </c>
      <c r="L771" s="720">
        <f t="shared" si="187"/>
        <v>247.28</v>
      </c>
      <c r="M771" s="721">
        <f t="shared" si="188"/>
        <v>74.184</v>
      </c>
      <c r="N771" s="659">
        <f t="shared" si="189"/>
        <v>0.3</v>
      </c>
      <c r="O771" s="722">
        <f t="shared" si="190"/>
        <v>0.2307692308</v>
      </c>
      <c r="P771" s="880"/>
      <c r="Q771" s="890" t="s">
        <v>7649</v>
      </c>
      <c r="R771" s="1"/>
      <c r="S771" s="729"/>
      <c r="T771" s="863"/>
      <c r="U771" s="422"/>
      <c r="V771" s="422"/>
      <c r="W771" s="422"/>
      <c r="X771" s="422"/>
      <c r="Y771" s="422"/>
    </row>
    <row r="772" ht="15.75" customHeight="1" outlineLevel="1">
      <c r="A772" s="641" t="s">
        <v>7650</v>
      </c>
      <c r="B772" s="798" t="s">
        <v>7651</v>
      </c>
      <c r="C772" s="643" t="s">
        <v>5636</v>
      </c>
      <c r="D772" s="644">
        <f>SUMIF('Orcamento RU Viora Build'!$A:$A,A772,'Orcamento RU Viora Build'!$F:$F)</f>
        <v>4</v>
      </c>
      <c r="E772" s="645">
        <f t="shared" si="184"/>
        <v>156</v>
      </c>
      <c r="F772" s="646">
        <f t="shared" si="185"/>
        <v>624</v>
      </c>
      <c r="G772" s="782"/>
      <c r="H772" s="666"/>
      <c r="I772" s="889">
        <v>120.0</v>
      </c>
      <c r="J772" s="719">
        <v>0.0</v>
      </c>
      <c r="K772" s="720">
        <f t="shared" si="186"/>
        <v>120</v>
      </c>
      <c r="L772" s="720">
        <f t="shared" si="187"/>
        <v>480</v>
      </c>
      <c r="M772" s="721">
        <f t="shared" si="188"/>
        <v>144</v>
      </c>
      <c r="N772" s="659">
        <f t="shared" si="189"/>
        <v>0.3</v>
      </c>
      <c r="O772" s="722">
        <f t="shared" si="190"/>
        <v>0.2307692308</v>
      </c>
      <c r="P772" s="880"/>
      <c r="Q772" s="890" t="s">
        <v>7652</v>
      </c>
      <c r="R772" s="1"/>
      <c r="S772" s="729"/>
      <c r="T772" s="863"/>
      <c r="U772" s="422"/>
      <c r="V772" s="422"/>
      <c r="W772" s="422"/>
      <c r="X772" s="422"/>
      <c r="Y772" s="422"/>
    </row>
    <row r="773" ht="15.75" customHeight="1" outlineLevel="1">
      <c r="A773" s="641" t="s">
        <v>7653</v>
      </c>
      <c r="B773" s="798" t="s">
        <v>7654</v>
      </c>
      <c r="C773" s="643" t="s">
        <v>5636</v>
      </c>
      <c r="D773" s="644">
        <f>SUMIF('Orcamento RU Viora Build'!$A:$A,A773,'Orcamento RU Viora Build'!$F:$F)</f>
        <v>2</v>
      </c>
      <c r="E773" s="645">
        <f t="shared" si="184"/>
        <v>234</v>
      </c>
      <c r="F773" s="646">
        <f t="shared" si="185"/>
        <v>468</v>
      </c>
      <c r="G773" s="782"/>
      <c r="H773" s="666"/>
      <c r="I773" s="889">
        <v>180.0</v>
      </c>
      <c r="J773" s="719">
        <v>0.0</v>
      </c>
      <c r="K773" s="720">
        <f t="shared" si="186"/>
        <v>180</v>
      </c>
      <c r="L773" s="720">
        <f t="shared" si="187"/>
        <v>360</v>
      </c>
      <c r="M773" s="721">
        <f t="shared" si="188"/>
        <v>108</v>
      </c>
      <c r="N773" s="659">
        <f t="shared" si="189"/>
        <v>0.3</v>
      </c>
      <c r="O773" s="722">
        <f t="shared" si="190"/>
        <v>0.2307692308</v>
      </c>
      <c r="P773" s="880"/>
      <c r="Q773" s="890" t="s">
        <v>7655</v>
      </c>
      <c r="R773" s="1"/>
      <c r="S773" s="729"/>
      <c r="T773" s="863"/>
      <c r="U773" s="422"/>
      <c r="V773" s="422"/>
      <c r="W773" s="422"/>
      <c r="X773" s="422"/>
      <c r="Y773" s="422"/>
    </row>
    <row r="774" ht="15.75" customHeight="1" outlineLevel="1">
      <c r="A774" s="641" t="s">
        <v>7656</v>
      </c>
      <c r="B774" s="798" t="s">
        <v>7657</v>
      </c>
      <c r="C774" s="643" t="s">
        <v>5636</v>
      </c>
      <c r="D774" s="644">
        <f>SUMIF('Orcamento RU Viora Build'!$A:$A,A774,'Orcamento RU Viora Build'!$F:$F)</f>
        <v>4</v>
      </c>
      <c r="E774" s="645">
        <f t="shared" si="184"/>
        <v>273</v>
      </c>
      <c r="F774" s="646">
        <f t="shared" si="185"/>
        <v>1092</v>
      </c>
      <c r="G774" s="782"/>
      <c r="H774" s="666"/>
      <c r="I774" s="889">
        <v>210.0</v>
      </c>
      <c r="J774" s="719">
        <v>0.0</v>
      </c>
      <c r="K774" s="720">
        <f t="shared" si="186"/>
        <v>210</v>
      </c>
      <c r="L774" s="720">
        <f t="shared" si="187"/>
        <v>840</v>
      </c>
      <c r="M774" s="721">
        <f t="shared" si="188"/>
        <v>252</v>
      </c>
      <c r="N774" s="659">
        <f t="shared" si="189"/>
        <v>0.3</v>
      </c>
      <c r="O774" s="722">
        <f t="shared" si="190"/>
        <v>0.2307692308</v>
      </c>
      <c r="P774" s="880"/>
      <c r="Q774" s="890" t="s">
        <v>7658</v>
      </c>
      <c r="R774" s="1"/>
      <c r="S774" s="729"/>
      <c r="T774" s="863"/>
      <c r="U774" s="422"/>
      <c r="V774" s="422"/>
      <c r="W774" s="422"/>
      <c r="X774" s="422"/>
      <c r="Y774" s="422"/>
    </row>
    <row r="775" ht="15.75" customHeight="1" outlineLevel="1">
      <c r="A775" s="641" t="s">
        <v>7659</v>
      </c>
      <c r="B775" s="798" t="s">
        <v>7660</v>
      </c>
      <c r="C775" s="643" t="s">
        <v>5636</v>
      </c>
      <c r="D775" s="644">
        <f>SUMIF('Orcamento RU Viora Build'!$A:$A,A775,'Orcamento RU Viora Build'!$F:$F)</f>
        <v>8</v>
      </c>
      <c r="E775" s="645">
        <f t="shared" si="184"/>
        <v>455</v>
      </c>
      <c r="F775" s="646">
        <f t="shared" si="185"/>
        <v>3640</v>
      </c>
      <c r="G775" s="782"/>
      <c r="H775" s="666"/>
      <c r="I775" s="889">
        <v>350.0</v>
      </c>
      <c r="J775" s="719">
        <v>0.0</v>
      </c>
      <c r="K775" s="720">
        <f t="shared" si="186"/>
        <v>350</v>
      </c>
      <c r="L775" s="720">
        <f t="shared" si="187"/>
        <v>2800</v>
      </c>
      <c r="M775" s="721">
        <f t="shared" si="188"/>
        <v>840</v>
      </c>
      <c r="N775" s="659">
        <f t="shared" si="189"/>
        <v>0.3</v>
      </c>
      <c r="O775" s="722">
        <f t="shared" si="190"/>
        <v>0.2307692308</v>
      </c>
      <c r="P775" s="880"/>
      <c r="Q775" s="890" t="s">
        <v>7661</v>
      </c>
      <c r="R775" s="1"/>
      <c r="S775" s="729"/>
      <c r="T775" s="863"/>
      <c r="U775" s="422"/>
      <c r="V775" s="422"/>
      <c r="W775" s="422"/>
      <c r="X775" s="422"/>
      <c r="Y775" s="422"/>
    </row>
    <row r="776" ht="15.75" customHeight="1" outlineLevel="1">
      <c r="A776" s="641" t="s">
        <v>7662</v>
      </c>
      <c r="B776" s="798" t="s">
        <v>7663</v>
      </c>
      <c r="C776" s="643" t="s">
        <v>5636</v>
      </c>
      <c r="D776" s="644">
        <f>SUMIF('Orcamento RU Viora Build'!$A:$A,A776,'Orcamento RU Viora Build'!$F:$F)</f>
        <v>2</v>
      </c>
      <c r="E776" s="645">
        <f t="shared" si="184"/>
        <v>507</v>
      </c>
      <c r="F776" s="646">
        <f t="shared" si="185"/>
        <v>1014</v>
      </c>
      <c r="G776" s="782"/>
      <c r="H776" s="666"/>
      <c r="I776" s="889">
        <v>390.0</v>
      </c>
      <c r="J776" s="719">
        <v>0.0</v>
      </c>
      <c r="K776" s="720">
        <f t="shared" si="186"/>
        <v>390</v>
      </c>
      <c r="L776" s="720">
        <f t="shared" si="187"/>
        <v>780</v>
      </c>
      <c r="M776" s="721">
        <f t="shared" si="188"/>
        <v>234</v>
      </c>
      <c r="N776" s="659">
        <f t="shared" si="189"/>
        <v>0.3</v>
      </c>
      <c r="O776" s="722">
        <f t="shared" si="190"/>
        <v>0.2307692308</v>
      </c>
      <c r="P776" s="880"/>
      <c r="Q776" s="890" t="s">
        <v>7664</v>
      </c>
      <c r="R776" s="1"/>
      <c r="S776" s="729"/>
      <c r="T776" s="863"/>
      <c r="U776" s="422"/>
      <c r="V776" s="422"/>
      <c r="W776" s="422"/>
      <c r="X776" s="422"/>
      <c r="Y776" s="422"/>
    </row>
    <row r="777" ht="15.75" customHeight="1" outlineLevel="1">
      <c r="A777" s="641" t="s">
        <v>7665</v>
      </c>
      <c r="B777" s="798" t="s">
        <v>7666</v>
      </c>
      <c r="C777" s="643" t="s">
        <v>5636</v>
      </c>
      <c r="D777" s="644">
        <f>SUMIF('Orcamento RU Viora Build'!$A:$A,A777,'Orcamento RU Viora Build'!$F:$F)</f>
        <v>1</v>
      </c>
      <c r="E777" s="645">
        <f t="shared" si="184"/>
        <v>41.6</v>
      </c>
      <c r="F777" s="646">
        <f t="shared" si="185"/>
        <v>41.6</v>
      </c>
      <c r="G777" s="782"/>
      <c r="H777" s="666"/>
      <c r="I777" s="889">
        <v>32.0</v>
      </c>
      <c r="J777" s="719">
        <v>0.0</v>
      </c>
      <c r="K777" s="720">
        <f t="shared" si="186"/>
        <v>32</v>
      </c>
      <c r="L777" s="720">
        <f t="shared" si="187"/>
        <v>32</v>
      </c>
      <c r="M777" s="721">
        <f t="shared" si="188"/>
        <v>9.6</v>
      </c>
      <c r="N777" s="659">
        <f t="shared" si="189"/>
        <v>0.3</v>
      </c>
      <c r="O777" s="722">
        <f t="shared" si="190"/>
        <v>0.2307692308</v>
      </c>
      <c r="P777" s="880"/>
      <c r="Q777" s="890" t="s">
        <v>7667</v>
      </c>
      <c r="R777" s="1"/>
      <c r="S777" s="729"/>
      <c r="T777" s="863"/>
      <c r="U777" s="422"/>
      <c r="V777" s="422"/>
      <c r="W777" s="422"/>
      <c r="X777" s="422"/>
      <c r="Y777" s="422"/>
    </row>
    <row r="778" ht="15.75" customHeight="1" outlineLevel="1">
      <c r="A778" s="641" t="s">
        <v>7668</v>
      </c>
      <c r="B778" s="798" t="s">
        <v>7669</v>
      </c>
      <c r="C778" s="643" t="s">
        <v>5636</v>
      </c>
      <c r="D778" s="644">
        <f>SUMIF('Orcamento RU Viora Build'!$A:$A,A778,'Orcamento RU Viora Build'!$F:$F)</f>
        <v>1</v>
      </c>
      <c r="E778" s="645">
        <f t="shared" si="184"/>
        <v>1495</v>
      </c>
      <c r="F778" s="646">
        <f t="shared" si="185"/>
        <v>1495</v>
      </c>
      <c r="G778" s="782"/>
      <c r="H778" s="666"/>
      <c r="I778" s="889">
        <v>1150.0</v>
      </c>
      <c r="J778" s="719">
        <v>0.0</v>
      </c>
      <c r="K778" s="720">
        <f t="shared" si="186"/>
        <v>1150</v>
      </c>
      <c r="L778" s="720">
        <f t="shared" si="187"/>
        <v>1150</v>
      </c>
      <c r="M778" s="721">
        <f t="shared" si="188"/>
        <v>345</v>
      </c>
      <c r="N778" s="659">
        <f t="shared" si="189"/>
        <v>0.3</v>
      </c>
      <c r="O778" s="722">
        <f t="shared" si="190"/>
        <v>0.2307692308</v>
      </c>
      <c r="P778" s="880"/>
      <c r="Q778" s="890" t="s">
        <v>7670</v>
      </c>
      <c r="R778" s="1"/>
      <c r="S778" s="729"/>
      <c r="T778" s="863"/>
      <c r="U778" s="422"/>
      <c r="V778" s="422"/>
      <c r="W778" s="422"/>
      <c r="X778" s="422"/>
      <c r="Y778" s="422"/>
    </row>
    <row r="779" ht="15.75" customHeight="1" outlineLevel="1">
      <c r="A779" s="641" t="s">
        <v>7671</v>
      </c>
      <c r="B779" s="798" t="s">
        <v>7672</v>
      </c>
      <c r="C779" s="643" t="s">
        <v>5636</v>
      </c>
      <c r="D779" s="644">
        <f>SUMIF('Orcamento RU Viora Build'!$A:$A,A779,'Orcamento RU Viora Build'!$F:$F)</f>
        <v>2</v>
      </c>
      <c r="E779" s="645">
        <f t="shared" si="184"/>
        <v>390</v>
      </c>
      <c r="F779" s="646">
        <f t="shared" si="185"/>
        <v>780</v>
      </c>
      <c r="G779" s="782"/>
      <c r="H779" s="666"/>
      <c r="I779" s="889">
        <v>300.0</v>
      </c>
      <c r="J779" s="719">
        <v>0.0</v>
      </c>
      <c r="K779" s="720">
        <f t="shared" si="186"/>
        <v>300</v>
      </c>
      <c r="L779" s="720">
        <f t="shared" si="187"/>
        <v>600</v>
      </c>
      <c r="M779" s="721">
        <f t="shared" si="188"/>
        <v>180</v>
      </c>
      <c r="N779" s="659">
        <f t="shared" si="189"/>
        <v>0.3</v>
      </c>
      <c r="O779" s="722">
        <f t="shared" si="190"/>
        <v>0.2307692308</v>
      </c>
      <c r="P779" s="880"/>
      <c r="Q779" s="890" t="s">
        <v>7673</v>
      </c>
      <c r="R779" s="1"/>
      <c r="S779" s="729"/>
      <c r="T779" s="863"/>
      <c r="U779" s="422"/>
      <c r="V779" s="422"/>
      <c r="W779" s="422"/>
      <c r="X779" s="422"/>
      <c r="Y779" s="422"/>
    </row>
    <row r="780" ht="15.75" customHeight="1" outlineLevel="1">
      <c r="A780" s="641" t="s">
        <v>7674</v>
      </c>
      <c r="B780" s="798" t="s">
        <v>7675</v>
      </c>
      <c r="C780" s="643" t="s">
        <v>5636</v>
      </c>
      <c r="D780" s="644">
        <f>SUMIF('Orcamento RU Viora Build'!$A:$A,A780,'Orcamento RU Viora Build'!$F:$F)</f>
        <v>2</v>
      </c>
      <c r="E780" s="645">
        <f t="shared" si="184"/>
        <v>390</v>
      </c>
      <c r="F780" s="646">
        <f t="shared" si="185"/>
        <v>780</v>
      </c>
      <c r="G780" s="782"/>
      <c r="H780" s="666"/>
      <c r="I780" s="889">
        <v>300.0</v>
      </c>
      <c r="J780" s="719">
        <v>0.0</v>
      </c>
      <c r="K780" s="720">
        <f t="shared" si="186"/>
        <v>300</v>
      </c>
      <c r="L780" s="720">
        <f t="shared" si="187"/>
        <v>600</v>
      </c>
      <c r="M780" s="721">
        <f t="shared" si="188"/>
        <v>180</v>
      </c>
      <c r="N780" s="659">
        <f t="shared" si="189"/>
        <v>0.3</v>
      </c>
      <c r="O780" s="722">
        <f t="shared" si="190"/>
        <v>0.2307692308</v>
      </c>
      <c r="P780" s="880"/>
      <c r="Q780" s="890" t="s">
        <v>7676</v>
      </c>
      <c r="R780" s="1"/>
      <c r="S780" s="729"/>
      <c r="T780" s="863"/>
      <c r="U780" s="422"/>
      <c r="V780" s="422"/>
      <c r="W780" s="422"/>
      <c r="X780" s="422"/>
      <c r="Y780" s="422"/>
    </row>
    <row r="781" ht="15.75" customHeight="1" outlineLevel="1">
      <c r="A781" s="641" t="s">
        <v>7677</v>
      </c>
      <c r="B781" s="798" t="s">
        <v>7678</v>
      </c>
      <c r="C781" s="643" t="s">
        <v>5636</v>
      </c>
      <c r="D781" s="644">
        <f>SUMIF('Orcamento RU Viora Build'!$A:$A,A781,'Orcamento RU Viora Build'!$F:$F)</f>
        <v>8</v>
      </c>
      <c r="E781" s="645">
        <f t="shared" si="184"/>
        <v>65</v>
      </c>
      <c r="F781" s="646">
        <f t="shared" si="185"/>
        <v>520</v>
      </c>
      <c r="G781" s="782"/>
      <c r="H781" s="666"/>
      <c r="I781" s="889">
        <v>50.0</v>
      </c>
      <c r="J781" s="719">
        <v>0.0</v>
      </c>
      <c r="K781" s="720">
        <f t="shared" si="186"/>
        <v>50</v>
      </c>
      <c r="L781" s="720">
        <f t="shared" si="187"/>
        <v>400</v>
      </c>
      <c r="M781" s="721">
        <f t="shared" si="188"/>
        <v>120</v>
      </c>
      <c r="N781" s="659">
        <f t="shared" si="189"/>
        <v>0.3</v>
      </c>
      <c r="O781" s="722">
        <f t="shared" si="190"/>
        <v>0.2307692308</v>
      </c>
      <c r="P781" s="880"/>
      <c r="Q781" s="890" t="s">
        <v>7679</v>
      </c>
      <c r="R781" s="1"/>
      <c r="S781" s="729"/>
      <c r="T781" s="863"/>
      <c r="U781" s="422"/>
      <c r="V781" s="422"/>
      <c r="W781" s="422"/>
      <c r="X781" s="422"/>
      <c r="Y781" s="422"/>
    </row>
    <row r="782" ht="15.75" customHeight="1" outlineLevel="1">
      <c r="A782" s="641" t="s">
        <v>7680</v>
      </c>
      <c r="B782" s="798" t="s">
        <v>7681</v>
      </c>
      <c r="C782" s="643" t="s">
        <v>5636</v>
      </c>
      <c r="D782" s="644">
        <f>SUMIF('Orcamento RU Viora Build'!$A:$A,A782,'Orcamento RU Viora Build'!$F:$F)</f>
        <v>9</v>
      </c>
      <c r="E782" s="645">
        <f t="shared" si="184"/>
        <v>41.6</v>
      </c>
      <c r="F782" s="646">
        <f t="shared" si="185"/>
        <v>374.4</v>
      </c>
      <c r="G782" s="782"/>
      <c r="H782" s="666"/>
      <c r="I782" s="889">
        <v>32.0</v>
      </c>
      <c r="J782" s="719">
        <v>0.0</v>
      </c>
      <c r="K782" s="720">
        <f t="shared" si="186"/>
        <v>32</v>
      </c>
      <c r="L782" s="720">
        <f t="shared" si="187"/>
        <v>288</v>
      </c>
      <c r="M782" s="721">
        <f t="shared" si="188"/>
        <v>86.4</v>
      </c>
      <c r="N782" s="659">
        <f t="shared" si="189"/>
        <v>0.3</v>
      </c>
      <c r="O782" s="722">
        <f t="shared" si="190"/>
        <v>0.2307692308</v>
      </c>
      <c r="P782" s="880"/>
      <c r="Q782" s="890" t="s">
        <v>7682</v>
      </c>
      <c r="R782" s="1"/>
      <c r="S782" s="729"/>
      <c r="T782" s="863"/>
      <c r="U782" s="422"/>
      <c r="V782" s="422"/>
      <c r="W782" s="422"/>
      <c r="X782" s="422"/>
      <c r="Y782" s="422"/>
    </row>
    <row r="783" ht="15.75" customHeight="1" outlineLevel="1">
      <c r="A783" s="641" t="s">
        <v>7683</v>
      </c>
      <c r="B783" s="798" t="s">
        <v>7684</v>
      </c>
      <c r="C783" s="643" t="s">
        <v>5636</v>
      </c>
      <c r="D783" s="644">
        <f>SUMIF('Orcamento RU Viora Build'!$A:$A,A783,'Orcamento RU Viora Build'!$F:$F)</f>
        <v>3</v>
      </c>
      <c r="E783" s="645">
        <f t="shared" si="184"/>
        <v>63.7</v>
      </c>
      <c r="F783" s="646">
        <f t="shared" si="185"/>
        <v>191.1</v>
      </c>
      <c r="G783" s="782"/>
      <c r="H783" s="666"/>
      <c r="I783" s="889">
        <v>49.0</v>
      </c>
      <c r="J783" s="719">
        <v>0.0</v>
      </c>
      <c r="K783" s="720">
        <f t="shared" si="186"/>
        <v>49</v>
      </c>
      <c r="L783" s="720">
        <f t="shared" si="187"/>
        <v>147</v>
      </c>
      <c r="M783" s="721">
        <f t="shared" si="188"/>
        <v>44.1</v>
      </c>
      <c r="N783" s="659">
        <f t="shared" si="189"/>
        <v>0.3</v>
      </c>
      <c r="O783" s="722">
        <f t="shared" si="190"/>
        <v>0.2307692308</v>
      </c>
      <c r="P783" s="880"/>
      <c r="Q783" s="890" t="s">
        <v>7685</v>
      </c>
      <c r="R783" s="1"/>
      <c r="S783" s="729"/>
      <c r="T783" s="863"/>
      <c r="U783" s="422"/>
      <c r="V783" s="422"/>
      <c r="W783" s="422"/>
      <c r="X783" s="422"/>
      <c r="Y783" s="422"/>
    </row>
    <row r="784" ht="15.75" customHeight="1" outlineLevel="1">
      <c r="A784" s="641" t="s">
        <v>7686</v>
      </c>
      <c r="B784" s="798" t="s">
        <v>7687</v>
      </c>
      <c r="C784" s="643" t="s">
        <v>5631</v>
      </c>
      <c r="D784" s="644">
        <f>SUMIF('Orcamento RU Viora Build'!$A:$A,A784,'Orcamento RU Viora Build'!$F:$F)</f>
        <v>5.5</v>
      </c>
      <c r="E784" s="645">
        <f t="shared" si="184"/>
        <v>49.4</v>
      </c>
      <c r="F784" s="646">
        <f t="shared" si="185"/>
        <v>271.7</v>
      </c>
      <c r="G784" s="782"/>
      <c r="H784" s="666"/>
      <c r="I784" s="889">
        <v>38.0</v>
      </c>
      <c r="J784" s="719">
        <v>0.0</v>
      </c>
      <c r="K784" s="720">
        <f t="shared" si="186"/>
        <v>38</v>
      </c>
      <c r="L784" s="720">
        <f t="shared" si="187"/>
        <v>209</v>
      </c>
      <c r="M784" s="721">
        <f t="shared" si="188"/>
        <v>62.7</v>
      </c>
      <c r="N784" s="659">
        <f t="shared" si="189"/>
        <v>0.3</v>
      </c>
      <c r="O784" s="722">
        <f t="shared" si="190"/>
        <v>0.2307692308</v>
      </c>
      <c r="P784" s="880"/>
      <c r="Q784" s="890" t="s">
        <v>7688</v>
      </c>
      <c r="R784" s="1"/>
      <c r="S784" s="729"/>
      <c r="T784" s="863"/>
      <c r="U784" s="422"/>
      <c r="V784" s="422"/>
      <c r="W784" s="422"/>
      <c r="X784" s="422"/>
      <c r="Y784" s="422"/>
    </row>
    <row r="785" ht="15.75" customHeight="1" outlineLevel="1">
      <c r="A785" s="641" t="s">
        <v>7689</v>
      </c>
      <c r="B785" s="798" t="s">
        <v>7690</v>
      </c>
      <c r="C785" s="643" t="s">
        <v>5631</v>
      </c>
      <c r="D785" s="644">
        <f>SUMIF('Orcamento RU Viora Build'!$A:$A,A785,'Orcamento RU Viora Build'!$F:$F)</f>
        <v>2</v>
      </c>
      <c r="E785" s="645">
        <f t="shared" si="184"/>
        <v>54.6</v>
      </c>
      <c r="F785" s="646">
        <f t="shared" si="185"/>
        <v>109.2</v>
      </c>
      <c r="G785" s="782"/>
      <c r="H785" s="666"/>
      <c r="I785" s="889">
        <v>42.0</v>
      </c>
      <c r="J785" s="719">
        <v>0.0</v>
      </c>
      <c r="K785" s="720">
        <f t="shared" si="186"/>
        <v>42</v>
      </c>
      <c r="L785" s="720">
        <f t="shared" si="187"/>
        <v>84</v>
      </c>
      <c r="M785" s="721">
        <f t="shared" si="188"/>
        <v>25.2</v>
      </c>
      <c r="N785" s="659">
        <f t="shared" si="189"/>
        <v>0.3</v>
      </c>
      <c r="O785" s="722">
        <f t="shared" si="190"/>
        <v>0.2307692308</v>
      </c>
      <c r="P785" s="880"/>
      <c r="Q785" s="890" t="s">
        <v>7691</v>
      </c>
      <c r="R785" s="1"/>
      <c r="S785" s="729"/>
      <c r="T785" s="863"/>
      <c r="U785" s="422"/>
      <c r="V785" s="422"/>
      <c r="W785" s="422"/>
      <c r="X785" s="422"/>
      <c r="Y785" s="422"/>
    </row>
    <row r="786" ht="15.75" customHeight="1" outlineLevel="1">
      <c r="A786" s="641" t="s">
        <v>7692</v>
      </c>
      <c r="B786" s="798" t="s">
        <v>7693</v>
      </c>
      <c r="C786" s="643" t="s">
        <v>5636</v>
      </c>
      <c r="D786" s="644">
        <f>SUMIF('Orcamento RU Viora Build'!$A:$A,A786,'Orcamento RU Viora Build'!$F:$F)</f>
        <v>1</v>
      </c>
      <c r="E786" s="645">
        <f t="shared" si="184"/>
        <v>1560</v>
      </c>
      <c r="F786" s="646">
        <f t="shared" si="185"/>
        <v>1560</v>
      </c>
      <c r="G786" s="782"/>
      <c r="H786" s="666"/>
      <c r="I786" s="889">
        <v>1200.0</v>
      </c>
      <c r="J786" s="719">
        <v>0.0</v>
      </c>
      <c r="K786" s="720">
        <f t="shared" si="186"/>
        <v>1200</v>
      </c>
      <c r="L786" s="720">
        <f t="shared" si="187"/>
        <v>1200</v>
      </c>
      <c r="M786" s="721">
        <f t="shared" si="188"/>
        <v>360</v>
      </c>
      <c r="N786" s="659">
        <f t="shared" si="189"/>
        <v>0.3</v>
      </c>
      <c r="O786" s="722">
        <f t="shared" si="190"/>
        <v>0.2307692308</v>
      </c>
      <c r="P786" s="880"/>
      <c r="Q786" s="890" t="s">
        <v>7694</v>
      </c>
      <c r="R786" s="1"/>
      <c r="S786" s="729"/>
      <c r="T786" s="863"/>
      <c r="U786" s="422"/>
      <c r="V786" s="422"/>
      <c r="W786" s="422"/>
      <c r="X786" s="422"/>
      <c r="Y786" s="422"/>
    </row>
    <row r="787" ht="15.75" customHeight="1" outlineLevel="1">
      <c r="A787" s="641" t="s">
        <v>7695</v>
      </c>
      <c r="B787" s="798" t="s">
        <v>7696</v>
      </c>
      <c r="C787" s="643" t="s">
        <v>5636</v>
      </c>
      <c r="D787" s="644">
        <f>SUMIF('Orcamento RU Viora Build'!$A:$A,A787,'Orcamento RU Viora Build'!$F:$F)</f>
        <v>2</v>
      </c>
      <c r="E787" s="645">
        <f t="shared" si="184"/>
        <v>2080</v>
      </c>
      <c r="F787" s="646">
        <f t="shared" si="185"/>
        <v>4160</v>
      </c>
      <c r="G787" s="782"/>
      <c r="H787" s="666"/>
      <c r="I787" s="889">
        <v>1600.0</v>
      </c>
      <c r="J787" s="719">
        <v>0.0</v>
      </c>
      <c r="K787" s="720">
        <f t="shared" si="186"/>
        <v>1600</v>
      </c>
      <c r="L787" s="720">
        <f t="shared" si="187"/>
        <v>3200</v>
      </c>
      <c r="M787" s="721">
        <f t="shared" si="188"/>
        <v>960</v>
      </c>
      <c r="N787" s="659">
        <f t="shared" si="189"/>
        <v>0.3</v>
      </c>
      <c r="O787" s="722">
        <f t="shared" si="190"/>
        <v>0.2307692308</v>
      </c>
      <c r="P787" s="880"/>
      <c r="Q787" s="890" t="s">
        <v>7697</v>
      </c>
      <c r="R787" s="1"/>
      <c r="S787" s="874"/>
      <c r="T787" s="893"/>
      <c r="U787" s="422"/>
      <c r="V787" s="422"/>
      <c r="W787" s="422"/>
      <c r="X787" s="422"/>
      <c r="Y787" s="422"/>
    </row>
    <row r="788" ht="15.75" customHeight="1" outlineLevel="1">
      <c r="A788" s="894" t="s">
        <v>7698</v>
      </c>
      <c r="B788" s="895"/>
      <c r="C788" s="830"/>
      <c r="D788" s="896"/>
      <c r="E788" s="897"/>
      <c r="F788" s="755"/>
      <c r="G788" s="782"/>
      <c r="H788" s="666"/>
      <c r="I788" s="794"/>
      <c r="J788" s="390"/>
      <c r="K788" s="390"/>
      <c r="L788" s="390"/>
      <c r="M788" s="390"/>
      <c r="N788" s="390"/>
      <c r="O788" s="390"/>
      <c r="P788" s="390"/>
      <c r="Q788" s="388"/>
      <c r="R788" s="1"/>
      <c r="S788" s="898"/>
      <c r="T788" s="797"/>
      <c r="U788" s="422"/>
      <c r="V788" s="422"/>
      <c r="W788" s="422"/>
      <c r="X788" s="422"/>
      <c r="Y788" s="422"/>
    </row>
    <row r="789" ht="15.75" customHeight="1" outlineLevel="1">
      <c r="A789" s="641" t="s">
        <v>7699</v>
      </c>
      <c r="B789" s="798" t="s">
        <v>7700</v>
      </c>
      <c r="C789" s="643" t="s">
        <v>5636</v>
      </c>
      <c r="D789" s="644">
        <f>SUMIF('Orcamento RU Viora Build'!$A:$A,A789,'Orcamento RU Viora Build'!$F:$F)</f>
        <v>1</v>
      </c>
      <c r="E789" s="645">
        <f t="shared" ref="E789:E805" si="191">K789+(K789*N789)</f>
        <v>455</v>
      </c>
      <c r="F789" s="646">
        <f t="shared" ref="F789:F805" si="192">D789*E789</f>
        <v>455</v>
      </c>
      <c r="G789" s="782"/>
      <c r="H789" s="666"/>
      <c r="I789" s="889">
        <v>350.0</v>
      </c>
      <c r="J789" s="719">
        <v>0.0</v>
      </c>
      <c r="K789" s="720">
        <f t="shared" ref="K789:K805" si="193">I789-I789*J789</f>
        <v>350</v>
      </c>
      <c r="L789" s="720">
        <f t="shared" ref="L789:L805" si="194">K789*D789</f>
        <v>350</v>
      </c>
      <c r="M789" s="721">
        <f t="shared" ref="M789:M805" si="195">F789-L789</f>
        <v>105</v>
      </c>
      <c r="N789" s="659">
        <f t="shared" ref="N789:N805" si="196">$N$2</f>
        <v>0.3</v>
      </c>
      <c r="O789" s="722">
        <f t="shared" ref="O789:O805" si="197">M789/F789</f>
        <v>0.2307692308</v>
      </c>
      <c r="P789" s="880"/>
      <c r="Q789" s="890" t="s">
        <v>7701</v>
      </c>
      <c r="R789" s="1"/>
      <c r="S789" s="725"/>
      <c r="T789" s="891"/>
      <c r="U789" s="422"/>
      <c r="V789" s="422"/>
      <c r="W789" s="422"/>
      <c r="X789" s="422"/>
      <c r="Y789" s="422"/>
    </row>
    <row r="790" ht="15.75" customHeight="1" outlineLevel="1">
      <c r="A790" s="641" t="s">
        <v>7702</v>
      </c>
      <c r="B790" s="798" t="s">
        <v>7703</v>
      </c>
      <c r="C790" s="643" t="s">
        <v>5636</v>
      </c>
      <c r="D790" s="644">
        <f>SUMIF('Orcamento RU Viora Build'!$A:$A,A790,'Orcamento RU Viora Build'!$F:$F)</f>
        <v>1</v>
      </c>
      <c r="E790" s="645">
        <f t="shared" si="191"/>
        <v>585</v>
      </c>
      <c r="F790" s="646">
        <f t="shared" si="192"/>
        <v>585</v>
      </c>
      <c r="G790" s="782"/>
      <c r="H790" s="666"/>
      <c r="I790" s="889">
        <v>450.0</v>
      </c>
      <c r="J790" s="719">
        <v>0.0</v>
      </c>
      <c r="K790" s="720">
        <f t="shared" si="193"/>
        <v>450</v>
      </c>
      <c r="L790" s="720">
        <f t="shared" si="194"/>
        <v>450</v>
      </c>
      <c r="M790" s="721">
        <f t="shared" si="195"/>
        <v>135</v>
      </c>
      <c r="N790" s="659">
        <f t="shared" si="196"/>
        <v>0.3</v>
      </c>
      <c r="O790" s="722">
        <f t="shared" si="197"/>
        <v>0.2307692308</v>
      </c>
      <c r="P790" s="880"/>
      <c r="Q790" s="890" t="s">
        <v>7704</v>
      </c>
      <c r="R790" s="1"/>
      <c r="S790" s="729"/>
      <c r="T790" s="863"/>
      <c r="U790" s="422"/>
      <c r="V790" s="422"/>
      <c r="W790" s="422"/>
      <c r="X790" s="422"/>
      <c r="Y790" s="422"/>
    </row>
    <row r="791" ht="15.75" customHeight="1" outlineLevel="1">
      <c r="A791" s="641" t="s">
        <v>7705</v>
      </c>
      <c r="B791" s="798" t="s">
        <v>7706</v>
      </c>
      <c r="C791" s="643" t="s">
        <v>5636</v>
      </c>
      <c r="D791" s="644">
        <f>SUMIF('Orcamento RU Viora Build'!$A:$A,A791,'Orcamento RU Viora Build'!$F:$F)</f>
        <v>1</v>
      </c>
      <c r="E791" s="645">
        <f t="shared" si="191"/>
        <v>175.5</v>
      </c>
      <c r="F791" s="646">
        <f t="shared" si="192"/>
        <v>175.5</v>
      </c>
      <c r="G791" s="782"/>
      <c r="H791" s="666"/>
      <c r="I791" s="889">
        <v>135.0</v>
      </c>
      <c r="J791" s="719">
        <v>0.0</v>
      </c>
      <c r="K791" s="720">
        <f t="shared" si="193"/>
        <v>135</v>
      </c>
      <c r="L791" s="720">
        <f t="shared" si="194"/>
        <v>135</v>
      </c>
      <c r="M791" s="721">
        <f t="shared" si="195"/>
        <v>40.5</v>
      </c>
      <c r="N791" s="659">
        <f t="shared" si="196"/>
        <v>0.3</v>
      </c>
      <c r="O791" s="722">
        <f t="shared" si="197"/>
        <v>0.2307692308</v>
      </c>
      <c r="P791" s="880"/>
      <c r="Q791" s="890" t="s">
        <v>7707</v>
      </c>
      <c r="R791" s="1"/>
      <c r="S791" s="729"/>
      <c r="T791" s="863"/>
      <c r="U791" s="422"/>
      <c r="V791" s="422"/>
      <c r="W791" s="422"/>
      <c r="X791" s="422"/>
      <c r="Y791" s="422"/>
    </row>
    <row r="792" ht="15.75" customHeight="1" outlineLevel="1">
      <c r="A792" s="641" t="s">
        <v>7708</v>
      </c>
      <c r="B792" s="798" t="s">
        <v>7709</v>
      </c>
      <c r="C792" s="643" t="s">
        <v>5636</v>
      </c>
      <c r="D792" s="644">
        <f>SUMIF('Orcamento RU Viora Build'!$A:$A,A792,'Orcamento RU Viora Build'!$F:$F)</f>
        <v>1</v>
      </c>
      <c r="E792" s="645">
        <f t="shared" si="191"/>
        <v>143</v>
      </c>
      <c r="F792" s="646">
        <f t="shared" si="192"/>
        <v>143</v>
      </c>
      <c r="G792" s="782"/>
      <c r="H792" s="666"/>
      <c r="I792" s="889">
        <v>110.0</v>
      </c>
      <c r="J792" s="719">
        <v>0.0</v>
      </c>
      <c r="K792" s="720">
        <f t="shared" si="193"/>
        <v>110</v>
      </c>
      <c r="L792" s="720">
        <f t="shared" si="194"/>
        <v>110</v>
      </c>
      <c r="M792" s="721">
        <f t="shared" si="195"/>
        <v>33</v>
      </c>
      <c r="N792" s="659">
        <f t="shared" si="196"/>
        <v>0.3</v>
      </c>
      <c r="O792" s="722">
        <f t="shared" si="197"/>
        <v>0.2307692308</v>
      </c>
      <c r="P792" s="880"/>
      <c r="Q792" s="890" t="s">
        <v>7710</v>
      </c>
      <c r="R792" s="1"/>
      <c r="S792" s="729"/>
      <c r="T792" s="863"/>
      <c r="U792" s="422"/>
      <c r="V792" s="422"/>
      <c r="W792" s="422"/>
      <c r="X792" s="422"/>
      <c r="Y792" s="422"/>
    </row>
    <row r="793" ht="15.75" customHeight="1" outlineLevel="1">
      <c r="A793" s="641" t="s">
        <v>7711</v>
      </c>
      <c r="B793" s="798" t="s">
        <v>7712</v>
      </c>
      <c r="C793" s="643" t="s">
        <v>5636</v>
      </c>
      <c r="D793" s="644">
        <f>SUMIF('Orcamento RU Viora Build'!$A:$A,A793,'Orcamento RU Viora Build'!$F:$F)</f>
        <v>1</v>
      </c>
      <c r="E793" s="645">
        <f t="shared" si="191"/>
        <v>45.5</v>
      </c>
      <c r="F793" s="646">
        <f t="shared" si="192"/>
        <v>45.5</v>
      </c>
      <c r="G793" s="782"/>
      <c r="H793" s="666"/>
      <c r="I793" s="889">
        <v>35.0</v>
      </c>
      <c r="J793" s="719">
        <v>0.0</v>
      </c>
      <c r="K793" s="720">
        <f t="shared" si="193"/>
        <v>35</v>
      </c>
      <c r="L793" s="720">
        <f t="shared" si="194"/>
        <v>35</v>
      </c>
      <c r="M793" s="721">
        <f t="shared" si="195"/>
        <v>10.5</v>
      </c>
      <c r="N793" s="659">
        <f t="shared" si="196"/>
        <v>0.3</v>
      </c>
      <c r="O793" s="722">
        <f t="shared" si="197"/>
        <v>0.2307692308</v>
      </c>
      <c r="P793" s="880"/>
      <c r="Q793" s="890" t="s">
        <v>7713</v>
      </c>
      <c r="R793" s="1"/>
      <c r="S793" s="729"/>
      <c r="T793" s="863"/>
      <c r="U793" s="422"/>
      <c r="V793" s="422"/>
      <c r="W793" s="422"/>
      <c r="X793" s="422"/>
      <c r="Y793" s="422"/>
    </row>
    <row r="794" ht="15.75" customHeight="1" outlineLevel="1">
      <c r="A794" s="641" t="s">
        <v>7714</v>
      </c>
      <c r="B794" s="798" t="s">
        <v>7715</v>
      </c>
      <c r="C794" s="643" t="s">
        <v>5636</v>
      </c>
      <c r="D794" s="644">
        <f>SUMIF('Orcamento RU Viora Build'!$A:$A,A794,'Orcamento RU Viora Build'!$F:$F)</f>
        <v>1</v>
      </c>
      <c r="E794" s="645">
        <f t="shared" si="191"/>
        <v>58.5</v>
      </c>
      <c r="F794" s="646">
        <f t="shared" si="192"/>
        <v>58.5</v>
      </c>
      <c r="G794" s="782"/>
      <c r="H794" s="666"/>
      <c r="I794" s="889">
        <v>45.0</v>
      </c>
      <c r="J794" s="719">
        <v>0.0</v>
      </c>
      <c r="K794" s="720">
        <f t="shared" si="193"/>
        <v>45</v>
      </c>
      <c r="L794" s="720">
        <f t="shared" si="194"/>
        <v>45</v>
      </c>
      <c r="M794" s="721">
        <f t="shared" si="195"/>
        <v>13.5</v>
      </c>
      <c r="N794" s="659">
        <f t="shared" si="196"/>
        <v>0.3</v>
      </c>
      <c r="O794" s="722">
        <f t="shared" si="197"/>
        <v>0.2307692308</v>
      </c>
      <c r="P794" s="880"/>
      <c r="Q794" s="890" t="s">
        <v>7716</v>
      </c>
      <c r="R794" s="1"/>
      <c r="S794" s="729"/>
      <c r="T794" s="863"/>
      <c r="U794" s="422"/>
      <c r="V794" s="422"/>
      <c r="W794" s="422"/>
      <c r="X794" s="422"/>
      <c r="Y794" s="422"/>
    </row>
    <row r="795" ht="15.75" customHeight="1" outlineLevel="1">
      <c r="A795" s="641" t="s">
        <v>7717</v>
      </c>
      <c r="B795" s="798" t="s">
        <v>7718</v>
      </c>
      <c r="C795" s="643" t="s">
        <v>5636</v>
      </c>
      <c r="D795" s="644">
        <f>SUMIF('Orcamento RU Viora Build'!$A:$A,A795,'Orcamento RU Viora Build'!$F:$F)</f>
        <v>1</v>
      </c>
      <c r="E795" s="645">
        <f t="shared" si="191"/>
        <v>130</v>
      </c>
      <c r="F795" s="646">
        <f t="shared" si="192"/>
        <v>130</v>
      </c>
      <c r="G795" s="782"/>
      <c r="H795" s="666"/>
      <c r="I795" s="889">
        <v>100.0</v>
      </c>
      <c r="J795" s="719">
        <v>0.0</v>
      </c>
      <c r="K795" s="720">
        <f t="shared" si="193"/>
        <v>100</v>
      </c>
      <c r="L795" s="720">
        <f t="shared" si="194"/>
        <v>100</v>
      </c>
      <c r="M795" s="721">
        <f t="shared" si="195"/>
        <v>30</v>
      </c>
      <c r="N795" s="659">
        <f t="shared" si="196"/>
        <v>0.3</v>
      </c>
      <c r="O795" s="722">
        <f t="shared" si="197"/>
        <v>0.2307692308</v>
      </c>
      <c r="P795" s="880"/>
      <c r="Q795" s="890" t="s">
        <v>7719</v>
      </c>
      <c r="R795" s="1"/>
      <c r="S795" s="729"/>
      <c r="T795" s="863"/>
      <c r="U795" s="422"/>
      <c r="V795" s="422"/>
      <c r="W795" s="422"/>
      <c r="X795" s="422"/>
      <c r="Y795" s="422"/>
    </row>
    <row r="796" ht="15.75" customHeight="1" outlineLevel="1">
      <c r="A796" s="641" t="s">
        <v>7720</v>
      </c>
      <c r="B796" s="798" t="s">
        <v>7721</v>
      </c>
      <c r="C796" s="643" t="s">
        <v>5636</v>
      </c>
      <c r="D796" s="644">
        <f>SUMIF('Orcamento RU Viora Build'!$A:$A,A796,'Orcamento RU Viora Build'!$F:$F)</f>
        <v>1</v>
      </c>
      <c r="E796" s="645">
        <f t="shared" si="191"/>
        <v>130</v>
      </c>
      <c r="F796" s="646">
        <f t="shared" si="192"/>
        <v>130</v>
      </c>
      <c r="G796" s="782"/>
      <c r="H796" s="666"/>
      <c r="I796" s="889">
        <v>100.0</v>
      </c>
      <c r="J796" s="719">
        <v>0.0</v>
      </c>
      <c r="K796" s="720">
        <f t="shared" si="193"/>
        <v>100</v>
      </c>
      <c r="L796" s="720">
        <f t="shared" si="194"/>
        <v>100</v>
      </c>
      <c r="M796" s="721">
        <f t="shared" si="195"/>
        <v>30</v>
      </c>
      <c r="N796" s="659">
        <f t="shared" si="196"/>
        <v>0.3</v>
      </c>
      <c r="O796" s="722">
        <f t="shared" si="197"/>
        <v>0.2307692308</v>
      </c>
      <c r="P796" s="880"/>
      <c r="Q796" s="890" t="s">
        <v>7722</v>
      </c>
      <c r="R796" s="1"/>
      <c r="S796" s="729"/>
      <c r="T796" s="863"/>
      <c r="U796" s="422"/>
      <c r="V796" s="422"/>
      <c r="W796" s="422"/>
      <c r="X796" s="422"/>
      <c r="Y796" s="422"/>
    </row>
    <row r="797" ht="15.75" customHeight="1" outlineLevel="1">
      <c r="A797" s="641" t="s">
        <v>7723</v>
      </c>
      <c r="B797" s="798" t="s">
        <v>7724</v>
      </c>
      <c r="C797" s="643" t="s">
        <v>5636</v>
      </c>
      <c r="D797" s="644">
        <f>SUMIF('Orcamento RU Viora Build'!$A:$A,A797,'Orcamento RU Viora Build'!$F:$F)</f>
        <v>1</v>
      </c>
      <c r="E797" s="645">
        <f t="shared" si="191"/>
        <v>52</v>
      </c>
      <c r="F797" s="646">
        <f t="shared" si="192"/>
        <v>52</v>
      </c>
      <c r="G797" s="782"/>
      <c r="H797" s="666"/>
      <c r="I797" s="889">
        <v>40.0</v>
      </c>
      <c r="J797" s="719">
        <v>0.0</v>
      </c>
      <c r="K797" s="720">
        <f t="shared" si="193"/>
        <v>40</v>
      </c>
      <c r="L797" s="720">
        <f t="shared" si="194"/>
        <v>40</v>
      </c>
      <c r="M797" s="721">
        <f t="shared" si="195"/>
        <v>12</v>
      </c>
      <c r="N797" s="659">
        <f t="shared" si="196"/>
        <v>0.3</v>
      </c>
      <c r="O797" s="722">
        <f t="shared" si="197"/>
        <v>0.2307692308</v>
      </c>
      <c r="P797" s="880"/>
      <c r="Q797" s="890" t="s">
        <v>7725</v>
      </c>
      <c r="R797" s="1"/>
      <c r="S797" s="729"/>
      <c r="T797" s="863"/>
      <c r="U797" s="422"/>
      <c r="V797" s="422"/>
      <c r="W797" s="422"/>
      <c r="X797" s="422"/>
      <c r="Y797" s="422"/>
    </row>
    <row r="798" ht="15.75" customHeight="1" outlineLevel="1">
      <c r="A798" s="641" t="s">
        <v>7726</v>
      </c>
      <c r="B798" s="798" t="s">
        <v>7727</v>
      </c>
      <c r="C798" s="643" t="s">
        <v>5636</v>
      </c>
      <c r="D798" s="644">
        <f>SUMIF('Orcamento RU Viora Build'!$A:$A,A798,'Orcamento RU Viora Build'!$F:$F)</f>
        <v>1</v>
      </c>
      <c r="E798" s="645">
        <f t="shared" si="191"/>
        <v>65</v>
      </c>
      <c r="F798" s="646">
        <f t="shared" si="192"/>
        <v>65</v>
      </c>
      <c r="G798" s="782"/>
      <c r="H798" s="666"/>
      <c r="I798" s="889">
        <v>50.0</v>
      </c>
      <c r="J798" s="719">
        <v>0.0</v>
      </c>
      <c r="K798" s="720">
        <f t="shared" si="193"/>
        <v>50</v>
      </c>
      <c r="L798" s="720">
        <f t="shared" si="194"/>
        <v>50</v>
      </c>
      <c r="M798" s="721">
        <f t="shared" si="195"/>
        <v>15</v>
      </c>
      <c r="N798" s="659">
        <f t="shared" si="196"/>
        <v>0.3</v>
      </c>
      <c r="O798" s="722">
        <f t="shared" si="197"/>
        <v>0.2307692308</v>
      </c>
      <c r="P798" s="880"/>
      <c r="Q798" s="890" t="s">
        <v>7728</v>
      </c>
      <c r="R798" s="1"/>
      <c r="S798" s="729"/>
      <c r="T798" s="863"/>
      <c r="U798" s="422"/>
      <c r="V798" s="422"/>
      <c r="W798" s="422"/>
      <c r="X798" s="422"/>
      <c r="Y798" s="422"/>
    </row>
    <row r="799" ht="15.75" customHeight="1" outlineLevel="1">
      <c r="A799" s="641" t="s">
        <v>7729</v>
      </c>
      <c r="B799" s="798" t="s">
        <v>7730</v>
      </c>
      <c r="C799" s="643" t="s">
        <v>5636</v>
      </c>
      <c r="D799" s="644">
        <f>SUMIF('Orcamento RU Viora Build'!$A:$A,A799,'Orcamento RU Viora Build'!$F:$F)</f>
        <v>1</v>
      </c>
      <c r="E799" s="645">
        <f t="shared" si="191"/>
        <v>208</v>
      </c>
      <c r="F799" s="646">
        <f t="shared" si="192"/>
        <v>208</v>
      </c>
      <c r="G799" s="782"/>
      <c r="H799" s="666"/>
      <c r="I799" s="889">
        <v>160.0</v>
      </c>
      <c r="J799" s="719">
        <v>0.0</v>
      </c>
      <c r="K799" s="720">
        <f t="shared" si="193"/>
        <v>160</v>
      </c>
      <c r="L799" s="720">
        <f t="shared" si="194"/>
        <v>160</v>
      </c>
      <c r="M799" s="721">
        <f t="shared" si="195"/>
        <v>48</v>
      </c>
      <c r="N799" s="659">
        <f t="shared" si="196"/>
        <v>0.3</v>
      </c>
      <c r="O799" s="722">
        <f t="shared" si="197"/>
        <v>0.2307692308</v>
      </c>
      <c r="P799" s="880"/>
      <c r="Q799" s="890" t="s">
        <v>7731</v>
      </c>
      <c r="R799" s="1"/>
      <c r="S799" s="729"/>
      <c r="T799" s="863"/>
      <c r="U799" s="422"/>
      <c r="V799" s="422"/>
      <c r="W799" s="422"/>
      <c r="X799" s="422"/>
      <c r="Y799" s="422"/>
    </row>
    <row r="800" ht="15.75" customHeight="1" outlineLevel="1">
      <c r="A800" s="641" t="s">
        <v>7732</v>
      </c>
      <c r="B800" s="798" t="s">
        <v>7733</v>
      </c>
      <c r="C800" s="643" t="s">
        <v>5636</v>
      </c>
      <c r="D800" s="644">
        <f>SUMIF('Orcamento RU Viora Build'!$A:$A,A800,'Orcamento RU Viora Build'!$F:$F)</f>
        <v>1</v>
      </c>
      <c r="E800" s="645">
        <f t="shared" si="191"/>
        <v>221</v>
      </c>
      <c r="F800" s="646">
        <f t="shared" si="192"/>
        <v>221</v>
      </c>
      <c r="G800" s="782"/>
      <c r="H800" s="666"/>
      <c r="I800" s="889">
        <v>170.0</v>
      </c>
      <c r="J800" s="719">
        <v>0.0</v>
      </c>
      <c r="K800" s="720">
        <f t="shared" si="193"/>
        <v>170</v>
      </c>
      <c r="L800" s="720">
        <f t="shared" si="194"/>
        <v>170</v>
      </c>
      <c r="M800" s="721">
        <f t="shared" si="195"/>
        <v>51</v>
      </c>
      <c r="N800" s="659">
        <f t="shared" si="196"/>
        <v>0.3</v>
      </c>
      <c r="O800" s="722">
        <f t="shared" si="197"/>
        <v>0.2307692308</v>
      </c>
      <c r="P800" s="880"/>
      <c r="Q800" s="890" t="s">
        <v>7734</v>
      </c>
      <c r="R800" s="1"/>
      <c r="S800" s="729"/>
      <c r="T800" s="863"/>
      <c r="U800" s="422"/>
      <c r="V800" s="422"/>
      <c r="W800" s="422"/>
      <c r="X800" s="422"/>
      <c r="Y800" s="422"/>
    </row>
    <row r="801" ht="15.75" customHeight="1" outlineLevel="1">
      <c r="A801" s="641" t="s">
        <v>7735</v>
      </c>
      <c r="B801" s="798" t="s">
        <v>7736</v>
      </c>
      <c r="C801" s="643" t="s">
        <v>5636</v>
      </c>
      <c r="D801" s="644">
        <f>SUMIF('Orcamento RU Viora Build'!$A:$A,A801,'Orcamento RU Viora Build'!$F:$F)</f>
        <v>1</v>
      </c>
      <c r="E801" s="645">
        <f t="shared" si="191"/>
        <v>32.5</v>
      </c>
      <c r="F801" s="646">
        <f t="shared" si="192"/>
        <v>32.5</v>
      </c>
      <c r="G801" s="782"/>
      <c r="H801" s="666"/>
      <c r="I801" s="889">
        <v>25.0</v>
      </c>
      <c r="J801" s="719">
        <v>0.0</v>
      </c>
      <c r="K801" s="720">
        <f t="shared" si="193"/>
        <v>25</v>
      </c>
      <c r="L801" s="720">
        <f t="shared" si="194"/>
        <v>25</v>
      </c>
      <c r="M801" s="721">
        <f t="shared" si="195"/>
        <v>7.5</v>
      </c>
      <c r="N801" s="659">
        <f t="shared" si="196"/>
        <v>0.3</v>
      </c>
      <c r="O801" s="722">
        <f t="shared" si="197"/>
        <v>0.2307692308</v>
      </c>
      <c r="P801" s="880"/>
      <c r="Q801" s="890" t="s">
        <v>7737</v>
      </c>
      <c r="R801" s="1"/>
      <c r="S801" s="729"/>
      <c r="T801" s="863"/>
      <c r="U801" s="422"/>
      <c r="V801" s="422"/>
      <c r="W801" s="422"/>
      <c r="X801" s="422"/>
      <c r="Y801" s="422"/>
    </row>
    <row r="802" ht="15.75" customHeight="1" outlineLevel="1">
      <c r="A802" s="641" t="s">
        <v>7738</v>
      </c>
      <c r="B802" s="798" t="s">
        <v>7739</v>
      </c>
      <c r="C802" s="643" t="s">
        <v>5636</v>
      </c>
      <c r="D802" s="644">
        <f>SUMIF('Orcamento RU Viora Build'!$A:$A,A802,'Orcamento RU Viora Build'!$F:$F)</f>
        <v>1</v>
      </c>
      <c r="E802" s="645">
        <f t="shared" si="191"/>
        <v>23.4</v>
      </c>
      <c r="F802" s="646">
        <f t="shared" si="192"/>
        <v>23.4</v>
      </c>
      <c r="G802" s="782"/>
      <c r="H802" s="666"/>
      <c r="I802" s="889">
        <v>18.0</v>
      </c>
      <c r="J802" s="719">
        <v>0.0</v>
      </c>
      <c r="K802" s="720">
        <f t="shared" si="193"/>
        <v>18</v>
      </c>
      <c r="L802" s="720">
        <f t="shared" si="194"/>
        <v>18</v>
      </c>
      <c r="M802" s="721">
        <f t="shared" si="195"/>
        <v>5.4</v>
      </c>
      <c r="N802" s="659">
        <f t="shared" si="196"/>
        <v>0.3</v>
      </c>
      <c r="O802" s="722">
        <f t="shared" si="197"/>
        <v>0.2307692308</v>
      </c>
      <c r="P802" s="880"/>
      <c r="Q802" s="890" t="s">
        <v>7740</v>
      </c>
      <c r="R802" s="1"/>
      <c r="S802" s="729"/>
      <c r="T802" s="863"/>
      <c r="U802" s="422"/>
      <c r="V802" s="422"/>
      <c r="W802" s="422"/>
      <c r="X802" s="422"/>
      <c r="Y802" s="422"/>
    </row>
    <row r="803" ht="15.75" customHeight="1" outlineLevel="1">
      <c r="A803" s="641" t="s">
        <v>7741</v>
      </c>
      <c r="B803" s="798" t="s">
        <v>7742</v>
      </c>
      <c r="C803" s="643" t="s">
        <v>5636</v>
      </c>
      <c r="D803" s="644">
        <f>SUMIF('Orcamento RU Viora Build'!$A:$A,A803,'Orcamento RU Viora Build'!$F:$F)</f>
        <v>1</v>
      </c>
      <c r="E803" s="645">
        <f t="shared" si="191"/>
        <v>110.5</v>
      </c>
      <c r="F803" s="646">
        <f t="shared" si="192"/>
        <v>110.5</v>
      </c>
      <c r="G803" s="782"/>
      <c r="H803" s="666"/>
      <c r="I803" s="889">
        <v>85.0</v>
      </c>
      <c r="J803" s="719">
        <v>0.0</v>
      </c>
      <c r="K803" s="720">
        <f t="shared" si="193"/>
        <v>85</v>
      </c>
      <c r="L803" s="720">
        <f t="shared" si="194"/>
        <v>85</v>
      </c>
      <c r="M803" s="721">
        <f t="shared" si="195"/>
        <v>25.5</v>
      </c>
      <c r="N803" s="659">
        <f t="shared" si="196"/>
        <v>0.3</v>
      </c>
      <c r="O803" s="722">
        <f t="shared" si="197"/>
        <v>0.2307692308</v>
      </c>
      <c r="P803" s="880"/>
      <c r="Q803" s="890" t="s">
        <v>7743</v>
      </c>
      <c r="R803" s="1"/>
      <c r="S803" s="729"/>
      <c r="T803" s="863"/>
      <c r="U803" s="422"/>
      <c r="V803" s="422"/>
      <c r="W803" s="422"/>
      <c r="X803" s="422"/>
      <c r="Y803" s="422"/>
    </row>
    <row r="804" ht="15.75" customHeight="1" outlineLevel="1">
      <c r="A804" s="641" t="s">
        <v>7744</v>
      </c>
      <c r="B804" s="798" t="s">
        <v>7745</v>
      </c>
      <c r="C804" s="643" t="s">
        <v>5636</v>
      </c>
      <c r="D804" s="644">
        <f>SUMIF('Orcamento RU Viora Build'!$A:$A,A804,'Orcamento RU Viora Build'!$F:$F)</f>
        <v>1</v>
      </c>
      <c r="E804" s="645">
        <f t="shared" si="191"/>
        <v>78</v>
      </c>
      <c r="F804" s="646">
        <f t="shared" si="192"/>
        <v>78</v>
      </c>
      <c r="G804" s="782"/>
      <c r="H804" s="666"/>
      <c r="I804" s="889">
        <v>60.0</v>
      </c>
      <c r="J804" s="719">
        <v>0.0</v>
      </c>
      <c r="K804" s="720">
        <f t="shared" si="193"/>
        <v>60</v>
      </c>
      <c r="L804" s="720">
        <f t="shared" si="194"/>
        <v>60</v>
      </c>
      <c r="M804" s="721">
        <f t="shared" si="195"/>
        <v>18</v>
      </c>
      <c r="N804" s="659">
        <f t="shared" si="196"/>
        <v>0.3</v>
      </c>
      <c r="O804" s="722">
        <f t="shared" si="197"/>
        <v>0.2307692308</v>
      </c>
      <c r="P804" s="880"/>
      <c r="Q804" s="890" t="s">
        <v>7746</v>
      </c>
      <c r="R804" s="1"/>
      <c r="S804" s="729"/>
      <c r="T804" s="863"/>
      <c r="U804" s="422"/>
      <c r="V804" s="422"/>
      <c r="W804" s="422"/>
      <c r="X804" s="422"/>
      <c r="Y804" s="422"/>
    </row>
    <row r="805" ht="15.75" customHeight="1" outlineLevel="1">
      <c r="A805" s="641" t="s">
        <v>7747</v>
      </c>
      <c r="B805" s="798" t="s">
        <v>7748</v>
      </c>
      <c r="C805" s="643" t="s">
        <v>5636</v>
      </c>
      <c r="D805" s="644">
        <f>SUMIF('Orcamento RU Viora Build'!$A:$A,A805,'Orcamento RU Viora Build'!$F:$F)</f>
        <v>1</v>
      </c>
      <c r="E805" s="645">
        <f t="shared" si="191"/>
        <v>78</v>
      </c>
      <c r="F805" s="646">
        <f t="shared" si="192"/>
        <v>78</v>
      </c>
      <c r="G805" s="782"/>
      <c r="H805" s="666"/>
      <c r="I805" s="889">
        <v>60.0</v>
      </c>
      <c r="J805" s="719">
        <v>0.0</v>
      </c>
      <c r="K805" s="720">
        <f t="shared" si="193"/>
        <v>60</v>
      </c>
      <c r="L805" s="720">
        <f t="shared" si="194"/>
        <v>60</v>
      </c>
      <c r="M805" s="721">
        <f t="shared" si="195"/>
        <v>18</v>
      </c>
      <c r="N805" s="659">
        <f t="shared" si="196"/>
        <v>0.3</v>
      </c>
      <c r="O805" s="722">
        <f t="shared" si="197"/>
        <v>0.2307692308</v>
      </c>
      <c r="P805" s="880"/>
      <c r="Q805" s="890" t="s">
        <v>7749</v>
      </c>
      <c r="R805" s="1"/>
      <c r="S805" s="874"/>
      <c r="T805" s="893"/>
      <c r="U805" s="422"/>
      <c r="V805" s="422"/>
      <c r="W805" s="422"/>
      <c r="X805" s="422"/>
      <c r="Y805" s="422"/>
    </row>
    <row r="806" ht="15.75" customHeight="1" outlineLevel="1">
      <c r="A806" s="894" t="s">
        <v>6603</v>
      </c>
      <c r="B806" s="895"/>
      <c r="C806" s="830"/>
      <c r="D806" s="896"/>
      <c r="E806" s="897"/>
      <c r="F806" s="755"/>
      <c r="G806" s="782"/>
      <c r="H806" s="666"/>
      <c r="I806" s="632"/>
      <c r="J806" s="633"/>
      <c r="K806" s="634"/>
      <c r="L806" s="634"/>
      <c r="M806" s="635"/>
      <c r="N806" s="390"/>
      <c r="O806" s="390"/>
      <c r="P806" s="636"/>
      <c r="Q806" s="710"/>
      <c r="R806" s="422"/>
      <c r="S806" s="711"/>
      <c r="T806" s="712"/>
      <c r="U806" s="422"/>
      <c r="V806" s="422"/>
      <c r="W806" s="422"/>
      <c r="X806" s="422"/>
      <c r="Y806" s="422"/>
    </row>
    <row r="807" ht="15.75" customHeight="1" outlineLevel="1">
      <c r="A807" s="641" t="s">
        <v>7750</v>
      </c>
      <c r="B807" s="642" t="s">
        <v>7751</v>
      </c>
      <c r="C807" s="643" t="s">
        <v>5636</v>
      </c>
      <c r="D807" s="644">
        <f>SUMIF('Orcamento RU Viora Build'!$A:$A,A807,'Orcamento RU Viora Build'!$F:$F)</f>
        <v>1</v>
      </c>
      <c r="E807" s="645">
        <f t="shared" ref="E807:E842" si="198">K807+(K807*N807)</f>
        <v>311.831</v>
      </c>
      <c r="F807" s="646">
        <f t="shared" ref="F807:F842" si="199">D807*E807</f>
        <v>311.831</v>
      </c>
      <c r="G807" s="782"/>
      <c r="H807" s="666"/>
      <c r="I807" s="899">
        <v>239.87</v>
      </c>
      <c r="J807" s="719">
        <v>0.0</v>
      </c>
      <c r="K807" s="720">
        <f t="shared" ref="K807:K842" si="200">I807-I807*J807</f>
        <v>239.87</v>
      </c>
      <c r="L807" s="720">
        <f t="shared" ref="L807:L842" si="201">K807*D807</f>
        <v>239.87</v>
      </c>
      <c r="M807" s="720">
        <f t="shared" ref="M807:M842" si="202">F807-L807</f>
        <v>71.961</v>
      </c>
      <c r="N807" s="659">
        <f t="shared" ref="N807:N842" si="203">$N$2</f>
        <v>0.3</v>
      </c>
      <c r="O807" s="722">
        <f t="shared" ref="O807:O842" si="204">M807/F807</f>
        <v>0.2307692308</v>
      </c>
      <c r="P807" s="722"/>
      <c r="Q807" s="861" t="s">
        <v>7752</v>
      </c>
      <c r="R807" s="422"/>
      <c r="S807" s="900"/>
      <c r="T807" s="891"/>
      <c r="U807" s="901">
        <v>2.08</v>
      </c>
      <c r="V807" s="902">
        <v>62.0</v>
      </c>
      <c r="W807" s="903">
        <f>U807*V807</f>
        <v>128.96</v>
      </c>
      <c r="X807" s="904">
        <f>W807-L807</f>
        <v>-110.91</v>
      </c>
      <c r="Y807" s="905" t="s">
        <v>7753</v>
      </c>
    </row>
    <row r="808" ht="15.75" customHeight="1" outlineLevel="1">
      <c r="A808" s="641" t="s">
        <v>7754</v>
      </c>
      <c r="B808" s="642" t="s">
        <v>7755</v>
      </c>
      <c r="C808" s="643" t="s">
        <v>5636</v>
      </c>
      <c r="D808" s="644">
        <f>SUMIF('Orcamento RU Viora Build'!$A:$A,A808,'Orcamento RU Viora Build'!$F:$F)</f>
        <v>1</v>
      </c>
      <c r="E808" s="645">
        <f t="shared" si="198"/>
        <v>123.5</v>
      </c>
      <c r="F808" s="646">
        <f t="shared" si="199"/>
        <v>123.5</v>
      </c>
      <c r="G808" s="782"/>
      <c r="H808" s="782"/>
      <c r="I808" s="906">
        <v>95.0</v>
      </c>
      <c r="J808" s="719">
        <v>0.0</v>
      </c>
      <c r="K808" s="720">
        <f t="shared" si="200"/>
        <v>95</v>
      </c>
      <c r="L808" s="720">
        <f t="shared" si="201"/>
        <v>95</v>
      </c>
      <c r="M808" s="720">
        <f t="shared" si="202"/>
        <v>28.5</v>
      </c>
      <c r="N808" s="659">
        <f t="shared" si="203"/>
        <v>0.3</v>
      </c>
      <c r="O808" s="722">
        <f t="shared" si="204"/>
        <v>0.2307692308</v>
      </c>
      <c r="P808" s="722"/>
      <c r="Q808" s="861" t="s">
        <v>7756</v>
      </c>
      <c r="R808" s="422"/>
      <c r="S808" s="862"/>
      <c r="T808" s="863"/>
      <c r="U808" s="422"/>
      <c r="V808" s="422"/>
      <c r="W808" s="422"/>
      <c r="X808" s="422"/>
      <c r="Y808" s="422"/>
    </row>
    <row r="809" ht="15.75" customHeight="1" outlineLevel="1">
      <c r="A809" s="641" t="s">
        <v>7757</v>
      </c>
      <c r="B809" s="642" t="s">
        <v>7758</v>
      </c>
      <c r="C809" s="643" t="s">
        <v>5636</v>
      </c>
      <c r="D809" s="644">
        <f>SUMIF('Orcamento RU Viora Build'!$A:$A,A809,'Orcamento RU Viora Build'!$F:$F)</f>
        <v>1</v>
      </c>
      <c r="E809" s="645">
        <f t="shared" si="198"/>
        <v>468</v>
      </c>
      <c r="F809" s="646">
        <f t="shared" si="199"/>
        <v>468</v>
      </c>
      <c r="G809" s="782"/>
      <c r="H809" s="782"/>
      <c r="I809" s="906">
        <v>360.0</v>
      </c>
      <c r="J809" s="719">
        <v>0.0</v>
      </c>
      <c r="K809" s="720">
        <f t="shared" si="200"/>
        <v>360</v>
      </c>
      <c r="L809" s="720">
        <f t="shared" si="201"/>
        <v>360</v>
      </c>
      <c r="M809" s="720">
        <f t="shared" si="202"/>
        <v>108</v>
      </c>
      <c r="N809" s="659">
        <f t="shared" si="203"/>
        <v>0.3</v>
      </c>
      <c r="O809" s="722">
        <f t="shared" si="204"/>
        <v>0.2307692308</v>
      </c>
      <c r="P809" s="722"/>
      <c r="Q809" s="861" t="s">
        <v>7759</v>
      </c>
      <c r="R809" s="422"/>
      <c r="S809" s="862"/>
      <c r="T809" s="863"/>
      <c r="U809" s="422"/>
      <c r="V809" s="422"/>
      <c r="W809" s="422"/>
      <c r="X809" s="422"/>
      <c r="Y809" s="422"/>
    </row>
    <row r="810" ht="15.75" customHeight="1" outlineLevel="1">
      <c r="A810" s="641" t="s">
        <v>7760</v>
      </c>
      <c r="B810" s="642" t="s">
        <v>7761</v>
      </c>
      <c r="C810" s="643" t="s">
        <v>5636</v>
      </c>
      <c r="D810" s="644">
        <f>SUMIF('Orcamento RU Viora Build'!$A:$A,A810,'Orcamento RU Viora Build'!$F:$F)</f>
        <v>2</v>
      </c>
      <c r="E810" s="645">
        <f t="shared" si="198"/>
        <v>234</v>
      </c>
      <c r="F810" s="646">
        <f t="shared" si="199"/>
        <v>468</v>
      </c>
      <c r="G810" s="782"/>
      <c r="H810" s="782"/>
      <c r="I810" s="906">
        <v>180.0</v>
      </c>
      <c r="J810" s="719">
        <v>0.0</v>
      </c>
      <c r="K810" s="720">
        <f t="shared" si="200"/>
        <v>180</v>
      </c>
      <c r="L810" s="720">
        <f t="shared" si="201"/>
        <v>360</v>
      </c>
      <c r="M810" s="720">
        <f t="shared" si="202"/>
        <v>108</v>
      </c>
      <c r="N810" s="659">
        <f t="shared" si="203"/>
        <v>0.3</v>
      </c>
      <c r="O810" s="722">
        <f t="shared" si="204"/>
        <v>0.2307692308</v>
      </c>
      <c r="P810" s="722"/>
      <c r="Q810" s="861" t="s">
        <v>7762</v>
      </c>
      <c r="R810" s="422"/>
      <c r="S810" s="862"/>
      <c r="T810" s="863"/>
      <c r="U810" s="422"/>
      <c r="V810" s="422"/>
      <c r="W810" s="422"/>
      <c r="X810" s="422"/>
      <c r="Y810" s="422"/>
    </row>
    <row r="811" ht="15.75" customHeight="1" outlineLevel="1">
      <c r="A811" s="641" t="s">
        <v>7763</v>
      </c>
      <c r="B811" s="642" t="s">
        <v>7764</v>
      </c>
      <c r="C811" s="643" t="s">
        <v>5636</v>
      </c>
      <c r="D811" s="644">
        <f>SUMIF('Orcamento RU Viora Build'!$A:$A,A811,'Orcamento RU Viora Build'!$F:$F)</f>
        <v>3</v>
      </c>
      <c r="E811" s="645">
        <f t="shared" si="198"/>
        <v>169</v>
      </c>
      <c r="F811" s="646">
        <f t="shared" si="199"/>
        <v>507</v>
      </c>
      <c r="G811" s="782"/>
      <c r="H811" s="782"/>
      <c r="I811" s="906">
        <v>130.0</v>
      </c>
      <c r="J811" s="719">
        <v>0.0</v>
      </c>
      <c r="K811" s="720">
        <f t="shared" si="200"/>
        <v>130</v>
      </c>
      <c r="L811" s="720">
        <f t="shared" si="201"/>
        <v>390</v>
      </c>
      <c r="M811" s="720">
        <f t="shared" si="202"/>
        <v>117</v>
      </c>
      <c r="N811" s="659">
        <f t="shared" si="203"/>
        <v>0.3</v>
      </c>
      <c r="O811" s="722">
        <f t="shared" si="204"/>
        <v>0.2307692308</v>
      </c>
      <c r="P811" s="722"/>
      <c r="Q811" s="861" t="s">
        <v>7765</v>
      </c>
      <c r="R811" s="422"/>
      <c r="S811" s="862"/>
      <c r="T811" s="863"/>
      <c r="U811" s="422"/>
      <c r="V811" s="422"/>
      <c r="W811" s="422"/>
      <c r="X811" s="422"/>
      <c r="Y811" s="422"/>
    </row>
    <row r="812" ht="15.75" customHeight="1" outlineLevel="1">
      <c r="A812" s="641" t="s">
        <v>7766</v>
      </c>
      <c r="B812" s="642" t="s">
        <v>7767</v>
      </c>
      <c r="C812" s="643" t="s">
        <v>5631</v>
      </c>
      <c r="D812" s="644">
        <f>SUMIF('Orcamento RU Viora Build'!$A:$A,A812,'Orcamento RU Viora Build'!$F:$F)</f>
        <v>403</v>
      </c>
      <c r="E812" s="645">
        <f t="shared" si="198"/>
        <v>9.1</v>
      </c>
      <c r="F812" s="646">
        <f t="shared" si="199"/>
        <v>3667.3</v>
      </c>
      <c r="G812" s="782"/>
      <c r="H812" s="782"/>
      <c r="I812" s="906">
        <v>7.0</v>
      </c>
      <c r="J812" s="719">
        <v>0.0</v>
      </c>
      <c r="K812" s="720">
        <f t="shared" si="200"/>
        <v>7</v>
      </c>
      <c r="L812" s="720">
        <f t="shared" si="201"/>
        <v>2821</v>
      </c>
      <c r="M812" s="720">
        <f t="shared" si="202"/>
        <v>846.3</v>
      </c>
      <c r="N812" s="659">
        <f t="shared" si="203"/>
        <v>0.3</v>
      </c>
      <c r="O812" s="722">
        <f t="shared" si="204"/>
        <v>0.2307692308</v>
      </c>
      <c r="P812" s="722"/>
      <c r="Q812" s="861" t="s">
        <v>7768</v>
      </c>
      <c r="R812" s="422"/>
      <c r="S812" s="862"/>
      <c r="T812" s="863"/>
      <c r="U812" s="422"/>
      <c r="V812" s="422"/>
      <c r="W812" s="422"/>
      <c r="X812" s="422"/>
      <c r="Y812" s="422"/>
    </row>
    <row r="813" ht="15.75" customHeight="1" outlineLevel="1">
      <c r="A813" s="641" t="s">
        <v>7769</v>
      </c>
      <c r="B813" s="642" t="s">
        <v>7770</v>
      </c>
      <c r="C813" s="643" t="s">
        <v>5631</v>
      </c>
      <c r="D813" s="644">
        <f>SUMIF('Orcamento RU Viora Build'!$A:$A,A813,'Orcamento RU Viora Build'!$F:$F)</f>
        <v>6767</v>
      </c>
      <c r="E813" s="645">
        <f t="shared" si="198"/>
        <v>2.6</v>
      </c>
      <c r="F813" s="646">
        <f t="shared" si="199"/>
        <v>17594.2</v>
      </c>
      <c r="G813" s="782"/>
      <c r="H813" s="782"/>
      <c r="I813" s="906">
        <v>2.0</v>
      </c>
      <c r="J813" s="719">
        <v>0.0</v>
      </c>
      <c r="K813" s="720">
        <f t="shared" si="200"/>
        <v>2</v>
      </c>
      <c r="L813" s="720">
        <f t="shared" si="201"/>
        <v>13534</v>
      </c>
      <c r="M813" s="720">
        <f t="shared" si="202"/>
        <v>4060.2</v>
      </c>
      <c r="N813" s="659">
        <f t="shared" si="203"/>
        <v>0.3</v>
      </c>
      <c r="O813" s="722">
        <f t="shared" si="204"/>
        <v>0.2307692308</v>
      </c>
      <c r="P813" s="722"/>
      <c r="Q813" s="861" t="s">
        <v>7771</v>
      </c>
      <c r="R813" s="422"/>
      <c r="S813" s="862"/>
      <c r="T813" s="863"/>
      <c r="U813" s="422"/>
      <c r="V813" s="422"/>
      <c r="W813" s="422"/>
      <c r="X813" s="422"/>
      <c r="Y813" s="422"/>
    </row>
    <row r="814" ht="15.75" customHeight="1" outlineLevel="1">
      <c r="A814" s="641" t="s">
        <v>7772</v>
      </c>
      <c r="B814" s="642" t="s">
        <v>7773</v>
      </c>
      <c r="C814" s="643" t="s">
        <v>5631</v>
      </c>
      <c r="D814" s="644">
        <f>SUMIF('Orcamento RU Viora Build'!$A:$A,A814,'Orcamento RU Viora Build'!$F:$F)</f>
        <v>1328</v>
      </c>
      <c r="E814" s="645">
        <f t="shared" si="198"/>
        <v>3.25</v>
      </c>
      <c r="F814" s="646">
        <f t="shared" si="199"/>
        <v>4316</v>
      </c>
      <c r="G814" s="782"/>
      <c r="H814" s="782"/>
      <c r="I814" s="906">
        <v>2.5</v>
      </c>
      <c r="J814" s="719">
        <v>0.0</v>
      </c>
      <c r="K814" s="720">
        <f t="shared" si="200"/>
        <v>2.5</v>
      </c>
      <c r="L814" s="720">
        <f t="shared" si="201"/>
        <v>3320</v>
      </c>
      <c r="M814" s="720">
        <f t="shared" si="202"/>
        <v>996</v>
      </c>
      <c r="N814" s="659">
        <f t="shared" si="203"/>
        <v>0.3</v>
      </c>
      <c r="O814" s="722">
        <f t="shared" si="204"/>
        <v>0.2307692308</v>
      </c>
      <c r="P814" s="722"/>
      <c r="Q814" s="861" t="s">
        <v>7774</v>
      </c>
      <c r="R814" s="422"/>
      <c r="S814" s="862"/>
      <c r="T814" s="863"/>
      <c r="U814" s="422"/>
      <c r="V814" s="422"/>
      <c r="W814" s="422"/>
      <c r="X814" s="422"/>
      <c r="Y814" s="422"/>
    </row>
    <row r="815" ht="15.75" customHeight="1" outlineLevel="1">
      <c r="A815" s="641" t="s">
        <v>7775</v>
      </c>
      <c r="B815" s="642" t="s">
        <v>7776</v>
      </c>
      <c r="C815" s="643" t="s">
        <v>5631</v>
      </c>
      <c r="D815" s="644">
        <f>SUMIF('Orcamento RU Viora Build'!$A:$A,A815,'Orcamento RU Viora Build'!$F:$F)</f>
        <v>624</v>
      </c>
      <c r="E815" s="645">
        <f t="shared" si="198"/>
        <v>4.55</v>
      </c>
      <c r="F815" s="646">
        <f t="shared" si="199"/>
        <v>2839.2</v>
      </c>
      <c r="G815" s="782"/>
      <c r="H815" s="782"/>
      <c r="I815" s="906">
        <v>3.5</v>
      </c>
      <c r="J815" s="719">
        <v>0.0</v>
      </c>
      <c r="K815" s="720">
        <f t="shared" si="200"/>
        <v>3.5</v>
      </c>
      <c r="L815" s="720">
        <f t="shared" si="201"/>
        <v>2184</v>
      </c>
      <c r="M815" s="720">
        <f t="shared" si="202"/>
        <v>655.2</v>
      </c>
      <c r="N815" s="659">
        <f t="shared" si="203"/>
        <v>0.3</v>
      </c>
      <c r="O815" s="722">
        <f t="shared" si="204"/>
        <v>0.2307692308</v>
      </c>
      <c r="P815" s="722"/>
      <c r="Q815" s="861" t="s">
        <v>7777</v>
      </c>
      <c r="R815" s="422"/>
      <c r="S815" s="862"/>
      <c r="T815" s="863"/>
      <c r="U815" s="422"/>
      <c r="V815" s="422"/>
      <c r="W815" s="422"/>
      <c r="X815" s="422"/>
      <c r="Y815" s="422"/>
    </row>
    <row r="816" ht="15.75" customHeight="1" outlineLevel="1">
      <c r="A816" s="641" t="s">
        <v>7778</v>
      </c>
      <c r="B816" s="642" t="s">
        <v>7779</v>
      </c>
      <c r="C816" s="643" t="s">
        <v>5631</v>
      </c>
      <c r="D816" s="644">
        <f>SUMIF('Orcamento RU Viora Build'!$A:$A,A816,'Orcamento RU Viora Build'!$F:$F)</f>
        <v>7</v>
      </c>
      <c r="E816" s="645">
        <f t="shared" si="198"/>
        <v>6.5</v>
      </c>
      <c r="F816" s="646">
        <f t="shared" si="199"/>
        <v>45.5</v>
      </c>
      <c r="G816" s="782"/>
      <c r="H816" s="782"/>
      <c r="I816" s="906">
        <v>5.0</v>
      </c>
      <c r="J816" s="719">
        <v>0.0</v>
      </c>
      <c r="K816" s="720">
        <f t="shared" si="200"/>
        <v>5</v>
      </c>
      <c r="L816" s="720">
        <f t="shared" si="201"/>
        <v>35</v>
      </c>
      <c r="M816" s="720">
        <f t="shared" si="202"/>
        <v>10.5</v>
      </c>
      <c r="N816" s="659">
        <f t="shared" si="203"/>
        <v>0.3</v>
      </c>
      <c r="O816" s="722">
        <f t="shared" si="204"/>
        <v>0.2307692308</v>
      </c>
      <c r="P816" s="722"/>
      <c r="Q816" s="861" t="s">
        <v>7780</v>
      </c>
      <c r="R816" s="422"/>
      <c r="S816" s="862"/>
      <c r="T816" s="863"/>
      <c r="U816" s="422"/>
      <c r="V816" s="422"/>
      <c r="W816" s="422"/>
      <c r="X816" s="422"/>
      <c r="Y816" s="422"/>
    </row>
    <row r="817" ht="15.75" customHeight="1" outlineLevel="1">
      <c r="A817" s="641" t="s">
        <v>7781</v>
      </c>
      <c r="B817" s="642" t="s">
        <v>7782</v>
      </c>
      <c r="C817" s="643" t="s">
        <v>5636</v>
      </c>
      <c r="D817" s="644">
        <f>SUMIF('Orcamento RU Viora Build'!$A:$A,A817,'Orcamento RU Viora Build'!$F:$F)</f>
        <v>14</v>
      </c>
      <c r="E817" s="645">
        <f t="shared" si="198"/>
        <v>39</v>
      </c>
      <c r="F817" s="646">
        <f t="shared" si="199"/>
        <v>546</v>
      </c>
      <c r="G817" s="782"/>
      <c r="H817" s="782"/>
      <c r="I817" s="906">
        <v>30.0</v>
      </c>
      <c r="J817" s="719">
        <v>0.0</v>
      </c>
      <c r="K817" s="720">
        <f t="shared" si="200"/>
        <v>30</v>
      </c>
      <c r="L817" s="720">
        <f t="shared" si="201"/>
        <v>420</v>
      </c>
      <c r="M817" s="720">
        <f t="shared" si="202"/>
        <v>126</v>
      </c>
      <c r="N817" s="659">
        <f t="shared" si="203"/>
        <v>0.3</v>
      </c>
      <c r="O817" s="722">
        <f t="shared" si="204"/>
        <v>0.2307692308</v>
      </c>
      <c r="P817" s="722"/>
      <c r="Q817" s="861" t="s">
        <v>7783</v>
      </c>
      <c r="R817" s="422"/>
      <c r="S817" s="862"/>
      <c r="T817" s="863"/>
      <c r="U817" s="422"/>
      <c r="V817" s="422"/>
      <c r="W817" s="422"/>
      <c r="X817" s="422"/>
      <c r="Y817" s="422"/>
    </row>
    <row r="818" ht="15.75" customHeight="1" outlineLevel="1">
      <c r="A818" s="641" t="s">
        <v>7784</v>
      </c>
      <c r="B818" s="642" t="s">
        <v>7785</v>
      </c>
      <c r="C818" s="643" t="s">
        <v>5636</v>
      </c>
      <c r="D818" s="644">
        <f>SUMIF('Orcamento RU Viora Build'!$A:$A,A818,'Orcamento RU Viora Build'!$F:$F)</f>
        <v>1</v>
      </c>
      <c r="E818" s="645">
        <f t="shared" si="198"/>
        <v>15.6</v>
      </c>
      <c r="F818" s="646">
        <f t="shared" si="199"/>
        <v>15.6</v>
      </c>
      <c r="G818" s="782"/>
      <c r="H818" s="782"/>
      <c r="I818" s="906">
        <v>12.0</v>
      </c>
      <c r="J818" s="719">
        <v>0.0</v>
      </c>
      <c r="K818" s="720">
        <f t="shared" si="200"/>
        <v>12</v>
      </c>
      <c r="L818" s="720">
        <f t="shared" si="201"/>
        <v>12</v>
      </c>
      <c r="M818" s="720">
        <f t="shared" si="202"/>
        <v>3.6</v>
      </c>
      <c r="N818" s="659">
        <f t="shared" si="203"/>
        <v>0.3</v>
      </c>
      <c r="O818" s="722">
        <f t="shared" si="204"/>
        <v>0.2307692308</v>
      </c>
      <c r="P818" s="722"/>
      <c r="Q818" s="861" t="s">
        <v>7786</v>
      </c>
      <c r="R818" s="422"/>
      <c r="S818" s="862"/>
      <c r="T818" s="863"/>
      <c r="U818" s="422"/>
      <c r="V818" s="422"/>
      <c r="W818" s="422"/>
      <c r="X818" s="422"/>
      <c r="Y818" s="422"/>
    </row>
    <row r="819" ht="15.75" customHeight="1" outlineLevel="1">
      <c r="A819" s="641" t="s">
        <v>7787</v>
      </c>
      <c r="B819" s="642" t="s">
        <v>7788</v>
      </c>
      <c r="C819" s="643" t="s">
        <v>5631</v>
      </c>
      <c r="D819" s="644">
        <f>SUMIF('Orcamento RU Viora Build'!$A:$A,A819,'Orcamento RU Viora Build'!$F:$F)</f>
        <v>13</v>
      </c>
      <c r="E819" s="645">
        <f t="shared" si="198"/>
        <v>5.85</v>
      </c>
      <c r="F819" s="646">
        <f t="shared" si="199"/>
        <v>76.05</v>
      </c>
      <c r="G819" s="782"/>
      <c r="H819" s="782"/>
      <c r="I819" s="906">
        <v>4.5</v>
      </c>
      <c r="J819" s="719">
        <v>0.0</v>
      </c>
      <c r="K819" s="720">
        <f t="shared" si="200"/>
        <v>4.5</v>
      </c>
      <c r="L819" s="720">
        <f t="shared" si="201"/>
        <v>58.5</v>
      </c>
      <c r="M819" s="720">
        <f t="shared" si="202"/>
        <v>17.55</v>
      </c>
      <c r="N819" s="659">
        <f t="shared" si="203"/>
        <v>0.3</v>
      </c>
      <c r="O819" s="722">
        <f t="shared" si="204"/>
        <v>0.2307692308</v>
      </c>
      <c r="P819" s="722"/>
      <c r="Q819" s="861" t="s">
        <v>7789</v>
      </c>
      <c r="R819" s="422"/>
      <c r="S819" s="862"/>
      <c r="T819" s="863"/>
      <c r="U819" s="422"/>
      <c r="V819" s="422"/>
      <c r="W819" s="422"/>
      <c r="X819" s="422"/>
      <c r="Y819" s="422"/>
    </row>
    <row r="820" ht="15.75" customHeight="1" outlineLevel="1">
      <c r="A820" s="641" t="s">
        <v>7790</v>
      </c>
      <c r="B820" s="642" t="s">
        <v>7791</v>
      </c>
      <c r="C820" s="643" t="s">
        <v>5636</v>
      </c>
      <c r="D820" s="644">
        <f>SUMIF('Orcamento RU Viora Build'!$A:$A,A820,'Orcamento RU Viora Build'!$F:$F)</f>
        <v>3</v>
      </c>
      <c r="E820" s="645">
        <f t="shared" si="198"/>
        <v>65</v>
      </c>
      <c r="F820" s="646">
        <f t="shared" si="199"/>
        <v>195</v>
      </c>
      <c r="G820" s="782"/>
      <c r="H820" s="782"/>
      <c r="I820" s="906">
        <v>50.0</v>
      </c>
      <c r="J820" s="719">
        <v>0.0</v>
      </c>
      <c r="K820" s="720">
        <f t="shared" si="200"/>
        <v>50</v>
      </c>
      <c r="L820" s="720">
        <f t="shared" si="201"/>
        <v>150</v>
      </c>
      <c r="M820" s="720">
        <f t="shared" si="202"/>
        <v>45</v>
      </c>
      <c r="N820" s="659">
        <f t="shared" si="203"/>
        <v>0.3</v>
      </c>
      <c r="O820" s="722">
        <f t="shared" si="204"/>
        <v>0.2307692308</v>
      </c>
      <c r="P820" s="722"/>
      <c r="Q820" s="861" t="s">
        <v>7792</v>
      </c>
      <c r="R820" s="422"/>
      <c r="S820" s="862"/>
      <c r="T820" s="863"/>
      <c r="U820" s="422"/>
      <c r="V820" s="422"/>
      <c r="W820" s="422"/>
      <c r="X820" s="422"/>
      <c r="Y820" s="422"/>
    </row>
    <row r="821" ht="15.75" customHeight="1" outlineLevel="1">
      <c r="A821" s="641" t="s">
        <v>7793</v>
      </c>
      <c r="B821" s="642" t="s">
        <v>7794</v>
      </c>
      <c r="C821" s="643" t="s">
        <v>5631</v>
      </c>
      <c r="D821" s="644">
        <f>SUMIF('Orcamento RU Viora Build'!$A:$A,A821,'Orcamento RU Viora Build'!$F:$F)</f>
        <v>5069</v>
      </c>
      <c r="E821" s="645">
        <f t="shared" si="198"/>
        <v>2.86</v>
      </c>
      <c r="F821" s="646">
        <f t="shared" si="199"/>
        <v>14497.34</v>
      </c>
      <c r="G821" s="782"/>
      <c r="H821" s="782"/>
      <c r="I821" s="906">
        <v>2.2</v>
      </c>
      <c r="J821" s="719">
        <v>0.0</v>
      </c>
      <c r="K821" s="720">
        <f t="shared" si="200"/>
        <v>2.2</v>
      </c>
      <c r="L821" s="720">
        <f t="shared" si="201"/>
        <v>11151.8</v>
      </c>
      <c r="M821" s="720">
        <f t="shared" si="202"/>
        <v>3345.54</v>
      </c>
      <c r="N821" s="659">
        <f t="shared" si="203"/>
        <v>0.3</v>
      </c>
      <c r="O821" s="722">
        <f t="shared" si="204"/>
        <v>0.2307692308</v>
      </c>
      <c r="P821" s="722"/>
      <c r="Q821" s="861" t="s">
        <v>7795</v>
      </c>
      <c r="R821" s="422"/>
      <c r="S821" s="862"/>
      <c r="T821" s="863"/>
      <c r="U821" s="422"/>
      <c r="V821" s="422"/>
      <c r="W821" s="422"/>
      <c r="X821" s="422"/>
      <c r="Y821" s="422"/>
    </row>
    <row r="822" ht="15.75" customHeight="1" outlineLevel="1">
      <c r="A822" s="641" t="s">
        <v>7796</v>
      </c>
      <c r="B822" s="642" t="s">
        <v>7797</v>
      </c>
      <c r="C822" s="643" t="s">
        <v>5631</v>
      </c>
      <c r="D822" s="644">
        <f>SUMIF('Orcamento RU Viora Build'!$A:$A,A822,'Orcamento RU Viora Build'!$F:$F)</f>
        <v>1604</v>
      </c>
      <c r="E822" s="645">
        <f t="shared" si="198"/>
        <v>4.55</v>
      </c>
      <c r="F822" s="646">
        <f t="shared" si="199"/>
        <v>7298.2</v>
      </c>
      <c r="G822" s="782"/>
      <c r="H822" s="782"/>
      <c r="I822" s="906">
        <v>3.5</v>
      </c>
      <c r="J822" s="719">
        <v>0.0</v>
      </c>
      <c r="K822" s="720">
        <f t="shared" si="200"/>
        <v>3.5</v>
      </c>
      <c r="L822" s="720">
        <f t="shared" si="201"/>
        <v>5614</v>
      </c>
      <c r="M822" s="720">
        <f t="shared" si="202"/>
        <v>1684.2</v>
      </c>
      <c r="N822" s="659">
        <f t="shared" si="203"/>
        <v>0.3</v>
      </c>
      <c r="O822" s="722">
        <f t="shared" si="204"/>
        <v>0.2307692308</v>
      </c>
      <c r="P822" s="722"/>
      <c r="Q822" s="861" t="s">
        <v>7798</v>
      </c>
      <c r="R822" s="422"/>
      <c r="S822" s="862"/>
      <c r="T822" s="863"/>
      <c r="U822" s="422"/>
      <c r="V822" s="422"/>
      <c r="W822" s="422"/>
      <c r="X822" s="422"/>
      <c r="Y822" s="422"/>
    </row>
    <row r="823" ht="15.75" customHeight="1" outlineLevel="1">
      <c r="A823" s="641" t="s">
        <v>7799</v>
      </c>
      <c r="B823" s="642" t="s">
        <v>7800</v>
      </c>
      <c r="C823" s="643" t="s">
        <v>5631</v>
      </c>
      <c r="D823" s="644">
        <f>SUMIF('Orcamento RU Viora Build'!$A:$A,A823,'Orcamento RU Viora Build'!$F:$F)</f>
        <v>7</v>
      </c>
      <c r="E823" s="645">
        <f t="shared" si="198"/>
        <v>6.5</v>
      </c>
      <c r="F823" s="646">
        <f t="shared" si="199"/>
        <v>45.5</v>
      </c>
      <c r="G823" s="782"/>
      <c r="H823" s="782"/>
      <c r="I823" s="906">
        <v>5.0</v>
      </c>
      <c r="J823" s="719">
        <v>0.0</v>
      </c>
      <c r="K823" s="720">
        <f t="shared" si="200"/>
        <v>5</v>
      </c>
      <c r="L823" s="720">
        <f t="shared" si="201"/>
        <v>35</v>
      </c>
      <c r="M823" s="720">
        <f t="shared" si="202"/>
        <v>10.5</v>
      </c>
      <c r="N823" s="659">
        <f t="shared" si="203"/>
        <v>0.3</v>
      </c>
      <c r="O823" s="722">
        <f t="shared" si="204"/>
        <v>0.2307692308</v>
      </c>
      <c r="P823" s="722"/>
      <c r="Q823" s="861" t="s">
        <v>7801</v>
      </c>
      <c r="R823" s="422"/>
      <c r="S823" s="862"/>
      <c r="T823" s="863"/>
      <c r="U823" s="422"/>
      <c r="V823" s="422"/>
      <c r="W823" s="422"/>
      <c r="X823" s="422"/>
      <c r="Y823" s="422"/>
    </row>
    <row r="824" ht="15.75" customHeight="1" outlineLevel="1">
      <c r="A824" s="641" t="s">
        <v>7802</v>
      </c>
      <c r="B824" s="642" t="s">
        <v>7803</v>
      </c>
      <c r="C824" s="643" t="s">
        <v>5636</v>
      </c>
      <c r="D824" s="644">
        <f>SUMIF('Orcamento RU Viora Build'!$A:$A,A824,'Orcamento RU Viora Build'!$F:$F)</f>
        <v>281</v>
      </c>
      <c r="E824" s="645">
        <f t="shared" si="198"/>
        <v>15.6</v>
      </c>
      <c r="F824" s="646">
        <f t="shared" si="199"/>
        <v>4383.6</v>
      </c>
      <c r="G824" s="782"/>
      <c r="H824" s="782"/>
      <c r="I824" s="906">
        <v>12.0</v>
      </c>
      <c r="J824" s="719">
        <v>0.0</v>
      </c>
      <c r="K824" s="720">
        <f t="shared" si="200"/>
        <v>12</v>
      </c>
      <c r="L824" s="720">
        <f t="shared" si="201"/>
        <v>3372</v>
      </c>
      <c r="M824" s="720">
        <f t="shared" si="202"/>
        <v>1011.6</v>
      </c>
      <c r="N824" s="659">
        <f t="shared" si="203"/>
        <v>0.3</v>
      </c>
      <c r="O824" s="722">
        <f t="shared" si="204"/>
        <v>0.2307692308</v>
      </c>
      <c r="P824" s="722"/>
      <c r="Q824" s="861" t="s">
        <v>7804</v>
      </c>
      <c r="R824" s="422"/>
      <c r="S824" s="862"/>
      <c r="T824" s="863"/>
      <c r="U824" s="422"/>
      <c r="V824" s="422"/>
      <c r="W824" s="422"/>
      <c r="X824" s="422"/>
      <c r="Y824" s="422"/>
    </row>
    <row r="825" ht="15.75" customHeight="1" outlineLevel="1">
      <c r="A825" s="641" t="s">
        <v>7805</v>
      </c>
      <c r="B825" s="642" t="s">
        <v>7806</v>
      </c>
      <c r="C825" s="643" t="s">
        <v>5636</v>
      </c>
      <c r="D825" s="644">
        <f>SUMIF('Orcamento RU Viora Build'!$A:$A,A825,'Orcamento RU Viora Build'!$F:$F)</f>
        <v>244</v>
      </c>
      <c r="E825" s="645">
        <f t="shared" si="198"/>
        <v>22.1</v>
      </c>
      <c r="F825" s="646">
        <f t="shared" si="199"/>
        <v>5392.4</v>
      </c>
      <c r="G825" s="782"/>
      <c r="H825" s="782"/>
      <c r="I825" s="906">
        <v>17.0</v>
      </c>
      <c r="J825" s="719">
        <v>0.0</v>
      </c>
      <c r="K825" s="720">
        <f t="shared" si="200"/>
        <v>17</v>
      </c>
      <c r="L825" s="720">
        <f t="shared" si="201"/>
        <v>4148</v>
      </c>
      <c r="M825" s="720">
        <f t="shared" si="202"/>
        <v>1244.4</v>
      </c>
      <c r="N825" s="659">
        <f t="shared" si="203"/>
        <v>0.3</v>
      </c>
      <c r="O825" s="722">
        <f t="shared" si="204"/>
        <v>0.2307692308</v>
      </c>
      <c r="P825" s="722"/>
      <c r="Q825" s="861" t="s">
        <v>7807</v>
      </c>
      <c r="R825" s="422"/>
      <c r="S825" s="862"/>
      <c r="T825" s="863"/>
      <c r="U825" s="422"/>
      <c r="V825" s="422"/>
      <c r="W825" s="422"/>
      <c r="X825" s="422"/>
      <c r="Y825" s="422"/>
    </row>
    <row r="826" ht="15.75" customHeight="1" outlineLevel="1">
      <c r="A826" s="641" t="s">
        <v>7808</v>
      </c>
      <c r="B826" s="642" t="s">
        <v>7809</v>
      </c>
      <c r="C826" s="643" t="s">
        <v>5636</v>
      </c>
      <c r="D826" s="644">
        <f>SUMIF('Orcamento RU Viora Build'!$A:$A,A826,'Orcamento RU Viora Build'!$F:$F)</f>
        <v>136</v>
      </c>
      <c r="E826" s="645">
        <f t="shared" si="198"/>
        <v>36.4</v>
      </c>
      <c r="F826" s="646">
        <f t="shared" si="199"/>
        <v>4950.4</v>
      </c>
      <c r="G826" s="782"/>
      <c r="H826" s="782"/>
      <c r="I826" s="906">
        <v>28.0</v>
      </c>
      <c r="J826" s="719">
        <v>0.0</v>
      </c>
      <c r="K826" s="720">
        <f t="shared" si="200"/>
        <v>28</v>
      </c>
      <c r="L826" s="720">
        <f t="shared" si="201"/>
        <v>3808</v>
      </c>
      <c r="M826" s="720">
        <f t="shared" si="202"/>
        <v>1142.4</v>
      </c>
      <c r="N826" s="659">
        <f t="shared" si="203"/>
        <v>0.3</v>
      </c>
      <c r="O826" s="722">
        <f t="shared" si="204"/>
        <v>0.2307692308</v>
      </c>
      <c r="P826" s="722"/>
      <c r="Q826" s="861" t="s">
        <v>7810</v>
      </c>
      <c r="R826" s="422"/>
      <c r="S826" s="862"/>
      <c r="T826" s="863"/>
      <c r="U826" s="422"/>
      <c r="V826" s="422"/>
      <c r="W826" s="422"/>
      <c r="X826" s="422"/>
      <c r="Y826" s="422"/>
    </row>
    <row r="827" ht="15.75" customHeight="1" outlineLevel="1">
      <c r="A827" s="641" t="s">
        <v>7811</v>
      </c>
      <c r="B827" s="642" t="s">
        <v>7812</v>
      </c>
      <c r="C827" s="643" t="s">
        <v>5636</v>
      </c>
      <c r="D827" s="644">
        <f>SUMIF('Orcamento RU Viora Build'!$A:$A,A827,'Orcamento RU Viora Build'!$F:$F)</f>
        <v>12</v>
      </c>
      <c r="E827" s="645">
        <f t="shared" si="198"/>
        <v>71.5</v>
      </c>
      <c r="F827" s="646">
        <f t="shared" si="199"/>
        <v>858</v>
      </c>
      <c r="G827" s="782"/>
      <c r="H827" s="782"/>
      <c r="I827" s="906">
        <v>55.0</v>
      </c>
      <c r="J827" s="719">
        <v>0.0</v>
      </c>
      <c r="K827" s="720">
        <f t="shared" si="200"/>
        <v>55</v>
      </c>
      <c r="L827" s="720">
        <f t="shared" si="201"/>
        <v>660</v>
      </c>
      <c r="M827" s="720">
        <f t="shared" si="202"/>
        <v>198</v>
      </c>
      <c r="N827" s="659">
        <f t="shared" si="203"/>
        <v>0.3</v>
      </c>
      <c r="O827" s="722">
        <f t="shared" si="204"/>
        <v>0.2307692308</v>
      </c>
      <c r="P827" s="722"/>
      <c r="Q827" s="861" t="s">
        <v>7813</v>
      </c>
      <c r="R827" s="422"/>
      <c r="S827" s="862"/>
      <c r="T827" s="863"/>
      <c r="U827" s="422"/>
      <c r="V827" s="422"/>
      <c r="W827" s="422"/>
      <c r="X827" s="422"/>
      <c r="Y827" s="422"/>
    </row>
    <row r="828" ht="15.75" customHeight="1" outlineLevel="1">
      <c r="A828" s="641" t="s">
        <v>7814</v>
      </c>
      <c r="B828" s="642" t="s">
        <v>7815</v>
      </c>
      <c r="C828" s="643" t="s">
        <v>5636</v>
      </c>
      <c r="D828" s="644">
        <f>SUMIF('Orcamento RU Viora Build'!$A:$A,A828,'Orcamento RU Viora Build'!$F:$F)</f>
        <v>2</v>
      </c>
      <c r="E828" s="645">
        <f t="shared" si="198"/>
        <v>78</v>
      </c>
      <c r="F828" s="646">
        <f t="shared" si="199"/>
        <v>156</v>
      </c>
      <c r="G828" s="782"/>
      <c r="H828" s="782"/>
      <c r="I828" s="906">
        <v>60.0</v>
      </c>
      <c r="J828" s="719">
        <v>0.0</v>
      </c>
      <c r="K828" s="720">
        <f t="shared" si="200"/>
        <v>60</v>
      </c>
      <c r="L828" s="720">
        <f t="shared" si="201"/>
        <v>120</v>
      </c>
      <c r="M828" s="720">
        <f t="shared" si="202"/>
        <v>36</v>
      </c>
      <c r="N828" s="659">
        <f t="shared" si="203"/>
        <v>0.3</v>
      </c>
      <c r="O828" s="722">
        <f t="shared" si="204"/>
        <v>0.2307692308</v>
      </c>
      <c r="P828" s="722"/>
      <c r="Q828" s="861" t="s">
        <v>7816</v>
      </c>
      <c r="R828" s="422"/>
      <c r="S828" s="862"/>
      <c r="T828" s="863"/>
      <c r="U828" s="422"/>
      <c r="V828" s="422"/>
      <c r="W828" s="422"/>
      <c r="X828" s="422"/>
      <c r="Y828" s="422"/>
    </row>
    <row r="829" ht="15.75" customHeight="1" outlineLevel="1">
      <c r="A829" s="641" t="s">
        <v>7817</v>
      </c>
      <c r="B829" s="642" t="s">
        <v>7818</v>
      </c>
      <c r="C829" s="643" t="s">
        <v>5636</v>
      </c>
      <c r="D829" s="644">
        <f>SUMIF('Orcamento RU Viora Build'!$A:$A,A829,'Orcamento RU Viora Build'!$F:$F)</f>
        <v>377</v>
      </c>
      <c r="E829" s="645">
        <f t="shared" si="198"/>
        <v>58.5</v>
      </c>
      <c r="F829" s="646">
        <f t="shared" si="199"/>
        <v>22054.5</v>
      </c>
      <c r="G829" s="782"/>
      <c r="H829" s="782"/>
      <c r="I829" s="906">
        <v>45.0</v>
      </c>
      <c r="J829" s="719">
        <v>0.0</v>
      </c>
      <c r="K829" s="720">
        <f t="shared" si="200"/>
        <v>45</v>
      </c>
      <c r="L829" s="720">
        <f t="shared" si="201"/>
        <v>16965</v>
      </c>
      <c r="M829" s="720">
        <f t="shared" si="202"/>
        <v>5089.5</v>
      </c>
      <c r="N829" s="659">
        <f t="shared" si="203"/>
        <v>0.3</v>
      </c>
      <c r="O829" s="722">
        <f t="shared" si="204"/>
        <v>0.2307692308</v>
      </c>
      <c r="P829" s="722"/>
      <c r="Q829" s="861" t="s">
        <v>7819</v>
      </c>
      <c r="R829" s="422"/>
      <c r="S829" s="862"/>
      <c r="T829" s="863"/>
      <c r="U829" s="422"/>
      <c r="V829" s="422"/>
      <c r="W829" s="422"/>
      <c r="X829" s="422"/>
      <c r="Y829" s="422"/>
    </row>
    <row r="830" ht="15.75" customHeight="1" outlineLevel="1">
      <c r="A830" s="641" t="s">
        <v>7820</v>
      </c>
      <c r="B830" s="642" t="s">
        <v>7821</v>
      </c>
      <c r="C830" s="643" t="s">
        <v>5636</v>
      </c>
      <c r="D830" s="644">
        <f>SUMIF('Orcamento RU Viora Build'!$A:$A,A830,'Orcamento RU Viora Build'!$F:$F)</f>
        <v>2</v>
      </c>
      <c r="E830" s="645">
        <f t="shared" si="198"/>
        <v>39</v>
      </c>
      <c r="F830" s="646">
        <f t="shared" si="199"/>
        <v>78</v>
      </c>
      <c r="G830" s="782"/>
      <c r="H830" s="782"/>
      <c r="I830" s="906">
        <v>30.0</v>
      </c>
      <c r="J830" s="719">
        <v>0.0</v>
      </c>
      <c r="K830" s="720">
        <f t="shared" si="200"/>
        <v>30</v>
      </c>
      <c r="L830" s="720">
        <f t="shared" si="201"/>
        <v>60</v>
      </c>
      <c r="M830" s="720">
        <f t="shared" si="202"/>
        <v>18</v>
      </c>
      <c r="N830" s="659">
        <f t="shared" si="203"/>
        <v>0.3</v>
      </c>
      <c r="O830" s="722">
        <f t="shared" si="204"/>
        <v>0.2307692308</v>
      </c>
      <c r="P830" s="722"/>
      <c r="Q830" s="861" t="s">
        <v>7822</v>
      </c>
      <c r="R830" s="422"/>
      <c r="S830" s="862"/>
      <c r="T830" s="863"/>
      <c r="U830" s="422"/>
      <c r="V830" s="422"/>
      <c r="W830" s="422"/>
      <c r="X830" s="422"/>
      <c r="Y830" s="422"/>
    </row>
    <row r="831" ht="15.75" customHeight="1" outlineLevel="1">
      <c r="A831" s="641" t="s">
        <v>7823</v>
      </c>
      <c r="B831" s="642" t="s">
        <v>7824</v>
      </c>
      <c r="C831" s="643" t="s">
        <v>5636</v>
      </c>
      <c r="D831" s="644">
        <f>SUMIF('Orcamento RU Viora Build'!$A:$A,A831,'Orcamento RU Viora Build'!$F:$F)</f>
        <v>1</v>
      </c>
      <c r="E831" s="645">
        <f t="shared" si="198"/>
        <v>36.4</v>
      </c>
      <c r="F831" s="646">
        <f t="shared" si="199"/>
        <v>36.4</v>
      </c>
      <c r="G831" s="782"/>
      <c r="H831" s="782"/>
      <c r="I831" s="906">
        <v>28.0</v>
      </c>
      <c r="J831" s="719">
        <v>0.0</v>
      </c>
      <c r="K831" s="720">
        <f t="shared" si="200"/>
        <v>28</v>
      </c>
      <c r="L831" s="720">
        <f t="shared" si="201"/>
        <v>28</v>
      </c>
      <c r="M831" s="720">
        <f t="shared" si="202"/>
        <v>8.4</v>
      </c>
      <c r="N831" s="659">
        <f t="shared" si="203"/>
        <v>0.3</v>
      </c>
      <c r="O831" s="722">
        <f t="shared" si="204"/>
        <v>0.2307692308</v>
      </c>
      <c r="P831" s="722"/>
      <c r="Q831" s="861" t="s">
        <v>7825</v>
      </c>
      <c r="R831" s="422"/>
      <c r="S831" s="862"/>
      <c r="T831" s="863"/>
      <c r="U831" s="422"/>
      <c r="V831" s="422"/>
      <c r="W831" s="422"/>
      <c r="X831" s="422"/>
      <c r="Y831" s="422"/>
    </row>
    <row r="832" ht="15.75" customHeight="1" outlineLevel="1">
      <c r="A832" s="641" t="s">
        <v>7826</v>
      </c>
      <c r="B832" s="642" t="s">
        <v>1434</v>
      </c>
      <c r="C832" s="643" t="s">
        <v>5636</v>
      </c>
      <c r="D832" s="644">
        <f>SUMIF('Orcamento RU Viora Build'!$A:$A,A832,'Orcamento RU Viora Build'!$F:$F)</f>
        <v>1</v>
      </c>
      <c r="E832" s="645">
        <f t="shared" si="198"/>
        <v>1885</v>
      </c>
      <c r="F832" s="646">
        <f t="shared" si="199"/>
        <v>1885</v>
      </c>
      <c r="G832" s="782"/>
      <c r="H832" s="782"/>
      <c r="I832" s="906">
        <v>1450.0</v>
      </c>
      <c r="J832" s="719">
        <v>0.0</v>
      </c>
      <c r="K832" s="720">
        <f t="shared" si="200"/>
        <v>1450</v>
      </c>
      <c r="L832" s="720">
        <f t="shared" si="201"/>
        <v>1450</v>
      </c>
      <c r="M832" s="720">
        <f t="shared" si="202"/>
        <v>435</v>
      </c>
      <c r="N832" s="659">
        <f t="shared" si="203"/>
        <v>0.3</v>
      </c>
      <c r="O832" s="722">
        <f t="shared" si="204"/>
        <v>0.2307692308</v>
      </c>
      <c r="P832" s="722"/>
      <c r="Q832" s="861" t="s">
        <v>7827</v>
      </c>
      <c r="R832" s="422"/>
      <c r="S832" s="862"/>
      <c r="T832" s="863"/>
      <c r="U832" s="422"/>
      <c r="V832" s="422"/>
      <c r="W832" s="422"/>
      <c r="X832" s="422"/>
      <c r="Y832" s="422"/>
    </row>
    <row r="833" ht="15.75" customHeight="1" outlineLevel="1">
      <c r="A833" s="641" t="s">
        <v>7828</v>
      </c>
      <c r="B833" s="642" t="s">
        <v>5656</v>
      </c>
      <c r="C833" s="643" t="s">
        <v>5636</v>
      </c>
      <c r="D833" s="644">
        <f>SUMIF('Orcamento RU Viora Build'!$A:$A,A833,'Orcamento RU Viora Build'!$F:$F)</f>
        <v>1</v>
      </c>
      <c r="E833" s="645">
        <f t="shared" si="198"/>
        <v>403</v>
      </c>
      <c r="F833" s="646">
        <f t="shared" si="199"/>
        <v>403</v>
      </c>
      <c r="G833" s="782"/>
      <c r="H833" s="782"/>
      <c r="I833" s="906">
        <v>310.0</v>
      </c>
      <c r="J833" s="719">
        <v>0.0</v>
      </c>
      <c r="K833" s="720">
        <f t="shared" si="200"/>
        <v>310</v>
      </c>
      <c r="L833" s="720">
        <f t="shared" si="201"/>
        <v>310</v>
      </c>
      <c r="M833" s="720">
        <f t="shared" si="202"/>
        <v>93</v>
      </c>
      <c r="N833" s="659">
        <f t="shared" si="203"/>
        <v>0.3</v>
      </c>
      <c r="O833" s="722">
        <f t="shared" si="204"/>
        <v>0.2307692308</v>
      </c>
      <c r="P833" s="722"/>
      <c r="Q833" s="861" t="s">
        <v>7829</v>
      </c>
      <c r="R833" s="422"/>
      <c r="S833" s="862"/>
      <c r="T833" s="863"/>
      <c r="U833" s="422"/>
      <c r="V833" s="422"/>
      <c r="W833" s="422"/>
      <c r="X833" s="422"/>
      <c r="Y833" s="422"/>
    </row>
    <row r="834" ht="15.75" customHeight="1" outlineLevel="1">
      <c r="A834" s="641" t="s">
        <v>7830</v>
      </c>
      <c r="B834" s="642" t="s">
        <v>1472</v>
      </c>
      <c r="C834" s="643" t="s">
        <v>5636</v>
      </c>
      <c r="D834" s="644">
        <f>SUMIF('Orcamento RU Viora Build'!$A:$A,A834,'Orcamento RU Viora Build'!$F:$F)</f>
        <v>1</v>
      </c>
      <c r="E834" s="645">
        <f t="shared" si="198"/>
        <v>520</v>
      </c>
      <c r="F834" s="646">
        <f t="shared" si="199"/>
        <v>520</v>
      </c>
      <c r="G834" s="782"/>
      <c r="H834" s="782"/>
      <c r="I834" s="906">
        <v>400.0</v>
      </c>
      <c r="J834" s="719">
        <v>0.0</v>
      </c>
      <c r="K834" s="720">
        <f t="shared" si="200"/>
        <v>400</v>
      </c>
      <c r="L834" s="720">
        <f t="shared" si="201"/>
        <v>400</v>
      </c>
      <c r="M834" s="720">
        <f t="shared" si="202"/>
        <v>120</v>
      </c>
      <c r="N834" s="659">
        <f t="shared" si="203"/>
        <v>0.3</v>
      </c>
      <c r="O834" s="722">
        <f t="shared" si="204"/>
        <v>0.2307692308</v>
      </c>
      <c r="P834" s="722"/>
      <c r="Q834" s="861" t="s">
        <v>7831</v>
      </c>
      <c r="R834" s="422"/>
      <c r="S834" s="862"/>
      <c r="T834" s="863"/>
      <c r="U834" s="422"/>
      <c r="V834" s="422"/>
      <c r="W834" s="422"/>
      <c r="X834" s="422"/>
      <c r="Y834" s="422"/>
    </row>
    <row r="835" ht="15.75" customHeight="1" outlineLevel="1">
      <c r="A835" s="641" t="s">
        <v>7832</v>
      </c>
      <c r="B835" s="642" t="s">
        <v>1489</v>
      </c>
      <c r="C835" s="643" t="s">
        <v>5636</v>
      </c>
      <c r="D835" s="644">
        <f>SUMIF('Orcamento RU Viora Build'!$A:$A,A835,'Orcamento RU Viora Build'!$F:$F)</f>
        <v>1</v>
      </c>
      <c r="E835" s="645">
        <f t="shared" si="198"/>
        <v>325</v>
      </c>
      <c r="F835" s="646">
        <f t="shared" si="199"/>
        <v>325</v>
      </c>
      <c r="G835" s="782"/>
      <c r="H835" s="782"/>
      <c r="I835" s="906">
        <v>250.0</v>
      </c>
      <c r="J835" s="719">
        <v>0.0</v>
      </c>
      <c r="K835" s="720">
        <f t="shared" si="200"/>
        <v>250</v>
      </c>
      <c r="L835" s="720">
        <f t="shared" si="201"/>
        <v>250</v>
      </c>
      <c r="M835" s="720">
        <f t="shared" si="202"/>
        <v>75</v>
      </c>
      <c r="N835" s="659">
        <f t="shared" si="203"/>
        <v>0.3</v>
      </c>
      <c r="O835" s="722">
        <f t="shared" si="204"/>
        <v>0.2307692308</v>
      </c>
      <c r="P835" s="722"/>
      <c r="Q835" s="861" t="s">
        <v>7833</v>
      </c>
      <c r="R835" s="422"/>
      <c r="S835" s="862"/>
      <c r="T835" s="863"/>
      <c r="U835" s="422"/>
      <c r="V835" s="422"/>
      <c r="W835" s="422"/>
      <c r="X835" s="422"/>
      <c r="Y835" s="422"/>
    </row>
    <row r="836" ht="15.75" customHeight="1" outlineLevel="1">
      <c r="A836" s="641" t="s">
        <v>7834</v>
      </c>
      <c r="B836" s="642" t="s">
        <v>1510</v>
      </c>
      <c r="C836" s="643" t="s">
        <v>5636</v>
      </c>
      <c r="D836" s="644">
        <f>SUMIF('Orcamento RU Viora Build'!$A:$A,A836,'Orcamento RU Viora Build'!$F:$F)</f>
        <v>1</v>
      </c>
      <c r="E836" s="645">
        <f t="shared" si="198"/>
        <v>494</v>
      </c>
      <c r="F836" s="646">
        <f t="shared" si="199"/>
        <v>494</v>
      </c>
      <c r="G836" s="782"/>
      <c r="H836" s="782"/>
      <c r="I836" s="906">
        <v>380.0</v>
      </c>
      <c r="J836" s="719">
        <v>0.0</v>
      </c>
      <c r="K836" s="720">
        <f t="shared" si="200"/>
        <v>380</v>
      </c>
      <c r="L836" s="720">
        <f t="shared" si="201"/>
        <v>380</v>
      </c>
      <c r="M836" s="720">
        <f t="shared" si="202"/>
        <v>114</v>
      </c>
      <c r="N836" s="659">
        <f t="shared" si="203"/>
        <v>0.3</v>
      </c>
      <c r="O836" s="722">
        <f t="shared" si="204"/>
        <v>0.2307692308</v>
      </c>
      <c r="P836" s="722"/>
      <c r="Q836" s="861" t="s">
        <v>7835</v>
      </c>
      <c r="R836" s="422"/>
      <c r="S836" s="862"/>
      <c r="T836" s="863"/>
      <c r="U836" s="422"/>
      <c r="V836" s="422"/>
      <c r="W836" s="422"/>
      <c r="X836" s="422"/>
      <c r="Y836" s="422"/>
    </row>
    <row r="837" ht="15.75" customHeight="1" outlineLevel="1">
      <c r="A837" s="641" t="s">
        <v>7836</v>
      </c>
      <c r="B837" s="642" t="s">
        <v>7837</v>
      </c>
      <c r="C837" s="643" t="s">
        <v>5636</v>
      </c>
      <c r="D837" s="644">
        <f>SUMIF('Orcamento RU Viora Build'!$A:$A,A837,'Orcamento RU Viora Build'!$F:$F)</f>
        <v>1</v>
      </c>
      <c r="E837" s="645">
        <f t="shared" si="198"/>
        <v>58.5</v>
      </c>
      <c r="F837" s="646">
        <f t="shared" si="199"/>
        <v>58.5</v>
      </c>
      <c r="G837" s="782"/>
      <c r="H837" s="782"/>
      <c r="I837" s="906">
        <v>45.0</v>
      </c>
      <c r="J837" s="719">
        <v>0.0</v>
      </c>
      <c r="K837" s="720">
        <f t="shared" si="200"/>
        <v>45</v>
      </c>
      <c r="L837" s="720">
        <f t="shared" si="201"/>
        <v>45</v>
      </c>
      <c r="M837" s="720">
        <f t="shared" si="202"/>
        <v>13.5</v>
      </c>
      <c r="N837" s="659">
        <f t="shared" si="203"/>
        <v>0.3</v>
      </c>
      <c r="O837" s="722">
        <f t="shared" si="204"/>
        <v>0.2307692308</v>
      </c>
      <c r="P837" s="722"/>
      <c r="Q837" s="861" t="s">
        <v>7838</v>
      </c>
      <c r="R837" s="422"/>
      <c r="S837" s="862"/>
      <c r="T837" s="863"/>
      <c r="U837" s="422"/>
      <c r="V837" s="422"/>
      <c r="W837" s="422"/>
      <c r="X837" s="422"/>
      <c r="Y837" s="422"/>
    </row>
    <row r="838" ht="15.75" customHeight="1" outlineLevel="1">
      <c r="A838" s="641" t="s">
        <v>7839</v>
      </c>
      <c r="B838" s="642" t="s">
        <v>7840</v>
      </c>
      <c r="C838" s="643" t="s">
        <v>5636</v>
      </c>
      <c r="D838" s="644">
        <f>SUMIF('Orcamento RU Viora Build'!$A:$A,A838,'Orcamento RU Viora Build'!$F:$F)</f>
        <v>1</v>
      </c>
      <c r="E838" s="645">
        <f t="shared" si="198"/>
        <v>253.5</v>
      </c>
      <c r="F838" s="646">
        <f t="shared" si="199"/>
        <v>253.5</v>
      </c>
      <c r="G838" s="782"/>
      <c r="H838" s="782"/>
      <c r="I838" s="906">
        <v>195.0</v>
      </c>
      <c r="J838" s="719">
        <v>0.0</v>
      </c>
      <c r="K838" s="720">
        <f t="shared" si="200"/>
        <v>195</v>
      </c>
      <c r="L838" s="720">
        <f t="shared" si="201"/>
        <v>195</v>
      </c>
      <c r="M838" s="720">
        <f t="shared" si="202"/>
        <v>58.5</v>
      </c>
      <c r="N838" s="659">
        <f t="shared" si="203"/>
        <v>0.3</v>
      </c>
      <c r="O838" s="722">
        <f t="shared" si="204"/>
        <v>0.2307692308</v>
      </c>
      <c r="P838" s="722"/>
      <c r="Q838" s="861" t="s">
        <v>7841</v>
      </c>
      <c r="R838" s="422"/>
      <c r="S838" s="862"/>
      <c r="T838" s="863"/>
      <c r="U838" s="422"/>
      <c r="V838" s="422"/>
      <c r="W838" s="422"/>
      <c r="X838" s="422"/>
      <c r="Y838" s="422"/>
    </row>
    <row r="839" ht="15.75" customHeight="1" outlineLevel="1">
      <c r="A839" s="641" t="s">
        <v>7842</v>
      </c>
      <c r="B839" s="642" t="s">
        <v>1548</v>
      </c>
      <c r="C839" s="643" t="s">
        <v>5636</v>
      </c>
      <c r="D839" s="644">
        <f>SUMIF('Orcamento RU Viora Build'!$A:$A,A839,'Orcamento RU Viora Build'!$F:$F)</f>
        <v>1</v>
      </c>
      <c r="E839" s="645">
        <f t="shared" si="198"/>
        <v>84.5</v>
      </c>
      <c r="F839" s="646">
        <f t="shared" si="199"/>
        <v>84.5</v>
      </c>
      <c r="G839" s="782"/>
      <c r="H839" s="782"/>
      <c r="I839" s="906">
        <v>65.0</v>
      </c>
      <c r="J839" s="719">
        <v>0.0</v>
      </c>
      <c r="K839" s="720">
        <f t="shared" si="200"/>
        <v>65</v>
      </c>
      <c r="L839" s="720">
        <f t="shared" si="201"/>
        <v>65</v>
      </c>
      <c r="M839" s="720">
        <f t="shared" si="202"/>
        <v>19.5</v>
      </c>
      <c r="N839" s="659">
        <f t="shared" si="203"/>
        <v>0.3</v>
      </c>
      <c r="O839" s="722">
        <f t="shared" si="204"/>
        <v>0.2307692308</v>
      </c>
      <c r="P839" s="722"/>
      <c r="Q839" s="861" t="s">
        <v>7843</v>
      </c>
      <c r="R839" s="422"/>
      <c r="S839" s="862"/>
      <c r="T839" s="863"/>
      <c r="U839" s="422"/>
      <c r="V839" s="422"/>
      <c r="W839" s="422"/>
      <c r="X839" s="422"/>
      <c r="Y839" s="422"/>
    </row>
    <row r="840" ht="15.75" customHeight="1" outlineLevel="1">
      <c r="A840" s="641" t="s">
        <v>7844</v>
      </c>
      <c r="B840" s="642" t="s">
        <v>1549</v>
      </c>
      <c r="C840" s="643" t="s">
        <v>5636</v>
      </c>
      <c r="D840" s="644">
        <f>SUMIF('Orcamento RU Viora Build'!$A:$A,A840,'Orcamento RU Viora Build'!$F:$F)</f>
        <v>1</v>
      </c>
      <c r="E840" s="645">
        <f t="shared" si="198"/>
        <v>35.1</v>
      </c>
      <c r="F840" s="646">
        <f t="shared" si="199"/>
        <v>35.1</v>
      </c>
      <c r="G840" s="782"/>
      <c r="H840" s="782"/>
      <c r="I840" s="906">
        <v>27.0</v>
      </c>
      <c r="J840" s="719">
        <v>0.0</v>
      </c>
      <c r="K840" s="720">
        <f t="shared" si="200"/>
        <v>27</v>
      </c>
      <c r="L840" s="720">
        <f t="shared" si="201"/>
        <v>27</v>
      </c>
      <c r="M840" s="720">
        <f t="shared" si="202"/>
        <v>8.1</v>
      </c>
      <c r="N840" s="659">
        <f t="shared" si="203"/>
        <v>0.3</v>
      </c>
      <c r="O840" s="722">
        <f t="shared" si="204"/>
        <v>0.2307692308</v>
      </c>
      <c r="P840" s="722"/>
      <c r="Q840" s="861" t="s">
        <v>7845</v>
      </c>
      <c r="R840" s="422"/>
      <c r="S840" s="862"/>
      <c r="T840" s="863"/>
      <c r="U840" s="422"/>
      <c r="V840" s="422"/>
      <c r="W840" s="422"/>
      <c r="X840" s="422"/>
      <c r="Y840" s="422"/>
    </row>
    <row r="841" ht="15.75" customHeight="1" outlineLevel="1">
      <c r="A841" s="641" t="s">
        <v>7846</v>
      </c>
      <c r="B841" s="642" t="s">
        <v>7847</v>
      </c>
      <c r="C841" s="643" t="s">
        <v>5636</v>
      </c>
      <c r="D841" s="644">
        <f>SUMIF('Orcamento RU Viora Build'!$A:$A,A841,'Orcamento RU Viora Build'!$F:$F)</f>
        <v>1</v>
      </c>
      <c r="E841" s="645">
        <f t="shared" si="198"/>
        <v>156</v>
      </c>
      <c r="F841" s="646">
        <f t="shared" si="199"/>
        <v>156</v>
      </c>
      <c r="G841" s="782"/>
      <c r="H841" s="782"/>
      <c r="I841" s="906">
        <v>120.0</v>
      </c>
      <c r="J841" s="719">
        <v>0.0</v>
      </c>
      <c r="K841" s="720">
        <f t="shared" si="200"/>
        <v>120</v>
      </c>
      <c r="L841" s="720">
        <f t="shared" si="201"/>
        <v>120</v>
      </c>
      <c r="M841" s="720">
        <f t="shared" si="202"/>
        <v>36</v>
      </c>
      <c r="N841" s="659">
        <f t="shared" si="203"/>
        <v>0.3</v>
      </c>
      <c r="O841" s="722">
        <f t="shared" si="204"/>
        <v>0.2307692308</v>
      </c>
      <c r="P841" s="722"/>
      <c r="Q841" s="861" t="s">
        <v>7848</v>
      </c>
      <c r="R841" s="422"/>
      <c r="S841" s="862"/>
      <c r="T841" s="863"/>
      <c r="U841" s="422"/>
      <c r="V841" s="422"/>
      <c r="W841" s="422"/>
      <c r="X841" s="422"/>
      <c r="Y841" s="422"/>
    </row>
    <row r="842" ht="15.75" customHeight="1" outlineLevel="1">
      <c r="A842" s="641" t="s">
        <v>7849</v>
      </c>
      <c r="B842" s="642" t="s">
        <v>7850</v>
      </c>
      <c r="C842" s="643" t="s">
        <v>5636</v>
      </c>
      <c r="D842" s="644">
        <f>SUMIF('Orcamento RU Viora Build'!$A:$A,A842,'Orcamento RU Viora Build'!$F:$F)</f>
        <v>1</v>
      </c>
      <c r="E842" s="645">
        <f t="shared" si="198"/>
        <v>110.5</v>
      </c>
      <c r="F842" s="646">
        <f t="shared" si="199"/>
        <v>110.5</v>
      </c>
      <c r="G842" s="782"/>
      <c r="H842" s="782"/>
      <c r="I842" s="907">
        <v>85.0</v>
      </c>
      <c r="J842" s="719">
        <v>0.0</v>
      </c>
      <c r="K842" s="720">
        <f t="shared" si="200"/>
        <v>85</v>
      </c>
      <c r="L842" s="720">
        <f t="shared" si="201"/>
        <v>85</v>
      </c>
      <c r="M842" s="720">
        <f t="shared" si="202"/>
        <v>25.5</v>
      </c>
      <c r="N842" s="908">
        <f t="shared" si="203"/>
        <v>0.3</v>
      </c>
      <c r="O842" s="722">
        <f t="shared" si="204"/>
        <v>0.2307692308</v>
      </c>
      <c r="P842" s="909"/>
      <c r="Q842" s="910" t="s">
        <v>7851</v>
      </c>
      <c r="R842" s="422"/>
      <c r="S842" s="911"/>
      <c r="T842" s="893"/>
      <c r="U842" s="422"/>
      <c r="V842" s="422"/>
      <c r="W842" s="422"/>
      <c r="X842" s="422"/>
      <c r="Y842" s="422"/>
    </row>
    <row r="843" ht="12.75" customHeight="1">
      <c r="A843" s="422"/>
      <c r="B843" s="422"/>
      <c r="C843" s="422"/>
      <c r="D843" s="422"/>
      <c r="E843" s="431"/>
      <c r="F843" s="422"/>
      <c r="G843" s="422"/>
      <c r="H843" s="422"/>
      <c r="I843" s="422"/>
      <c r="J843" s="422"/>
      <c r="K843" s="422"/>
      <c r="L843" s="422"/>
      <c r="M843" s="422"/>
      <c r="N843" s="912"/>
      <c r="O843" s="422"/>
      <c r="P843" s="422"/>
      <c r="Q843" s="913"/>
      <c r="R843" s="422"/>
      <c r="S843" s="422"/>
      <c r="T843" s="422"/>
      <c r="U843" s="422"/>
      <c r="V843" s="422"/>
      <c r="W843" s="422"/>
      <c r="X843" s="422"/>
      <c r="Y843" s="422"/>
    </row>
    <row r="844" ht="12.75" customHeight="1">
      <c r="A844" s="422"/>
      <c r="B844" s="422"/>
      <c r="C844" s="422"/>
      <c r="D844" s="422"/>
      <c r="E844" s="431"/>
      <c r="F844" s="422"/>
      <c r="G844" s="422"/>
      <c r="H844" s="422"/>
      <c r="I844" s="422"/>
      <c r="J844" s="422"/>
      <c r="K844" s="422"/>
      <c r="L844" s="422"/>
      <c r="M844" s="422"/>
      <c r="N844" s="912"/>
      <c r="O844" s="422"/>
      <c r="P844" s="422"/>
      <c r="Q844" s="913"/>
      <c r="R844" s="422"/>
      <c r="S844" s="422"/>
      <c r="T844" s="422"/>
      <c r="U844" s="422"/>
      <c r="V844" s="422"/>
      <c r="W844" s="422"/>
      <c r="X844" s="422"/>
      <c r="Y844" s="422"/>
    </row>
    <row r="845" ht="12.75" customHeight="1">
      <c r="A845" s="422"/>
      <c r="B845" s="422"/>
      <c r="C845" s="422"/>
      <c r="D845" s="914" t="s">
        <v>7852</v>
      </c>
      <c r="E845" s="915">
        <f>SUM(F4:F842)</f>
        <v>1708318.893</v>
      </c>
      <c r="F845" s="422"/>
      <c r="G845" s="422"/>
      <c r="H845" s="422"/>
      <c r="I845" s="916">
        <f>SUM(L4:L807)</f>
        <v>1241063.156</v>
      </c>
      <c r="J845" s="422"/>
      <c r="K845" s="422"/>
      <c r="L845" s="422"/>
      <c r="M845" s="422"/>
      <c r="N845" s="912"/>
      <c r="O845" s="422"/>
      <c r="P845" s="422"/>
      <c r="Q845" s="913"/>
      <c r="R845" s="422"/>
      <c r="S845" s="422"/>
      <c r="T845" s="422"/>
      <c r="U845" s="422"/>
      <c r="V845" s="422"/>
      <c r="W845" s="422"/>
      <c r="X845" s="422"/>
      <c r="Y845" s="422"/>
    </row>
    <row r="846" ht="12.75" customHeight="1">
      <c r="A846" s="422"/>
      <c r="B846" s="422"/>
      <c r="C846" s="422"/>
      <c r="D846" s="422"/>
      <c r="E846" s="431"/>
      <c r="F846" s="422"/>
      <c r="G846" s="422"/>
      <c r="H846" s="422"/>
      <c r="I846" s="422"/>
      <c r="J846" s="422"/>
      <c r="K846" s="422"/>
      <c r="L846" s="422"/>
      <c r="M846" s="422"/>
      <c r="N846" s="912"/>
      <c r="O846" s="422"/>
      <c r="P846" s="422"/>
      <c r="Q846" s="913"/>
      <c r="R846" s="422"/>
      <c r="S846" s="422"/>
      <c r="T846" s="422"/>
      <c r="U846" s="422"/>
      <c r="V846" s="422"/>
      <c r="W846" s="422"/>
      <c r="X846" s="422"/>
      <c r="Y846" s="422"/>
    </row>
    <row r="847" ht="12.75" customHeight="1">
      <c r="A847" s="422"/>
      <c r="B847" s="422"/>
      <c r="C847" s="422"/>
      <c r="D847" s="422"/>
      <c r="E847" s="431"/>
      <c r="F847" s="422"/>
      <c r="G847" s="422"/>
      <c r="H847" s="422"/>
      <c r="I847" s="422"/>
      <c r="J847" s="422"/>
      <c r="K847" s="422"/>
      <c r="L847" s="422"/>
      <c r="M847" s="422"/>
      <c r="N847" s="912"/>
      <c r="O847" s="422"/>
      <c r="P847" s="422"/>
      <c r="Q847" s="913"/>
      <c r="R847" s="422"/>
      <c r="S847" s="422"/>
      <c r="T847" s="422"/>
      <c r="U847" s="422"/>
      <c r="V847" s="422"/>
      <c r="W847" s="422"/>
      <c r="X847" s="422"/>
      <c r="Y847" s="422"/>
    </row>
    <row r="848" ht="12.75" customHeight="1">
      <c r="A848" s="422"/>
      <c r="B848" s="422"/>
      <c r="C848" s="422"/>
      <c r="D848" s="422"/>
      <c r="E848" s="431"/>
      <c r="F848" s="422"/>
      <c r="G848" s="422"/>
      <c r="H848" s="422"/>
      <c r="I848" s="422"/>
      <c r="J848" s="422"/>
      <c r="K848" s="422"/>
      <c r="L848" s="422"/>
      <c r="M848" s="422"/>
      <c r="N848" s="912"/>
      <c r="O848" s="422"/>
      <c r="P848" s="422"/>
      <c r="Q848" s="913"/>
      <c r="R848" s="422"/>
      <c r="S848" s="422"/>
      <c r="T848" s="422"/>
      <c r="U848" s="422"/>
      <c r="V848" s="422"/>
      <c r="W848" s="422"/>
      <c r="X848" s="422"/>
      <c r="Y848" s="422"/>
    </row>
    <row r="849" ht="12.75" customHeight="1">
      <c r="A849" s="422"/>
      <c r="B849" s="422"/>
      <c r="C849" s="422"/>
      <c r="D849" s="422"/>
      <c r="E849" s="431"/>
      <c r="F849" s="422"/>
      <c r="G849" s="422"/>
      <c r="H849" s="422"/>
      <c r="I849" s="422"/>
      <c r="J849" s="422"/>
      <c r="K849" s="422"/>
      <c r="L849" s="422"/>
      <c r="M849" s="422"/>
      <c r="N849" s="912"/>
      <c r="O849" s="422"/>
      <c r="P849" s="422"/>
      <c r="Q849" s="913"/>
      <c r="R849" s="422"/>
      <c r="S849" s="422"/>
      <c r="T849" s="422"/>
      <c r="U849" s="422"/>
      <c r="V849" s="422"/>
      <c r="W849" s="422"/>
      <c r="X849" s="422"/>
      <c r="Y849" s="422"/>
    </row>
    <row r="850" ht="12.75" customHeight="1">
      <c r="A850" s="422"/>
      <c r="B850" s="422"/>
      <c r="C850" s="422"/>
      <c r="D850" s="422"/>
      <c r="E850" s="431"/>
      <c r="F850" s="422"/>
      <c r="G850" s="422"/>
      <c r="H850" s="422"/>
      <c r="I850" s="422"/>
      <c r="J850" s="422"/>
      <c r="K850" s="422"/>
      <c r="L850" s="422"/>
      <c r="M850" s="422"/>
      <c r="N850" s="912"/>
      <c r="O850" s="422"/>
      <c r="P850" s="422"/>
      <c r="Q850" s="913"/>
      <c r="R850" s="422"/>
      <c r="S850" s="422"/>
      <c r="T850" s="422"/>
      <c r="U850" s="422"/>
      <c r="V850" s="422"/>
      <c r="W850" s="422"/>
      <c r="X850" s="422"/>
      <c r="Y850" s="422"/>
    </row>
    <row r="851" ht="12.75" customHeight="1">
      <c r="A851" s="422"/>
      <c r="B851" s="422"/>
      <c r="C851" s="422"/>
      <c r="D851" s="422"/>
      <c r="E851" s="431"/>
      <c r="F851" s="422"/>
      <c r="G851" s="422"/>
      <c r="H851" s="422"/>
      <c r="I851" s="422"/>
      <c r="J851" s="422"/>
      <c r="K851" s="422"/>
      <c r="L851" s="422"/>
      <c r="M851" s="422"/>
      <c r="N851" s="912"/>
      <c r="O851" s="422"/>
      <c r="P851" s="422"/>
      <c r="Q851" s="913"/>
      <c r="R851" s="422"/>
      <c r="S851" s="422"/>
      <c r="T851" s="422"/>
      <c r="U851" s="422"/>
      <c r="V851" s="422"/>
      <c r="W851" s="422"/>
      <c r="X851" s="422"/>
      <c r="Y851" s="422"/>
    </row>
    <row r="852" ht="12.75" customHeight="1">
      <c r="A852" s="422"/>
      <c r="B852" s="422"/>
      <c r="C852" s="422"/>
      <c r="D852" s="422"/>
      <c r="E852" s="431"/>
      <c r="F852" s="422"/>
      <c r="G852" s="422"/>
      <c r="H852" s="422"/>
      <c r="I852" s="422"/>
      <c r="J852" s="422"/>
      <c r="K852" s="422"/>
      <c r="L852" s="422"/>
      <c r="M852" s="422"/>
      <c r="N852" s="912"/>
      <c r="O852" s="422"/>
      <c r="P852" s="422"/>
      <c r="Q852" s="913"/>
      <c r="R852" s="422"/>
      <c r="S852" s="422"/>
      <c r="T852" s="422"/>
      <c r="U852" s="422"/>
      <c r="V852" s="422"/>
      <c r="W852" s="422"/>
      <c r="X852" s="422"/>
      <c r="Y852" s="422"/>
    </row>
    <row r="853" ht="12.75" customHeight="1">
      <c r="A853" s="422"/>
      <c r="B853" s="422"/>
      <c r="C853" s="422"/>
      <c r="D853" s="422"/>
      <c r="E853" s="431"/>
      <c r="F853" s="422"/>
      <c r="G853" s="422"/>
      <c r="H853" s="422"/>
      <c r="I853" s="422"/>
      <c r="J853" s="422"/>
      <c r="K853" s="422"/>
      <c r="L853" s="422"/>
      <c r="M853" s="422"/>
      <c r="N853" s="912"/>
      <c r="O853" s="422"/>
      <c r="P853" s="422"/>
      <c r="Q853" s="913"/>
      <c r="R853" s="422"/>
      <c r="S853" s="422"/>
      <c r="T853" s="422"/>
      <c r="U853" s="422"/>
      <c r="V853" s="422"/>
      <c r="W853" s="422"/>
      <c r="X853" s="422"/>
      <c r="Y853" s="422"/>
    </row>
    <row r="854" ht="12.75" customHeight="1">
      <c r="A854" s="422"/>
      <c r="B854" s="422"/>
      <c r="C854" s="422"/>
      <c r="D854" s="422"/>
      <c r="E854" s="431"/>
      <c r="F854" s="422"/>
      <c r="G854" s="422"/>
      <c r="H854" s="422"/>
      <c r="I854" s="422"/>
      <c r="J854" s="422"/>
      <c r="K854" s="422"/>
      <c r="L854" s="422"/>
      <c r="M854" s="422"/>
      <c r="N854" s="912"/>
      <c r="O854" s="422"/>
      <c r="P854" s="422"/>
      <c r="Q854" s="913"/>
      <c r="R854" s="422"/>
      <c r="S854" s="422"/>
      <c r="T854" s="422"/>
      <c r="U854" s="422"/>
      <c r="V854" s="422"/>
      <c r="W854" s="422"/>
      <c r="X854" s="422"/>
      <c r="Y854" s="422"/>
    </row>
    <row r="855" ht="12.75" customHeight="1">
      <c r="A855" s="422"/>
      <c r="B855" s="422"/>
      <c r="C855" s="422"/>
      <c r="D855" s="422"/>
      <c r="E855" s="431"/>
      <c r="F855" s="422"/>
      <c r="G855" s="422"/>
      <c r="H855" s="422"/>
      <c r="I855" s="422"/>
      <c r="J855" s="422"/>
      <c r="K855" s="422"/>
      <c r="L855" s="422"/>
      <c r="M855" s="422"/>
      <c r="N855" s="912"/>
      <c r="O855" s="422"/>
      <c r="P855" s="422"/>
      <c r="Q855" s="913"/>
      <c r="R855" s="422"/>
      <c r="S855" s="422"/>
      <c r="T855" s="422"/>
      <c r="U855" s="422"/>
      <c r="V855" s="422"/>
      <c r="W855" s="422"/>
      <c r="X855" s="422"/>
      <c r="Y855" s="422"/>
    </row>
    <row r="856" ht="12.75" customHeight="1">
      <c r="A856" s="422"/>
      <c r="B856" s="422"/>
      <c r="C856" s="422"/>
      <c r="D856" s="422"/>
      <c r="E856" s="431"/>
      <c r="F856" s="422"/>
      <c r="G856" s="422"/>
      <c r="H856" s="422"/>
      <c r="I856" s="422"/>
      <c r="J856" s="422"/>
      <c r="K856" s="422"/>
      <c r="L856" s="422"/>
      <c r="M856" s="422"/>
      <c r="N856" s="912"/>
      <c r="O856" s="422"/>
      <c r="P856" s="422"/>
      <c r="Q856" s="913"/>
      <c r="R856" s="422"/>
      <c r="S856" s="422"/>
      <c r="T856" s="422"/>
      <c r="U856" s="422"/>
      <c r="V856" s="422"/>
      <c r="W856" s="422"/>
      <c r="X856" s="422"/>
      <c r="Y856" s="422"/>
    </row>
    <row r="857" ht="12.75" customHeight="1">
      <c r="A857" s="422"/>
      <c r="B857" s="422"/>
      <c r="C857" s="422"/>
      <c r="D857" s="422"/>
      <c r="E857" s="431"/>
      <c r="F857" s="422"/>
      <c r="G857" s="422"/>
      <c r="H857" s="422"/>
      <c r="I857" s="422"/>
      <c r="J857" s="422"/>
      <c r="K857" s="422"/>
      <c r="L857" s="422"/>
      <c r="M857" s="422"/>
      <c r="N857" s="912"/>
      <c r="O857" s="422"/>
      <c r="P857" s="422"/>
      <c r="Q857" s="913"/>
      <c r="R857" s="422"/>
      <c r="S857" s="422"/>
      <c r="T857" s="422"/>
      <c r="U857" s="422"/>
      <c r="V857" s="422"/>
      <c r="W857" s="422"/>
      <c r="X857" s="422"/>
      <c r="Y857" s="422"/>
    </row>
    <row r="858" ht="12.75" customHeight="1">
      <c r="A858" s="422"/>
      <c r="B858" s="422"/>
      <c r="C858" s="422"/>
      <c r="D858" s="422"/>
      <c r="E858" s="431"/>
      <c r="F858" s="422"/>
      <c r="G858" s="422"/>
      <c r="H858" s="422"/>
      <c r="I858" s="422"/>
      <c r="J858" s="422"/>
      <c r="K858" s="422"/>
      <c r="L858" s="422"/>
      <c r="M858" s="422"/>
      <c r="N858" s="912"/>
      <c r="O858" s="422"/>
      <c r="P858" s="422"/>
      <c r="Q858" s="913"/>
      <c r="R858" s="422"/>
      <c r="S858" s="422"/>
      <c r="T858" s="422"/>
      <c r="U858" s="422"/>
      <c r="V858" s="422"/>
      <c r="W858" s="422"/>
      <c r="X858" s="422"/>
      <c r="Y858" s="422"/>
    </row>
    <row r="859" ht="12.75" customHeight="1">
      <c r="A859" s="422"/>
      <c r="B859" s="422"/>
      <c r="C859" s="422"/>
      <c r="D859" s="422"/>
      <c r="E859" s="431"/>
      <c r="F859" s="422"/>
      <c r="G859" s="422"/>
      <c r="H859" s="422"/>
      <c r="I859" s="422"/>
      <c r="J859" s="422"/>
      <c r="K859" s="422"/>
      <c r="L859" s="422"/>
      <c r="M859" s="422"/>
      <c r="N859" s="912"/>
      <c r="O859" s="422"/>
      <c r="P859" s="422"/>
      <c r="Q859" s="913"/>
      <c r="R859" s="422"/>
      <c r="S859" s="422"/>
      <c r="T859" s="422"/>
      <c r="U859" s="422"/>
      <c r="V859" s="422"/>
      <c r="W859" s="422"/>
      <c r="X859" s="422"/>
      <c r="Y859" s="422"/>
    </row>
    <row r="860" ht="12.75" customHeight="1">
      <c r="A860" s="422"/>
      <c r="B860" s="422"/>
      <c r="C860" s="422"/>
      <c r="D860" s="422"/>
      <c r="E860" s="431"/>
      <c r="F860" s="422"/>
      <c r="G860" s="422"/>
      <c r="H860" s="422"/>
      <c r="I860" s="422"/>
      <c r="J860" s="422"/>
      <c r="K860" s="422"/>
      <c r="L860" s="422"/>
      <c r="M860" s="422"/>
      <c r="N860" s="912"/>
      <c r="O860" s="422"/>
      <c r="P860" s="422"/>
      <c r="Q860" s="913"/>
      <c r="R860" s="422"/>
      <c r="S860" s="422"/>
      <c r="T860" s="422"/>
      <c r="U860" s="422"/>
      <c r="V860" s="422"/>
      <c r="W860" s="422"/>
      <c r="X860" s="422"/>
      <c r="Y860" s="422"/>
    </row>
    <row r="861" ht="12.75" customHeight="1">
      <c r="A861" s="422"/>
      <c r="B861" s="422"/>
      <c r="C861" s="422"/>
      <c r="D861" s="422"/>
      <c r="E861" s="431"/>
      <c r="F861" s="422"/>
      <c r="G861" s="422"/>
      <c r="H861" s="422"/>
      <c r="I861" s="422"/>
      <c r="J861" s="422"/>
      <c r="K861" s="422"/>
      <c r="L861" s="422"/>
      <c r="M861" s="422"/>
      <c r="N861" s="912"/>
      <c r="O861" s="422"/>
      <c r="P861" s="422"/>
      <c r="Q861" s="913"/>
      <c r="R861" s="422"/>
      <c r="S861" s="422"/>
      <c r="T861" s="422"/>
      <c r="U861" s="422"/>
      <c r="V861" s="422"/>
      <c r="W861" s="422"/>
      <c r="X861" s="422"/>
      <c r="Y861" s="422"/>
    </row>
    <row r="862" ht="12.75" customHeight="1">
      <c r="A862" s="422"/>
      <c r="B862" s="422"/>
      <c r="C862" s="422"/>
      <c r="D862" s="422"/>
      <c r="E862" s="431"/>
      <c r="F862" s="422"/>
      <c r="G862" s="422"/>
      <c r="H862" s="422"/>
      <c r="I862" s="422"/>
      <c r="J862" s="422"/>
      <c r="K862" s="422"/>
      <c r="L862" s="422"/>
      <c r="M862" s="422"/>
      <c r="N862" s="912"/>
      <c r="O862" s="422"/>
      <c r="P862" s="422"/>
      <c r="Q862" s="913"/>
      <c r="R862" s="422"/>
      <c r="S862" s="422"/>
      <c r="T862" s="422"/>
      <c r="U862" s="422"/>
      <c r="V862" s="422"/>
      <c r="W862" s="422"/>
      <c r="X862" s="422"/>
      <c r="Y862" s="422"/>
    </row>
    <row r="863" ht="12.75" customHeight="1">
      <c r="A863" s="422"/>
      <c r="B863" s="422"/>
      <c r="C863" s="422"/>
      <c r="D863" s="422"/>
      <c r="E863" s="431"/>
      <c r="F863" s="422"/>
      <c r="G863" s="422"/>
      <c r="H863" s="422"/>
      <c r="I863" s="422"/>
      <c r="J863" s="422"/>
      <c r="K863" s="422"/>
      <c r="L863" s="422"/>
      <c r="M863" s="422"/>
      <c r="N863" s="912"/>
      <c r="O863" s="422"/>
      <c r="P863" s="422"/>
      <c r="Q863" s="913"/>
      <c r="R863" s="422"/>
      <c r="S863" s="422"/>
      <c r="T863" s="422"/>
      <c r="U863" s="422"/>
      <c r="V863" s="422"/>
      <c r="W863" s="422"/>
      <c r="X863" s="422"/>
      <c r="Y863" s="422"/>
    </row>
    <row r="864" ht="12.75" customHeight="1">
      <c r="A864" s="422"/>
      <c r="B864" s="422"/>
      <c r="C864" s="422"/>
      <c r="D864" s="422"/>
      <c r="E864" s="431"/>
      <c r="F864" s="422"/>
      <c r="G864" s="422"/>
      <c r="H864" s="422"/>
      <c r="I864" s="422"/>
      <c r="J864" s="422"/>
      <c r="K864" s="422"/>
      <c r="L864" s="422"/>
      <c r="M864" s="422"/>
      <c r="N864" s="912"/>
      <c r="O864" s="422"/>
      <c r="P864" s="422"/>
      <c r="Q864" s="913"/>
      <c r="R864" s="422"/>
      <c r="S864" s="422"/>
      <c r="T864" s="422"/>
      <c r="U864" s="422"/>
      <c r="V864" s="422"/>
      <c r="W864" s="422"/>
      <c r="X864" s="422"/>
      <c r="Y864" s="422"/>
    </row>
    <row r="865" ht="12.75" customHeight="1">
      <c r="A865" s="422"/>
      <c r="B865" s="422"/>
      <c r="C865" s="422"/>
      <c r="D865" s="422"/>
      <c r="E865" s="431"/>
      <c r="F865" s="422"/>
      <c r="G865" s="422"/>
      <c r="H865" s="422"/>
      <c r="I865" s="422"/>
      <c r="J865" s="422"/>
      <c r="K865" s="422"/>
      <c r="L865" s="422"/>
      <c r="M865" s="422"/>
      <c r="N865" s="912"/>
      <c r="O865" s="422"/>
      <c r="P865" s="422"/>
      <c r="Q865" s="913"/>
      <c r="R865" s="422"/>
      <c r="S865" s="422"/>
      <c r="T865" s="422"/>
      <c r="U865" s="422"/>
      <c r="V865" s="422"/>
      <c r="W865" s="422"/>
      <c r="X865" s="422"/>
      <c r="Y865" s="422"/>
    </row>
    <row r="866" ht="12.75" customHeight="1">
      <c r="A866" s="422"/>
      <c r="B866" s="422"/>
      <c r="C866" s="422"/>
      <c r="D866" s="422"/>
      <c r="E866" s="431"/>
      <c r="F866" s="422"/>
      <c r="G866" s="422"/>
      <c r="H866" s="422"/>
      <c r="I866" s="422"/>
      <c r="J866" s="422"/>
      <c r="K866" s="422"/>
      <c r="L866" s="422"/>
      <c r="M866" s="422"/>
      <c r="N866" s="912"/>
      <c r="O866" s="422"/>
      <c r="P866" s="422"/>
      <c r="Q866" s="913"/>
      <c r="R866" s="422"/>
      <c r="S866" s="422"/>
      <c r="T866" s="422"/>
      <c r="U866" s="422"/>
      <c r="V866" s="422"/>
      <c r="W866" s="422"/>
      <c r="X866" s="422"/>
      <c r="Y866" s="422"/>
    </row>
    <row r="867" ht="12.75" customHeight="1">
      <c r="A867" s="422"/>
      <c r="B867" s="422"/>
      <c r="C867" s="422"/>
      <c r="D867" s="422"/>
      <c r="E867" s="431"/>
      <c r="F867" s="422"/>
      <c r="G867" s="422"/>
      <c r="H867" s="422"/>
      <c r="I867" s="422"/>
      <c r="J867" s="422"/>
      <c r="K867" s="422"/>
      <c r="L867" s="422"/>
      <c r="M867" s="422"/>
      <c r="N867" s="912"/>
      <c r="O867" s="422"/>
      <c r="P867" s="422"/>
      <c r="Q867" s="913"/>
      <c r="R867" s="422"/>
      <c r="S867" s="422"/>
      <c r="T867" s="422"/>
      <c r="U867" s="422"/>
      <c r="V867" s="422"/>
      <c r="W867" s="422"/>
      <c r="X867" s="422"/>
      <c r="Y867" s="422"/>
    </row>
    <row r="868" ht="12.75" customHeight="1">
      <c r="A868" s="422"/>
      <c r="B868" s="422"/>
      <c r="C868" s="422"/>
      <c r="D868" s="422"/>
      <c r="E868" s="431"/>
      <c r="F868" s="422"/>
      <c r="G868" s="422"/>
      <c r="H868" s="422"/>
      <c r="I868" s="422"/>
      <c r="J868" s="422"/>
      <c r="K868" s="422"/>
      <c r="L868" s="422"/>
      <c r="M868" s="422"/>
      <c r="N868" s="912"/>
      <c r="O868" s="422"/>
      <c r="P868" s="422"/>
      <c r="Q868" s="913"/>
      <c r="R868" s="422"/>
      <c r="S868" s="422"/>
      <c r="T868" s="422"/>
      <c r="U868" s="422"/>
      <c r="V868" s="422"/>
      <c r="W868" s="422"/>
      <c r="X868" s="422"/>
      <c r="Y868" s="422"/>
    </row>
    <row r="869" ht="12.75" customHeight="1">
      <c r="A869" s="422"/>
      <c r="B869" s="422"/>
      <c r="C869" s="422"/>
      <c r="D869" s="422"/>
      <c r="E869" s="431"/>
      <c r="F869" s="422"/>
      <c r="G869" s="422"/>
      <c r="H869" s="422"/>
      <c r="I869" s="422"/>
      <c r="J869" s="422"/>
      <c r="K869" s="422"/>
      <c r="L869" s="422"/>
      <c r="M869" s="422"/>
      <c r="N869" s="912"/>
      <c r="O869" s="422"/>
      <c r="P869" s="422"/>
      <c r="Q869" s="913"/>
      <c r="R869" s="422"/>
      <c r="S869" s="422"/>
      <c r="T869" s="422"/>
      <c r="U869" s="422"/>
      <c r="V869" s="422"/>
      <c r="W869" s="422"/>
      <c r="X869" s="422"/>
      <c r="Y869" s="422"/>
    </row>
    <row r="870" ht="12.75" customHeight="1">
      <c r="A870" s="422"/>
      <c r="B870" s="422"/>
      <c r="C870" s="422"/>
      <c r="D870" s="422"/>
      <c r="E870" s="431"/>
      <c r="F870" s="422"/>
      <c r="G870" s="422"/>
      <c r="H870" s="422"/>
      <c r="I870" s="422"/>
      <c r="J870" s="422"/>
      <c r="K870" s="422"/>
      <c r="L870" s="422"/>
      <c r="M870" s="422"/>
      <c r="N870" s="912"/>
      <c r="O870" s="422"/>
      <c r="P870" s="422"/>
      <c r="Q870" s="913"/>
      <c r="R870" s="422"/>
      <c r="S870" s="422"/>
      <c r="T870" s="422"/>
      <c r="U870" s="422"/>
      <c r="V870" s="422"/>
      <c r="W870" s="422"/>
      <c r="X870" s="422"/>
      <c r="Y870" s="422"/>
    </row>
    <row r="871" ht="12.75" customHeight="1">
      <c r="A871" s="422"/>
      <c r="B871" s="422"/>
      <c r="C871" s="422"/>
      <c r="D871" s="422"/>
      <c r="E871" s="431"/>
      <c r="F871" s="422"/>
      <c r="G871" s="422"/>
      <c r="H871" s="422"/>
      <c r="I871" s="422"/>
      <c r="J871" s="422"/>
      <c r="K871" s="422"/>
      <c r="L871" s="422"/>
      <c r="M871" s="422"/>
      <c r="N871" s="912"/>
      <c r="O871" s="422"/>
      <c r="P871" s="422"/>
      <c r="Q871" s="913"/>
      <c r="R871" s="422"/>
      <c r="S871" s="422"/>
      <c r="T871" s="422"/>
      <c r="U871" s="422"/>
      <c r="V871" s="422"/>
      <c r="W871" s="422"/>
      <c r="X871" s="422"/>
      <c r="Y871" s="422"/>
    </row>
    <row r="872" ht="12.75" customHeight="1">
      <c r="A872" s="422"/>
      <c r="B872" s="422"/>
      <c r="C872" s="422"/>
      <c r="D872" s="422"/>
      <c r="E872" s="431"/>
      <c r="F872" s="422"/>
      <c r="G872" s="422"/>
      <c r="H872" s="422"/>
      <c r="I872" s="422"/>
      <c r="J872" s="422"/>
      <c r="K872" s="422"/>
      <c r="L872" s="422"/>
      <c r="M872" s="422"/>
      <c r="N872" s="912"/>
      <c r="O872" s="422"/>
      <c r="P872" s="422"/>
      <c r="Q872" s="913"/>
      <c r="R872" s="422"/>
      <c r="S872" s="422"/>
      <c r="T872" s="422"/>
      <c r="U872" s="422"/>
      <c r="V872" s="422"/>
      <c r="W872" s="422"/>
      <c r="X872" s="422"/>
      <c r="Y872" s="422"/>
    </row>
    <row r="873" ht="12.75" customHeight="1">
      <c r="A873" s="422"/>
      <c r="B873" s="422"/>
      <c r="C873" s="422"/>
      <c r="D873" s="422"/>
      <c r="E873" s="431"/>
      <c r="F873" s="422"/>
      <c r="G873" s="422"/>
      <c r="H873" s="422"/>
      <c r="I873" s="422"/>
      <c r="J873" s="422"/>
      <c r="K873" s="422"/>
      <c r="L873" s="422"/>
      <c r="M873" s="422"/>
      <c r="N873" s="912"/>
      <c r="O873" s="422"/>
      <c r="P873" s="422"/>
      <c r="Q873" s="913"/>
      <c r="R873" s="422"/>
      <c r="S873" s="422"/>
      <c r="T873" s="422"/>
      <c r="U873" s="422"/>
      <c r="V873" s="422"/>
      <c r="W873" s="422"/>
      <c r="X873" s="422"/>
      <c r="Y873" s="422"/>
    </row>
    <row r="874" ht="12.75" customHeight="1">
      <c r="A874" s="422"/>
      <c r="B874" s="422"/>
      <c r="C874" s="422"/>
      <c r="D874" s="422"/>
      <c r="E874" s="431"/>
      <c r="F874" s="422"/>
      <c r="G874" s="422"/>
      <c r="H874" s="422"/>
      <c r="I874" s="422"/>
      <c r="J874" s="422"/>
      <c r="K874" s="422"/>
      <c r="L874" s="422"/>
      <c r="M874" s="422"/>
      <c r="N874" s="912"/>
      <c r="O874" s="422"/>
      <c r="P874" s="422"/>
      <c r="Q874" s="913"/>
      <c r="R874" s="422"/>
      <c r="S874" s="422"/>
      <c r="T874" s="422"/>
      <c r="U874" s="422"/>
      <c r="V874" s="422"/>
      <c r="W874" s="422"/>
      <c r="X874" s="422"/>
      <c r="Y874" s="422"/>
    </row>
    <row r="875" ht="12.75" customHeight="1">
      <c r="A875" s="422"/>
      <c r="B875" s="422"/>
      <c r="C875" s="422"/>
      <c r="D875" s="422"/>
      <c r="E875" s="431"/>
      <c r="F875" s="422"/>
      <c r="G875" s="422"/>
      <c r="H875" s="422"/>
      <c r="I875" s="422"/>
      <c r="J875" s="422"/>
      <c r="K875" s="422"/>
      <c r="L875" s="422"/>
      <c r="M875" s="422"/>
      <c r="N875" s="912"/>
      <c r="O875" s="422"/>
      <c r="P875" s="422"/>
      <c r="Q875" s="913"/>
      <c r="R875" s="422"/>
      <c r="S875" s="422"/>
      <c r="T875" s="422"/>
      <c r="U875" s="422"/>
      <c r="V875" s="422"/>
      <c r="W875" s="422"/>
      <c r="X875" s="422"/>
      <c r="Y875" s="422"/>
    </row>
    <row r="876" ht="12.75" customHeight="1">
      <c r="A876" s="422"/>
      <c r="B876" s="422"/>
      <c r="C876" s="422"/>
      <c r="D876" s="422"/>
      <c r="E876" s="431"/>
      <c r="F876" s="422"/>
      <c r="G876" s="422"/>
      <c r="H876" s="422"/>
      <c r="I876" s="422"/>
      <c r="J876" s="422"/>
      <c r="K876" s="422"/>
      <c r="L876" s="422"/>
      <c r="M876" s="422"/>
      <c r="N876" s="912"/>
      <c r="O876" s="422"/>
      <c r="P876" s="422"/>
      <c r="Q876" s="913"/>
      <c r="R876" s="422"/>
      <c r="S876" s="422"/>
      <c r="T876" s="422"/>
      <c r="U876" s="422"/>
      <c r="V876" s="422"/>
      <c r="W876" s="422"/>
      <c r="X876" s="422"/>
      <c r="Y876" s="422"/>
    </row>
    <row r="877" ht="12.75" customHeight="1">
      <c r="A877" s="422"/>
      <c r="B877" s="422"/>
      <c r="C877" s="422"/>
      <c r="D877" s="422"/>
      <c r="E877" s="431"/>
      <c r="F877" s="422"/>
      <c r="G877" s="422"/>
      <c r="H877" s="422"/>
      <c r="I877" s="422"/>
      <c r="J877" s="422"/>
      <c r="K877" s="422"/>
      <c r="L877" s="422"/>
      <c r="M877" s="422"/>
      <c r="N877" s="912"/>
      <c r="O877" s="422"/>
      <c r="P877" s="422"/>
      <c r="Q877" s="913"/>
      <c r="R877" s="422"/>
      <c r="S877" s="422"/>
      <c r="T877" s="422"/>
      <c r="U877" s="422"/>
      <c r="V877" s="422"/>
      <c r="W877" s="422"/>
      <c r="X877" s="422"/>
      <c r="Y877" s="422"/>
    </row>
    <row r="878" ht="12.75" customHeight="1">
      <c r="A878" s="422"/>
      <c r="B878" s="422"/>
      <c r="C878" s="422"/>
      <c r="D878" s="422"/>
      <c r="E878" s="431"/>
      <c r="F878" s="422"/>
      <c r="G878" s="422"/>
      <c r="H878" s="422"/>
      <c r="I878" s="422"/>
      <c r="J878" s="422"/>
      <c r="K878" s="422"/>
      <c r="L878" s="422"/>
      <c r="M878" s="422"/>
      <c r="N878" s="912"/>
      <c r="O878" s="422"/>
      <c r="P878" s="422"/>
      <c r="Q878" s="913"/>
      <c r="R878" s="422"/>
      <c r="S878" s="422"/>
      <c r="T878" s="422"/>
      <c r="U878" s="422"/>
      <c r="V878" s="422"/>
      <c r="W878" s="422"/>
      <c r="X878" s="422"/>
      <c r="Y878" s="422"/>
    </row>
    <row r="879" ht="12.75" customHeight="1">
      <c r="A879" s="422"/>
      <c r="B879" s="422"/>
      <c r="C879" s="422"/>
      <c r="D879" s="422"/>
      <c r="E879" s="431"/>
      <c r="F879" s="422"/>
      <c r="G879" s="422"/>
      <c r="H879" s="422"/>
      <c r="I879" s="422"/>
      <c r="J879" s="422"/>
      <c r="K879" s="422"/>
      <c r="L879" s="422"/>
      <c r="M879" s="422"/>
      <c r="N879" s="912"/>
      <c r="O879" s="422"/>
      <c r="P879" s="422"/>
      <c r="Q879" s="913"/>
      <c r="R879" s="422"/>
      <c r="S879" s="422"/>
      <c r="T879" s="422"/>
      <c r="U879" s="422"/>
      <c r="V879" s="422"/>
      <c r="W879" s="422"/>
      <c r="X879" s="422"/>
      <c r="Y879" s="422"/>
    </row>
    <row r="880" ht="12.75" customHeight="1">
      <c r="A880" s="422"/>
      <c r="B880" s="422"/>
      <c r="C880" s="422"/>
      <c r="D880" s="422"/>
      <c r="E880" s="431"/>
      <c r="F880" s="422"/>
      <c r="G880" s="422"/>
      <c r="H880" s="422"/>
      <c r="I880" s="422"/>
      <c r="J880" s="422"/>
      <c r="K880" s="422"/>
      <c r="L880" s="422"/>
      <c r="M880" s="422"/>
      <c r="N880" s="912"/>
      <c r="O880" s="422"/>
      <c r="P880" s="422"/>
      <c r="Q880" s="913"/>
      <c r="R880" s="422"/>
      <c r="S880" s="422"/>
      <c r="T880" s="422"/>
      <c r="U880" s="422"/>
      <c r="V880" s="422"/>
      <c r="W880" s="422"/>
      <c r="X880" s="422"/>
      <c r="Y880" s="422"/>
    </row>
    <row r="881" ht="12.75" customHeight="1">
      <c r="A881" s="422"/>
      <c r="B881" s="422"/>
      <c r="C881" s="422"/>
      <c r="D881" s="422"/>
      <c r="E881" s="431"/>
      <c r="F881" s="422"/>
      <c r="G881" s="422"/>
      <c r="H881" s="422"/>
      <c r="I881" s="422"/>
      <c r="J881" s="422"/>
      <c r="K881" s="422"/>
      <c r="L881" s="422"/>
      <c r="M881" s="422"/>
      <c r="N881" s="912"/>
      <c r="O881" s="422"/>
      <c r="P881" s="422"/>
      <c r="Q881" s="913"/>
      <c r="R881" s="422"/>
      <c r="S881" s="422"/>
      <c r="T881" s="422"/>
      <c r="U881" s="422"/>
      <c r="V881" s="422"/>
      <c r="W881" s="422"/>
      <c r="X881" s="422"/>
      <c r="Y881" s="422"/>
    </row>
    <row r="882" ht="12.75" customHeight="1">
      <c r="A882" s="422"/>
      <c r="B882" s="422"/>
      <c r="C882" s="422"/>
      <c r="D882" s="422"/>
      <c r="E882" s="431"/>
      <c r="F882" s="422"/>
      <c r="G882" s="422"/>
      <c r="H882" s="422"/>
      <c r="I882" s="422"/>
      <c r="J882" s="422"/>
      <c r="K882" s="422"/>
      <c r="L882" s="422"/>
      <c r="M882" s="422"/>
      <c r="N882" s="912"/>
      <c r="O882" s="422"/>
      <c r="P882" s="422"/>
      <c r="Q882" s="913"/>
      <c r="R882" s="422"/>
      <c r="S882" s="422"/>
      <c r="T882" s="422"/>
      <c r="U882" s="422"/>
      <c r="V882" s="422"/>
      <c r="W882" s="422"/>
      <c r="X882" s="422"/>
      <c r="Y882" s="422"/>
    </row>
    <row r="883" ht="12.75" customHeight="1">
      <c r="A883" s="422"/>
      <c r="B883" s="422"/>
      <c r="C883" s="422"/>
      <c r="D883" s="422"/>
      <c r="E883" s="431"/>
      <c r="F883" s="422"/>
      <c r="G883" s="422"/>
      <c r="H883" s="422"/>
      <c r="I883" s="422"/>
      <c r="J883" s="422"/>
      <c r="K883" s="422"/>
      <c r="L883" s="422"/>
      <c r="M883" s="422"/>
      <c r="N883" s="912"/>
      <c r="O883" s="422"/>
      <c r="P883" s="422"/>
      <c r="Q883" s="913"/>
      <c r="R883" s="422"/>
      <c r="S883" s="422"/>
      <c r="T883" s="422"/>
      <c r="U883" s="422"/>
      <c r="V883" s="422"/>
      <c r="W883" s="422"/>
      <c r="X883" s="422"/>
      <c r="Y883" s="422"/>
    </row>
    <row r="884" ht="12.75" customHeight="1">
      <c r="A884" s="422"/>
      <c r="B884" s="422"/>
      <c r="C884" s="422"/>
      <c r="D884" s="422"/>
      <c r="E884" s="431"/>
      <c r="F884" s="422"/>
      <c r="G884" s="422"/>
      <c r="H884" s="422"/>
      <c r="I884" s="422"/>
      <c r="J884" s="422"/>
      <c r="K884" s="422"/>
      <c r="L884" s="422"/>
      <c r="M884" s="422"/>
      <c r="N884" s="912"/>
      <c r="O884" s="422"/>
      <c r="P884" s="422"/>
      <c r="Q884" s="913"/>
      <c r="R884" s="422"/>
      <c r="S884" s="422"/>
      <c r="T884" s="422"/>
      <c r="U884" s="422"/>
      <c r="V884" s="422"/>
      <c r="W884" s="422"/>
      <c r="X884" s="422"/>
      <c r="Y884" s="422"/>
    </row>
    <row r="885" ht="12.75" customHeight="1">
      <c r="A885" s="422"/>
      <c r="B885" s="422"/>
      <c r="C885" s="422"/>
      <c r="D885" s="422"/>
      <c r="E885" s="431"/>
      <c r="F885" s="422"/>
      <c r="G885" s="422"/>
      <c r="H885" s="422"/>
      <c r="I885" s="422"/>
      <c r="J885" s="422"/>
      <c r="K885" s="422"/>
      <c r="L885" s="422"/>
      <c r="M885" s="422"/>
      <c r="N885" s="912"/>
      <c r="O885" s="422"/>
      <c r="P885" s="422"/>
      <c r="Q885" s="913"/>
      <c r="R885" s="422"/>
      <c r="S885" s="422"/>
      <c r="T885" s="422"/>
      <c r="U885" s="422"/>
      <c r="V885" s="422"/>
      <c r="W885" s="422"/>
      <c r="X885" s="422"/>
      <c r="Y885" s="422"/>
    </row>
    <row r="886" ht="12.75" customHeight="1">
      <c r="A886" s="422"/>
      <c r="B886" s="422"/>
      <c r="C886" s="422"/>
      <c r="D886" s="422"/>
      <c r="E886" s="431"/>
      <c r="F886" s="422"/>
      <c r="G886" s="422"/>
      <c r="H886" s="422"/>
      <c r="I886" s="422"/>
      <c r="J886" s="422"/>
      <c r="K886" s="422"/>
      <c r="L886" s="422"/>
      <c r="M886" s="422"/>
      <c r="N886" s="912"/>
      <c r="O886" s="422"/>
      <c r="P886" s="422"/>
      <c r="Q886" s="913"/>
      <c r="R886" s="422"/>
      <c r="S886" s="422"/>
      <c r="T886" s="422"/>
      <c r="U886" s="422"/>
      <c r="V886" s="422"/>
      <c r="W886" s="422"/>
      <c r="X886" s="422"/>
      <c r="Y886" s="422"/>
    </row>
    <row r="887" ht="12.75" customHeight="1">
      <c r="A887" s="422"/>
      <c r="B887" s="422"/>
      <c r="C887" s="422"/>
      <c r="D887" s="422"/>
      <c r="E887" s="431"/>
      <c r="F887" s="422"/>
      <c r="G887" s="422"/>
      <c r="H887" s="422"/>
      <c r="I887" s="422"/>
      <c r="J887" s="422"/>
      <c r="K887" s="422"/>
      <c r="L887" s="422"/>
      <c r="M887" s="422"/>
      <c r="N887" s="912"/>
      <c r="O887" s="422"/>
      <c r="P887" s="422"/>
      <c r="Q887" s="913"/>
      <c r="R887" s="422"/>
      <c r="S887" s="422"/>
      <c r="T887" s="422"/>
      <c r="U887" s="422"/>
      <c r="V887" s="422"/>
      <c r="W887" s="422"/>
      <c r="X887" s="422"/>
      <c r="Y887" s="422"/>
    </row>
    <row r="888" ht="12.75" customHeight="1">
      <c r="A888" s="422"/>
      <c r="B888" s="422"/>
      <c r="C888" s="422"/>
      <c r="D888" s="422"/>
      <c r="E888" s="431"/>
      <c r="F888" s="422"/>
      <c r="G888" s="422"/>
      <c r="H888" s="422"/>
      <c r="I888" s="422"/>
      <c r="J888" s="422"/>
      <c r="K888" s="422"/>
      <c r="L888" s="422"/>
      <c r="M888" s="422"/>
      <c r="N888" s="912"/>
      <c r="O888" s="422"/>
      <c r="P888" s="422"/>
      <c r="Q888" s="913"/>
      <c r="R888" s="422"/>
      <c r="S888" s="422"/>
      <c r="T888" s="422"/>
      <c r="U888" s="422"/>
      <c r="V888" s="422"/>
      <c r="W888" s="422"/>
      <c r="X888" s="422"/>
      <c r="Y888" s="422"/>
    </row>
    <row r="889" ht="12.75" customHeight="1">
      <c r="A889" s="422"/>
      <c r="B889" s="422"/>
      <c r="C889" s="422"/>
      <c r="D889" s="422"/>
      <c r="E889" s="431"/>
      <c r="F889" s="422"/>
      <c r="G889" s="422"/>
      <c r="H889" s="422"/>
      <c r="I889" s="422"/>
      <c r="J889" s="422"/>
      <c r="K889" s="422"/>
      <c r="L889" s="422"/>
      <c r="M889" s="422"/>
      <c r="N889" s="912"/>
      <c r="O889" s="422"/>
      <c r="P889" s="422"/>
      <c r="Q889" s="913"/>
      <c r="R889" s="422"/>
      <c r="S889" s="422"/>
      <c r="T889" s="422"/>
      <c r="U889" s="422"/>
      <c r="V889" s="422"/>
      <c r="W889" s="422"/>
      <c r="X889" s="422"/>
      <c r="Y889" s="422"/>
    </row>
    <row r="890" ht="12.75" customHeight="1">
      <c r="A890" s="422"/>
      <c r="B890" s="422"/>
      <c r="C890" s="422"/>
      <c r="D890" s="422"/>
      <c r="E890" s="431"/>
      <c r="F890" s="422"/>
      <c r="G890" s="422"/>
      <c r="H890" s="422"/>
      <c r="I890" s="422"/>
      <c r="J890" s="422"/>
      <c r="K890" s="422"/>
      <c r="L890" s="422"/>
      <c r="M890" s="422"/>
      <c r="N890" s="912"/>
      <c r="O890" s="422"/>
      <c r="P890" s="422"/>
      <c r="Q890" s="913"/>
      <c r="R890" s="422"/>
      <c r="S890" s="422"/>
      <c r="T890" s="422"/>
      <c r="U890" s="422"/>
      <c r="V890" s="422"/>
      <c r="W890" s="422"/>
      <c r="X890" s="422"/>
      <c r="Y890" s="422"/>
    </row>
    <row r="891" ht="12.75" customHeight="1">
      <c r="A891" s="422"/>
      <c r="B891" s="422"/>
      <c r="C891" s="422"/>
      <c r="D891" s="422"/>
      <c r="E891" s="431"/>
      <c r="F891" s="422"/>
      <c r="G891" s="422"/>
      <c r="H891" s="422"/>
      <c r="I891" s="422"/>
      <c r="J891" s="422"/>
      <c r="K891" s="422"/>
      <c r="L891" s="422"/>
      <c r="M891" s="422"/>
      <c r="N891" s="912"/>
      <c r="O891" s="422"/>
      <c r="P891" s="422"/>
      <c r="Q891" s="913"/>
      <c r="R891" s="422"/>
      <c r="S891" s="422"/>
      <c r="T891" s="422"/>
      <c r="U891" s="422"/>
      <c r="V891" s="422"/>
      <c r="W891" s="422"/>
      <c r="X891" s="422"/>
      <c r="Y891" s="422"/>
    </row>
    <row r="892" ht="12.75" customHeight="1">
      <c r="A892" s="422"/>
      <c r="B892" s="422"/>
      <c r="C892" s="422"/>
      <c r="D892" s="422"/>
      <c r="E892" s="431"/>
      <c r="F892" s="422"/>
      <c r="G892" s="422"/>
      <c r="H892" s="422"/>
      <c r="I892" s="422"/>
      <c r="J892" s="422"/>
      <c r="K892" s="422"/>
      <c r="L892" s="422"/>
      <c r="M892" s="422"/>
      <c r="N892" s="912"/>
      <c r="O892" s="422"/>
      <c r="P892" s="422"/>
      <c r="Q892" s="913"/>
      <c r="R892" s="422"/>
      <c r="S892" s="422"/>
      <c r="T892" s="422"/>
      <c r="U892" s="422"/>
      <c r="V892" s="422"/>
      <c r="W892" s="422"/>
      <c r="X892" s="422"/>
      <c r="Y892" s="422"/>
    </row>
    <row r="893" ht="12.75" customHeight="1">
      <c r="A893" s="422"/>
      <c r="B893" s="422"/>
      <c r="C893" s="422"/>
      <c r="D893" s="422"/>
      <c r="E893" s="431"/>
      <c r="F893" s="422"/>
      <c r="G893" s="422"/>
      <c r="H893" s="422"/>
      <c r="I893" s="422"/>
      <c r="J893" s="422"/>
      <c r="K893" s="422"/>
      <c r="L893" s="422"/>
      <c r="M893" s="422"/>
      <c r="N893" s="912"/>
      <c r="O893" s="422"/>
      <c r="P893" s="422"/>
      <c r="Q893" s="913"/>
      <c r="R893" s="422"/>
      <c r="S893" s="422"/>
      <c r="T893" s="422"/>
      <c r="U893" s="422"/>
      <c r="V893" s="422"/>
      <c r="W893" s="422"/>
      <c r="X893" s="422"/>
      <c r="Y893" s="422"/>
    </row>
    <row r="894" ht="12.75" customHeight="1">
      <c r="A894" s="422"/>
      <c r="B894" s="422"/>
      <c r="C894" s="422"/>
      <c r="D894" s="422"/>
      <c r="E894" s="431"/>
      <c r="F894" s="422"/>
      <c r="G894" s="422"/>
      <c r="H894" s="422"/>
      <c r="I894" s="422"/>
      <c r="J894" s="422"/>
      <c r="K894" s="422"/>
      <c r="L894" s="422"/>
      <c r="M894" s="422"/>
      <c r="N894" s="912"/>
      <c r="O894" s="422"/>
      <c r="P894" s="422"/>
      <c r="Q894" s="913"/>
      <c r="R894" s="422"/>
      <c r="S894" s="422"/>
      <c r="T894" s="422"/>
      <c r="U894" s="422"/>
      <c r="V894" s="422"/>
      <c r="W894" s="422"/>
      <c r="X894" s="422"/>
      <c r="Y894" s="422"/>
    </row>
    <row r="895" ht="12.75" customHeight="1">
      <c r="A895" s="422"/>
      <c r="B895" s="422"/>
      <c r="C895" s="422"/>
      <c r="D895" s="422"/>
      <c r="E895" s="431"/>
      <c r="F895" s="422"/>
      <c r="G895" s="422"/>
      <c r="H895" s="422"/>
      <c r="I895" s="422"/>
      <c r="J895" s="422"/>
      <c r="K895" s="422"/>
      <c r="L895" s="422"/>
      <c r="M895" s="422"/>
      <c r="N895" s="912"/>
      <c r="O895" s="422"/>
      <c r="P895" s="422"/>
      <c r="Q895" s="913"/>
      <c r="R895" s="422"/>
      <c r="S895" s="422"/>
      <c r="T895" s="422"/>
      <c r="U895" s="422"/>
      <c r="V895" s="422"/>
      <c r="W895" s="422"/>
      <c r="X895" s="422"/>
      <c r="Y895" s="422"/>
    </row>
    <row r="896" ht="12.75" customHeight="1">
      <c r="A896" s="422"/>
      <c r="B896" s="422"/>
      <c r="C896" s="422"/>
      <c r="D896" s="422"/>
      <c r="E896" s="431"/>
      <c r="F896" s="422"/>
      <c r="G896" s="422"/>
      <c r="H896" s="422"/>
      <c r="I896" s="422"/>
      <c r="J896" s="422"/>
      <c r="K896" s="422"/>
      <c r="L896" s="422"/>
      <c r="M896" s="422"/>
      <c r="N896" s="912"/>
      <c r="O896" s="422"/>
      <c r="P896" s="422"/>
      <c r="Q896" s="913"/>
      <c r="R896" s="422"/>
      <c r="S896" s="422"/>
      <c r="T896" s="422"/>
      <c r="U896" s="422"/>
      <c r="V896" s="422"/>
      <c r="W896" s="422"/>
      <c r="X896" s="422"/>
      <c r="Y896" s="422"/>
    </row>
    <row r="897" ht="12.75" customHeight="1">
      <c r="A897" s="422"/>
      <c r="B897" s="422"/>
      <c r="C897" s="422"/>
      <c r="D897" s="422"/>
      <c r="E897" s="431"/>
      <c r="F897" s="422"/>
      <c r="G897" s="422"/>
      <c r="H897" s="422"/>
      <c r="I897" s="422"/>
      <c r="J897" s="422"/>
      <c r="K897" s="422"/>
      <c r="L897" s="422"/>
      <c r="M897" s="422"/>
      <c r="N897" s="912"/>
      <c r="O897" s="422"/>
      <c r="P897" s="422"/>
      <c r="Q897" s="913"/>
      <c r="R897" s="422"/>
      <c r="S897" s="422"/>
      <c r="T897" s="422"/>
      <c r="U897" s="422"/>
      <c r="V897" s="422"/>
      <c r="W897" s="422"/>
      <c r="X897" s="422"/>
      <c r="Y897" s="422"/>
    </row>
    <row r="898" ht="12.75" customHeight="1">
      <c r="A898" s="422"/>
      <c r="B898" s="422"/>
      <c r="C898" s="422"/>
      <c r="D898" s="422"/>
      <c r="E898" s="431"/>
      <c r="F898" s="422"/>
      <c r="G898" s="422"/>
      <c r="H898" s="422"/>
      <c r="I898" s="422"/>
      <c r="J898" s="422"/>
      <c r="K898" s="422"/>
      <c r="L898" s="422"/>
      <c r="M898" s="422"/>
      <c r="N898" s="912"/>
      <c r="O898" s="422"/>
      <c r="P898" s="422"/>
      <c r="Q898" s="913"/>
      <c r="R898" s="422"/>
      <c r="S898" s="422"/>
      <c r="T898" s="422"/>
      <c r="U898" s="422"/>
      <c r="V898" s="422"/>
      <c r="W898" s="422"/>
      <c r="X898" s="422"/>
      <c r="Y898" s="422"/>
    </row>
    <row r="899" ht="12.75" customHeight="1">
      <c r="A899" s="422"/>
      <c r="B899" s="422"/>
      <c r="C899" s="422"/>
      <c r="D899" s="422"/>
      <c r="E899" s="431"/>
      <c r="F899" s="422"/>
      <c r="G899" s="422"/>
      <c r="H899" s="422"/>
      <c r="I899" s="422"/>
      <c r="J899" s="422"/>
      <c r="K899" s="422"/>
      <c r="L899" s="422"/>
      <c r="M899" s="422"/>
      <c r="N899" s="912"/>
      <c r="O899" s="422"/>
      <c r="P899" s="422"/>
      <c r="Q899" s="913"/>
      <c r="R899" s="422"/>
      <c r="S899" s="422"/>
      <c r="T899" s="422"/>
      <c r="U899" s="422"/>
      <c r="V899" s="422"/>
      <c r="W899" s="422"/>
      <c r="X899" s="422"/>
      <c r="Y899" s="422"/>
    </row>
    <row r="900" ht="12.75" customHeight="1">
      <c r="A900" s="422"/>
      <c r="B900" s="422"/>
      <c r="C900" s="422"/>
      <c r="D900" s="422"/>
      <c r="E900" s="431"/>
      <c r="F900" s="422"/>
      <c r="G900" s="422"/>
      <c r="H900" s="422"/>
      <c r="I900" s="422"/>
      <c r="J900" s="422"/>
      <c r="K900" s="422"/>
      <c r="L900" s="422"/>
      <c r="M900" s="422"/>
      <c r="N900" s="912"/>
      <c r="O900" s="422"/>
      <c r="P900" s="422"/>
      <c r="Q900" s="913"/>
      <c r="R900" s="422"/>
      <c r="S900" s="422"/>
      <c r="T900" s="422"/>
      <c r="U900" s="422"/>
      <c r="V900" s="422"/>
      <c r="W900" s="422"/>
      <c r="X900" s="422"/>
      <c r="Y900" s="422"/>
    </row>
    <row r="901" ht="12.75" customHeight="1">
      <c r="A901" s="422"/>
      <c r="B901" s="422"/>
      <c r="C901" s="422"/>
      <c r="D901" s="422"/>
      <c r="E901" s="431"/>
      <c r="F901" s="422"/>
      <c r="G901" s="422"/>
      <c r="H901" s="422"/>
      <c r="I901" s="422"/>
      <c r="J901" s="422"/>
      <c r="K901" s="422"/>
      <c r="L901" s="422"/>
      <c r="M901" s="422"/>
      <c r="N901" s="912"/>
      <c r="O901" s="422"/>
      <c r="P901" s="422"/>
      <c r="Q901" s="913"/>
      <c r="R901" s="422"/>
      <c r="S901" s="422"/>
      <c r="T901" s="422"/>
      <c r="U901" s="422"/>
      <c r="V901" s="422"/>
      <c r="W901" s="422"/>
      <c r="X901" s="422"/>
      <c r="Y901" s="422"/>
    </row>
    <row r="902" ht="12.75" customHeight="1">
      <c r="A902" s="422"/>
      <c r="B902" s="422"/>
      <c r="C902" s="422"/>
      <c r="D902" s="422"/>
      <c r="E902" s="431"/>
      <c r="F902" s="422"/>
      <c r="G902" s="422"/>
      <c r="H902" s="422"/>
      <c r="I902" s="422"/>
      <c r="J902" s="422"/>
      <c r="K902" s="422"/>
      <c r="L902" s="422"/>
      <c r="M902" s="422"/>
      <c r="N902" s="912"/>
      <c r="O902" s="422"/>
      <c r="P902" s="422"/>
      <c r="Q902" s="913"/>
      <c r="R902" s="422"/>
      <c r="S902" s="422"/>
      <c r="T902" s="422"/>
      <c r="U902" s="422"/>
      <c r="V902" s="422"/>
      <c r="W902" s="422"/>
      <c r="X902" s="422"/>
      <c r="Y902" s="422"/>
    </row>
    <row r="903" ht="12.75" customHeight="1">
      <c r="A903" s="422"/>
      <c r="B903" s="422"/>
      <c r="C903" s="422"/>
      <c r="D903" s="422"/>
      <c r="E903" s="431"/>
      <c r="F903" s="422"/>
      <c r="G903" s="422"/>
      <c r="H903" s="422"/>
      <c r="I903" s="422"/>
      <c r="J903" s="422"/>
      <c r="K903" s="422"/>
      <c r="L903" s="422"/>
      <c r="M903" s="422"/>
      <c r="N903" s="912"/>
      <c r="O903" s="422"/>
      <c r="P903" s="422"/>
      <c r="Q903" s="913"/>
      <c r="R903" s="422"/>
      <c r="S903" s="422"/>
      <c r="T903" s="422"/>
      <c r="U903" s="422"/>
      <c r="V903" s="422"/>
      <c r="W903" s="422"/>
      <c r="X903" s="422"/>
      <c r="Y903" s="422"/>
    </row>
    <row r="904" ht="12.75" customHeight="1">
      <c r="A904" s="422"/>
      <c r="B904" s="422"/>
      <c r="C904" s="422"/>
      <c r="D904" s="422"/>
      <c r="E904" s="431"/>
      <c r="F904" s="422"/>
      <c r="G904" s="422"/>
      <c r="H904" s="422"/>
      <c r="I904" s="422"/>
      <c r="J904" s="422"/>
      <c r="K904" s="422"/>
      <c r="L904" s="422"/>
      <c r="M904" s="422"/>
      <c r="N904" s="912"/>
      <c r="O904" s="422"/>
      <c r="P904" s="422"/>
      <c r="Q904" s="913"/>
      <c r="R904" s="422"/>
      <c r="S904" s="422"/>
      <c r="T904" s="422"/>
      <c r="U904" s="422"/>
      <c r="V904" s="422"/>
      <c r="W904" s="422"/>
      <c r="X904" s="422"/>
      <c r="Y904" s="422"/>
    </row>
    <row r="905" ht="12.75" customHeight="1">
      <c r="A905" s="422"/>
      <c r="B905" s="422"/>
      <c r="C905" s="422"/>
      <c r="D905" s="422"/>
      <c r="E905" s="431"/>
      <c r="F905" s="422"/>
      <c r="G905" s="422"/>
      <c r="H905" s="422"/>
      <c r="I905" s="422"/>
      <c r="J905" s="422"/>
      <c r="K905" s="422"/>
      <c r="L905" s="422"/>
      <c r="M905" s="422"/>
      <c r="N905" s="912"/>
      <c r="O905" s="422"/>
      <c r="P905" s="422"/>
      <c r="Q905" s="913"/>
      <c r="R905" s="422"/>
      <c r="S905" s="422"/>
      <c r="T905" s="422"/>
      <c r="U905" s="422"/>
      <c r="V905" s="422"/>
      <c r="W905" s="422"/>
      <c r="X905" s="422"/>
      <c r="Y905" s="422"/>
    </row>
    <row r="906" ht="12.75" customHeight="1">
      <c r="A906" s="422"/>
      <c r="B906" s="422"/>
      <c r="C906" s="422"/>
      <c r="D906" s="422"/>
      <c r="E906" s="431"/>
      <c r="F906" s="422"/>
      <c r="G906" s="422"/>
      <c r="H906" s="422"/>
      <c r="I906" s="422"/>
      <c r="J906" s="422"/>
      <c r="K906" s="422"/>
      <c r="L906" s="422"/>
      <c r="M906" s="422"/>
      <c r="N906" s="912"/>
      <c r="O906" s="422"/>
      <c r="P906" s="422"/>
      <c r="Q906" s="913"/>
      <c r="R906" s="422"/>
      <c r="S906" s="422"/>
      <c r="T906" s="422"/>
      <c r="U906" s="422"/>
      <c r="V906" s="422"/>
      <c r="W906" s="422"/>
      <c r="X906" s="422"/>
      <c r="Y906" s="422"/>
    </row>
    <row r="907" ht="12.75" customHeight="1">
      <c r="A907" s="422"/>
      <c r="B907" s="422"/>
      <c r="C907" s="422"/>
      <c r="D907" s="422"/>
      <c r="E907" s="431"/>
      <c r="F907" s="422"/>
      <c r="G907" s="422"/>
      <c r="H907" s="422"/>
      <c r="I907" s="422"/>
      <c r="J907" s="422"/>
      <c r="K907" s="422"/>
      <c r="L907" s="422"/>
      <c r="M907" s="422"/>
      <c r="N907" s="912"/>
      <c r="O907" s="422"/>
      <c r="P907" s="422"/>
      <c r="Q907" s="913"/>
      <c r="R907" s="422"/>
      <c r="S907" s="422"/>
      <c r="T907" s="422"/>
      <c r="U907" s="422"/>
      <c r="V907" s="422"/>
      <c r="W907" s="422"/>
      <c r="X907" s="422"/>
      <c r="Y907" s="422"/>
    </row>
    <row r="908" ht="12.75" customHeight="1">
      <c r="A908" s="422"/>
      <c r="B908" s="422"/>
      <c r="C908" s="422"/>
      <c r="D908" s="422"/>
      <c r="E908" s="431"/>
      <c r="F908" s="422"/>
      <c r="G908" s="422"/>
      <c r="H908" s="422"/>
      <c r="I908" s="422"/>
      <c r="J908" s="422"/>
      <c r="K908" s="422"/>
      <c r="L908" s="422"/>
      <c r="M908" s="422"/>
      <c r="N908" s="912"/>
      <c r="O908" s="422"/>
      <c r="P908" s="422"/>
      <c r="Q908" s="913"/>
      <c r="R908" s="422"/>
      <c r="S908" s="422"/>
      <c r="T908" s="422"/>
      <c r="U908" s="422"/>
      <c r="V908" s="422"/>
      <c r="W908" s="422"/>
      <c r="X908" s="422"/>
      <c r="Y908" s="422"/>
    </row>
    <row r="909" ht="12.75" customHeight="1">
      <c r="A909" s="422"/>
      <c r="B909" s="422"/>
      <c r="C909" s="422"/>
      <c r="D909" s="422"/>
      <c r="E909" s="431"/>
      <c r="F909" s="422"/>
      <c r="G909" s="422"/>
      <c r="H909" s="422"/>
      <c r="I909" s="422"/>
      <c r="J909" s="422"/>
      <c r="K909" s="422"/>
      <c r="L909" s="422"/>
      <c r="M909" s="422"/>
      <c r="N909" s="912"/>
      <c r="O909" s="422"/>
      <c r="P909" s="422"/>
      <c r="Q909" s="913"/>
      <c r="R909" s="422"/>
      <c r="S909" s="422"/>
      <c r="T909" s="422"/>
      <c r="U909" s="422"/>
      <c r="V909" s="422"/>
      <c r="W909" s="422"/>
      <c r="X909" s="422"/>
      <c r="Y909" s="422"/>
    </row>
    <row r="910" ht="12.75" customHeight="1">
      <c r="A910" s="422"/>
      <c r="B910" s="422"/>
      <c r="C910" s="422"/>
      <c r="D910" s="422"/>
      <c r="E910" s="431"/>
      <c r="F910" s="422"/>
      <c r="G910" s="422"/>
      <c r="H910" s="422"/>
      <c r="I910" s="422"/>
      <c r="J910" s="422"/>
      <c r="K910" s="422"/>
      <c r="L910" s="422"/>
      <c r="M910" s="422"/>
      <c r="N910" s="912"/>
      <c r="O910" s="422"/>
      <c r="P910" s="422"/>
      <c r="Q910" s="913"/>
      <c r="R910" s="422"/>
      <c r="S910" s="422"/>
      <c r="T910" s="422"/>
      <c r="U910" s="422"/>
      <c r="V910" s="422"/>
      <c r="W910" s="422"/>
      <c r="X910" s="422"/>
      <c r="Y910" s="422"/>
    </row>
    <row r="911" ht="12.75" customHeight="1">
      <c r="A911" s="422"/>
      <c r="B911" s="422"/>
      <c r="C911" s="422"/>
      <c r="D911" s="422"/>
      <c r="E911" s="431"/>
      <c r="F911" s="422"/>
      <c r="G911" s="422"/>
      <c r="H911" s="422"/>
      <c r="I911" s="422"/>
      <c r="J911" s="422"/>
      <c r="K911" s="422"/>
      <c r="L911" s="422"/>
      <c r="M911" s="422"/>
      <c r="N911" s="912"/>
      <c r="O911" s="422"/>
      <c r="P911" s="422"/>
      <c r="Q911" s="913"/>
      <c r="R911" s="422"/>
      <c r="S911" s="422"/>
      <c r="T911" s="422"/>
      <c r="U911" s="422"/>
      <c r="V911" s="422"/>
      <c r="W911" s="422"/>
      <c r="X911" s="422"/>
      <c r="Y911" s="422"/>
    </row>
    <row r="912" ht="12.75" customHeight="1">
      <c r="A912" s="422"/>
      <c r="B912" s="422"/>
      <c r="C912" s="422"/>
      <c r="D912" s="422"/>
      <c r="E912" s="431"/>
      <c r="F912" s="422"/>
      <c r="G912" s="422"/>
      <c r="H912" s="422"/>
      <c r="I912" s="422"/>
      <c r="J912" s="422"/>
      <c r="K912" s="422"/>
      <c r="L912" s="422"/>
      <c r="M912" s="422"/>
      <c r="N912" s="912"/>
      <c r="O912" s="422"/>
      <c r="P912" s="422"/>
      <c r="Q912" s="913"/>
      <c r="R912" s="422"/>
      <c r="S912" s="422"/>
      <c r="T912" s="422"/>
      <c r="U912" s="422"/>
      <c r="V912" s="422"/>
      <c r="W912" s="422"/>
      <c r="X912" s="422"/>
      <c r="Y912" s="422"/>
    </row>
    <row r="913" ht="12.75" customHeight="1">
      <c r="A913" s="422"/>
      <c r="B913" s="422"/>
      <c r="C913" s="422"/>
      <c r="D913" s="422"/>
      <c r="E913" s="431"/>
      <c r="F913" s="422"/>
      <c r="G913" s="422"/>
      <c r="H913" s="422"/>
      <c r="I913" s="422"/>
      <c r="J913" s="422"/>
      <c r="K913" s="422"/>
      <c r="L913" s="422"/>
      <c r="M913" s="422"/>
      <c r="N913" s="912"/>
      <c r="O913" s="422"/>
      <c r="P913" s="422"/>
      <c r="Q913" s="913"/>
      <c r="R913" s="422"/>
      <c r="S913" s="422"/>
      <c r="T913" s="422"/>
      <c r="U913" s="422"/>
      <c r="V913" s="422"/>
      <c r="W913" s="422"/>
      <c r="X913" s="422"/>
      <c r="Y913" s="422"/>
    </row>
    <row r="914" ht="12.75" customHeight="1">
      <c r="A914" s="422"/>
      <c r="B914" s="422"/>
      <c r="C914" s="422"/>
      <c r="D914" s="422"/>
      <c r="E914" s="431"/>
      <c r="F914" s="422"/>
      <c r="G914" s="422"/>
      <c r="H914" s="422"/>
      <c r="I914" s="422"/>
      <c r="J914" s="422"/>
      <c r="K914" s="422"/>
      <c r="L914" s="422"/>
      <c r="M914" s="422"/>
      <c r="N914" s="912"/>
      <c r="O914" s="422"/>
      <c r="P914" s="422"/>
      <c r="Q914" s="913"/>
      <c r="R914" s="422"/>
      <c r="S914" s="422"/>
      <c r="T914" s="422"/>
      <c r="U914" s="422"/>
      <c r="V914" s="422"/>
      <c r="W914" s="422"/>
      <c r="X914" s="422"/>
      <c r="Y914" s="422"/>
    </row>
    <row r="915" ht="12.75" customHeight="1">
      <c r="A915" s="422"/>
      <c r="B915" s="422"/>
      <c r="C915" s="422"/>
      <c r="D915" s="422"/>
      <c r="E915" s="431"/>
      <c r="F915" s="422"/>
      <c r="G915" s="422"/>
      <c r="H915" s="422"/>
      <c r="I915" s="422"/>
      <c r="J915" s="422"/>
      <c r="K915" s="422"/>
      <c r="L915" s="422"/>
      <c r="M915" s="422"/>
      <c r="N915" s="912"/>
      <c r="O915" s="422"/>
      <c r="P915" s="422"/>
      <c r="Q915" s="913"/>
      <c r="R915" s="422"/>
      <c r="S915" s="422"/>
      <c r="T915" s="422"/>
      <c r="U915" s="422"/>
      <c r="V915" s="422"/>
      <c r="W915" s="422"/>
      <c r="X915" s="422"/>
      <c r="Y915" s="422"/>
    </row>
    <row r="916" ht="12.75" customHeight="1">
      <c r="A916" s="422"/>
      <c r="B916" s="422"/>
      <c r="C916" s="422"/>
      <c r="D916" s="422"/>
      <c r="E916" s="431"/>
      <c r="F916" s="422"/>
      <c r="G916" s="422"/>
      <c r="H916" s="422"/>
      <c r="I916" s="422"/>
      <c r="J916" s="422"/>
      <c r="K916" s="422"/>
      <c r="L916" s="422"/>
      <c r="M916" s="422"/>
      <c r="N916" s="912"/>
      <c r="O916" s="422"/>
      <c r="P916" s="422"/>
      <c r="Q916" s="913"/>
      <c r="R916" s="422"/>
      <c r="S916" s="422"/>
      <c r="T916" s="422"/>
      <c r="U916" s="422"/>
      <c r="V916" s="422"/>
      <c r="W916" s="422"/>
      <c r="X916" s="422"/>
      <c r="Y916" s="422"/>
    </row>
    <row r="917" ht="12.75" customHeight="1">
      <c r="A917" s="422"/>
      <c r="B917" s="422"/>
      <c r="C917" s="422"/>
      <c r="D917" s="422"/>
      <c r="E917" s="431"/>
      <c r="F917" s="422"/>
      <c r="G917" s="422"/>
      <c r="H917" s="422"/>
      <c r="I917" s="422"/>
      <c r="J917" s="422"/>
      <c r="K917" s="422"/>
      <c r="L917" s="422"/>
      <c r="M917" s="422"/>
      <c r="N917" s="912"/>
      <c r="O917" s="422"/>
      <c r="P917" s="422"/>
      <c r="Q917" s="913"/>
      <c r="R917" s="422"/>
      <c r="S917" s="422"/>
      <c r="T917" s="422"/>
      <c r="U917" s="422"/>
      <c r="V917" s="422"/>
      <c r="W917" s="422"/>
      <c r="X917" s="422"/>
      <c r="Y917" s="422"/>
    </row>
    <row r="918" ht="12.75" customHeight="1">
      <c r="A918" s="422"/>
      <c r="B918" s="422"/>
      <c r="C918" s="422"/>
      <c r="D918" s="422"/>
      <c r="E918" s="431"/>
      <c r="F918" s="422"/>
      <c r="G918" s="422"/>
      <c r="H918" s="422"/>
      <c r="I918" s="422"/>
      <c r="J918" s="422"/>
      <c r="K918" s="422"/>
      <c r="L918" s="422"/>
      <c r="M918" s="422"/>
      <c r="N918" s="912"/>
      <c r="O918" s="422"/>
      <c r="P918" s="422"/>
      <c r="Q918" s="913"/>
      <c r="R918" s="422"/>
      <c r="S918" s="422"/>
      <c r="T918" s="422"/>
      <c r="U918" s="422"/>
      <c r="V918" s="422"/>
      <c r="W918" s="422"/>
      <c r="X918" s="422"/>
      <c r="Y918" s="422"/>
    </row>
    <row r="919" ht="12.75" customHeight="1">
      <c r="A919" s="422"/>
      <c r="B919" s="422"/>
      <c r="C919" s="422"/>
      <c r="D919" s="422"/>
      <c r="E919" s="431"/>
      <c r="F919" s="422"/>
      <c r="G919" s="422"/>
      <c r="H919" s="422"/>
      <c r="I919" s="422"/>
      <c r="J919" s="422"/>
      <c r="K919" s="422"/>
      <c r="L919" s="422"/>
      <c r="M919" s="422"/>
      <c r="N919" s="912"/>
      <c r="O919" s="422"/>
      <c r="P919" s="422"/>
      <c r="Q919" s="913"/>
      <c r="R919" s="422"/>
      <c r="S919" s="422"/>
      <c r="T919" s="422"/>
      <c r="U919" s="422"/>
      <c r="V919" s="422"/>
      <c r="W919" s="422"/>
      <c r="X919" s="422"/>
      <c r="Y919" s="422"/>
    </row>
    <row r="920" ht="12.75" customHeight="1">
      <c r="A920" s="422"/>
      <c r="B920" s="422"/>
      <c r="C920" s="422"/>
      <c r="D920" s="422"/>
      <c r="E920" s="431"/>
      <c r="F920" s="422"/>
      <c r="G920" s="422"/>
      <c r="H920" s="422"/>
      <c r="I920" s="422"/>
      <c r="J920" s="422"/>
      <c r="K920" s="422"/>
      <c r="L920" s="422"/>
      <c r="M920" s="422"/>
      <c r="N920" s="912"/>
      <c r="O920" s="422"/>
      <c r="P920" s="422"/>
      <c r="Q920" s="913"/>
      <c r="R920" s="422"/>
      <c r="S920" s="422"/>
      <c r="T920" s="422"/>
      <c r="U920" s="422"/>
      <c r="V920" s="422"/>
      <c r="W920" s="422"/>
      <c r="X920" s="422"/>
      <c r="Y920" s="422"/>
    </row>
    <row r="921" ht="12.75" customHeight="1">
      <c r="A921" s="422"/>
      <c r="B921" s="422"/>
      <c r="C921" s="422"/>
      <c r="D921" s="422"/>
      <c r="E921" s="431"/>
      <c r="F921" s="422"/>
      <c r="G921" s="422"/>
      <c r="H921" s="422"/>
      <c r="I921" s="422"/>
      <c r="J921" s="422"/>
      <c r="K921" s="422"/>
      <c r="L921" s="422"/>
      <c r="M921" s="422"/>
      <c r="N921" s="912"/>
      <c r="O921" s="422"/>
      <c r="P921" s="422"/>
      <c r="Q921" s="913"/>
      <c r="R921" s="422"/>
      <c r="S921" s="422"/>
      <c r="T921" s="422"/>
      <c r="U921" s="422"/>
      <c r="V921" s="422"/>
      <c r="W921" s="422"/>
      <c r="X921" s="422"/>
      <c r="Y921" s="422"/>
    </row>
    <row r="922" ht="12.75" customHeight="1">
      <c r="A922" s="422"/>
      <c r="B922" s="422"/>
      <c r="C922" s="422"/>
      <c r="D922" s="422"/>
      <c r="E922" s="431"/>
      <c r="F922" s="422"/>
      <c r="G922" s="422"/>
      <c r="H922" s="422"/>
      <c r="I922" s="422"/>
      <c r="J922" s="422"/>
      <c r="K922" s="422"/>
      <c r="L922" s="422"/>
      <c r="M922" s="422"/>
      <c r="N922" s="912"/>
      <c r="O922" s="422"/>
      <c r="P922" s="422"/>
      <c r="Q922" s="913"/>
      <c r="R922" s="422"/>
      <c r="S922" s="422"/>
      <c r="T922" s="422"/>
      <c r="U922" s="422"/>
      <c r="V922" s="422"/>
      <c r="W922" s="422"/>
      <c r="X922" s="422"/>
      <c r="Y922" s="422"/>
    </row>
    <row r="923" ht="12.75" customHeight="1">
      <c r="A923" s="422"/>
      <c r="B923" s="422"/>
      <c r="C923" s="422"/>
      <c r="D923" s="422"/>
      <c r="E923" s="431"/>
      <c r="F923" s="422"/>
      <c r="G923" s="422"/>
      <c r="H923" s="422"/>
      <c r="I923" s="422"/>
      <c r="J923" s="422"/>
      <c r="K923" s="422"/>
      <c r="L923" s="422"/>
      <c r="M923" s="422"/>
      <c r="N923" s="912"/>
      <c r="O923" s="422"/>
      <c r="P923" s="422"/>
      <c r="Q923" s="913"/>
      <c r="R923" s="422"/>
      <c r="S923" s="422"/>
      <c r="T923" s="422"/>
      <c r="U923" s="422"/>
      <c r="V923" s="422"/>
      <c r="W923" s="422"/>
      <c r="X923" s="422"/>
      <c r="Y923" s="422"/>
    </row>
    <row r="924" ht="12.75" customHeight="1">
      <c r="A924" s="422"/>
      <c r="B924" s="422"/>
      <c r="C924" s="422"/>
      <c r="D924" s="422"/>
      <c r="E924" s="431"/>
      <c r="F924" s="422"/>
      <c r="G924" s="422"/>
      <c r="H924" s="422"/>
      <c r="I924" s="422"/>
      <c r="J924" s="422"/>
      <c r="K924" s="422"/>
      <c r="L924" s="422"/>
      <c r="M924" s="422"/>
      <c r="N924" s="912"/>
      <c r="O924" s="422"/>
      <c r="P924" s="422"/>
      <c r="Q924" s="913"/>
      <c r="R924" s="422"/>
      <c r="S924" s="422"/>
      <c r="T924" s="422"/>
      <c r="U924" s="422"/>
      <c r="V924" s="422"/>
      <c r="W924" s="422"/>
      <c r="X924" s="422"/>
      <c r="Y924" s="422"/>
    </row>
    <row r="925" ht="12.75" customHeight="1">
      <c r="A925" s="422"/>
      <c r="B925" s="422"/>
      <c r="C925" s="422"/>
      <c r="D925" s="422"/>
      <c r="E925" s="431"/>
      <c r="F925" s="422"/>
      <c r="G925" s="422"/>
      <c r="H925" s="422"/>
      <c r="I925" s="422"/>
      <c r="J925" s="422"/>
      <c r="K925" s="422"/>
      <c r="L925" s="422"/>
      <c r="M925" s="422"/>
      <c r="N925" s="912"/>
      <c r="O925" s="422"/>
      <c r="P925" s="422"/>
      <c r="Q925" s="913"/>
      <c r="R925" s="422"/>
      <c r="S925" s="422"/>
      <c r="T925" s="422"/>
      <c r="U925" s="422"/>
      <c r="V925" s="422"/>
      <c r="W925" s="422"/>
      <c r="X925" s="422"/>
      <c r="Y925" s="422"/>
    </row>
    <row r="926" ht="12.75" customHeight="1">
      <c r="A926" s="422"/>
      <c r="B926" s="422"/>
      <c r="C926" s="422"/>
      <c r="D926" s="422"/>
      <c r="E926" s="431"/>
      <c r="F926" s="422"/>
      <c r="G926" s="422"/>
      <c r="H926" s="422"/>
      <c r="I926" s="422"/>
      <c r="J926" s="422"/>
      <c r="K926" s="422"/>
      <c r="L926" s="422"/>
      <c r="M926" s="422"/>
      <c r="N926" s="912"/>
      <c r="O926" s="422"/>
      <c r="P926" s="422"/>
      <c r="Q926" s="913"/>
      <c r="R926" s="422"/>
      <c r="S926" s="422"/>
      <c r="T926" s="422"/>
      <c r="U926" s="422"/>
      <c r="V926" s="422"/>
      <c r="W926" s="422"/>
      <c r="X926" s="422"/>
      <c r="Y926" s="422"/>
    </row>
    <row r="927" ht="12.75" customHeight="1">
      <c r="A927" s="422"/>
      <c r="B927" s="422"/>
      <c r="C927" s="422"/>
      <c r="D927" s="422"/>
      <c r="E927" s="431"/>
      <c r="F927" s="422"/>
      <c r="G927" s="422"/>
      <c r="H927" s="422"/>
      <c r="I927" s="422"/>
      <c r="J927" s="422"/>
      <c r="K927" s="422"/>
      <c r="L927" s="422"/>
      <c r="M927" s="422"/>
      <c r="N927" s="912"/>
      <c r="O927" s="422"/>
      <c r="P927" s="422"/>
      <c r="Q927" s="913"/>
      <c r="R927" s="422"/>
      <c r="S927" s="422"/>
      <c r="T927" s="422"/>
      <c r="U927" s="422"/>
      <c r="V927" s="422"/>
      <c r="W927" s="422"/>
      <c r="X927" s="422"/>
      <c r="Y927" s="422"/>
    </row>
    <row r="928" ht="12.75" customHeight="1">
      <c r="A928" s="422"/>
      <c r="B928" s="422"/>
      <c r="C928" s="422"/>
      <c r="D928" s="422"/>
      <c r="E928" s="431"/>
      <c r="F928" s="422"/>
      <c r="G928" s="422"/>
      <c r="H928" s="422"/>
      <c r="I928" s="422"/>
      <c r="J928" s="422"/>
      <c r="K928" s="422"/>
      <c r="L928" s="422"/>
      <c r="M928" s="422"/>
      <c r="N928" s="912"/>
      <c r="O928" s="422"/>
      <c r="P928" s="422"/>
      <c r="Q928" s="913"/>
      <c r="R928" s="422"/>
      <c r="S928" s="422"/>
      <c r="T928" s="422"/>
      <c r="U928" s="422"/>
      <c r="V928" s="422"/>
      <c r="W928" s="422"/>
      <c r="X928" s="422"/>
      <c r="Y928" s="422"/>
    </row>
    <row r="929" ht="12.75" customHeight="1">
      <c r="A929" s="422"/>
      <c r="B929" s="422"/>
      <c r="C929" s="422"/>
      <c r="D929" s="422"/>
      <c r="E929" s="431"/>
      <c r="F929" s="422"/>
      <c r="G929" s="422"/>
      <c r="H929" s="422"/>
      <c r="I929" s="422"/>
      <c r="J929" s="422"/>
      <c r="K929" s="422"/>
      <c r="L929" s="422"/>
      <c r="M929" s="422"/>
      <c r="N929" s="912"/>
      <c r="O929" s="422"/>
      <c r="P929" s="422"/>
      <c r="Q929" s="913"/>
      <c r="R929" s="422"/>
      <c r="S929" s="422"/>
      <c r="T929" s="422"/>
      <c r="U929" s="422"/>
      <c r="V929" s="422"/>
      <c r="W929" s="422"/>
      <c r="X929" s="422"/>
      <c r="Y929" s="422"/>
    </row>
    <row r="930" ht="12.75" customHeight="1">
      <c r="A930" s="422"/>
      <c r="B930" s="422"/>
      <c r="C930" s="422"/>
      <c r="D930" s="422"/>
      <c r="E930" s="431"/>
      <c r="F930" s="422"/>
      <c r="G930" s="422"/>
      <c r="H930" s="422"/>
      <c r="I930" s="422"/>
      <c r="J930" s="422"/>
      <c r="K930" s="422"/>
      <c r="L930" s="422"/>
      <c r="M930" s="422"/>
      <c r="N930" s="912"/>
      <c r="O930" s="422"/>
      <c r="P930" s="422"/>
      <c r="Q930" s="913"/>
      <c r="R930" s="422"/>
      <c r="S930" s="422"/>
      <c r="T930" s="422"/>
      <c r="U930" s="422"/>
      <c r="V930" s="422"/>
      <c r="W930" s="422"/>
      <c r="X930" s="422"/>
      <c r="Y930" s="422"/>
    </row>
    <row r="931" ht="12.75" customHeight="1">
      <c r="A931" s="422"/>
      <c r="B931" s="422"/>
      <c r="C931" s="422"/>
      <c r="D931" s="422"/>
      <c r="E931" s="431"/>
      <c r="F931" s="422"/>
      <c r="G931" s="422"/>
      <c r="H931" s="422"/>
      <c r="I931" s="422"/>
      <c r="J931" s="422"/>
      <c r="K931" s="422"/>
      <c r="L931" s="422"/>
      <c r="M931" s="422"/>
      <c r="N931" s="912"/>
      <c r="O931" s="422"/>
      <c r="P931" s="422"/>
      <c r="Q931" s="913"/>
      <c r="R931" s="422"/>
      <c r="S931" s="422"/>
      <c r="T931" s="422"/>
      <c r="U931" s="422"/>
      <c r="V931" s="422"/>
      <c r="W931" s="422"/>
      <c r="X931" s="422"/>
      <c r="Y931" s="422"/>
    </row>
    <row r="932" ht="12.75" customHeight="1">
      <c r="A932" s="422"/>
      <c r="B932" s="422"/>
      <c r="C932" s="422"/>
      <c r="D932" s="422"/>
      <c r="E932" s="431"/>
      <c r="F932" s="422"/>
      <c r="G932" s="422"/>
      <c r="H932" s="422"/>
      <c r="I932" s="422"/>
      <c r="J932" s="422"/>
      <c r="K932" s="422"/>
      <c r="L932" s="422"/>
      <c r="M932" s="422"/>
      <c r="N932" s="912"/>
      <c r="O932" s="422"/>
      <c r="P932" s="422"/>
      <c r="Q932" s="913"/>
      <c r="R932" s="422"/>
      <c r="S932" s="422"/>
      <c r="T932" s="422"/>
      <c r="U932" s="422"/>
      <c r="V932" s="422"/>
      <c r="W932" s="422"/>
      <c r="X932" s="422"/>
      <c r="Y932" s="422"/>
    </row>
    <row r="933" ht="12.75" customHeight="1">
      <c r="A933" s="422"/>
      <c r="B933" s="422"/>
      <c r="C933" s="422"/>
      <c r="D933" s="422"/>
      <c r="E933" s="431"/>
      <c r="F933" s="422"/>
      <c r="G933" s="422"/>
      <c r="H933" s="422"/>
      <c r="I933" s="422"/>
      <c r="J933" s="422"/>
      <c r="K933" s="422"/>
      <c r="L933" s="422"/>
      <c r="M933" s="422"/>
      <c r="N933" s="912"/>
      <c r="O933" s="422"/>
      <c r="P933" s="422"/>
      <c r="Q933" s="913"/>
      <c r="R933" s="422"/>
      <c r="S933" s="422"/>
      <c r="T933" s="422"/>
      <c r="U933" s="422"/>
      <c r="V933" s="422"/>
      <c r="W933" s="422"/>
      <c r="X933" s="422"/>
      <c r="Y933" s="422"/>
    </row>
    <row r="934" ht="12.75" customHeight="1">
      <c r="A934" s="422"/>
      <c r="B934" s="422"/>
      <c r="C934" s="422"/>
      <c r="D934" s="422"/>
      <c r="E934" s="431"/>
      <c r="F934" s="422"/>
      <c r="G934" s="422"/>
      <c r="H934" s="422"/>
      <c r="I934" s="422"/>
      <c r="J934" s="422"/>
      <c r="K934" s="422"/>
      <c r="L934" s="422"/>
      <c r="M934" s="422"/>
      <c r="N934" s="912"/>
      <c r="O934" s="422"/>
      <c r="P934" s="422"/>
      <c r="Q934" s="913"/>
      <c r="R934" s="422"/>
      <c r="S934" s="422"/>
      <c r="T934" s="422"/>
      <c r="U934" s="422"/>
      <c r="V934" s="422"/>
      <c r="W934" s="422"/>
      <c r="X934" s="422"/>
      <c r="Y934" s="422"/>
    </row>
    <row r="935" ht="12.75" customHeight="1">
      <c r="A935" s="422"/>
      <c r="B935" s="422"/>
      <c r="C935" s="422"/>
      <c r="D935" s="422"/>
      <c r="E935" s="431"/>
      <c r="F935" s="422"/>
      <c r="G935" s="422"/>
      <c r="H935" s="422"/>
      <c r="I935" s="422"/>
      <c r="J935" s="422"/>
      <c r="K935" s="422"/>
      <c r="L935" s="422"/>
      <c r="M935" s="422"/>
      <c r="N935" s="912"/>
      <c r="O935" s="422"/>
      <c r="P935" s="422"/>
      <c r="Q935" s="913"/>
      <c r="R935" s="422"/>
      <c r="S935" s="422"/>
      <c r="T935" s="422"/>
      <c r="U935" s="422"/>
      <c r="V935" s="422"/>
      <c r="W935" s="422"/>
      <c r="X935" s="422"/>
      <c r="Y935" s="422"/>
    </row>
    <row r="936" ht="12.75" customHeight="1">
      <c r="A936" s="422"/>
      <c r="B936" s="422"/>
      <c r="C936" s="422"/>
      <c r="D936" s="422"/>
      <c r="E936" s="431"/>
      <c r="F936" s="422"/>
      <c r="G936" s="422"/>
      <c r="H936" s="422"/>
      <c r="I936" s="422"/>
      <c r="J936" s="422"/>
      <c r="K936" s="422"/>
      <c r="L936" s="422"/>
      <c r="M936" s="422"/>
      <c r="N936" s="912"/>
      <c r="O936" s="422"/>
      <c r="P936" s="422"/>
      <c r="Q936" s="913"/>
      <c r="R936" s="422"/>
      <c r="S936" s="422"/>
      <c r="T936" s="422"/>
      <c r="U936" s="422"/>
      <c r="V936" s="422"/>
      <c r="W936" s="422"/>
      <c r="X936" s="422"/>
      <c r="Y936" s="422"/>
    </row>
    <row r="937" ht="12.75" customHeight="1">
      <c r="A937" s="422"/>
      <c r="B937" s="422"/>
      <c r="C937" s="422"/>
      <c r="D937" s="422"/>
      <c r="E937" s="431"/>
      <c r="F937" s="422"/>
      <c r="G937" s="422"/>
      <c r="H937" s="422"/>
      <c r="I937" s="422"/>
      <c r="J937" s="422"/>
      <c r="K937" s="422"/>
      <c r="L937" s="422"/>
      <c r="M937" s="422"/>
      <c r="N937" s="912"/>
      <c r="O937" s="422"/>
      <c r="P937" s="422"/>
      <c r="Q937" s="913"/>
      <c r="R937" s="422"/>
      <c r="S937" s="422"/>
      <c r="T937" s="422"/>
      <c r="U937" s="422"/>
      <c r="V937" s="422"/>
      <c r="W937" s="422"/>
      <c r="X937" s="422"/>
      <c r="Y937" s="422"/>
    </row>
    <row r="938" ht="12.75" customHeight="1">
      <c r="A938" s="422"/>
      <c r="B938" s="422"/>
      <c r="C938" s="422"/>
      <c r="D938" s="422"/>
      <c r="E938" s="431"/>
      <c r="F938" s="422"/>
      <c r="G938" s="422"/>
      <c r="H938" s="422"/>
      <c r="I938" s="422"/>
      <c r="J938" s="422"/>
      <c r="K938" s="422"/>
      <c r="L938" s="422"/>
      <c r="M938" s="422"/>
      <c r="N938" s="912"/>
      <c r="O938" s="422"/>
      <c r="P938" s="422"/>
      <c r="Q938" s="913"/>
      <c r="R938" s="422"/>
      <c r="S938" s="422"/>
      <c r="T938" s="422"/>
      <c r="U938" s="422"/>
      <c r="V938" s="422"/>
      <c r="W938" s="422"/>
      <c r="X938" s="422"/>
      <c r="Y938" s="422"/>
    </row>
    <row r="939" ht="12.75" customHeight="1">
      <c r="A939" s="422"/>
      <c r="B939" s="422"/>
      <c r="C939" s="422"/>
      <c r="D939" s="422"/>
      <c r="E939" s="431"/>
      <c r="F939" s="422"/>
      <c r="G939" s="422"/>
      <c r="H939" s="422"/>
      <c r="I939" s="422"/>
      <c r="J939" s="422"/>
      <c r="K939" s="422"/>
      <c r="L939" s="422"/>
      <c r="M939" s="422"/>
      <c r="N939" s="912"/>
      <c r="O939" s="422"/>
      <c r="P939" s="422"/>
      <c r="Q939" s="913"/>
      <c r="R939" s="422"/>
      <c r="S939" s="422"/>
      <c r="T939" s="422"/>
      <c r="U939" s="422"/>
      <c r="V939" s="422"/>
      <c r="W939" s="422"/>
      <c r="X939" s="422"/>
      <c r="Y939" s="422"/>
    </row>
    <row r="940" ht="12.75" customHeight="1">
      <c r="A940" s="422"/>
      <c r="B940" s="422"/>
      <c r="C940" s="422"/>
      <c r="D940" s="422"/>
      <c r="E940" s="431"/>
      <c r="F940" s="422"/>
      <c r="G940" s="422"/>
      <c r="H940" s="422"/>
      <c r="I940" s="422"/>
      <c r="J940" s="422"/>
      <c r="K940" s="422"/>
      <c r="L940" s="422"/>
      <c r="M940" s="422"/>
      <c r="N940" s="912"/>
      <c r="O940" s="422"/>
      <c r="P940" s="422"/>
      <c r="Q940" s="913"/>
      <c r="R940" s="422"/>
      <c r="S940" s="422"/>
      <c r="T940" s="422"/>
      <c r="U940" s="422"/>
      <c r="V940" s="422"/>
      <c r="W940" s="422"/>
      <c r="X940" s="422"/>
      <c r="Y940" s="422"/>
    </row>
    <row r="941" ht="12.75" customHeight="1">
      <c r="A941" s="422"/>
      <c r="B941" s="422"/>
      <c r="C941" s="422"/>
      <c r="D941" s="422"/>
      <c r="E941" s="431"/>
      <c r="F941" s="422"/>
      <c r="G941" s="422"/>
      <c r="H941" s="422"/>
      <c r="I941" s="422"/>
      <c r="J941" s="422"/>
      <c r="K941" s="422"/>
      <c r="L941" s="422"/>
      <c r="M941" s="422"/>
      <c r="N941" s="912"/>
      <c r="O941" s="422"/>
      <c r="P941" s="422"/>
      <c r="Q941" s="913"/>
      <c r="R941" s="422"/>
      <c r="S941" s="422"/>
      <c r="T941" s="422"/>
      <c r="U941" s="422"/>
      <c r="V941" s="422"/>
      <c r="W941" s="422"/>
      <c r="X941" s="422"/>
      <c r="Y941" s="422"/>
    </row>
    <row r="942" ht="12.75" customHeight="1">
      <c r="A942" s="422"/>
      <c r="B942" s="422"/>
      <c r="C942" s="422"/>
      <c r="D942" s="422"/>
      <c r="E942" s="431"/>
      <c r="F942" s="422"/>
      <c r="G942" s="422"/>
      <c r="H942" s="422"/>
      <c r="I942" s="422"/>
      <c r="J942" s="422"/>
      <c r="K942" s="422"/>
      <c r="L942" s="422"/>
      <c r="M942" s="422"/>
      <c r="N942" s="912"/>
      <c r="O942" s="422"/>
      <c r="P942" s="422"/>
      <c r="Q942" s="913"/>
      <c r="R942" s="422"/>
      <c r="S942" s="422"/>
      <c r="T942" s="422"/>
      <c r="U942" s="422"/>
      <c r="V942" s="422"/>
      <c r="W942" s="422"/>
      <c r="X942" s="422"/>
      <c r="Y942" s="422"/>
    </row>
    <row r="943" ht="12.75" customHeight="1">
      <c r="A943" s="422"/>
      <c r="B943" s="422"/>
      <c r="C943" s="422"/>
      <c r="D943" s="422"/>
      <c r="E943" s="431"/>
      <c r="F943" s="422"/>
      <c r="G943" s="422"/>
      <c r="H943" s="422"/>
      <c r="I943" s="422"/>
      <c r="J943" s="422"/>
      <c r="K943" s="422"/>
      <c r="L943" s="422"/>
      <c r="M943" s="422"/>
      <c r="N943" s="912"/>
      <c r="O943" s="422"/>
      <c r="P943" s="422"/>
      <c r="Q943" s="913"/>
      <c r="R943" s="422"/>
      <c r="S943" s="422"/>
      <c r="T943" s="422"/>
      <c r="U943" s="422"/>
      <c r="V943" s="422"/>
      <c r="W943" s="422"/>
      <c r="X943" s="422"/>
      <c r="Y943" s="422"/>
    </row>
    <row r="944" ht="12.75" customHeight="1">
      <c r="A944" s="422"/>
      <c r="B944" s="422"/>
      <c r="C944" s="422"/>
      <c r="D944" s="422"/>
      <c r="E944" s="431"/>
      <c r="F944" s="422"/>
      <c r="G944" s="422"/>
      <c r="H944" s="422"/>
      <c r="I944" s="422"/>
      <c r="J944" s="422"/>
      <c r="K944" s="422"/>
      <c r="L944" s="422"/>
      <c r="M944" s="422"/>
      <c r="N944" s="912"/>
      <c r="O944" s="422"/>
      <c r="P944" s="422"/>
      <c r="Q944" s="913"/>
      <c r="R944" s="422"/>
      <c r="S944" s="422"/>
      <c r="T944" s="422"/>
      <c r="U944" s="422"/>
      <c r="V944" s="422"/>
      <c r="W944" s="422"/>
      <c r="X944" s="422"/>
      <c r="Y944" s="422"/>
    </row>
    <row r="945" ht="12.75" customHeight="1">
      <c r="A945" s="422"/>
      <c r="B945" s="422"/>
      <c r="C945" s="422"/>
      <c r="D945" s="422"/>
      <c r="E945" s="431"/>
      <c r="F945" s="422"/>
      <c r="G945" s="422"/>
      <c r="H945" s="422"/>
      <c r="I945" s="422"/>
      <c r="J945" s="422"/>
      <c r="K945" s="422"/>
      <c r="L945" s="422"/>
      <c r="M945" s="422"/>
      <c r="N945" s="912"/>
      <c r="O945" s="422"/>
      <c r="P945" s="422"/>
      <c r="Q945" s="913"/>
      <c r="R945" s="422"/>
      <c r="S945" s="422"/>
      <c r="T945" s="422"/>
      <c r="U945" s="422"/>
      <c r="V945" s="422"/>
      <c r="W945" s="422"/>
      <c r="X945" s="422"/>
      <c r="Y945" s="422"/>
    </row>
    <row r="946" ht="12.75" customHeight="1">
      <c r="A946" s="422"/>
      <c r="B946" s="422"/>
      <c r="C946" s="422"/>
      <c r="D946" s="422"/>
      <c r="E946" s="431"/>
      <c r="F946" s="422"/>
      <c r="G946" s="422"/>
      <c r="H946" s="422"/>
      <c r="I946" s="422"/>
      <c r="J946" s="422"/>
      <c r="K946" s="422"/>
      <c r="L946" s="422"/>
      <c r="M946" s="422"/>
      <c r="N946" s="912"/>
      <c r="O946" s="422"/>
      <c r="P946" s="422"/>
      <c r="Q946" s="913"/>
      <c r="R946" s="422"/>
      <c r="S946" s="422"/>
      <c r="T946" s="422"/>
      <c r="U946" s="422"/>
      <c r="V946" s="422"/>
      <c r="W946" s="422"/>
      <c r="X946" s="422"/>
      <c r="Y946" s="422"/>
    </row>
    <row r="947" ht="12.75" customHeight="1">
      <c r="A947" s="422"/>
      <c r="B947" s="422"/>
      <c r="C947" s="422"/>
      <c r="D947" s="422"/>
      <c r="E947" s="431"/>
      <c r="F947" s="422"/>
      <c r="G947" s="422"/>
      <c r="H947" s="422"/>
      <c r="I947" s="422"/>
      <c r="J947" s="422"/>
      <c r="K947" s="422"/>
      <c r="L947" s="422"/>
      <c r="M947" s="422"/>
      <c r="N947" s="912"/>
      <c r="O947" s="422"/>
      <c r="P947" s="422"/>
      <c r="Q947" s="913"/>
      <c r="R947" s="422"/>
      <c r="S947" s="422"/>
      <c r="T947" s="422"/>
      <c r="U947" s="422"/>
      <c r="V947" s="422"/>
      <c r="W947" s="422"/>
      <c r="X947" s="422"/>
      <c r="Y947" s="422"/>
    </row>
    <row r="948" ht="12.75" customHeight="1">
      <c r="A948" s="422"/>
      <c r="B948" s="422"/>
      <c r="C948" s="422"/>
      <c r="D948" s="422"/>
      <c r="E948" s="431"/>
      <c r="F948" s="422"/>
      <c r="G948" s="422"/>
      <c r="H948" s="422"/>
      <c r="I948" s="422"/>
      <c r="J948" s="422"/>
      <c r="K948" s="422"/>
      <c r="L948" s="422"/>
      <c r="M948" s="422"/>
      <c r="N948" s="912"/>
      <c r="O948" s="422"/>
      <c r="P948" s="422"/>
      <c r="Q948" s="913"/>
      <c r="R948" s="422"/>
      <c r="S948" s="422"/>
      <c r="T948" s="422"/>
      <c r="U948" s="422"/>
      <c r="V948" s="422"/>
      <c r="W948" s="422"/>
      <c r="X948" s="422"/>
      <c r="Y948" s="422"/>
    </row>
    <row r="949" ht="12.75" customHeight="1">
      <c r="A949" s="422"/>
      <c r="B949" s="422"/>
      <c r="C949" s="422"/>
      <c r="D949" s="422"/>
      <c r="E949" s="431"/>
      <c r="F949" s="422"/>
      <c r="G949" s="422"/>
      <c r="H949" s="422"/>
      <c r="I949" s="422"/>
      <c r="J949" s="422"/>
      <c r="K949" s="422"/>
      <c r="L949" s="422"/>
      <c r="M949" s="422"/>
      <c r="N949" s="912"/>
      <c r="O949" s="422"/>
      <c r="P949" s="422"/>
      <c r="Q949" s="913"/>
      <c r="R949" s="422"/>
      <c r="S949" s="422"/>
      <c r="T949" s="422"/>
      <c r="U949" s="422"/>
      <c r="V949" s="422"/>
      <c r="W949" s="422"/>
      <c r="X949" s="422"/>
      <c r="Y949" s="422"/>
    </row>
    <row r="950" ht="12.75" customHeight="1">
      <c r="A950" s="422"/>
      <c r="B950" s="422"/>
      <c r="C950" s="422"/>
      <c r="D950" s="422"/>
      <c r="E950" s="431"/>
      <c r="F950" s="422"/>
      <c r="G950" s="422"/>
      <c r="H950" s="422"/>
      <c r="I950" s="422"/>
      <c r="J950" s="422"/>
      <c r="K950" s="422"/>
      <c r="L950" s="422"/>
      <c r="M950" s="422"/>
      <c r="N950" s="912"/>
      <c r="O950" s="422"/>
      <c r="P950" s="422"/>
      <c r="Q950" s="913"/>
      <c r="R950" s="422"/>
      <c r="S950" s="422"/>
      <c r="T950" s="422"/>
      <c r="U950" s="422"/>
      <c r="V950" s="422"/>
      <c r="W950" s="422"/>
      <c r="X950" s="422"/>
      <c r="Y950" s="422"/>
    </row>
    <row r="951" ht="12.75" customHeight="1">
      <c r="A951" s="422"/>
      <c r="B951" s="422"/>
      <c r="C951" s="422"/>
      <c r="D951" s="422"/>
      <c r="E951" s="431"/>
      <c r="F951" s="422"/>
      <c r="G951" s="422"/>
      <c r="H951" s="422"/>
      <c r="I951" s="422"/>
      <c r="J951" s="422"/>
      <c r="K951" s="422"/>
      <c r="L951" s="422"/>
      <c r="M951" s="422"/>
      <c r="N951" s="912"/>
      <c r="O951" s="422"/>
      <c r="P951" s="422"/>
      <c r="Q951" s="913"/>
      <c r="R951" s="422"/>
      <c r="S951" s="422"/>
      <c r="T951" s="422"/>
      <c r="U951" s="422"/>
      <c r="V951" s="422"/>
      <c r="W951" s="422"/>
      <c r="X951" s="422"/>
      <c r="Y951" s="422"/>
    </row>
    <row r="952" ht="12.75" customHeight="1">
      <c r="A952" s="422"/>
      <c r="B952" s="422"/>
      <c r="C952" s="422"/>
      <c r="D952" s="422"/>
      <c r="E952" s="431"/>
      <c r="F952" s="422"/>
      <c r="G952" s="422"/>
      <c r="H952" s="422"/>
      <c r="I952" s="422"/>
      <c r="J952" s="422"/>
      <c r="K952" s="422"/>
      <c r="L952" s="422"/>
      <c r="M952" s="422"/>
      <c r="N952" s="912"/>
      <c r="O952" s="422"/>
      <c r="P952" s="422"/>
      <c r="Q952" s="913"/>
      <c r="R952" s="422"/>
      <c r="S952" s="422"/>
      <c r="T952" s="422"/>
      <c r="U952" s="422"/>
      <c r="V952" s="422"/>
      <c r="W952" s="422"/>
      <c r="X952" s="422"/>
      <c r="Y952" s="422"/>
    </row>
    <row r="953" ht="12.75" customHeight="1">
      <c r="A953" s="422"/>
      <c r="B953" s="422"/>
      <c r="C953" s="422"/>
      <c r="D953" s="422"/>
      <c r="E953" s="431"/>
      <c r="F953" s="422"/>
      <c r="G953" s="422"/>
      <c r="H953" s="422"/>
      <c r="I953" s="422"/>
      <c r="J953" s="422"/>
      <c r="K953" s="422"/>
      <c r="L953" s="422"/>
      <c r="M953" s="422"/>
      <c r="N953" s="912"/>
      <c r="O953" s="422"/>
      <c r="P953" s="422"/>
      <c r="Q953" s="913"/>
      <c r="R953" s="422"/>
      <c r="S953" s="422"/>
      <c r="T953" s="422"/>
      <c r="U953" s="422"/>
      <c r="V953" s="422"/>
      <c r="W953" s="422"/>
      <c r="X953" s="422"/>
      <c r="Y953" s="422"/>
    </row>
    <row r="954" ht="12.75" customHeight="1">
      <c r="A954" s="422"/>
      <c r="B954" s="422"/>
      <c r="C954" s="422"/>
      <c r="D954" s="422"/>
      <c r="E954" s="431"/>
      <c r="F954" s="422"/>
      <c r="G954" s="422"/>
      <c r="H954" s="422"/>
      <c r="I954" s="422"/>
      <c r="J954" s="422"/>
      <c r="K954" s="422"/>
      <c r="L954" s="422"/>
      <c r="M954" s="422"/>
      <c r="N954" s="912"/>
      <c r="O954" s="422"/>
      <c r="P954" s="422"/>
      <c r="Q954" s="913"/>
      <c r="R954" s="422"/>
      <c r="S954" s="422"/>
      <c r="T954" s="422"/>
      <c r="U954" s="422"/>
      <c r="V954" s="422"/>
      <c r="W954" s="422"/>
      <c r="X954" s="422"/>
      <c r="Y954" s="422"/>
    </row>
    <row r="955" ht="12.75" customHeight="1">
      <c r="A955" s="422"/>
      <c r="B955" s="422"/>
      <c r="C955" s="422"/>
      <c r="D955" s="422"/>
      <c r="E955" s="431"/>
      <c r="F955" s="422"/>
      <c r="G955" s="422"/>
      <c r="H955" s="422"/>
      <c r="I955" s="422"/>
      <c r="J955" s="422"/>
      <c r="K955" s="422"/>
      <c r="L955" s="422"/>
      <c r="M955" s="422"/>
      <c r="N955" s="912"/>
      <c r="O955" s="422"/>
      <c r="P955" s="422"/>
      <c r="Q955" s="913"/>
      <c r="R955" s="422"/>
      <c r="S955" s="422"/>
      <c r="T955" s="422"/>
      <c r="U955" s="422"/>
      <c r="V955" s="422"/>
      <c r="W955" s="422"/>
      <c r="X955" s="422"/>
      <c r="Y955" s="422"/>
    </row>
    <row r="956" ht="12.75" customHeight="1">
      <c r="A956" s="422"/>
      <c r="B956" s="422"/>
      <c r="C956" s="422"/>
      <c r="D956" s="422"/>
      <c r="E956" s="431"/>
      <c r="F956" s="422"/>
      <c r="G956" s="422"/>
      <c r="H956" s="422"/>
      <c r="I956" s="422"/>
      <c r="J956" s="422"/>
      <c r="K956" s="422"/>
      <c r="L956" s="422"/>
      <c r="M956" s="422"/>
      <c r="N956" s="912"/>
      <c r="O956" s="422"/>
      <c r="P956" s="422"/>
      <c r="Q956" s="913"/>
      <c r="R956" s="422"/>
      <c r="S956" s="422"/>
      <c r="T956" s="422"/>
      <c r="U956" s="422"/>
      <c r="V956" s="422"/>
      <c r="W956" s="422"/>
      <c r="X956" s="422"/>
      <c r="Y956" s="422"/>
    </row>
    <row r="957" ht="12.75" customHeight="1">
      <c r="A957" s="422"/>
      <c r="B957" s="422"/>
      <c r="C957" s="422"/>
      <c r="D957" s="422"/>
      <c r="E957" s="431"/>
      <c r="F957" s="422"/>
      <c r="G957" s="422"/>
      <c r="H957" s="422"/>
      <c r="I957" s="422"/>
      <c r="J957" s="422"/>
      <c r="K957" s="422"/>
      <c r="L957" s="422"/>
      <c r="M957" s="422"/>
      <c r="N957" s="912"/>
      <c r="O957" s="422"/>
      <c r="P957" s="422"/>
      <c r="Q957" s="913"/>
      <c r="R957" s="422"/>
      <c r="S957" s="422"/>
      <c r="T957" s="422"/>
      <c r="U957" s="422"/>
      <c r="V957" s="422"/>
      <c r="W957" s="422"/>
      <c r="X957" s="422"/>
      <c r="Y957" s="422"/>
    </row>
    <row r="958" ht="12.75" customHeight="1">
      <c r="A958" s="422"/>
      <c r="B958" s="422"/>
      <c r="C958" s="422"/>
      <c r="D958" s="422"/>
      <c r="E958" s="431"/>
      <c r="F958" s="422"/>
      <c r="G958" s="422"/>
      <c r="H958" s="422"/>
      <c r="I958" s="422"/>
      <c r="J958" s="422"/>
      <c r="K958" s="422"/>
      <c r="L958" s="422"/>
      <c r="M958" s="422"/>
      <c r="N958" s="912"/>
      <c r="O958" s="422"/>
      <c r="P958" s="422"/>
      <c r="Q958" s="913"/>
      <c r="R958" s="422"/>
      <c r="S958" s="422"/>
      <c r="T958" s="422"/>
      <c r="U958" s="422"/>
      <c r="V958" s="422"/>
      <c r="W958" s="422"/>
      <c r="X958" s="422"/>
      <c r="Y958" s="422"/>
    </row>
    <row r="959" ht="12.75" customHeight="1">
      <c r="A959" s="422"/>
      <c r="B959" s="422"/>
      <c r="C959" s="422"/>
      <c r="D959" s="422"/>
      <c r="E959" s="431"/>
      <c r="F959" s="422"/>
      <c r="G959" s="422"/>
      <c r="H959" s="422"/>
      <c r="I959" s="422"/>
      <c r="J959" s="422"/>
      <c r="K959" s="422"/>
      <c r="L959" s="422"/>
      <c r="M959" s="422"/>
      <c r="N959" s="912"/>
      <c r="O959" s="422"/>
      <c r="P959" s="422"/>
      <c r="Q959" s="913"/>
      <c r="R959" s="422"/>
      <c r="S959" s="422"/>
      <c r="T959" s="422"/>
      <c r="U959" s="422"/>
      <c r="V959" s="422"/>
      <c r="W959" s="422"/>
      <c r="X959" s="422"/>
      <c r="Y959" s="422"/>
    </row>
    <row r="960" ht="12.75" customHeight="1">
      <c r="A960" s="422"/>
      <c r="B960" s="422"/>
      <c r="C960" s="422"/>
      <c r="D960" s="422"/>
      <c r="E960" s="431"/>
      <c r="F960" s="422"/>
      <c r="G960" s="422"/>
      <c r="H960" s="422"/>
      <c r="I960" s="422"/>
      <c r="J960" s="422"/>
      <c r="K960" s="422"/>
      <c r="L960" s="422"/>
      <c r="M960" s="422"/>
      <c r="N960" s="912"/>
      <c r="O960" s="422"/>
      <c r="P960" s="422"/>
      <c r="Q960" s="913"/>
      <c r="R960" s="422"/>
      <c r="S960" s="422"/>
      <c r="T960" s="422"/>
      <c r="U960" s="422"/>
      <c r="V960" s="422"/>
      <c r="W960" s="422"/>
      <c r="X960" s="422"/>
      <c r="Y960" s="422"/>
    </row>
    <row r="961" ht="12.75" customHeight="1">
      <c r="A961" s="422"/>
      <c r="B961" s="422"/>
      <c r="C961" s="422"/>
      <c r="D961" s="422"/>
      <c r="E961" s="431"/>
      <c r="F961" s="422"/>
      <c r="G961" s="422"/>
      <c r="H961" s="422"/>
      <c r="I961" s="422"/>
      <c r="J961" s="422"/>
      <c r="K961" s="422"/>
      <c r="L961" s="422"/>
      <c r="M961" s="422"/>
      <c r="N961" s="912"/>
      <c r="O961" s="422"/>
      <c r="P961" s="422"/>
      <c r="Q961" s="913"/>
      <c r="R961" s="422"/>
      <c r="S961" s="422"/>
      <c r="T961" s="422"/>
      <c r="U961" s="422"/>
      <c r="V961" s="422"/>
      <c r="W961" s="422"/>
      <c r="X961" s="422"/>
      <c r="Y961" s="422"/>
    </row>
    <row r="962" ht="12.75" customHeight="1">
      <c r="A962" s="422"/>
      <c r="B962" s="422"/>
      <c r="C962" s="422"/>
      <c r="D962" s="422"/>
      <c r="E962" s="431"/>
      <c r="F962" s="422"/>
      <c r="G962" s="422"/>
      <c r="H962" s="422"/>
      <c r="I962" s="422"/>
      <c r="J962" s="422"/>
      <c r="K962" s="422"/>
      <c r="L962" s="422"/>
      <c r="M962" s="422"/>
      <c r="N962" s="912"/>
      <c r="O962" s="422"/>
      <c r="P962" s="422"/>
      <c r="Q962" s="913"/>
      <c r="R962" s="422"/>
      <c r="S962" s="422"/>
      <c r="T962" s="422"/>
      <c r="U962" s="422"/>
      <c r="V962" s="422"/>
      <c r="W962" s="422"/>
      <c r="X962" s="422"/>
      <c r="Y962" s="422"/>
    </row>
    <row r="963" ht="12.75" customHeight="1">
      <c r="A963" s="422"/>
      <c r="B963" s="422"/>
      <c r="C963" s="422"/>
      <c r="D963" s="422"/>
      <c r="E963" s="431"/>
      <c r="F963" s="422"/>
      <c r="G963" s="422"/>
      <c r="H963" s="422"/>
      <c r="I963" s="422"/>
      <c r="J963" s="422"/>
      <c r="K963" s="422"/>
      <c r="L963" s="422"/>
      <c r="M963" s="422"/>
      <c r="N963" s="912"/>
      <c r="O963" s="422"/>
      <c r="P963" s="422"/>
      <c r="Q963" s="913"/>
      <c r="R963" s="422"/>
      <c r="S963" s="422"/>
      <c r="T963" s="422"/>
      <c r="U963" s="422"/>
      <c r="V963" s="422"/>
      <c r="W963" s="422"/>
      <c r="X963" s="422"/>
      <c r="Y963" s="422"/>
    </row>
    <row r="964" ht="12.75" customHeight="1">
      <c r="A964" s="422"/>
      <c r="B964" s="422"/>
      <c r="C964" s="422"/>
      <c r="D964" s="422"/>
      <c r="E964" s="431"/>
      <c r="F964" s="422"/>
      <c r="G964" s="422"/>
      <c r="H964" s="422"/>
      <c r="I964" s="422"/>
      <c r="J964" s="422"/>
      <c r="K964" s="422"/>
      <c r="L964" s="422"/>
      <c r="M964" s="422"/>
      <c r="N964" s="912"/>
      <c r="O964" s="422"/>
      <c r="P964" s="422"/>
      <c r="Q964" s="913"/>
      <c r="R964" s="422"/>
      <c r="S964" s="422"/>
      <c r="T964" s="422"/>
      <c r="U964" s="422"/>
      <c r="V964" s="422"/>
      <c r="W964" s="422"/>
      <c r="X964" s="422"/>
      <c r="Y964" s="422"/>
    </row>
    <row r="965" ht="12.75" customHeight="1">
      <c r="A965" s="422"/>
      <c r="B965" s="422"/>
      <c r="C965" s="422"/>
      <c r="D965" s="422"/>
      <c r="E965" s="431"/>
      <c r="F965" s="422"/>
      <c r="G965" s="422"/>
      <c r="H965" s="422"/>
      <c r="I965" s="422"/>
      <c r="J965" s="422"/>
      <c r="K965" s="422"/>
      <c r="L965" s="422"/>
      <c r="M965" s="422"/>
      <c r="N965" s="912"/>
      <c r="O965" s="422"/>
      <c r="P965" s="422"/>
      <c r="Q965" s="913"/>
      <c r="R965" s="422"/>
      <c r="S965" s="422"/>
      <c r="T965" s="422"/>
      <c r="U965" s="422"/>
      <c r="V965" s="422"/>
      <c r="W965" s="422"/>
      <c r="X965" s="422"/>
      <c r="Y965" s="422"/>
    </row>
    <row r="966" ht="12.75" customHeight="1">
      <c r="A966" s="422"/>
      <c r="B966" s="422"/>
      <c r="C966" s="422"/>
      <c r="D966" s="422"/>
      <c r="E966" s="431"/>
      <c r="F966" s="422"/>
      <c r="G966" s="422"/>
      <c r="H966" s="422"/>
      <c r="I966" s="422"/>
      <c r="J966" s="422"/>
      <c r="K966" s="422"/>
      <c r="L966" s="422"/>
      <c r="M966" s="422"/>
      <c r="N966" s="912"/>
      <c r="O966" s="422"/>
      <c r="P966" s="422"/>
      <c r="Q966" s="913"/>
      <c r="R966" s="422"/>
      <c r="S966" s="422"/>
      <c r="T966" s="422"/>
      <c r="U966" s="422"/>
      <c r="V966" s="422"/>
      <c r="W966" s="422"/>
      <c r="X966" s="422"/>
      <c r="Y966" s="422"/>
    </row>
    <row r="967" ht="12.75" customHeight="1">
      <c r="A967" s="422"/>
      <c r="B967" s="422"/>
      <c r="C967" s="422"/>
      <c r="D967" s="422"/>
      <c r="E967" s="431"/>
      <c r="F967" s="422"/>
      <c r="G967" s="422"/>
      <c r="H967" s="422"/>
      <c r="I967" s="422"/>
      <c r="J967" s="422"/>
      <c r="K967" s="422"/>
      <c r="L967" s="422"/>
      <c r="M967" s="422"/>
      <c r="N967" s="912"/>
      <c r="O967" s="422"/>
      <c r="P967" s="422"/>
      <c r="Q967" s="913"/>
      <c r="R967" s="422"/>
      <c r="S967" s="422"/>
      <c r="T967" s="422"/>
      <c r="U967" s="422"/>
      <c r="V967" s="422"/>
      <c r="W967" s="422"/>
      <c r="X967" s="422"/>
      <c r="Y967" s="422"/>
    </row>
    <row r="968" ht="12.75" customHeight="1">
      <c r="A968" s="422"/>
      <c r="B968" s="422"/>
      <c r="C968" s="422"/>
      <c r="D968" s="422"/>
      <c r="E968" s="431"/>
      <c r="F968" s="422"/>
      <c r="G968" s="422"/>
      <c r="H968" s="422"/>
      <c r="I968" s="422"/>
      <c r="J968" s="422"/>
      <c r="K968" s="422"/>
      <c r="L968" s="422"/>
      <c r="M968" s="422"/>
      <c r="N968" s="912"/>
      <c r="O968" s="422"/>
      <c r="P968" s="422"/>
      <c r="Q968" s="913"/>
      <c r="R968" s="422"/>
      <c r="S968" s="422"/>
      <c r="T968" s="422"/>
      <c r="U968" s="422"/>
      <c r="V968" s="422"/>
      <c r="W968" s="422"/>
      <c r="X968" s="422"/>
      <c r="Y968" s="422"/>
    </row>
    <row r="969" ht="12.75" customHeight="1">
      <c r="A969" s="422"/>
      <c r="B969" s="422"/>
      <c r="C969" s="422"/>
      <c r="D969" s="422"/>
      <c r="E969" s="431"/>
      <c r="F969" s="422"/>
      <c r="G969" s="422"/>
      <c r="H969" s="422"/>
      <c r="I969" s="422"/>
      <c r="J969" s="422"/>
      <c r="K969" s="422"/>
      <c r="L969" s="422"/>
      <c r="M969" s="422"/>
      <c r="N969" s="912"/>
      <c r="O969" s="422"/>
      <c r="P969" s="422"/>
      <c r="Q969" s="913"/>
      <c r="R969" s="422"/>
      <c r="S969" s="422"/>
      <c r="T969" s="422"/>
      <c r="U969" s="422"/>
      <c r="V969" s="422"/>
      <c r="W969" s="422"/>
      <c r="X969" s="422"/>
      <c r="Y969" s="422"/>
    </row>
    <row r="970" ht="12.75" customHeight="1">
      <c r="A970" s="422"/>
      <c r="B970" s="422"/>
      <c r="C970" s="422"/>
      <c r="D970" s="422"/>
      <c r="E970" s="431"/>
      <c r="F970" s="422"/>
      <c r="G970" s="422"/>
      <c r="H970" s="422"/>
      <c r="I970" s="422"/>
      <c r="J970" s="422"/>
      <c r="K970" s="422"/>
      <c r="L970" s="422"/>
      <c r="M970" s="422"/>
      <c r="N970" s="912"/>
      <c r="O970" s="422"/>
      <c r="P970" s="422"/>
      <c r="Q970" s="913"/>
      <c r="R970" s="422"/>
      <c r="S970" s="422"/>
      <c r="T970" s="422"/>
      <c r="U970" s="422"/>
      <c r="V970" s="422"/>
      <c r="W970" s="422"/>
      <c r="X970" s="422"/>
      <c r="Y970" s="422"/>
    </row>
    <row r="971" ht="12.75" customHeight="1">
      <c r="A971" s="422"/>
      <c r="B971" s="422"/>
      <c r="C971" s="422"/>
      <c r="D971" s="422"/>
      <c r="E971" s="431"/>
      <c r="F971" s="422"/>
      <c r="G971" s="422"/>
      <c r="H971" s="422"/>
      <c r="I971" s="422"/>
      <c r="J971" s="422"/>
      <c r="K971" s="422"/>
      <c r="L971" s="422"/>
      <c r="M971" s="422"/>
      <c r="N971" s="912"/>
      <c r="O971" s="422"/>
      <c r="P971" s="422"/>
      <c r="Q971" s="913"/>
      <c r="R971" s="422"/>
      <c r="S971" s="422"/>
      <c r="T971" s="422"/>
      <c r="U971" s="422"/>
      <c r="V971" s="422"/>
      <c r="W971" s="422"/>
      <c r="X971" s="422"/>
      <c r="Y971" s="422"/>
    </row>
    <row r="972" ht="12.75" customHeight="1">
      <c r="A972" s="422"/>
      <c r="B972" s="422"/>
      <c r="C972" s="422"/>
      <c r="D972" s="422"/>
      <c r="E972" s="431"/>
      <c r="F972" s="422"/>
      <c r="G972" s="422"/>
      <c r="H972" s="422"/>
      <c r="I972" s="422"/>
      <c r="J972" s="422"/>
      <c r="K972" s="422"/>
      <c r="L972" s="422"/>
      <c r="M972" s="422"/>
      <c r="N972" s="912"/>
      <c r="O972" s="422"/>
      <c r="P972" s="422"/>
      <c r="Q972" s="913"/>
      <c r="R972" s="422"/>
      <c r="S972" s="422"/>
      <c r="T972" s="422"/>
      <c r="U972" s="422"/>
      <c r="V972" s="422"/>
      <c r="W972" s="422"/>
      <c r="X972" s="422"/>
      <c r="Y972" s="422"/>
    </row>
    <row r="973" ht="12.75" customHeight="1">
      <c r="A973" s="422"/>
      <c r="B973" s="422"/>
      <c r="C973" s="422"/>
      <c r="D973" s="422"/>
      <c r="E973" s="431"/>
      <c r="F973" s="422"/>
      <c r="G973" s="422"/>
      <c r="H973" s="422"/>
      <c r="I973" s="422"/>
      <c r="J973" s="422"/>
      <c r="K973" s="422"/>
      <c r="L973" s="422"/>
      <c r="M973" s="422"/>
      <c r="N973" s="912"/>
      <c r="O973" s="422"/>
      <c r="P973" s="422"/>
      <c r="Q973" s="913"/>
      <c r="R973" s="422"/>
      <c r="S973" s="422"/>
      <c r="T973" s="422"/>
      <c r="U973" s="422"/>
      <c r="V973" s="422"/>
      <c r="W973" s="422"/>
      <c r="X973" s="422"/>
      <c r="Y973" s="422"/>
    </row>
    <row r="974" ht="12.75" customHeight="1">
      <c r="A974" s="422"/>
      <c r="B974" s="422"/>
      <c r="C974" s="422"/>
      <c r="D974" s="422"/>
      <c r="E974" s="431"/>
      <c r="F974" s="422"/>
      <c r="G974" s="422"/>
      <c r="H974" s="422"/>
      <c r="I974" s="422"/>
      <c r="J974" s="422"/>
      <c r="K974" s="422"/>
      <c r="L974" s="422"/>
      <c r="M974" s="422"/>
      <c r="N974" s="912"/>
      <c r="O974" s="422"/>
      <c r="P974" s="422"/>
      <c r="Q974" s="913"/>
      <c r="R974" s="422"/>
      <c r="S974" s="422"/>
      <c r="T974" s="422"/>
      <c r="U974" s="422"/>
      <c r="V974" s="422"/>
      <c r="W974" s="422"/>
      <c r="X974" s="422"/>
      <c r="Y974" s="422"/>
    </row>
    <row r="975" ht="12.75" customHeight="1">
      <c r="A975" s="422"/>
      <c r="B975" s="422"/>
      <c r="C975" s="422"/>
      <c r="D975" s="422"/>
      <c r="E975" s="431"/>
      <c r="F975" s="422"/>
      <c r="G975" s="422"/>
      <c r="H975" s="422"/>
      <c r="I975" s="422"/>
      <c r="J975" s="422"/>
      <c r="K975" s="422"/>
      <c r="L975" s="422"/>
      <c r="M975" s="422"/>
      <c r="N975" s="912"/>
      <c r="O975" s="422"/>
      <c r="P975" s="422"/>
      <c r="Q975" s="913"/>
      <c r="R975" s="422"/>
      <c r="S975" s="422"/>
      <c r="T975" s="422"/>
      <c r="U975" s="422"/>
      <c r="V975" s="422"/>
      <c r="W975" s="422"/>
      <c r="X975" s="422"/>
      <c r="Y975" s="422"/>
    </row>
    <row r="976" ht="12.75" customHeight="1">
      <c r="A976" s="422"/>
      <c r="B976" s="422"/>
      <c r="C976" s="422"/>
      <c r="D976" s="422"/>
      <c r="E976" s="431"/>
      <c r="F976" s="422"/>
      <c r="G976" s="422"/>
      <c r="H976" s="422"/>
      <c r="I976" s="422"/>
      <c r="J976" s="422"/>
      <c r="K976" s="422"/>
      <c r="L976" s="422"/>
      <c r="M976" s="422"/>
      <c r="N976" s="912"/>
      <c r="O976" s="422"/>
      <c r="P976" s="422"/>
      <c r="Q976" s="913"/>
      <c r="R976" s="422"/>
      <c r="S976" s="422"/>
      <c r="T976" s="422"/>
      <c r="U976" s="422"/>
      <c r="V976" s="422"/>
      <c r="W976" s="422"/>
      <c r="X976" s="422"/>
      <c r="Y976" s="422"/>
    </row>
    <row r="977" ht="12.75" customHeight="1">
      <c r="A977" s="422"/>
      <c r="B977" s="422"/>
      <c r="C977" s="422"/>
      <c r="D977" s="422"/>
      <c r="E977" s="431"/>
      <c r="F977" s="422"/>
      <c r="G977" s="422"/>
      <c r="H977" s="422"/>
      <c r="I977" s="422"/>
      <c r="J977" s="422"/>
      <c r="K977" s="422"/>
      <c r="L977" s="422"/>
      <c r="M977" s="422"/>
      <c r="N977" s="912"/>
      <c r="O977" s="422"/>
      <c r="P977" s="422"/>
      <c r="Q977" s="913"/>
      <c r="R977" s="422"/>
      <c r="S977" s="422"/>
      <c r="T977" s="422"/>
      <c r="U977" s="422"/>
      <c r="V977" s="422"/>
      <c r="W977" s="422"/>
      <c r="X977" s="422"/>
      <c r="Y977" s="422"/>
    </row>
    <row r="978" ht="12.75" customHeight="1">
      <c r="A978" s="422"/>
      <c r="B978" s="422"/>
      <c r="C978" s="422"/>
      <c r="D978" s="422"/>
      <c r="E978" s="431"/>
      <c r="F978" s="422"/>
      <c r="G978" s="422"/>
      <c r="H978" s="422"/>
      <c r="I978" s="422"/>
      <c r="J978" s="422"/>
      <c r="K978" s="422"/>
      <c r="L978" s="422"/>
      <c r="M978" s="422"/>
      <c r="N978" s="912"/>
      <c r="O978" s="422"/>
      <c r="P978" s="422"/>
      <c r="Q978" s="913"/>
      <c r="R978" s="422"/>
      <c r="S978" s="422"/>
      <c r="T978" s="422"/>
      <c r="U978" s="422"/>
      <c r="V978" s="422"/>
      <c r="W978" s="422"/>
      <c r="X978" s="422"/>
      <c r="Y978" s="422"/>
    </row>
    <row r="979" ht="12.75" customHeight="1">
      <c r="A979" s="422"/>
      <c r="B979" s="422"/>
      <c r="C979" s="422"/>
      <c r="D979" s="422"/>
      <c r="E979" s="431"/>
      <c r="F979" s="422"/>
      <c r="G979" s="422"/>
      <c r="H979" s="422"/>
      <c r="I979" s="422"/>
      <c r="J979" s="422"/>
      <c r="K979" s="422"/>
      <c r="L979" s="422"/>
      <c r="M979" s="422"/>
      <c r="N979" s="912"/>
      <c r="O979" s="422"/>
      <c r="P979" s="422"/>
      <c r="Q979" s="913"/>
      <c r="R979" s="422"/>
      <c r="S979" s="422"/>
      <c r="T979" s="422"/>
      <c r="U979" s="422"/>
      <c r="V979" s="422"/>
      <c r="W979" s="422"/>
      <c r="X979" s="422"/>
      <c r="Y979" s="422"/>
    </row>
    <row r="980" ht="12.75" customHeight="1">
      <c r="A980" s="422"/>
      <c r="B980" s="422"/>
      <c r="C980" s="422"/>
      <c r="D980" s="422"/>
      <c r="E980" s="431"/>
      <c r="F980" s="422"/>
      <c r="G980" s="422"/>
      <c r="H980" s="422"/>
      <c r="I980" s="422"/>
      <c r="J980" s="422"/>
      <c r="K980" s="422"/>
      <c r="L980" s="422"/>
      <c r="M980" s="422"/>
      <c r="N980" s="912"/>
      <c r="O980" s="422"/>
      <c r="P980" s="422"/>
      <c r="Q980" s="913"/>
      <c r="R980" s="422"/>
      <c r="S980" s="422"/>
      <c r="T980" s="422"/>
      <c r="U980" s="422"/>
      <c r="V980" s="422"/>
      <c r="W980" s="422"/>
      <c r="X980" s="422"/>
      <c r="Y980" s="422"/>
    </row>
    <row r="981" ht="12.75" customHeight="1">
      <c r="A981" s="422"/>
      <c r="B981" s="422"/>
      <c r="C981" s="422"/>
      <c r="D981" s="422"/>
      <c r="E981" s="431"/>
      <c r="F981" s="422"/>
      <c r="G981" s="422"/>
      <c r="H981" s="422"/>
      <c r="I981" s="422"/>
      <c r="J981" s="422"/>
      <c r="K981" s="422"/>
      <c r="L981" s="422"/>
      <c r="M981" s="422"/>
      <c r="N981" s="912"/>
      <c r="O981" s="422"/>
      <c r="P981" s="422"/>
      <c r="Q981" s="913"/>
      <c r="R981" s="422"/>
      <c r="S981" s="422"/>
      <c r="T981" s="422"/>
      <c r="U981" s="422"/>
      <c r="V981" s="422"/>
      <c r="W981" s="422"/>
      <c r="X981" s="422"/>
      <c r="Y981" s="422"/>
    </row>
    <row r="982" ht="12.75" customHeight="1">
      <c r="A982" s="422"/>
      <c r="B982" s="422"/>
      <c r="C982" s="422"/>
      <c r="D982" s="422"/>
      <c r="E982" s="431"/>
      <c r="F982" s="422"/>
      <c r="G982" s="422"/>
      <c r="H982" s="422"/>
      <c r="I982" s="422"/>
      <c r="J982" s="422"/>
      <c r="K982" s="422"/>
      <c r="L982" s="422"/>
      <c r="M982" s="422"/>
      <c r="N982" s="912"/>
      <c r="O982" s="422"/>
      <c r="P982" s="422"/>
      <c r="Q982" s="913"/>
      <c r="R982" s="422"/>
      <c r="S982" s="422"/>
      <c r="T982" s="422"/>
      <c r="U982" s="422"/>
      <c r="V982" s="422"/>
      <c r="W982" s="422"/>
      <c r="X982" s="422"/>
      <c r="Y982" s="422"/>
    </row>
    <row r="983" ht="12.75" customHeight="1">
      <c r="A983" s="422"/>
      <c r="B983" s="422"/>
      <c r="C983" s="422"/>
      <c r="D983" s="422"/>
      <c r="E983" s="431"/>
      <c r="F983" s="422"/>
      <c r="G983" s="422"/>
      <c r="H983" s="422"/>
      <c r="I983" s="422"/>
      <c r="J983" s="422"/>
      <c r="K983" s="422"/>
      <c r="L983" s="422"/>
      <c r="M983" s="422"/>
      <c r="N983" s="912"/>
      <c r="O983" s="422"/>
      <c r="P983" s="422"/>
      <c r="Q983" s="913"/>
      <c r="R983" s="422"/>
      <c r="S983" s="422"/>
      <c r="T983" s="422"/>
      <c r="U983" s="422"/>
      <c r="V983" s="422"/>
      <c r="W983" s="422"/>
      <c r="X983" s="422"/>
      <c r="Y983" s="422"/>
    </row>
    <row r="984" ht="12.75" customHeight="1">
      <c r="A984" s="422"/>
      <c r="B984" s="422"/>
      <c r="C984" s="422"/>
      <c r="D984" s="422"/>
      <c r="E984" s="431"/>
      <c r="F984" s="422"/>
      <c r="G984" s="422"/>
      <c r="H984" s="422"/>
      <c r="I984" s="422"/>
      <c r="J984" s="422"/>
      <c r="K984" s="422"/>
      <c r="L984" s="422"/>
      <c r="M984" s="422"/>
      <c r="N984" s="912"/>
      <c r="O984" s="422"/>
      <c r="P984" s="422"/>
      <c r="Q984" s="913"/>
      <c r="R984" s="422"/>
      <c r="S984" s="422"/>
      <c r="T984" s="422"/>
      <c r="U984" s="422"/>
      <c r="V984" s="422"/>
      <c r="W984" s="422"/>
      <c r="X984" s="422"/>
      <c r="Y984" s="422"/>
    </row>
    <row r="985" ht="12.75" customHeight="1">
      <c r="A985" s="422"/>
      <c r="B985" s="422"/>
      <c r="C985" s="422"/>
      <c r="D985" s="422"/>
      <c r="E985" s="431"/>
      <c r="F985" s="422"/>
      <c r="G985" s="422"/>
      <c r="H985" s="422"/>
      <c r="I985" s="422"/>
      <c r="J985" s="422"/>
      <c r="K985" s="422"/>
      <c r="L985" s="422"/>
      <c r="M985" s="422"/>
      <c r="N985" s="912"/>
      <c r="O985" s="422"/>
      <c r="P985" s="422"/>
      <c r="Q985" s="913"/>
      <c r="R985" s="422"/>
      <c r="S985" s="422"/>
      <c r="T985" s="422"/>
      <c r="U985" s="422"/>
      <c r="V985" s="422"/>
      <c r="W985" s="422"/>
      <c r="X985" s="422"/>
      <c r="Y985" s="422"/>
    </row>
    <row r="986" ht="12.75" customHeight="1">
      <c r="A986" s="422"/>
      <c r="B986" s="422"/>
      <c r="C986" s="422"/>
      <c r="D986" s="422"/>
      <c r="E986" s="431"/>
      <c r="F986" s="422"/>
      <c r="G986" s="422"/>
      <c r="H986" s="422"/>
      <c r="I986" s="422"/>
      <c r="J986" s="422"/>
      <c r="K986" s="422"/>
      <c r="L986" s="422"/>
      <c r="M986" s="422"/>
      <c r="N986" s="912"/>
      <c r="O986" s="422"/>
      <c r="P986" s="422"/>
      <c r="Q986" s="913"/>
      <c r="R986" s="422"/>
      <c r="S986" s="422"/>
      <c r="T986" s="422"/>
      <c r="U986" s="422"/>
      <c r="V986" s="422"/>
      <c r="W986" s="422"/>
      <c r="X986" s="422"/>
      <c r="Y986" s="422"/>
    </row>
    <row r="987" ht="12.75" customHeight="1">
      <c r="A987" s="422"/>
      <c r="B987" s="422"/>
      <c r="C987" s="422"/>
      <c r="D987" s="422"/>
      <c r="E987" s="431"/>
      <c r="F987" s="422"/>
      <c r="G987" s="422"/>
      <c r="H987" s="422"/>
      <c r="I987" s="422"/>
      <c r="J987" s="422"/>
      <c r="K987" s="422"/>
      <c r="L987" s="422"/>
      <c r="M987" s="422"/>
      <c r="N987" s="912"/>
      <c r="O987" s="422"/>
      <c r="P987" s="422"/>
      <c r="Q987" s="913"/>
      <c r="R987" s="422"/>
      <c r="S987" s="422"/>
      <c r="T987" s="422"/>
      <c r="U987" s="422"/>
      <c r="V987" s="422"/>
      <c r="W987" s="422"/>
      <c r="X987" s="422"/>
      <c r="Y987" s="422"/>
    </row>
    <row r="988" ht="12.75" customHeight="1">
      <c r="A988" s="422"/>
      <c r="B988" s="422"/>
      <c r="C988" s="422"/>
      <c r="D988" s="422"/>
      <c r="E988" s="431"/>
      <c r="F988" s="422"/>
      <c r="G988" s="422"/>
      <c r="H988" s="422"/>
      <c r="I988" s="422"/>
      <c r="J988" s="422"/>
      <c r="K988" s="422"/>
      <c r="L988" s="422"/>
      <c r="M988" s="422"/>
      <c r="N988" s="912"/>
      <c r="O988" s="422"/>
      <c r="P988" s="422"/>
      <c r="Q988" s="913"/>
      <c r="R988" s="422"/>
      <c r="S988" s="422"/>
      <c r="T988" s="422"/>
      <c r="U988" s="422"/>
      <c r="V988" s="422"/>
      <c r="W988" s="422"/>
      <c r="X988" s="422"/>
      <c r="Y988" s="422"/>
    </row>
    <row r="989" ht="12.75" customHeight="1">
      <c r="A989" s="422"/>
      <c r="B989" s="422"/>
      <c r="C989" s="422"/>
      <c r="D989" s="422"/>
      <c r="E989" s="431"/>
      <c r="F989" s="422"/>
      <c r="G989" s="422"/>
      <c r="H989" s="422"/>
      <c r="I989" s="422"/>
      <c r="J989" s="422"/>
      <c r="K989" s="422"/>
      <c r="L989" s="422"/>
      <c r="M989" s="422"/>
      <c r="N989" s="912"/>
      <c r="O989" s="422"/>
      <c r="P989" s="422"/>
      <c r="Q989" s="913"/>
      <c r="R989" s="422"/>
      <c r="S989" s="422"/>
      <c r="T989" s="422"/>
      <c r="U989" s="422"/>
      <c r="V989" s="422"/>
      <c r="W989" s="422"/>
      <c r="X989" s="422"/>
      <c r="Y989" s="422"/>
    </row>
    <row r="990" ht="12.75" customHeight="1">
      <c r="A990" s="422"/>
      <c r="B990" s="422"/>
      <c r="C990" s="422"/>
      <c r="D990" s="422"/>
      <c r="E990" s="431"/>
      <c r="F990" s="422"/>
      <c r="G990" s="422"/>
      <c r="H990" s="422"/>
      <c r="I990" s="422"/>
      <c r="J990" s="422"/>
      <c r="K990" s="422"/>
      <c r="L990" s="422"/>
      <c r="M990" s="422"/>
      <c r="N990" s="912"/>
      <c r="O990" s="422"/>
      <c r="P990" s="422"/>
      <c r="Q990" s="913"/>
      <c r="R990" s="422"/>
      <c r="S990" s="422"/>
      <c r="T990" s="422"/>
      <c r="U990" s="422"/>
      <c r="V990" s="422"/>
      <c r="W990" s="422"/>
      <c r="X990" s="422"/>
      <c r="Y990" s="422"/>
    </row>
    <row r="991" ht="12.75" customHeight="1">
      <c r="A991" s="422"/>
      <c r="B991" s="422"/>
      <c r="C991" s="422"/>
      <c r="D991" s="422"/>
      <c r="E991" s="431"/>
      <c r="F991" s="422"/>
      <c r="G991" s="422"/>
      <c r="H991" s="422"/>
      <c r="I991" s="422"/>
      <c r="J991" s="422"/>
      <c r="K991" s="422"/>
      <c r="L991" s="422"/>
      <c r="M991" s="422"/>
      <c r="N991" s="912"/>
      <c r="O991" s="422"/>
      <c r="P991" s="422"/>
      <c r="Q991" s="913"/>
      <c r="R991" s="422"/>
      <c r="S991" s="422"/>
      <c r="T991" s="422"/>
      <c r="U991" s="422"/>
      <c r="V991" s="422"/>
      <c r="W991" s="422"/>
      <c r="X991" s="422"/>
      <c r="Y991" s="422"/>
    </row>
  </sheetData>
  <mergeCells count="49">
    <mergeCell ref="S1:T1"/>
    <mergeCell ref="U1:Y1"/>
    <mergeCell ref="M3:P3"/>
    <mergeCell ref="L30:O30"/>
    <mergeCell ref="L40:O40"/>
    <mergeCell ref="C50:F50"/>
    <mergeCell ref="L50:P50"/>
    <mergeCell ref="C63:F63"/>
    <mergeCell ref="L63:P63"/>
    <mergeCell ref="C73:F73"/>
    <mergeCell ref="L73:O73"/>
    <mergeCell ref="B109:F109"/>
    <mergeCell ref="B124:F124"/>
    <mergeCell ref="L124:O124"/>
    <mergeCell ref="D205:F205"/>
    <mergeCell ref="M205:P205"/>
    <mergeCell ref="B221:F221"/>
    <mergeCell ref="I221:P221"/>
    <mergeCell ref="S221:T221"/>
    <mergeCell ref="I384:Q384"/>
    <mergeCell ref="S384:T384"/>
    <mergeCell ref="B384:F384"/>
    <mergeCell ref="D462:F462"/>
    <mergeCell ref="L462:O462"/>
    <mergeCell ref="C485:F485"/>
    <mergeCell ref="M485:O485"/>
    <mergeCell ref="C493:F493"/>
    <mergeCell ref="L493:O493"/>
    <mergeCell ref="D514:F514"/>
    <mergeCell ref="M514:O514"/>
    <mergeCell ref="D522:F522"/>
    <mergeCell ref="M522:O522"/>
    <mergeCell ref="E530:F530"/>
    <mergeCell ref="E539:F539"/>
    <mergeCell ref="M539:O539"/>
    <mergeCell ref="E673:F673"/>
    <mergeCell ref="M673:O673"/>
    <mergeCell ref="E788:F788"/>
    <mergeCell ref="I788:Q788"/>
    <mergeCell ref="S788:T788"/>
    <mergeCell ref="E806:F806"/>
    <mergeCell ref="M806:P806"/>
    <mergeCell ref="E547:F547"/>
    <mergeCell ref="M547:O547"/>
    <mergeCell ref="E576:F576"/>
    <mergeCell ref="M576:O576"/>
    <mergeCell ref="E606:F606"/>
    <mergeCell ref="I606:P606"/>
    <mergeCell ref="S606:T606"/>
  </mergeCells>
  <conditionalFormatting sqref="O1:O2 O4:O29 O31:O39 O41:O49 O51:O62 O64:O72 O74:O123 O125:O204 O206:O220 O222:O383 O385:O461 N461 O463:O484 O486:O492 O494:O513 O515:O521 O523:O538 O540:O546 O548:O575 O577:O605 O607:O672 O674:O787 O789:O805 O807:O842">
    <cfRule type="cellIs" dxfId="0" priority="1" operator="lessThan">
      <formula>0</formula>
    </cfRule>
  </conditionalFormatting>
  <conditionalFormatting sqref="N4:N29 N31:N39 N41:N49 N51:N62 N64:N72 N74:N108 N110:N123 N125:N204 N206:N220 N222:N383 N385:N461 N463:N484 N486:N492 N494:N513 N515:N521 N523:N529 N531:N538 N540:N546 N548:N575 N577:N605 N607:N672 N674:N787 N789:N805 N807:N842">
    <cfRule type="cellIs" dxfId="1" priority="2" operator="equal">
      <formula>$N$2</formula>
    </cfRule>
  </conditionalFormatting>
  <conditionalFormatting sqref="N4:N29 N31:N39 N41:N49 N51:N62 N64:N72 N74:N108 N110:N123 N125:N204 N206:N220 N222:N383 N385:N461 N463:N484 N486:N492 N494:N513 N515:N521 N523:N529 N531:N538 N540:N546 N548:N575 N577:N605 N607:N672 N674:N787 N789:N805 N807:N842">
    <cfRule type="cellIs" dxfId="2" priority="3" operator="notEqual">
      <formula>$N$2</formula>
    </cfRule>
  </conditionalFormatting>
  <conditionalFormatting sqref="E1:E49 E51:E62 E64:E72 E74:E108 E110:E123 E125:E204 E206:E220 E222:E383 E385:E460 E463:E484 E486:E492 E494:E513 E515:E521 E523:E529 E531:E538 E540:E546 E548:E575 E577:E605 E607:E672 E674:E787 E789:E805 E807:E991">
    <cfRule type="cellIs" dxfId="3" priority="4" operator="equal">
      <formula>0</formula>
    </cfRule>
  </conditionalFormatting>
  <hyperlinks>
    <hyperlink r:id="rId2" ref="P4"/>
    <hyperlink r:id="rId3" ref="P5"/>
    <hyperlink r:id="rId4" ref="P6"/>
    <hyperlink r:id="rId5" ref="P7"/>
    <hyperlink r:id="rId6" ref="P8"/>
    <hyperlink r:id="rId7" ref="P9"/>
    <hyperlink r:id="rId8" ref="P10"/>
    <hyperlink r:id="rId9" ref="P11"/>
    <hyperlink r:id="rId10" ref="P12"/>
    <hyperlink r:id="rId11" ref="P13"/>
    <hyperlink r:id="rId12" ref="P14"/>
    <hyperlink r:id="rId13" ref="P15"/>
    <hyperlink r:id="rId14" ref="P16"/>
    <hyperlink r:id="rId15" ref="P17"/>
    <hyperlink r:id="rId16" ref="Q20"/>
    <hyperlink r:id="rId17" ref="Q23"/>
    <hyperlink r:id="rId18" ref="P24"/>
    <hyperlink r:id="rId19" ref="P25"/>
    <hyperlink r:id="rId20" ref="P26"/>
    <hyperlink r:id="rId21" ref="P27"/>
    <hyperlink r:id="rId22" ref="P28"/>
    <hyperlink r:id="rId23" ref="P29"/>
    <hyperlink r:id="rId24" ref="P31"/>
    <hyperlink r:id="rId25" ref="P32"/>
    <hyperlink r:id="rId26" ref="P33"/>
    <hyperlink r:id="rId27" ref="P34"/>
    <hyperlink r:id="rId28" ref="P35"/>
    <hyperlink r:id="rId29" ref="P36"/>
    <hyperlink r:id="rId30" ref="P37"/>
    <hyperlink r:id="rId31" ref="P38"/>
    <hyperlink r:id="rId32" ref="P39"/>
    <hyperlink r:id="rId33" ref="P41"/>
    <hyperlink r:id="rId34" ref="P42"/>
    <hyperlink r:id="rId35" ref="P43"/>
    <hyperlink r:id="rId36" ref="P44"/>
    <hyperlink r:id="rId37" ref="P45"/>
    <hyperlink r:id="rId38" ref="P46"/>
    <hyperlink r:id="rId39" ref="P47"/>
    <hyperlink r:id="rId40" ref="P48"/>
    <hyperlink r:id="rId41" ref="P49"/>
    <hyperlink r:id="rId42" ref="P51"/>
    <hyperlink r:id="rId43" ref="P52"/>
    <hyperlink r:id="rId44" ref="P53"/>
    <hyperlink r:id="rId45" ref="P54"/>
    <hyperlink r:id="rId46" ref="P55"/>
    <hyperlink r:id="rId47" ref="P56"/>
    <hyperlink r:id="rId48" ref="P57"/>
    <hyperlink r:id="rId49" ref="P58"/>
    <hyperlink r:id="rId50" ref="P61"/>
    <hyperlink r:id="rId51" ref="Q61"/>
    <hyperlink r:id="rId52" ref="P62"/>
    <hyperlink r:id="rId53" ref="P64"/>
    <hyperlink r:id="rId54" ref="P66"/>
    <hyperlink r:id="rId55" ref="P67"/>
    <hyperlink r:id="rId56" ref="P68"/>
    <hyperlink r:id="rId57" ref="P69"/>
    <hyperlink r:id="rId58" ref="P70"/>
    <hyperlink r:id="rId59" ref="P71"/>
    <hyperlink r:id="rId60" ref="P72"/>
    <hyperlink r:id="rId61" ref="P74"/>
    <hyperlink r:id="rId62" ref="P75"/>
    <hyperlink r:id="rId63" ref="P76"/>
    <hyperlink r:id="rId64" ref="P77"/>
    <hyperlink r:id="rId65" ref="P78"/>
    <hyperlink r:id="rId66" ref="P79"/>
    <hyperlink r:id="rId67" ref="P80"/>
    <hyperlink r:id="rId68" ref="P81"/>
    <hyperlink r:id="rId69" ref="P82"/>
    <hyperlink r:id="rId70" ref="P83"/>
    <hyperlink r:id="rId71" ref="P84"/>
    <hyperlink r:id="rId72" ref="P85"/>
    <hyperlink r:id="rId73" ref="P91"/>
    <hyperlink r:id="rId74" ref="P92"/>
    <hyperlink r:id="rId75" ref="P93"/>
    <hyperlink r:id="rId76" ref="P94"/>
    <hyperlink r:id="rId77" ref="P95"/>
    <hyperlink r:id="rId78" ref="P96"/>
    <hyperlink r:id="rId79" ref="P97"/>
    <hyperlink r:id="rId80" ref="P98"/>
    <hyperlink r:id="rId81" ref="P99"/>
    <hyperlink r:id="rId82" ref="P100"/>
    <hyperlink r:id="rId83" ref="P102"/>
    <hyperlink r:id="rId84" ref="P103"/>
    <hyperlink r:id="rId85" ref="Q103"/>
    <hyperlink r:id="rId86" ref="P104"/>
    <hyperlink r:id="rId87" ref="P105"/>
    <hyperlink r:id="rId88" ref="P106"/>
    <hyperlink r:id="rId89" ref="P107"/>
    <hyperlink r:id="rId90" ref="P108"/>
    <hyperlink r:id="rId91" ref="P111"/>
    <hyperlink r:id="rId92" ref="P112"/>
    <hyperlink r:id="rId93" ref="P113"/>
    <hyperlink r:id="rId94" ref="S113"/>
    <hyperlink r:id="rId95" ref="P114"/>
    <hyperlink r:id="rId96" ref="P116"/>
    <hyperlink r:id="rId97" ref="P117"/>
    <hyperlink r:id="rId98" ref="P119"/>
    <hyperlink r:id="rId99" ref="P121"/>
    <hyperlink r:id="rId100" ref="P123"/>
    <hyperlink r:id="rId101" location=":~:text=AL%C3%87AP%C3%83O%20DE%20TECTO%20500x800%2077%2C50%E2%82%AC,600x1100%2090%2C63%E2%82%AC%20UN%20ACESSORIOS%20Placas" ref="Q146"/>
    <hyperlink r:id="rId102" ref="Q166"/>
    <hyperlink r:id="rId103" ref="P206"/>
    <hyperlink r:id="rId104" ref="P207"/>
    <hyperlink r:id="rId105" ref="P209"/>
    <hyperlink r:id="rId106" ref="P212"/>
    <hyperlink r:id="rId107" ref="P213"/>
    <hyperlink r:id="rId108" ref="P214"/>
    <hyperlink r:id="rId109" ref="P215"/>
    <hyperlink r:id="rId110" ref="P216"/>
    <hyperlink r:id="rId111" ref="P219"/>
    <hyperlink r:id="rId112" location="/2715-acabamento-metal_escuro/2717-comprimento-30_90_cm" ref="P222"/>
    <hyperlink r:id="rId113" ref="P224"/>
    <hyperlink r:id="rId114" ref="Q224"/>
    <hyperlink r:id="rId115" ref="P225"/>
    <hyperlink r:id="rId116" ref="P226"/>
    <hyperlink r:id="rId117" ref="P227"/>
    <hyperlink r:id="rId118" ref="P228"/>
    <hyperlink r:id="rId119" ref="P229"/>
    <hyperlink r:id="rId120" ref="P230"/>
    <hyperlink r:id="rId121" ref="P231"/>
    <hyperlink r:id="rId122" ref="P232"/>
    <hyperlink r:id="rId123" ref="P233"/>
    <hyperlink r:id="rId124" ref="P234"/>
    <hyperlink r:id="rId125" ref="P235"/>
    <hyperlink r:id="rId126" ref="P236"/>
    <hyperlink r:id="rId127" ref="P239"/>
    <hyperlink r:id="rId128" ref="P240"/>
    <hyperlink r:id="rId129" ref="P241"/>
    <hyperlink r:id="rId130" ref="P242"/>
    <hyperlink r:id="rId131" ref="P243"/>
    <hyperlink r:id="rId132" ref="P244"/>
    <hyperlink r:id="rId133" ref="P245"/>
    <hyperlink r:id="rId134" ref="P246"/>
    <hyperlink r:id="rId135" ref="P247"/>
    <hyperlink r:id="rId136" ref="P248"/>
    <hyperlink r:id="rId137" ref="P249"/>
    <hyperlink r:id="rId138" ref="P250"/>
    <hyperlink r:id="rId139" ref="P251"/>
    <hyperlink r:id="rId140" ref="P252"/>
    <hyperlink r:id="rId141" ref="P253"/>
    <hyperlink r:id="rId142" ref="P254"/>
    <hyperlink r:id="rId143" ref="P255"/>
    <hyperlink r:id="rId144" ref="P256"/>
    <hyperlink r:id="rId145" ref="P257"/>
    <hyperlink r:id="rId146" ref="P258"/>
    <hyperlink r:id="rId147" ref="P259"/>
    <hyperlink r:id="rId148" ref="P260"/>
    <hyperlink r:id="rId149" ref="P261"/>
    <hyperlink r:id="rId150" ref="P262"/>
    <hyperlink r:id="rId151" ref="P263"/>
    <hyperlink r:id="rId152" ref="P264"/>
    <hyperlink r:id="rId153" ref="P265"/>
    <hyperlink r:id="rId154" ref="P266"/>
    <hyperlink r:id="rId155" ref="P267"/>
    <hyperlink r:id="rId156" ref="P268"/>
    <hyperlink r:id="rId157" ref="P269"/>
    <hyperlink r:id="rId158" ref="P270"/>
    <hyperlink r:id="rId159" ref="P271"/>
    <hyperlink r:id="rId160" ref="P272"/>
    <hyperlink r:id="rId161" ref="P273"/>
    <hyperlink r:id="rId162" ref="P274"/>
    <hyperlink r:id="rId163" ref="P275"/>
    <hyperlink r:id="rId164" ref="P276"/>
    <hyperlink r:id="rId165" ref="P277"/>
    <hyperlink r:id="rId166" ref="P278"/>
    <hyperlink r:id="rId167" ref="P280"/>
    <hyperlink r:id="rId168" ref="P281"/>
    <hyperlink r:id="rId169" ref="P282"/>
    <hyperlink r:id="rId170" location=":~:text=Ralos%20de%20fundo%20Superpool" ref="P283"/>
    <hyperlink r:id="rId171" location=":~:text=No%20site%3A%20489%2C85%E2%82%AC%20%2F%20un" ref="P284"/>
    <hyperlink r:id="rId172" ref="P286"/>
    <hyperlink r:id="rId173" ref="P287"/>
    <hyperlink r:id="rId174" ref="P288"/>
    <hyperlink r:id="rId175" ref="P289"/>
    <hyperlink r:id="rId176" ref="P290"/>
    <hyperlink r:id="rId177" ref="P291"/>
    <hyperlink r:id="rId178" ref="P292"/>
    <hyperlink r:id="rId179" ref="P293"/>
    <hyperlink r:id="rId180" ref="P294"/>
    <hyperlink r:id="rId181" ref="P295"/>
    <hyperlink r:id="rId182" ref="P296"/>
    <hyperlink r:id="rId183" ref="P297"/>
    <hyperlink r:id="rId184" ref="P298"/>
    <hyperlink r:id="rId185" ref="P299"/>
    <hyperlink r:id="rId186" ref="P300"/>
    <hyperlink r:id="rId187" ref="P301"/>
    <hyperlink r:id="rId188" ref="P302"/>
    <hyperlink r:id="rId189" ref="P303"/>
    <hyperlink r:id="rId190" ref="P304"/>
    <hyperlink r:id="rId191" ref="P305"/>
    <hyperlink r:id="rId192" ref="P306"/>
    <hyperlink r:id="rId193" ref="P307"/>
    <hyperlink r:id="rId194" ref="P308"/>
    <hyperlink r:id="rId195" ref="P309"/>
    <hyperlink r:id="rId196" ref="P310"/>
    <hyperlink r:id="rId197" ref="P311"/>
    <hyperlink r:id="rId198" ref="P312"/>
    <hyperlink r:id="rId199" ref="P314"/>
    <hyperlink r:id="rId200" ref="P315"/>
    <hyperlink r:id="rId201" ref="P317"/>
    <hyperlink r:id="rId202" ref="P318"/>
    <hyperlink r:id="rId203" ref="P319"/>
    <hyperlink r:id="rId204" ref="P320"/>
    <hyperlink r:id="rId205" ref="P321"/>
    <hyperlink r:id="rId206" ref="P322"/>
    <hyperlink r:id="rId207" ref="P323"/>
    <hyperlink r:id="rId208" ref="P324"/>
    <hyperlink r:id="rId209" ref="P325"/>
    <hyperlink r:id="rId210" ref="P326"/>
    <hyperlink r:id="rId211" ref="P327"/>
    <hyperlink r:id="rId212" ref="P328"/>
    <hyperlink r:id="rId213" ref="P329"/>
    <hyperlink r:id="rId214" ref="P330"/>
    <hyperlink r:id="rId215" ref="P331"/>
    <hyperlink r:id="rId216" ref="P332"/>
    <hyperlink r:id="rId217" ref="P333"/>
    <hyperlink r:id="rId218" ref="P334"/>
    <hyperlink r:id="rId219" ref="P335"/>
    <hyperlink r:id="rId220" location="/218-med-1_f/321-mod-fix_3" ref="P336"/>
    <hyperlink r:id="rId221" ref="P337"/>
    <hyperlink r:id="rId222" ref="P338"/>
    <hyperlink r:id="rId223" ref="P339"/>
    <hyperlink r:id="rId224" ref="P340"/>
    <hyperlink r:id="rId225" ref="P341"/>
    <hyperlink r:id="rId226" ref="P342"/>
    <hyperlink r:id="rId227" ref="P343"/>
    <hyperlink r:id="rId228" ref="P344"/>
    <hyperlink r:id="rId229" ref="P345"/>
    <hyperlink r:id="rId230" ref="P346"/>
    <hyperlink r:id="rId231" ref="P347"/>
    <hyperlink r:id="rId232" ref="P348"/>
    <hyperlink r:id="rId233" ref="P349"/>
    <hyperlink r:id="rId234" ref="P350"/>
    <hyperlink r:id="rId235" ref="P351"/>
    <hyperlink r:id="rId236" ref="P352"/>
    <hyperlink r:id="rId237" ref="P353"/>
    <hyperlink r:id="rId238" ref="P354"/>
    <hyperlink r:id="rId239" ref="P355"/>
    <hyperlink r:id="rId240" ref="P356"/>
    <hyperlink r:id="rId241" ref="P357"/>
    <hyperlink r:id="rId242" ref="P358"/>
    <hyperlink r:id="rId243" ref="P359"/>
    <hyperlink r:id="rId244" ref="P360"/>
    <hyperlink r:id="rId245" ref="P361"/>
    <hyperlink r:id="rId246" ref="P362"/>
    <hyperlink r:id="rId247" ref="P363"/>
    <hyperlink r:id="rId248" ref="P364"/>
    <hyperlink r:id="rId249" ref="P365"/>
    <hyperlink r:id="rId250" ref="P366"/>
    <hyperlink r:id="rId251" ref="P367"/>
    <hyperlink r:id="rId252" ref="P368"/>
    <hyperlink r:id="rId253" ref="P369"/>
    <hyperlink r:id="rId254" ref="P370"/>
    <hyperlink r:id="rId255" ref="P371"/>
    <hyperlink r:id="rId256" ref="P372"/>
    <hyperlink r:id="rId257" ref="P373"/>
    <hyperlink r:id="rId258" ref="P374"/>
    <hyperlink r:id="rId259" ref="P375"/>
    <hyperlink r:id="rId260" ref="P378"/>
    <hyperlink r:id="rId261" ref="P379"/>
    <hyperlink r:id="rId262" ref="P380"/>
    <hyperlink r:id="rId263" ref="P381"/>
    <hyperlink r:id="rId264" ref="P382"/>
    <hyperlink r:id="rId265" ref="P383"/>
    <hyperlink r:id="rId266" ref="P385"/>
    <hyperlink r:id="rId267" ref="P386"/>
    <hyperlink r:id="rId268" ref="P387"/>
    <hyperlink r:id="rId269" ref="P388"/>
    <hyperlink r:id="rId270" ref="P389"/>
    <hyperlink r:id="rId271" ref="P390"/>
    <hyperlink r:id="rId272" ref="P391"/>
    <hyperlink r:id="rId273" ref="P392"/>
    <hyperlink r:id="rId274" ref="P393"/>
    <hyperlink r:id="rId275" ref="P394"/>
    <hyperlink r:id="rId276" ref="P395"/>
    <hyperlink r:id="rId277" ref="P396"/>
    <hyperlink r:id="rId278" ref="P397"/>
    <hyperlink r:id="rId279" ref="P398"/>
    <hyperlink r:id="rId280" ref="P399"/>
    <hyperlink r:id="rId281" ref="P400"/>
    <hyperlink r:id="rId282" ref="P401"/>
    <hyperlink r:id="rId283" ref="P402"/>
    <hyperlink r:id="rId284" ref="P403"/>
    <hyperlink r:id="rId285" ref="P404"/>
    <hyperlink r:id="rId286" ref="P405"/>
    <hyperlink r:id="rId287" ref="P406"/>
    <hyperlink r:id="rId288" ref="P407"/>
    <hyperlink r:id="rId289" ref="P408"/>
    <hyperlink r:id="rId290" ref="P409"/>
    <hyperlink r:id="rId291" ref="P410"/>
    <hyperlink r:id="rId292" ref="P411"/>
    <hyperlink r:id="rId293" ref="P412"/>
    <hyperlink r:id="rId294" ref="P413"/>
    <hyperlink r:id="rId295" ref="P414"/>
    <hyperlink r:id="rId296" ref="P415"/>
    <hyperlink r:id="rId297" ref="P416"/>
    <hyperlink r:id="rId298" ref="P417"/>
    <hyperlink r:id="rId299" ref="P418"/>
    <hyperlink r:id="rId300" ref="P419"/>
    <hyperlink r:id="rId301" ref="P420"/>
    <hyperlink r:id="rId302" ref="P421"/>
    <hyperlink r:id="rId303" ref="P422"/>
    <hyperlink r:id="rId304" ref="P423"/>
    <hyperlink r:id="rId305" ref="P424"/>
    <hyperlink r:id="rId306" ref="P425"/>
    <hyperlink r:id="rId307" ref="P426"/>
    <hyperlink r:id="rId308" ref="P427"/>
    <hyperlink r:id="rId309" ref="P428"/>
    <hyperlink r:id="rId310" ref="P429"/>
    <hyperlink r:id="rId311" ref="P430"/>
    <hyperlink r:id="rId312" ref="P431"/>
    <hyperlink r:id="rId313" ref="P432"/>
    <hyperlink r:id="rId314" ref="P433"/>
    <hyperlink r:id="rId315" ref="P434"/>
    <hyperlink r:id="rId316" ref="P435"/>
    <hyperlink r:id="rId317" ref="P436"/>
    <hyperlink r:id="rId318" ref="P437"/>
    <hyperlink r:id="rId319" ref="P438"/>
    <hyperlink r:id="rId320" ref="P439"/>
    <hyperlink r:id="rId321" ref="P440"/>
    <hyperlink r:id="rId322" ref="P441"/>
    <hyperlink r:id="rId323" ref="P442"/>
    <hyperlink r:id="rId324" ref="P443"/>
    <hyperlink r:id="rId325" ref="P444"/>
    <hyperlink r:id="rId326" ref="P445"/>
    <hyperlink r:id="rId327" ref="P447"/>
    <hyperlink r:id="rId328" ref="P448"/>
    <hyperlink r:id="rId329" ref="P449"/>
    <hyperlink r:id="rId330" ref="P450"/>
    <hyperlink r:id="rId331" ref="P451"/>
    <hyperlink r:id="rId332" ref="P452"/>
    <hyperlink r:id="rId333" ref="P453"/>
    <hyperlink r:id="rId334" ref="P454"/>
    <hyperlink r:id="rId335" ref="P455"/>
    <hyperlink r:id="rId336" ref="P456"/>
    <hyperlink r:id="rId337" ref="P457"/>
    <hyperlink r:id="rId338" ref="P458"/>
    <hyperlink r:id="rId339" ref="P459"/>
    <hyperlink r:id="rId340" ref="P460"/>
    <hyperlink r:id="rId341" ref="Q495"/>
  </hyperlinks>
  <printOptions/>
  <pageMargins bottom="0.75" footer="0.0" header="0.0" left="0.7" right="0.7" top="0.75"/>
  <pageSetup orientation="landscape"/>
  <drawing r:id="rId342"/>
  <legacyDrawing r:id="rId34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pageSetUpPr/>
  </sheetPr>
  <sheetViews>
    <sheetView workbookViewId="0"/>
  </sheetViews>
  <sheetFormatPr customHeight="1" defaultColWidth="12.63" defaultRowHeight="15.0" outlineLevelRow="3"/>
  <cols>
    <col customWidth="1" min="1" max="2" width="8.88"/>
    <col customWidth="1" min="3" max="3" width="67.75"/>
    <col customWidth="1" min="4" max="4" width="13.5"/>
    <col customWidth="1" min="5" max="5" width="9.75"/>
    <col customWidth="1" min="6" max="6" width="19.75"/>
    <col customWidth="1" min="7" max="7" width="19.63"/>
    <col customWidth="1" min="8" max="10" width="32.0"/>
    <col customWidth="1" min="11" max="11" width="12.0"/>
    <col customWidth="1" min="12" max="12" width="17.13"/>
    <col customWidth="1" min="13" max="26" width="11.0"/>
  </cols>
  <sheetData>
    <row r="1" ht="12.75" customHeight="1">
      <c r="A1" s="68" t="s">
        <v>1848</v>
      </c>
      <c r="B1" s="183" t="s">
        <v>1849</v>
      </c>
      <c r="C1" s="184" t="s">
        <v>11</v>
      </c>
      <c r="D1" s="68" t="s">
        <v>20</v>
      </c>
      <c r="E1" s="69" t="s">
        <v>21</v>
      </c>
      <c r="F1" s="185" t="s">
        <v>22</v>
      </c>
      <c r="G1" s="185" t="s">
        <v>7853</v>
      </c>
      <c r="H1" s="186" t="s">
        <v>7854</v>
      </c>
      <c r="I1" s="186"/>
      <c r="J1" s="186" t="s">
        <v>7855</v>
      </c>
      <c r="K1" s="186"/>
      <c r="L1" s="186"/>
    </row>
    <row r="2" ht="12.75" customHeight="1">
      <c r="A2" s="75"/>
      <c r="B2" s="75"/>
      <c r="C2" s="187"/>
      <c r="D2" s="75"/>
      <c r="E2" s="75"/>
      <c r="F2" s="188"/>
      <c r="G2" s="188"/>
      <c r="H2" s="76"/>
      <c r="I2" s="76"/>
      <c r="J2" s="76"/>
      <c r="K2" s="76"/>
      <c r="L2" s="76"/>
    </row>
    <row r="3" ht="12.75" customHeight="1">
      <c r="B3" s="189"/>
      <c r="C3" s="190"/>
      <c r="E3" s="79"/>
      <c r="F3" s="191"/>
      <c r="G3" s="191"/>
      <c r="H3" s="80"/>
      <c r="I3" s="80"/>
      <c r="J3" s="80"/>
      <c r="K3" s="80"/>
      <c r="L3" s="80"/>
    </row>
    <row r="4" ht="17.25" customHeight="1">
      <c r="A4" s="192"/>
      <c r="B4" s="83">
        <v>1.0</v>
      </c>
      <c r="C4" s="184" t="s">
        <v>30</v>
      </c>
      <c r="D4" s="193" t="str">
        <f>G8</f>
        <v/>
      </c>
      <c r="E4" s="194"/>
      <c r="F4" s="195"/>
      <c r="G4" s="196">
        <f>SUM(G10:G46)</f>
        <v>108116</v>
      </c>
      <c r="H4" s="197">
        <f>G4-('Orcamento RU'!C4+'Orcamento RU'!C2206)</f>
        <v>-70094.4</v>
      </c>
      <c r="I4" s="169"/>
      <c r="J4" s="169"/>
      <c r="K4" s="169"/>
      <c r="L4" s="169"/>
    </row>
    <row r="5" ht="12.75" customHeight="1" outlineLevel="1">
      <c r="B5" s="189"/>
      <c r="C5" s="190"/>
      <c r="E5" s="79"/>
      <c r="F5" s="191"/>
      <c r="G5" s="191"/>
      <c r="H5" s="80"/>
      <c r="I5" s="80"/>
      <c r="J5" s="80"/>
      <c r="K5" s="116"/>
      <c r="L5" s="116"/>
    </row>
    <row r="6" ht="12.75" customHeight="1" outlineLevel="1">
      <c r="B6" s="189"/>
      <c r="C6" s="184" t="s">
        <v>28</v>
      </c>
      <c r="E6" s="79"/>
      <c r="F6" s="917">
        <f>SUM(G10:G38)</f>
        <v>73616</v>
      </c>
      <c r="G6" s="191"/>
      <c r="H6" s="80"/>
      <c r="I6" s="80"/>
      <c r="J6" s="80"/>
      <c r="K6" s="116"/>
      <c r="L6" s="116"/>
    </row>
    <row r="7" ht="12.75" customHeight="1" outlineLevel="2">
      <c r="B7" s="189"/>
      <c r="C7" s="190"/>
      <c r="E7" s="79"/>
      <c r="F7" s="191"/>
      <c r="G7" s="191"/>
      <c r="H7" s="80"/>
      <c r="I7" s="80"/>
      <c r="J7" s="80"/>
      <c r="K7" s="116"/>
      <c r="L7" s="116"/>
    </row>
    <row r="8" ht="12.75" customHeight="1" outlineLevel="2">
      <c r="A8" s="130" t="s">
        <v>7856</v>
      </c>
      <c r="B8" s="198">
        <v>1.1</v>
      </c>
      <c r="C8" s="199" t="s">
        <v>32</v>
      </c>
      <c r="D8" s="130"/>
      <c r="F8" s="191"/>
      <c r="G8" s="200"/>
      <c r="H8" s="92"/>
      <c r="I8" s="92"/>
      <c r="J8" s="92"/>
      <c r="K8" s="154"/>
      <c r="L8" s="154"/>
    </row>
    <row r="9" ht="12.75" customHeight="1" outlineLevel="2">
      <c r="B9" s="189"/>
      <c r="C9" s="201"/>
      <c r="E9" s="79"/>
      <c r="F9" s="191"/>
      <c r="G9" s="191"/>
      <c r="H9" s="80"/>
      <c r="I9" s="80"/>
      <c r="J9" s="80"/>
      <c r="K9" s="116"/>
      <c r="L9" s="116"/>
    </row>
    <row r="10" ht="12.75" customHeight="1" outlineLevel="2">
      <c r="A10" s="130" t="s">
        <v>7857</v>
      </c>
      <c r="B10" s="198" t="s">
        <v>31</v>
      </c>
      <c r="C10" s="202" t="s">
        <v>6788</v>
      </c>
      <c r="D10" s="203" t="s">
        <v>161</v>
      </c>
      <c r="E10" s="204">
        <v>260.0</v>
      </c>
      <c r="F10" s="205">
        <v>100.0</v>
      </c>
      <c r="G10" s="206">
        <f>F10*E10</f>
        <v>26000</v>
      </c>
      <c r="H10" s="207" t="s">
        <v>7858</v>
      </c>
      <c r="I10" s="918"/>
      <c r="J10" s="918"/>
      <c r="K10" s="918"/>
      <c r="L10" s="918"/>
    </row>
    <row r="11" ht="12.75" customHeight="1" outlineLevel="2">
      <c r="A11" s="208"/>
      <c r="B11" s="209"/>
      <c r="C11" s="210"/>
      <c r="D11" s="208"/>
      <c r="E11" s="211"/>
      <c r="F11" s="212"/>
      <c r="G11" s="212"/>
      <c r="H11" s="213"/>
      <c r="I11" s="213"/>
      <c r="J11" s="213"/>
      <c r="K11" s="213"/>
      <c r="L11" s="213"/>
    </row>
    <row r="12" ht="12.75" customHeight="1" outlineLevel="2">
      <c r="A12" s="130" t="s">
        <v>7859</v>
      </c>
      <c r="B12" s="198" t="s">
        <v>1572</v>
      </c>
      <c r="C12" s="202" t="s">
        <v>6791</v>
      </c>
      <c r="D12" s="203" t="s">
        <v>33</v>
      </c>
      <c r="E12" s="214">
        <v>1.0</v>
      </c>
      <c r="F12" s="205">
        <v>800.0</v>
      </c>
      <c r="G12" s="206">
        <f>F12*E12</f>
        <v>800</v>
      </c>
      <c r="H12" s="215"/>
      <c r="I12" s="225"/>
      <c r="J12" s="225"/>
      <c r="K12" s="225"/>
      <c r="L12" s="225"/>
    </row>
    <row r="13" ht="12.75" customHeight="1" outlineLevel="2">
      <c r="A13" s="208"/>
      <c r="B13" s="216"/>
      <c r="C13" s="210"/>
      <c r="D13" s="208"/>
      <c r="E13" s="211"/>
      <c r="F13" s="212"/>
      <c r="G13" s="212"/>
      <c r="H13" s="213"/>
      <c r="I13" s="213"/>
      <c r="J13" s="213"/>
      <c r="K13" s="213"/>
      <c r="L13" s="213"/>
    </row>
    <row r="14" ht="12.75" customHeight="1" outlineLevel="2">
      <c r="A14" s="130" t="s">
        <v>7860</v>
      </c>
      <c r="B14" s="198" t="s">
        <v>1866</v>
      </c>
      <c r="C14" s="202" t="s">
        <v>7861</v>
      </c>
      <c r="D14" s="203" t="s">
        <v>33</v>
      </c>
      <c r="E14" s="214">
        <v>1.0</v>
      </c>
      <c r="F14" s="205">
        <v>120.0</v>
      </c>
      <c r="G14" s="206">
        <f>F14*E14</f>
        <v>120</v>
      </c>
      <c r="H14" s="215"/>
      <c r="I14" s="225"/>
      <c r="J14" s="225"/>
      <c r="K14" s="225"/>
      <c r="L14" s="225"/>
    </row>
    <row r="15" ht="12.75" customHeight="1" outlineLevel="2">
      <c r="A15" s="208"/>
      <c r="B15" s="217"/>
      <c r="C15" s="218"/>
      <c r="D15" s="208"/>
      <c r="E15" s="211"/>
      <c r="F15" s="212"/>
      <c r="G15" s="212"/>
      <c r="H15" s="213"/>
      <c r="I15" s="213"/>
      <c r="J15" s="213"/>
      <c r="K15" s="213"/>
      <c r="L15" s="213"/>
    </row>
    <row r="16" ht="12.75" customHeight="1" outlineLevel="2">
      <c r="A16" s="130" t="s">
        <v>7862</v>
      </c>
      <c r="B16" s="198" t="s">
        <v>1869</v>
      </c>
      <c r="C16" s="202" t="s">
        <v>6797</v>
      </c>
      <c r="D16" s="203" t="s">
        <v>7863</v>
      </c>
      <c r="E16" s="214">
        <v>18.0</v>
      </c>
      <c r="F16" s="205">
        <v>200.0</v>
      </c>
      <c r="G16" s="206">
        <f>F16*E16</f>
        <v>3600</v>
      </c>
      <c r="H16" s="219" t="s">
        <v>5570</v>
      </c>
      <c r="I16" s="240"/>
      <c r="J16" s="240"/>
      <c r="K16" s="240"/>
      <c r="L16" s="240"/>
    </row>
    <row r="17" ht="12.75" customHeight="1" outlineLevel="2">
      <c r="A17" s="208"/>
      <c r="B17" s="217"/>
      <c r="C17" s="218"/>
      <c r="D17" s="208"/>
      <c r="E17" s="211"/>
      <c r="F17" s="212"/>
      <c r="G17" s="212"/>
      <c r="H17" s="213"/>
      <c r="I17" s="213"/>
      <c r="J17" s="213"/>
      <c r="K17" s="213"/>
      <c r="L17" s="213"/>
    </row>
    <row r="18" ht="12.75" customHeight="1" outlineLevel="2">
      <c r="A18" s="130" t="s">
        <v>7864</v>
      </c>
      <c r="B18" s="198" t="s">
        <v>1874</v>
      </c>
      <c r="C18" s="202" t="s">
        <v>6800</v>
      </c>
      <c r="D18" s="203" t="s">
        <v>33</v>
      </c>
      <c r="E18" s="214">
        <v>1.0</v>
      </c>
      <c r="F18" s="205">
        <v>0.0</v>
      </c>
      <c r="G18" s="206">
        <f>F18*E18</f>
        <v>0</v>
      </c>
      <c r="H18" s="219" t="s">
        <v>5572</v>
      </c>
      <c r="I18" s="240"/>
      <c r="J18" s="240"/>
      <c r="K18" s="240"/>
      <c r="L18" s="240"/>
    </row>
    <row r="19" ht="12.75" customHeight="1" outlineLevel="2">
      <c r="A19" s="208"/>
      <c r="B19" s="217"/>
      <c r="C19" s="218"/>
      <c r="D19" s="208"/>
      <c r="E19" s="211"/>
      <c r="F19" s="220"/>
      <c r="G19" s="220"/>
      <c r="H19" s="221"/>
      <c r="I19" s="221"/>
      <c r="J19" s="221"/>
      <c r="K19" s="221"/>
      <c r="L19" s="221"/>
    </row>
    <row r="20" ht="12.75" customHeight="1" outlineLevel="2">
      <c r="A20" s="130" t="s">
        <v>7865</v>
      </c>
      <c r="B20" s="198" t="s">
        <v>1878</v>
      </c>
      <c r="C20" s="202" t="s">
        <v>6802</v>
      </c>
      <c r="D20" s="203" t="s">
        <v>33</v>
      </c>
      <c r="E20" s="214">
        <v>1.0</v>
      </c>
      <c r="F20" s="205">
        <v>5200.0</v>
      </c>
      <c r="G20" s="206">
        <f>F20*E20</f>
        <v>5200</v>
      </c>
      <c r="H20" s="219"/>
      <c r="I20" s="240"/>
      <c r="J20" s="240"/>
      <c r="K20" s="240"/>
      <c r="L20" s="240"/>
    </row>
    <row r="21" ht="12.75" customHeight="1" outlineLevel="2">
      <c r="A21" s="222"/>
      <c r="B21" s="217"/>
      <c r="C21" s="218"/>
      <c r="D21" s="208"/>
      <c r="E21" s="211"/>
      <c r="F21" s="212"/>
      <c r="G21" s="212"/>
      <c r="H21" s="213"/>
      <c r="I21" s="213"/>
      <c r="J21" s="213"/>
      <c r="K21" s="213"/>
      <c r="L21" s="213"/>
    </row>
    <row r="22" ht="12.75" customHeight="1" outlineLevel="2">
      <c r="A22" s="130" t="s">
        <v>7866</v>
      </c>
      <c r="B22" s="198" t="s">
        <v>1881</v>
      </c>
      <c r="C22" s="202" t="s">
        <v>6804</v>
      </c>
      <c r="D22" s="203" t="s">
        <v>7863</v>
      </c>
      <c r="E22" s="214">
        <v>18.0</v>
      </c>
      <c r="F22" s="205">
        <v>147.0</v>
      </c>
      <c r="G22" s="206">
        <f>F22*E22</f>
        <v>2646</v>
      </c>
      <c r="H22" s="219"/>
      <c r="I22" s="240"/>
      <c r="J22" s="240"/>
      <c r="K22" s="240"/>
      <c r="L22" s="240"/>
    </row>
    <row r="23" ht="12.75" customHeight="1" outlineLevel="2">
      <c r="A23" s="222"/>
      <c r="B23" s="209"/>
      <c r="C23" s="218"/>
      <c r="D23" s="222"/>
      <c r="E23" s="223"/>
      <c r="F23" s="224"/>
      <c r="G23" s="224"/>
      <c r="H23" s="225"/>
      <c r="I23" s="225"/>
      <c r="J23" s="225"/>
      <c r="K23" s="225"/>
      <c r="L23" s="225"/>
    </row>
    <row r="24" ht="12.75" customHeight="1" outlineLevel="2">
      <c r="A24" s="130" t="s">
        <v>7867</v>
      </c>
      <c r="B24" s="198" t="s">
        <v>1884</v>
      </c>
      <c r="C24" s="202" t="s">
        <v>6806</v>
      </c>
      <c r="D24" s="203" t="s">
        <v>33</v>
      </c>
      <c r="E24" s="214">
        <v>1.0</v>
      </c>
      <c r="F24" s="205">
        <v>1530.0</v>
      </c>
      <c r="G24" s="206">
        <f>F24*E24</f>
        <v>1530</v>
      </c>
      <c r="H24" s="219"/>
      <c r="I24" s="240"/>
      <c r="J24" s="240"/>
      <c r="K24" s="240"/>
      <c r="L24" s="240"/>
    </row>
    <row r="25" ht="12.75" customHeight="1" outlineLevel="2">
      <c r="A25" s="222"/>
      <c r="B25" s="217"/>
      <c r="C25" s="218"/>
      <c r="D25" s="222"/>
      <c r="E25" s="223"/>
      <c r="F25" s="224"/>
      <c r="G25" s="224"/>
      <c r="H25" s="225"/>
      <c r="I25" s="225"/>
      <c r="J25" s="225"/>
      <c r="K25" s="225"/>
      <c r="L25" s="225"/>
    </row>
    <row r="26" ht="12.75" customHeight="1" outlineLevel="2">
      <c r="A26" s="130" t="s">
        <v>7868</v>
      </c>
      <c r="B26" s="198" t="s">
        <v>1887</v>
      </c>
      <c r="C26" s="202" t="s">
        <v>6808</v>
      </c>
      <c r="D26" s="203" t="s">
        <v>7863</v>
      </c>
      <c r="E26" s="214">
        <v>18.0</v>
      </c>
      <c r="F26" s="205">
        <v>500.0</v>
      </c>
      <c r="G26" s="206">
        <f>F26*E26</f>
        <v>9000</v>
      </c>
      <c r="H26" s="219" t="s">
        <v>5577</v>
      </c>
      <c r="I26" s="240"/>
      <c r="J26" s="240"/>
      <c r="K26" s="240"/>
      <c r="L26" s="240"/>
    </row>
    <row r="27" ht="12.75" customHeight="1" outlineLevel="2">
      <c r="A27" s="222"/>
      <c r="B27" s="217"/>
      <c r="C27" s="218"/>
      <c r="D27" s="208"/>
      <c r="E27" s="211"/>
      <c r="F27" s="212"/>
      <c r="G27" s="212"/>
      <c r="H27" s="213"/>
      <c r="I27" s="213"/>
      <c r="J27" s="213"/>
      <c r="K27" s="213"/>
      <c r="L27" s="213"/>
    </row>
    <row r="28" ht="12.75" customHeight="1" outlineLevel="2">
      <c r="A28" s="130" t="s">
        <v>7869</v>
      </c>
      <c r="B28" s="198" t="s">
        <v>1891</v>
      </c>
      <c r="C28" s="202" t="s">
        <v>6810</v>
      </c>
      <c r="D28" s="203" t="s">
        <v>7863</v>
      </c>
      <c r="E28" s="214">
        <v>18.0</v>
      </c>
      <c r="F28" s="205">
        <v>390.0</v>
      </c>
      <c r="G28" s="206">
        <f>F28*E28</f>
        <v>7020</v>
      </c>
      <c r="H28" s="219" t="s">
        <v>5579</v>
      </c>
      <c r="I28" s="240"/>
      <c r="J28" s="240"/>
      <c r="K28" s="240"/>
      <c r="L28" s="240"/>
    </row>
    <row r="29" ht="12.75" customHeight="1" outlineLevel="2">
      <c r="A29" s="222"/>
      <c r="B29" s="209"/>
      <c r="C29" s="218"/>
      <c r="D29" s="208"/>
      <c r="E29" s="211"/>
      <c r="F29" s="212"/>
      <c r="G29" s="212"/>
      <c r="H29" s="213"/>
      <c r="I29" s="213"/>
      <c r="J29" s="213"/>
      <c r="K29" s="213"/>
      <c r="L29" s="213"/>
    </row>
    <row r="30" ht="12.75" customHeight="1" outlineLevel="2">
      <c r="A30" s="130" t="s">
        <v>7870</v>
      </c>
      <c r="B30" s="198" t="s">
        <v>1895</v>
      </c>
      <c r="C30" s="202" t="s">
        <v>6812</v>
      </c>
      <c r="D30" s="203" t="s">
        <v>7863</v>
      </c>
      <c r="E30" s="214">
        <v>18.0</v>
      </c>
      <c r="F30" s="205">
        <v>300.0</v>
      </c>
      <c r="G30" s="206">
        <f>F30*E30</f>
        <v>5400</v>
      </c>
      <c r="H30" s="219" t="s">
        <v>5570</v>
      </c>
      <c r="I30" s="240"/>
      <c r="J30" s="240"/>
      <c r="K30" s="240"/>
      <c r="L30" s="240"/>
    </row>
    <row r="31" ht="12.75" customHeight="1" outlineLevel="2">
      <c r="A31" s="208"/>
      <c r="B31" s="217"/>
      <c r="C31" s="218"/>
      <c r="D31" s="208"/>
      <c r="E31" s="211"/>
      <c r="F31" s="212"/>
      <c r="G31" s="212"/>
      <c r="H31" s="213"/>
      <c r="I31" s="213"/>
      <c r="J31" s="213"/>
      <c r="K31" s="213"/>
      <c r="L31" s="213"/>
    </row>
    <row r="32" ht="12.75" customHeight="1" outlineLevel="2">
      <c r="A32" s="130" t="s">
        <v>7871</v>
      </c>
      <c r="B32" s="198" t="s">
        <v>1898</v>
      </c>
      <c r="C32" s="202" t="s">
        <v>6814</v>
      </c>
      <c r="D32" s="203" t="s">
        <v>33</v>
      </c>
      <c r="E32" s="214">
        <v>1.0</v>
      </c>
      <c r="F32" s="205">
        <v>0.0</v>
      </c>
      <c r="G32" s="206">
        <f>F32*E32</f>
        <v>0</v>
      </c>
      <c r="H32" s="219" t="s">
        <v>5582</v>
      </c>
      <c r="I32" s="240"/>
      <c r="J32" s="240"/>
      <c r="K32" s="240"/>
      <c r="L32" s="240"/>
    </row>
    <row r="33" ht="12.75" customHeight="1" outlineLevel="2">
      <c r="A33" s="208"/>
      <c r="B33" s="209"/>
      <c r="C33" s="218"/>
      <c r="D33" s="208"/>
      <c r="E33" s="211"/>
      <c r="F33" s="212"/>
      <c r="G33" s="212"/>
      <c r="H33" s="226"/>
      <c r="I33" s="226"/>
      <c r="J33" s="226"/>
      <c r="K33" s="226"/>
      <c r="L33" s="226"/>
    </row>
    <row r="34" ht="12.75" customHeight="1" outlineLevel="2">
      <c r="A34" s="130" t="s">
        <v>7872</v>
      </c>
      <c r="B34" s="198" t="s">
        <v>1902</v>
      </c>
      <c r="C34" s="202" t="s">
        <v>6816</v>
      </c>
      <c r="D34" s="203" t="s">
        <v>7863</v>
      </c>
      <c r="E34" s="214">
        <v>18.0</v>
      </c>
      <c r="F34" s="205">
        <v>150.0</v>
      </c>
      <c r="G34" s="206">
        <f>F34*E34</f>
        <v>2700</v>
      </c>
      <c r="H34" s="219"/>
      <c r="I34" s="240"/>
      <c r="J34" s="240"/>
      <c r="K34" s="240"/>
      <c r="L34" s="240"/>
    </row>
    <row r="35" ht="12.75" customHeight="1" outlineLevel="2">
      <c r="A35" s="208"/>
      <c r="B35" s="217"/>
      <c r="C35" s="218"/>
      <c r="D35" s="208"/>
      <c r="E35" s="211"/>
      <c r="F35" s="212"/>
      <c r="G35" s="212"/>
      <c r="H35" s="226"/>
      <c r="I35" s="226"/>
      <c r="J35" s="226"/>
      <c r="K35" s="226"/>
      <c r="L35" s="226"/>
    </row>
    <row r="36" ht="12.75" customHeight="1" outlineLevel="2">
      <c r="A36" s="130" t="s">
        <v>7873</v>
      </c>
      <c r="B36" s="198" t="s">
        <v>1905</v>
      </c>
      <c r="C36" s="202" t="s">
        <v>6818</v>
      </c>
      <c r="D36" s="203" t="s">
        <v>7863</v>
      </c>
      <c r="E36" s="214">
        <v>18.0</v>
      </c>
      <c r="F36" s="205">
        <v>450.0</v>
      </c>
      <c r="G36" s="206">
        <f>F36*E36</f>
        <v>8100</v>
      </c>
      <c r="H36" s="219"/>
      <c r="I36" s="240"/>
      <c r="J36" s="240"/>
      <c r="K36" s="240"/>
      <c r="L36" s="240"/>
    </row>
    <row r="37" ht="12.75" customHeight="1" outlineLevel="2">
      <c r="A37" s="208"/>
      <c r="B37" s="217"/>
      <c r="C37" s="218"/>
      <c r="D37" s="208"/>
      <c r="E37" s="211"/>
      <c r="F37" s="212"/>
      <c r="G37" s="212"/>
      <c r="H37" s="226"/>
      <c r="I37" s="226"/>
      <c r="J37" s="226"/>
      <c r="K37" s="226"/>
      <c r="L37" s="226"/>
    </row>
    <row r="38" ht="12.75" customHeight="1" outlineLevel="2">
      <c r="A38" s="130" t="s">
        <v>7874</v>
      </c>
      <c r="B38" s="198" t="s">
        <v>1908</v>
      </c>
      <c r="C38" s="202" t="s">
        <v>6820</v>
      </c>
      <c r="D38" s="203" t="s">
        <v>33</v>
      </c>
      <c r="E38" s="214">
        <v>1.0</v>
      </c>
      <c r="F38" s="205">
        <v>1500.0</v>
      </c>
      <c r="G38" s="206">
        <f>F38*E38</f>
        <v>1500</v>
      </c>
      <c r="H38" s="219"/>
      <c r="I38" s="240"/>
      <c r="J38" s="240"/>
      <c r="K38" s="240"/>
      <c r="L38" s="240"/>
    </row>
    <row r="39" ht="12.75" customHeight="1" outlineLevel="2">
      <c r="A39" s="208"/>
      <c r="B39" s="217"/>
      <c r="C39" s="218"/>
      <c r="D39" s="208"/>
      <c r="E39" s="211"/>
      <c r="F39" s="212"/>
      <c r="G39" s="212"/>
      <c r="H39" s="226"/>
      <c r="I39" s="226"/>
      <c r="J39" s="226"/>
      <c r="K39" s="226"/>
      <c r="L39" s="226"/>
    </row>
    <row r="40" ht="12.75" customHeight="1" outlineLevel="1">
      <c r="A40" s="222"/>
      <c r="B40" s="217"/>
      <c r="C40" s="184" t="s">
        <v>5586</v>
      </c>
      <c r="D40" s="208"/>
      <c r="E40" s="211"/>
      <c r="F40" s="917">
        <f>SUM(G42:G46)</f>
        <v>34500</v>
      </c>
      <c r="G40" s="212"/>
      <c r="H40" s="226"/>
      <c r="I40" s="226"/>
      <c r="J40" s="226"/>
      <c r="K40" s="226"/>
      <c r="L40" s="226"/>
    </row>
    <row r="41" ht="12.75" customHeight="1" outlineLevel="2">
      <c r="A41" s="222"/>
      <c r="B41" s="217"/>
      <c r="D41" s="208"/>
      <c r="E41" s="211"/>
      <c r="F41" s="212"/>
      <c r="G41" s="212"/>
      <c r="H41" s="226"/>
      <c r="I41" s="226"/>
      <c r="J41" s="226"/>
      <c r="K41" s="226"/>
      <c r="L41" s="226"/>
    </row>
    <row r="42" ht="12.75" customHeight="1" outlineLevel="2">
      <c r="A42" s="208"/>
      <c r="B42" s="198" t="s">
        <v>1911</v>
      </c>
      <c r="C42" s="202" t="s">
        <v>6822</v>
      </c>
      <c r="D42" s="203" t="s">
        <v>33</v>
      </c>
      <c r="E42" s="214">
        <v>1.0</v>
      </c>
      <c r="F42" s="205">
        <v>0.0</v>
      </c>
      <c r="G42" s="206">
        <f>F42*E42</f>
        <v>0</v>
      </c>
      <c r="H42" s="219" t="s">
        <v>5587</v>
      </c>
      <c r="I42" s="240"/>
      <c r="J42" s="240"/>
      <c r="K42" s="240"/>
      <c r="L42" s="240"/>
    </row>
    <row r="43" ht="12.75" customHeight="1" outlineLevel="2">
      <c r="A43" s="222"/>
      <c r="B43" s="217"/>
      <c r="C43" s="218"/>
      <c r="D43" s="222"/>
      <c r="E43" s="223"/>
      <c r="F43" s="224"/>
      <c r="G43" s="224"/>
      <c r="H43" s="227"/>
      <c r="I43" s="227"/>
      <c r="J43" s="227"/>
      <c r="K43" s="227"/>
      <c r="L43" s="227"/>
    </row>
    <row r="44" ht="12.75" customHeight="1" outlineLevel="2">
      <c r="A44" s="222"/>
      <c r="B44" s="198" t="s">
        <v>1914</v>
      </c>
      <c r="C44" s="202" t="s">
        <v>6824</v>
      </c>
      <c r="D44" s="203" t="s">
        <v>33</v>
      </c>
      <c r="E44" s="214">
        <v>1.0</v>
      </c>
      <c r="F44" s="205">
        <v>8000.0</v>
      </c>
      <c r="G44" s="206">
        <f>F44*E44</f>
        <v>8000</v>
      </c>
      <c r="H44" s="219"/>
      <c r="I44" s="240"/>
      <c r="J44" s="240"/>
      <c r="K44" s="240"/>
      <c r="L44" s="240"/>
    </row>
    <row r="45" ht="12.75" customHeight="1" outlineLevel="2">
      <c r="A45" s="208"/>
      <c r="B45" s="217"/>
      <c r="C45" s="218"/>
      <c r="D45" s="208"/>
      <c r="E45" s="211"/>
      <c r="F45" s="212"/>
      <c r="G45" s="212"/>
      <c r="H45" s="226"/>
      <c r="I45" s="226"/>
      <c r="J45" s="226"/>
      <c r="K45" s="226"/>
      <c r="L45" s="226"/>
    </row>
    <row r="46" ht="12.75" customHeight="1" outlineLevel="2">
      <c r="A46" s="222"/>
      <c r="B46" s="198" t="s">
        <v>1916</v>
      </c>
      <c r="C46" s="202" t="s">
        <v>5588</v>
      </c>
      <c r="D46" s="203" t="s">
        <v>33</v>
      </c>
      <c r="E46" s="214">
        <v>1.0</v>
      </c>
      <c r="F46" s="205">
        <f>SUM(G48:G52)</f>
        <v>26500</v>
      </c>
      <c r="G46" s="206">
        <f>F46*E46</f>
        <v>26500</v>
      </c>
      <c r="H46" s="219"/>
      <c r="I46" s="240"/>
      <c r="J46" s="240"/>
      <c r="K46" s="240"/>
      <c r="L46" s="240"/>
    </row>
    <row r="47" ht="12.75" customHeight="1" outlineLevel="3">
      <c r="A47" s="208"/>
      <c r="B47" s="216"/>
      <c r="C47" s="210"/>
      <c r="D47" s="208"/>
      <c r="E47" s="211"/>
      <c r="F47" s="212"/>
      <c r="G47" s="212"/>
      <c r="H47" s="226"/>
      <c r="I47" s="226"/>
      <c r="J47" s="226"/>
      <c r="K47" s="226"/>
      <c r="L47" s="226"/>
    </row>
    <row r="48" ht="12.75" customHeight="1" outlineLevel="3">
      <c r="A48" s="208"/>
      <c r="B48" s="228" t="s">
        <v>1918</v>
      </c>
      <c r="C48" s="229" t="s">
        <v>7875</v>
      </c>
      <c r="D48" s="230" t="s">
        <v>33</v>
      </c>
      <c r="E48" s="231">
        <v>1.0</v>
      </c>
      <c r="F48" s="232">
        <v>1700.0</v>
      </c>
      <c r="G48" s="212">
        <f t="shared" ref="G48:G52" si="1">F48*E48</f>
        <v>1700</v>
      </c>
      <c r="H48" s="226"/>
      <c r="I48" s="226"/>
      <c r="J48" s="226"/>
      <c r="K48" s="226"/>
      <c r="L48" s="226"/>
    </row>
    <row r="49" ht="12.75" customHeight="1" outlineLevel="3">
      <c r="A49" s="208"/>
      <c r="B49" s="228" t="s">
        <v>1920</v>
      </c>
      <c r="C49" s="229" t="s">
        <v>7876</v>
      </c>
      <c r="D49" s="233" t="s">
        <v>7863</v>
      </c>
      <c r="E49" s="231">
        <v>14.0</v>
      </c>
      <c r="F49" s="232">
        <v>1500.0</v>
      </c>
      <c r="G49" s="212">
        <f t="shared" si="1"/>
        <v>21000</v>
      </c>
      <c r="H49" s="226"/>
      <c r="I49" s="226"/>
      <c r="J49" s="226"/>
      <c r="K49" s="226"/>
      <c r="L49" s="226"/>
    </row>
    <row r="50" ht="12.75" customHeight="1" outlineLevel="3">
      <c r="A50" s="208"/>
      <c r="B50" s="228" t="s">
        <v>1922</v>
      </c>
      <c r="C50" s="229" t="s">
        <v>6830</v>
      </c>
      <c r="D50" s="230" t="s">
        <v>33</v>
      </c>
      <c r="E50" s="231">
        <v>1.0</v>
      </c>
      <c r="F50" s="232">
        <v>1700.0</v>
      </c>
      <c r="G50" s="212">
        <f t="shared" si="1"/>
        <v>1700</v>
      </c>
      <c r="H50" s="226"/>
      <c r="I50" s="226"/>
      <c r="J50" s="226"/>
      <c r="K50" s="226"/>
      <c r="L50" s="226"/>
    </row>
    <row r="51" ht="12.75" customHeight="1" outlineLevel="3">
      <c r="A51" s="208"/>
      <c r="B51" s="228" t="s">
        <v>1924</v>
      </c>
      <c r="C51" s="229" t="s">
        <v>6832</v>
      </c>
      <c r="D51" s="233" t="s">
        <v>7877</v>
      </c>
      <c r="E51" s="231">
        <v>1.0</v>
      </c>
      <c r="F51" s="232">
        <v>1050.0</v>
      </c>
      <c r="G51" s="212">
        <f t="shared" si="1"/>
        <v>1050</v>
      </c>
      <c r="H51" s="226"/>
      <c r="I51" s="226"/>
      <c r="J51" s="226"/>
      <c r="K51" s="226"/>
      <c r="L51" s="226"/>
    </row>
    <row r="52" ht="12.75" customHeight="1" outlineLevel="3">
      <c r="A52" s="208"/>
      <c r="B52" s="228" t="s">
        <v>1927</v>
      </c>
      <c r="C52" s="229" t="s">
        <v>6834</v>
      </c>
      <c r="D52" s="233" t="s">
        <v>7877</v>
      </c>
      <c r="E52" s="231">
        <v>1.0</v>
      </c>
      <c r="F52" s="232">
        <v>1050.0</v>
      </c>
      <c r="G52" s="212">
        <f t="shared" si="1"/>
        <v>1050</v>
      </c>
      <c r="H52" s="226"/>
      <c r="I52" s="226"/>
      <c r="J52" s="226"/>
      <c r="K52" s="226"/>
      <c r="L52" s="226"/>
    </row>
    <row r="53" ht="12.75" customHeight="1" outlineLevel="2">
      <c r="A53" s="208"/>
      <c r="B53" s="216"/>
      <c r="C53" s="210"/>
      <c r="D53" s="208"/>
      <c r="E53" s="211"/>
      <c r="F53" s="212"/>
      <c r="G53" s="212"/>
      <c r="H53" s="226"/>
      <c r="I53" s="226"/>
      <c r="J53" s="226"/>
      <c r="K53" s="226"/>
      <c r="L53" s="226"/>
    </row>
    <row r="54" ht="12.75" customHeight="1" outlineLevel="1">
      <c r="A54" s="208"/>
      <c r="B54" s="216"/>
      <c r="C54" s="210"/>
      <c r="D54" s="208"/>
      <c r="E54" s="211"/>
      <c r="F54" s="212"/>
      <c r="G54" s="212"/>
      <c r="H54" s="226"/>
      <c r="I54" s="226"/>
      <c r="J54" s="226"/>
      <c r="K54" s="226"/>
      <c r="L54" s="226"/>
    </row>
    <row r="55" ht="12.75" customHeight="1">
      <c r="A55" s="192"/>
      <c r="B55" s="84">
        <v>2.0</v>
      </c>
      <c r="C55" s="184" t="s">
        <v>771</v>
      </c>
      <c r="D55" s="193"/>
      <c r="E55" s="194"/>
      <c r="F55" s="195"/>
      <c r="G55" s="196">
        <f>SUM(G59:G71)</f>
        <v>34482.88</v>
      </c>
      <c r="H55" s="197">
        <f>G55-('Orcamento RU'!C749+'Orcamento RU'!C2217)</f>
        <v>-39311.59</v>
      </c>
      <c r="I55" s="919">
        <f>('Orcamento RU'!C749+'Orcamento RU'!C2217)</f>
        <v>73794.47</v>
      </c>
      <c r="J55" s="919"/>
      <c r="K55" s="169"/>
      <c r="L55" s="169"/>
    </row>
    <row r="56" ht="12.75" customHeight="1" outlineLevel="1">
      <c r="A56" s="208"/>
      <c r="B56" s="216"/>
      <c r="C56" s="210"/>
      <c r="D56" s="208"/>
      <c r="E56" s="211"/>
      <c r="F56" s="212"/>
      <c r="G56" s="212"/>
      <c r="H56" s="226"/>
      <c r="I56" s="226"/>
      <c r="J56" s="226"/>
      <c r="K56" s="226"/>
      <c r="L56" s="226"/>
    </row>
    <row r="57" ht="12.75" customHeight="1" outlineLevel="1">
      <c r="A57" s="208"/>
      <c r="B57" s="216"/>
      <c r="C57" s="184" t="s">
        <v>771</v>
      </c>
      <c r="D57" s="208"/>
      <c r="E57" s="211"/>
      <c r="F57" s="917">
        <f>SUM(G59:G71)</f>
        <v>34482.88</v>
      </c>
      <c r="G57" s="212"/>
      <c r="H57" s="226"/>
      <c r="I57" s="226"/>
      <c r="J57" s="226"/>
      <c r="K57" s="226"/>
      <c r="L57" s="226"/>
    </row>
    <row r="58" ht="12.75" customHeight="1" outlineLevel="2">
      <c r="A58" s="208"/>
      <c r="B58" s="216"/>
      <c r="C58" s="210"/>
      <c r="D58" s="208"/>
      <c r="E58" s="211"/>
      <c r="F58" s="212"/>
      <c r="G58" s="212"/>
      <c r="H58" s="226"/>
      <c r="I58" s="226"/>
      <c r="J58" s="226"/>
      <c r="K58" s="226"/>
      <c r="L58" s="226"/>
    </row>
    <row r="59" ht="12.75" customHeight="1" outlineLevel="2">
      <c r="A59" s="95" t="s">
        <v>7878</v>
      </c>
      <c r="B59" s="198">
        <v>2.1</v>
      </c>
      <c r="C59" s="202" t="s">
        <v>773</v>
      </c>
      <c r="D59" s="203" t="s">
        <v>75</v>
      </c>
      <c r="E59" s="214">
        <v>1.0</v>
      </c>
      <c r="F59" s="205">
        <v>4000.0</v>
      </c>
      <c r="G59" s="206">
        <f>F59*E59</f>
        <v>4000</v>
      </c>
      <c r="H59" s="219"/>
      <c r="I59" s="240"/>
      <c r="J59" s="240"/>
      <c r="K59" s="240"/>
      <c r="L59" s="240"/>
    </row>
    <row r="60" ht="12.75" customHeight="1" outlineLevel="2">
      <c r="A60" s="102"/>
      <c r="B60" s="234"/>
      <c r="C60" s="102"/>
      <c r="D60" s="102"/>
      <c r="E60" s="103"/>
      <c r="F60" s="212"/>
      <c r="G60" s="212"/>
      <c r="H60" s="226"/>
      <c r="I60" s="226"/>
      <c r="J60" s="226"/>
      <c r="K60" s="226"/>
      <c r="L60" s="226"/>
    </row>
    <row r="61" ht="12.75" customHeight="1" outlineLevel="2">
      <c r="A61" s="95" t="s">
        <v>1932</v>
      </c>
      <c r="B61" s="198">
        <v>2.2</v>
      </c>
      <c r="C61" s="202" t="s">
        <v>775</v>
      </c>
      <c r="D61" s="203" t="s">
        <v>776</v>
      </c>
      <c r="E61" s="214">
        <v>2234.27</v>
      </c>
      <c r="F61" s="205">
        <v>4.0</v>
      </c>
      <c r="G61" s="206">
        <f>F61*E61</f>
        <v>8937.08</v>
      </c>
      <c r="H61" s="219"/>
      <c r="I61" s="240"/>
      <c r="J61" s="240"/>
      <c r="K61" s="240"/>
      <c r="L61" s="240"/>
    </row>
    <row r="62" ht="12.75" customHeight="1" outlineLevel="2">
      <c r="A62" s="102"/>
      <c r="B62" s="234"/>
      <c r="C62" s="102"/>
      <c r="D62" s="102"/>
      <c r="E62" s="103"/>
      <c r="F62" s="212"/>
      <c r="G62" s="212"/>
      <c r="H62" s="226"/>
      <c r="I62" s="226"/>
      <c r="J62" s="226"/>
      <c r="K62" s="226"/>
      <c r="L62" s="226"/>
    </row>
    <row r="63" ht="12.75" customHeight="1" outlineLevel="2">
      <c r="A63" s="95" t="s">
        <v>1934</v>
      </c>
      <c r="B63" s="198">
        <v>2.3</v>
      </c>
      <c r="C63" s="202" t="s">
        <v>778</v>
      </c>
      <c r="D63" s="203" t="s">
        <v>776</v>
      </c>
      <c r="E63" s="214">
        <v>482.44</v>
      </c>
      <c r="F63" s="205">
        <v>5.0</v>
      </c>
      <c r="G63" s="206">
        <f>F63*E63</f>
        <v>2412.2</v>
      </c>
      <c r="H63" s="219"/>
      <c r="I63" s="240"/>
      <c r="J63" s="240"/>
      <c r="K63" s="240"/>
      <c r="L63" s="240"/>
    </row>
    <row r="64" ht="12.75" customHeight="1" outlineLevel="2">
      <c r="A64" s="102"/>
      <c r="B64" s="234"/>
      <c r="C64" s="102"/>
      <c r="D64" s="102"/>
      <c r="E64" s="103"/>
      <c r="F64" s="212"/>
      <c r="G64" s="212"/>
      <c r="H64" s="226"/>
      <c r="I64" s="226"/>
      <c r="J64" s="226"/>
      <c r="K64" s="226"/>
      <c r="L64" s="226"/>
    </row>
    <row r="65" ht="12.75" customHeight="1" outlineLevel="2">
      <c r="A65" s="95" t="s">
        <v>1936</v>
      </c>
      <c r="B65" s="198">
        <v>2.4</v>
      </c>
      <c r="C65" s="202" t="s">
        <v>782</v>
      </c>
      <c r="D65" s="203" t="s">
        <v>776</v>
      </c>
      <c r="E65" s="214">
        <v>2102.2</v>
      </c>
      <c r="F65" s="205">
        <v>8.0</v>
      </c>
      <c r="G65" s="206">
        <f>F65*E65</f>
        <v>16817.6</v>
      </c>
      <c r="H65" s="219"/>
      <c r="I65" s="240"/>
      <c r="J65" s="240"/>
      <c r="K65" s="240"/>
      <c r="L65" s="240"/>
    </row>
    <row r="66" ht="12.75" customHeight="1" outlineLevel="2">
      <c r="A66" s="208"/>
      <c r="B66" s="216"/>
      <c r="C66" s="210"/>
      <c r="D66" s="208"/>
      <c r="E66" s="211"/>
      <c r="F66" s="212"/>
      <c r="G66" s="212"/>
      <c r="H66" s="226"/>
      <c r="I66" s="226"/>
      <c r="J66" s="226"/>
      <c r="K66" s="226"/>
      <c r="L66" s="226"/>
    </row>
    <row r="67" ht="12.75" customHeight="1" outlineLevel="2">
      <c r="A67" s="95" t="s">
        <v>1938</v>
      </c>
      <c r="B67" s="198">
        <v>2.5</v>
      </c>
      <c r="C67" s="202" t="s">
        <v>7879</v>
      </c>
      <c r="D67" s="203" t="s">
        <v>933</v>
      </c>
      <c r="E67" s="214">
        <v>68.0</v>
      </c>
      <c r="F67" s="205">
        <v>3.0</v>
      </c>
      <c r="G67" s="206">
        <f>F67*E67</f>
        <v>204</v>
      </c>
      <c r="H67" s="219"/>
      <c r="I67" s="240"/>
      <c r="J67" s="240"/>
      <c r="K67" s="240"/>
      <c r="L67" s="240"/>
    </row>
    <row r="68" ht="12.75" customHeight="1" outlineLevel="2">
      <c r="A68" s="102"/>
      <c r="B68" s="189"/>
      <c r="C68" s="102"/>
      <c r="D68" s="102"/>
      <c r="E68" s="103"/>
      <c r="F68" s="212"/>
      <c r="G68" s="212"/>
      <c r="H68" s="226"/>
      <c r="I68" s="226"/>
      <c r="J68" s="226"/>
      <c r="K68" s="226"/>
      <c r="L68" s="226"/>
    </row>
    <row r="69" ht="12.75" customHeight="1" outlineLevel="2">
      <c r="A69" s="95" t="s">
        <v>1940</v>
      </c>
      <c r="B69" s="198">
        <v>2.6</v>
      </c>
      <c r="C69" s="202" t="s">
        <v>7880</v>
      </c>
      <c r="D69" s="203" t="s">
        <v>933</v>
      </c>
      <c r="E69" s="214">
        <v>386.0</v>
      </c>
      <c r="F69" s="205">
        <v>3.0</v>
      </c>
      <c r="G69" s="206">
        <f>F69*E69</f>
        <v>1158</v>
      </c>
      <c r="H69" s="219"/>
      <c r="I69" s="240"/>
      <c r="J69" s="240"/>
      <c r="K69" s="240"/>
      <c r="L69" s="240"/>
    </row>
    <row r="70" ht="12.75" customHeight="1" outlineLevel="2">
      <c r="A70" s="102"/>
      <c r="B70" s="189"/>
      <c r="C70" s="102"/>
      <c r="D70" s="102"/>
      <c r="E70" s="103"/>
      <c r="F70" s="212"/>
      <c r="G70" s="212"/>
      <c r="H70" s="226"/>
      <c r="I70" s="226"/>
      <c r="J70" s="226"/>
      <c r="K70" s="226"/>
      <c r="L70" s="226"/>
    </row>
    <row r="71" ht="12.75" customHeight="1" outlineLevel="2">
      <c r="A71" s="95" t="s">
        <v>1942</v>
      </c>
      <c r="B71" s="198">
        <v>2.7</v>
      </c>
      <c r="C71" s="202" t="s">
        <v>1588</v>
      </c>
      <c r="D71" s="203" t="s">
        <v>933</v>
      </c>
      <c r="E71" s="214">
        <v>318.0</v>
      </c>
      <c r="F71" s="205">
        <v>3.0</v>
      </c>
      <c r="G71" s="206">
        <f>F71*E71</f>
        <v>954</v>
      </c>
      <c r="H71" s="219"/>
      <c r="I71" s="240"/>
      <c r="J71" s="240"/>
      <c r="K71" s="240"/>
      <c r="L71" s="240"/>
    </row>
    <row r="72" ht="12.75" customHeight="1" outlineLevel="1">
      <c r="A72" s="208"/>
      <c r="B72" s="216"/>
      <c r="C72" s="210"/>
      <c r="D72" s="208"/>
      <c r="E72" s="211"/>
      <c r="F72" s="212"/>
      <c r="G72" s="212"/>
      <c r="H72" s="226"/>
      <c r="I72" s="226"/>
      <c r="J72" s="226"/>
      <c r="K72" s="226"/>
      <c r="L72" s="226"/>
    </row>
    <row r="73" ht="12.75" customHeight="1">
      <c r="A73" s="192"/>
      <c r="B73" s="84">
        <v>3.0</v>
      </c>
      <c r="C73" s="184" t="s">
        <v>5590</v>
      </c>
      <c r="D73" s="193"/>
      <c r="E73" s="194"/>
      <c r="F73" s="195"/>
      <c r="G73" s="196">
        <f>SUM(G79:G269)</f>
        <v>567388.824</v>
      </c>
      <c r="H73" s="197">
        <f>G73-'Orcamento RU'!C761</f>
        <v>8996.574</v>
      </c>
      <c r="I73" s="197">
        <f>'Orcamento RU'!C761</f>
        <v>558392.25</v>
      </c>
      <c r="J73" s="919"/>
      <c r="K73" s="169"/>
      <c r="L73" s="169"/>
    </row>
    <row r="74" ht="12.75" customHeight="1" outlineLevel="1">
      <c r="A74" s="208"/>
      <c r="B74" s="216" t="s">
        <v>1945</v>
      </c>
      <c r="C74" s="235"/>
      <c r="D74" s="208"/>
      <c r="E74" s="236"/>
      <c r="F74" s="212"/>
      <c r="G74" s="212"/>
      <c r="H74" s="226"/>
      <c r="I74" s="226"/>
      <c r="J74" s="226"/>
      <c r="K74" s="226"/>
      <c r="L74" s="226"/>
    </row>
    <row r="75" ht="12.75" customHeight="1" outlineLevel="1">
      <c r="A75" s="208"/>
      <c r="B75" s="216"/>
      <c r="C75" s="237" t="s">
        <v>5591</v>
      </c>
      <c r="D75" s="208"/>
      <c r="E75" s="236"/>
      <c r="F75" s="917">
        <f>SUM(G79:G111)</f>
        <v>78362.8</v>
      </c>
      <c r="G75" s="212"/>
      <c r="H75" s="226"/>
      <c r="I75" s="226"/>
      <c r="J75" s="226"/>
      <c r="K75" s="226"/>
      <c r="L75" s="226"/>
    </row>
    <row r="76" ht="12.75" customHeight="1" outlineLevel="2">
      <c r="A76" s="208"/>
      <c r="B76" s="216"/>
      <c r="C76" s="235"/>
      <c r="D76" s="208"/>
      <c r="E76" s="236"/>
      <c r="F76" s="212"/>
      <c r="G76" s="212"/>
      <c r="H76" s="226"/>
      <c r="I76" s="226"/>
      <c r="J76" s="226"/>
      <c r="K76" s="226"/>
      <c r="L76" s="226"/>
    </row>
    <row r="77" ht="12.75" customHeight="1" outlineLevel="2">
      <c r="A77" s="151" t="s">
        <v>1947</v>
      </c>
      <c r="B77" s="198">
        <v>3.1</v>
      </c>
      <c r="C77" s="202" t="s">
        <v>786</v>
      </c>
      <c r="D77" s="238"/>
      <c r="E77" s="170"/>
      <c r="G77" s="239"/>
      <c r="H77" s="240"/>
      <c r="I77" s="240"/>
      <c r="J77" s="240"/>
      <c r="K77" s="240"/>
      <c r="L77" s="240"/>
    </row>
    <row r="78" ht="12.75" customHeight="1" outlineLevel="3">
      <c r="A78" s="21"/>
      <c r="B78" s="189"/>
      <c r="C78" s="21"/>
      <c r="D78" s="21"/>
      <c r="E78" s="115"/>
      <c r="F78" s="241"/>
      <c r="G78" s="241"/>
      <c r="H78" s="227"/>
      <c r="I78" s="227"/>
      <c r="J78" s="227"/>
      <c r="K78" s="227"/>
      <c r="L78" s="227"/>
    </row>
    <row r="79" ht="12.75" customHeight="1" outlineLevel="3">
      <c r="A79" s="151" t="s">
        <v>1949</v>
      </c>
      <c r="B79" s="198" t="s">
        <v>940</v>
      </c>
      <c r="C79" s="202" t="s">
        <v>787</v>
      </c>
      <c r="D79" s="203" t="s">
        <v>40</v>
      </c>
      <c r="E79" s="214">
        <v>329.7</v>
      </c>
      <c r="F79" s="205">
        <v>12.0</v>
      </c>
      <c r="G79" s="205">
        <f>F79*E79</f>
        <v>3956.4</v>
      </c>
      <c r="H79" s="242"/>
      <c r="I79" s="242"/>
      <c r="J79" s="240"/>
      <c r="K79" s="240"/>
      <c r="L79" s="240"/>
    </row>
    <row r="80" ht="12.75" customHeight="1" outlineLevel="2">
      <c r="A80" s="151"/>
      <c r="B80" s="189"/>
      <c r="C80" s="152"/>
      <c r="D80" s="21"/>
      <c r="E80" s="115"/>
      <c r="F80" s="241"/>
      <c r="G80" s="241"/>
      <c r="H80" s="227"/>
      <c r="I80" s="227"/>
      <c r="J80" s="227"/>
      <c r="K80" s="227"/>
      <c r="L80" s="227"/>
    </row>
    <row r="81" ht="12.75" customHeight="1" outlineLevel="2">
      <c r="A81" s="151" t="s">
        <v>1951</v>
      </c>
      <c r="B81" s="198">
        <v>3.2</v>
      </c>
      <c r="C81" s="243" t="s">
        <v>788</v>
      </c>
      <c r="D81" s="21"/>
      <c r="E81" s="115"/>
      <c r="F81" s="241"/>
      <c r="G81" s="241"/>
      <c r="H81" s="227"/>
      <c r="I81" s="227"/>
      <c r="J81" s="227"/>
      <c r="K81" s="227"/>
      <c r="L81" s="227"/>
    </row>
    <row r="82" ht="12.75" customHeight="1" outlineLevel="3">
      <c r="A82" s="21"/>
      <c r="B82" s="189"/>
      <c r="C82" s="21"/>
      <c r="D82" s="21"/>
      <c r="E82" s="115"/>
      <c r="F82" s="241"/>
      <c r="G82" s="241"/>
      <c r="H82" s="227"/>
      <c r="I82" s="227"/>
      <c r="J82" s="227"/>
      <c r="K82" s="227"/>
      <c r="L82" s="227"/>
    </row>
    <row r="83" ht="12.75" customHeight="1" outlineLevel="3">
      <c r="A83" s="151" t="s">
        <v>1953</v>
      </c>
      <c r="B83" s="198" t="s">
        <v>961</v>
      </c>
      <c r="C83" s="202" t="s">
        <v>789</v>
      </c>
      <c r="D83" s="203" t="s">
        <v>776</v>
      </c>
      <c r="E83" s="214">
        <v>29.25</v>
      </c>
      <c r="F83" s="205">
        <v>140.0</v>
      </c>
      <c r="G83" s="205">
        <f t="shared" ref="G83:G86" si="2">F83*E83</f>
        <v>4095</v>
      </c>
      <c r="H83" s="242"/>
      <c r="I83" s="242"/>
      <c r="J83" s="240"/>
      <c r="K83" s="240"/>
      <c r="L83" s="240"/>
    </row>
    <row r="84" ht="12.75" customHeight="1" outlineLevel="3">
      <c r="A84" s="151" t="s">
        <v>1955</v>
      </c>
      <c r="B84" s="198" t="s">
        <v>1956</v>
      </c>
      <c r="C84" s="202" t="s">
        <v>790</v>
      </c>
      <c r="D84" s="203" t="s">
        <v>776</v>
      </c>
      <c r="E84" s="214">
        <v>8.94</v>
      </c>
      <c r="F84" s="205">
        <v>140.0</v>
      </c>
      <c r="G84" s="205">
        <f t="shared" si="2"/>
        <v>1251.6</v>
      </c>
      <c r="H84" s="242"/>
      <c r="I84" s="242"/>
      <c r="J84" s="240"/>
      <c r="K84" s="240"/>
      <c r="L84" s="240"/>
    </row>
    <row r="85" ht="12.75" customHeight="1" outlineLevel="3">
      <c r="A85" s="151" t="s">
        <v>1958</v>
      </c>
      <c r="B85" s="198" t="s">
        <v>1959</v>
      </c>
      <c r="C85" s="202" t="s">
        <v>791</v>
      </c>
      <c r="D85" s="203" t="s">
        <v>776</v>
      </c>
      <c r="E85" s="214">
        <v>106.22</v>
      </c>
      <c r="F85" s="205">
        <v>140.0</v>
      </c>
      <c r="G85" s="205">
        <f t="shared" si="2"/>
        <v>14870.8</v>
      </c>
      <c r="H85" s="242"/>
      <c r="I85" s="242"/>
      <c r="J85" s="240"/>
      <c r="K85" s="240"/>
      <c r="L85" s="240"/>
    </row>
    <row r="86" ht="12.75" customHeight="1" outlineLevel="3">
      <c r="A86" s="151" t="s">
        <v>1961</v>
      </c>
      <c r="B86" s="198" t="s">
        <v>1962</v>
      </c>
      <c r="C86" s="202" t="s">
        <v>793</v>
      </c>
      <c r="D86" s="203" t="s">
        <v>776</v>
      </c>
      <c r="E86" s="214">
        <v>3.02</v>
      </c>
      <c r="F86" s="205">
        <v>140.0</v>
      </c>
      <c r="G86" s="205">
        <f t="shared" si="2"/>
        <v>422.8</v>
      </c>
      <c r="H86" s="242"/>
      <c r="I86" s="242"/>
      <c r="J86" s="240"/>
      <c r="K86" s="240"/>
      <c r="L86" s="240"/>
    </row>
    <row r="87" ht="12.75" customHeight="1" outlineLevel="2">
      <c r="A87" s="21"/>
      <c r="B87" s="189"/>
      <c r="C87" s="21"/>
      <c r="D87" s="21"/>
      <c r="E87" s="115"/>
      <c r="F87" s="241"/>
      <c r="G87" s="241"/>
      <c r="H87" s="227"/>
      <c r="I87" s="227"/>
      <c r="J87" s="227"/>
      <c r="K87" s="227"/>
      <c r="L87" s="227"/>
    </row>
    <row r="88" ht="12.75" customHeight="1" outlineLevel="2">
      <c r="A88" s="151" t="s">
        <v>1964</v>
      </c>
      <c r="B88" s="198">
        <v>3.3</v>
      </c>
      <c r="C88" s="243" t="s">
        <v>794</v>
      </c>
      <c r="D88" s="21"/>
      <c r="E88" s="115"/>
      <c r="F88" s="241"/>
      <c r="G88" s="241"/>
      <c r="H88" s="227"/>
      <c r="I88" s="227"/>
      <c r="J88" s="227"/>
      <c r="K88" s="227"/>
      <c r="L88" s="227"/>
    </row>
    <row r="89" ht="12.75" customHeight="1" outlineLevel="3">
      <c r="A89" s="21"/>
      <c r="B89" s="189"/>
      <c r="C89" s="21"/>
      <c r="D89" s="21"/>
      <c r="E89" s="115"/>
      <c r="F89" s="241"/>
      <c r="G89" s="241"/>
      <c r="H89" s="227"/>
      <c r="I89" s="227"/>
      <c r="J89" s="227"/>
      <c r="K89" s="227"/>
      <c r="L89" s="227"/>
    </row>
    <row r="90" ht="12.75" customHeight="1" outlineLevel="3">
      <c r="A90" s="151" t="s">
        <v>1966</v>
      </c>
      <c r="B90" s="198" t="s">
        <v>968</v>
      </c>
      <c r="C90" s="202" t="s">
        <v>795</v>
      </c>
      <c r="D90" s="203" t="s">
        <v>776</v>
      </c>
      <c r="E90" s="214">
        <v>2.51</v>
      </c>
      <c r="F90" s="205">
        <v>140.0</v>
      </c>
      <c r="G90" s="205">
        <f t="shared" ref="G90:G92" si="3">F90*E90</f>
        <v>351.4</v>
      </c>
      <c r="H90" s="242"/>
      <c r="I90" s="242"/>
      <c r="J90" s="240"/>
      <c r="K90" s="240"/>
      <c r="L90" s="240"/>
    </row>
    <row r="91" ht="12.75" customHeight="1" outlineLevel="3">
      <c r="A91" s="151" t="s">
        <v>1968</v>
      </c>
      <c r="B91" s="198" t="s">
        <v>1969</v>
      </c>
      <c r="C91" s="202" t="s">
        <v>796</v>
      </c>
      <c r="D91" s="203" t="s">
        <v>776</v>
      </c>
      <c r="E91" s="214">
        <v>88.26</v>
      </c>
      <c r="F91" s="205">
        <v>140.0</v>
      </c>
      <c r="G91" s="205">
        <f t="shared" si="3"/>
        <v>12356.4</v>
      </c>
      <c r="H91" s="242"/>
      <c r="I91" s="242"/>
      <c r="J91" s="240"/>
      <c r="K91" s="240"/>
      <c r="L91" s="240"/>
    </row>
    <row r="92" ht="12.75" customHeight="1" outlineLevel="3">
      <c r="A92" s="151" t="s">
        <v>1971</v>
      </c>
      <c r="B92" s="198" t="s">
        <v>1972</v>
      </c>
      <c r="C92" s="202" t="s">
        <v>797</v>
      </c>
      <c r="D92" s="203" t="s">
        <v>776</v>
      </c>
      <c r="E92" s="214">
        <v>1.32</v>
      </c>
      <c r="F92" s="205">
        <v>140.0</v>
      </c>
      <c r="G92" s="205">
        <f t="shared" si="3"/>
        <v>184.8</v>
      </c>
      <c r="H92" s="242"/>
      <c r="I92" s="242"/>
      <c r="J92" s="240"/>
      <c r="K92" s="240"/>
      <c r="L92" s="240"/>
    </row>
    <row r="93" ht="12.75" customHeight="1" outlineLevel="2">
      <c r="A93" s="21"/>
      <c r="B93" s="189"/>
      <c r="C93" s="21"/>
      <c r="D93" s="21"/>
      <c r="E93" s="115"/>
      <c r="F93" s="241"/>
      <c r="G93" s="241"/>
      <c r="H93" s="227"/>
      <c r="I93" s="227"/>
      <c r="J93" s="227"/>
      <c r="K93" s="227"/>
      <c r="L93" s="227"/>
    </row>
    <row r="94" ht="12.75" customHeight="1" outlineLevel="2">
      <c r="A94" s="151" t="s">
        <v>1974</v>
      </c>
      <c r="B94" s="198">
        <v>3.4</v>
      </c>
      <c r="C94" s="243" t="s">
        <v>799</v>
      </c>
      <c r="D94" s="21"/>
      <c r="E94" s="115"/>
      <c r="F94" s="241"/>
      <c r="G94" s="241"/>
      <c r="H94" s="227"/>
      <c r="I94" s="227"/>
      <c r="J94" s="227"/>
      <c r="K94" s="227"/>
      <c r="L94" s="227"/>
    </row>
    <row r="95" ht="12.75" customHeight="1" outlineLevel="3">
      <c r="A95" s="21"/>
      <c r="B95" s="189"/>
      <c r="C95" s="21"/>
      <c r="D95" s="21"/>
      <c r="E95" s="115"/>
      <c r="F95" s="241"/>
      <c r="G95" s="241"/>
      <c r="H95" s="227"/>
      <c r="I95" s="227"/>
      <c r="J95" s="227"/>
      <c r="K95" s="227"/>
      <c r="L95" s="227"/>
    </row>
    <row r="96" ht="12.75" customHeight="1" outlineLevel="3">
      <c r="A96" s="151" t="s">
        <v>1976</v>
      </c>
      <c r="B96" s="198" t="s">
        <v>1977</v>
      </c>
      <c r="C96" s="202" t="s">
        <v>801</v>
      </c>
      <c r="D96" s="203" t="s">
        <v>776</v>
      </c>
      <c r="E96" s="214">
        <v>7.28</v>
      </c>
      <c r="F96" s="205">
        <v>160.0</v>
      </c>
      <c r="G96" s="206">
        <f t="shared" ref="G96:G97" si="4">F96*E96</f>
        <v>1164.8</v>
      </c>
      <c r="H96" s="227"/>
      <c r="I96" s="227"/>
      <c r="J96" s="227"/>
      <c r="K96" s="227"/>
      <c r="L96" s="227"/>
    </row>
    <row r="97" ht="12.75" customHeight="1" outlineLevel="3">
      <c r="A97" s="151" t="s">
        <v>1979</v>
      </c>
      <c r="B97" s="198" t="s">
        <v>1980</v>
      </c>
      <c r="C97" s="202" t="s">
        <v>803</v>
      </c>
      <c r="D97" s="203" t="s">
        <v>776</v>
      </c>
      <c r="E97" s="214">
        <v>27.46</v>
      </c>
      <c r="F97" s="205">
        <v>160.0</v>
      </c>
      <c r="G97" s="206">
        <f t="shared" si="4"/>
        <v>4393.6</v>
      </c>
      <c r="H97" s="227"/>
      <c r="I97" s="227"/>
      <c r="J97" s="227"/>
      <c r="K97" s="227"/>
      <c r="L97" s="227"/>
    </row>
    <row r="98" ht="12.75" customHeight="1" outlineLevel="2">
      <c r="A98" s="21"/>
      <c r="B98" s="189"/>
      <c r="C98" s="21"/>
      <c r="D98" s="21"/>
      <c r="E98" s="115"/>
      <c r="F98" s="241"/>
      <c r="G98" s="241"/>
      <c r="H98" s="227"/>
      <c r="I98" s="227"/>
      <c r="J98" s="227"/>
      <c r="K98" s="227"/>
      <c r="L98" s="227"/>
    </row>
    <row r="99" ht="12.75" customHeight="1" outlineLevel="2">
      <c r="A99" s="151" t="s">
        <v>1974</v>
      </c>
      <c r="B99" s="198">
        <v>3.5</v>
      </c>
      <c r="C99" s="243" t="s">
        <v>804</v>
      </c>
      <c r="D99" s="21"/>
      <c r="E99" s="115"/>
      <c r="F99" s="241"/>
      <c r="G99" s="241"/>
      <c r="H99" s="227"/>
      <c r="I99" s="227"/>
      <c r="J99" s="227"/>
      <c r="K99" s="227"/>
      <c r="L99" s="227"/>
    </row>
    <row r="100" ht="12.75" customHeight="1" outlineLevel="3">
      <c r="A100" s="21"/>
      <c r="B100" s="189"/>
      <c r="C100" s="21"/>
      <c r="D100" s="21"/>
      <c r="E100" s="115"/>
      <c r="F100" s="241"/>
      <c r="G100" s="241"/>
      <c r="H100" s="227"/>
      <c r="I100" s="227"/>
      <c r="J100" s="227"/>
      <c r="K100" s="227"/>
      <c r="L100" s="227"/>
    </row>
    <row r="101" ht="12.75" customHeight="1" outlineLevel="3">
      <c r="A101" s="151" t="s">
        <v>1983</v>
      </c>
      <c r="B101" s="198" t="s">
        <v>1984</v>
      </c>
      <c r="C101" s="202" t="s">
        <v>806</v>
      </c>
      <c r="D101" s="203" t="s">
        <v>776</v>
      </c>
      <c r="E101" s="214">
        <v>52.37</v>
      </c>
      <c r="F101" s="205">
        <v>160.0</v>
      </c>
      <c r="G101" s="206">
        <f t="shared" ref="G101:G104" si="5">F101*E101</f>
        <v>8379.2</v>
      </c>
      <c r="H101" s="227"/>
      <c r="I101" s="227"/>
      <c r="J101" s="227"/>
      <c r="K101" s="227"/>
      <c r="L101" s="227"/>
    </row>
    <row r="102" ht="12.75" customHeight="1" outlineLevel="3">
      <c r="A102" s="151" t="s">
        <v>1986</v>
      </c>
      <c r="B102" s="198" t="s">
        <v>1987</v>
      </c>
      <c r="C102" s="202" t="s">
        <v>808</v>
      </c>
      <c r="D102" s="203" t="s">
        <v>776</v>
      </c>
      <c r="E102" s="214">
        <v>60.12</v>
      </c>
      <c r="F102" s="205">
        <v>160.0</v>
      </c>
      <c r="G102" s="206">
        <f t="shared" si="5"/>
        <v>9619.2</v>
      </c>
      <c r="H102" s="227"/>
      <c r="I102" s="227"/>
      <c r="J102" s="227"/>
      <c r="K102" s="227"/>
      <c r="L102" s="227"/>
    </row>
    <row r="103" ht="12.75" customHeight="1" outlineLevel="3">
      <c r="A103" s="151" t="s">
        <v>1989</v>
      </c>
      <c r="B103" s="198" t="s">
        <v>1990</v>
      </c>
      <c r="C103" s="202" t="s">
        <v>810</v>
      </c>
      <c r="D103" s="203" t="s">
        <v>776</v>
      </c>
      <c r="E103" s="214">
        <v>50.41</v>
      </c>
      <c r="F103" s="205">
        <v>160.0</v>
      </c>
      <c r="G103" s="206">
        <f t="shared" si="5"/>
        <v>8065.6</v>
      </c>
      <c r="H103" s="227"/>
      <c r="I103" s="227"/>
      <c r="J103" s="227"/>
      <c r="K103" s="227"/>
      <c r="L103" s="227"/>
    </row>
    <row r="104" ht="12.75" customHeight="1" outlineLevel="3">
      <c r="A104" s="151" t="s">
        <v>1992</v>
      </c>
      <c r="B104" s="198" t="s">
        <v>1993</v>
      </c>
      <c r="C104" s="202" t="s">
        <v>812</v>
      </c>
      <c r="D104" s="203" t="s">
        <v>776</v>
      </c>
      <c r="E104" s="214">
        <v>1.91</v>
      </c>
      <c r="F104" s="205">
        <v>160.0</v>
      </c>
      <c r="G104" s="206">
        <f t="shared" si="5"/>
        <v>305.6</v>
      </c>
      <c r="H104" s="227"/>
      <c r="I104" s="227"/>
      <c r="J104" s="227"/>
      <c r="K104" s="227"/>
      <c r="L104" s="227"/>
    </row>
    <row r="105" ht="12.75" customHeight="1" outlineLevel="2">
      <c r="A105" s="21"/>
      <c r="B105" s="189"/>
      <c r="C105" s="21"/>
      <c r="D105" s="21"/>
      <c r="E105" s="115"/>
      <c r="F105" s="241"/>
      <c r="G105" s="241"/>
      <c r="H105" s="227"/>
      <c r="I105" s="227"/>
      <c r="J105" s="227"/>
      <c r="K105" s="227"/>
      <c r="L105" s="227"/>
    </row>
    <row r="106" ht="12.75" customHeight="1" outlineLevel="2">
      <c r="A106" s="151" t="s">
        <v>1995</v>
      </c>
      <c r="B106" s="244">
        <v>3.6</v>
      </c>
      <c r="C106" s="245" t="s">
        <v>814</v>
      </c>
      <c r="D106" s="21"/>
      <c r="E106" s="115"/>
      <c r="F106" s="241"/>
      <c r="G106" s="241"/>
      <c r="H106" s="227"/>
      <c r="I106" s="227"/>
      <c r="J106" s="227"/>
      <c r="K106" s="227"/>
      <c r="L106" s="227"/>
    </row>
    <row r="107" ht="12.75" customHeight="1" outlineLevel="3">
      <c r="A107" s="151"/>
      <c r="B107" s="230"/>
      <c r="C107" s="246"/>
      <c r="D107" s="230"/>
      <c r="E107" s="170"/>
      <c r="F107" s="239"/>
      <c r="G107" s="239"/>
      <c r="H107" s="227"/>
      <c r="I107" s="227"/>
      <c r="J107" s="227"/>
      <c r="K107" s="227"/>
      <c r="L107" s="227"/>
    </row>
    <row r="108" ht="12.75" customHeight="1" outlineLevel="3">
      <c r="A108" s="151" t="s">
        <v>1997</v>
      </c>
      <c r="B108" s="198" t="s">
        <v>1998</v>
      </c>
      <c r="C108" s="202" t="s">
        <v>803</v>
      </c>
      <c r="D108" s="203" t="s">
        <v>776</v>
      </c>
      <c r="E108" s="214">
        <v>30.26</v>
      </c>
      <c r="F108" s="205">
        <v>160.0</v>
      </c>
      <c r="G108" s="206">
        <f t="shared" ref="G108:G111" si="6">F108*E108</f>
        <v>4841.6</v>
      </c>
      <c r="H108" s="227"/>
      <c r="I108" s="227"/>
      <c r="J108" s="227"/>
      <c r="K108" s="227"/>
      <c r="L108" s="227"/>
    </row>
    <row r="109" ht="12.75" customHeight="1" outlineLevel="3">
      <c r="A109" s="151" t="s">
        <v>1999</v>
      </c>
      <c r="B109" s="198" t="s">
        <v>2000</v>
      </c>
      <c r="C109" s="202" t="s">
        <v>817</v>
      </c>
      <c r="D109" s="203" t="s">
        <v>776</v>
      </c>
      <c r="E109" s="214">
        <v>21.41</v>
      </c>
      <c r="F109" s="205">
        <v>160.0</v>
      </c>
      <c r="G109" s="206">
        <f t="shared" si="6"/>
        <v>3425.6</v>
      </c>
      <c r="H109" s="227"/>
      <c r="I109" s="227"/>
      <c r="J109" s="227"/>
      <c r="K109" s="227"/>
      <c r="L109" s="227"/>
    </row>
    <row r="110" ht="12.75" customHeight="1" outlineLevel="3">
      <c r="A110" s="151" t="s">
        <v>2002</v>
      </c>
      <c r="B110" s="198" t="s">
        <v>2003</v>
      </c>
      <c r="C110" s="202" t="s">
        <v>819</v>
      </c>
      <c r="D110" s="203" t="s">
        <v>776</v>
      </c>
      <c r="E110" s="214">
        <v>3.06</v>
      </c>
      <c r="F110" s="205">
        <v>160.0</v>
      </c>
      <c r="G110" s="206">
        <f t="shared" si="6"/>
        <v>489.6</v>
      </c>
      <c r="H110" s="227"/>
      <c r="I110" s="227"/>
      <c r="J110" s="227"/>
      <c r="K110" s="227"/>
      <c r="L110" s="227"/>
    </row>
    <row r="111" ht="12.75" customHeight="1" outlineLevel="3">
      <c r="A111" s="151" t="s">
        <v>2005</v>
      </c>
      <c r="B111" s="198" t="s">
        <v>2006</v>
      </c>
      <c r="C111" s="202" t="s">
        <v>821</v>
      </c>
      <c r="D111" s="203" t="s">
        <v>776</v>
      </c>
      <c r="E111" s="214">
        <v>1.18</v>
      </c>
      <c r="F111" s="205">
        <v>160.0</v>
      </c>
      <c r="G111" s="206">
        <f t="shared" si="6"/>
        <v>188.8</v>
      </c>
      <c r="H111" s="227"/>
      <c r="I111" s="227"/>
      <c r="J111" s="227"/>
      <c r="K111" s="227"/>
      <c r="L111" s="227"/>
    </row>
    <row r="112" ht="12.75" customHeight="1" outlineLevel="2">
      <c r="A112" s="21"/>
      <c r="B112" s="189"/>
      <c r="C112" s="21"/>
      <c r="D112" s="21"/>
      <c r="E112" s="115"/>
      <c r="F112" s="241"/>
      <c r="G112" s="241"/>
      <c r="H112" s="227"/>
      <c r="I112" s="227"/>
      <c r="J112" s="227"/>
      <c r="K112" s="227"/>
      <c r="L112" s="227"/>
    </row>
    <row r="113" ht="12.75" customHeight="1" outlineLevel="1">
      <c r="A113" s="151"/>
      <c r="B113" s="230"/>
      <c r="C113" s="237" t="s">
        <v>5592</v>
      </c>
      <c r="D113" s="21"/>
      <c r="E113" s="115"/>
      <c r="F113" s="917">
        <f>SUM(G118:G164)</f>
        <v>125531.594</v>
      </c>
      <c r="G113" s="241"/>
      <c r="H113" s="227"/>
      <c r="I113" s="227"/>
      <c r="J113" s="227"/>
      <c r="K113" s="227"/>
      <c r="L113" s="227"/>
    </row>
    <row r="114" ht="12.75" customHeight="1" outlineLevel="2">
      <c r="A114" s="151"/>
      <c r="B114" s="230"/>
      <c r="C114" s="246"/>
      <c r="D114" s="21"/>
      <c r="E114" s="115"/>
      <c r="F114" s="241"/>
      <c r="G114" s="241"/>
      <c r="H114" s="227"/>
      <c r="I114" s="227"/>
      <c r="J114" s="227"/>
      <c r="K114" s="227"/>
      <c r="L114" s="227"/>
    </row>
    <row r="115" ht="12.75" customHeight="1" outlineLevel="2">
      <c r="A115" s="151" t="s">
        <v>2009</v>
      </c>
      <c r="B115" s="244">
        <v>3.7</v>
      </c>
      <c r="C115" s="245" t="s">
        <v>824</v>
      </c>
      <c r="D115" s="21"/>
      <c r="E115" s="115"/>
      <c r="F115" s="241"/>
      <c r="G115" s="241"/>
      <c r="H115" s="227"/>
      <c r="I115" s="227"/>
      <c r="J115" s="227"/>
      <c r="K115" s="227"/>
      <c r="L115" s="227"/>
    </row>
    <row r="116" ht="12.75" customHeight="1" outlineLevel="3">
      <c r="A116" s="21"/>
      <c r="B116" s="189"/>
      <c r="C116" s="21"/>
      <c r="D116" s="21"/>
      <c r="E116" s="115"/>
      <c r="F116" s="241"/>
      <c r="G116" s="241"/>
      <c r="H116" s="227"/>
      <c r="I116" s="227"/>
      <c r="J116" s="227"/>
      <c r="K116" s="227"/>
      <c r="L116" s="227"/>
    </row>
    <row r="117" ht="12.75" customHeight="1" outlineLevel="3">
      <c r="A117" s="151" t="s">
        <v>71</v>
      </c>
      <c r="B117" s="244" t="s">
        <v>2011</v>
      </c>
      <c r="C117" s="245" t="s">
        <v>825</v>
      </c>
      <c r="D117" s="21"/>
      <c r="E117" s="115"/>
      <c r="F117" s="241"/>
      <c r="G117" s="241"/>
      <c r="H117" s="227"/>
      <c r="I117" s="227"/>
      <c r="J117" s="227"/>
      <c r="K117" s="227"/>
      <c r="L117" s="227"/>
    </row>
    <row r="118" ht="12.75" customHeight="1" outlineLevel="3">
      <c r="A118" s="21"/>
      <c r="B118" s="198" t="s">
        <v>2013</v>
      </c>
      <c r="C118" s="202" t="s">
        <v>826</v>
      </c>
      <c r="D118" s="203" t="s">
        <v>827</v>
      </c>
      <c r="E118" s="214">
        <v>421.74</v>
      </c>
      <c r="F118" s="205">
        <v>1.9</v>
      </c>
      <c r="G118" s="206">
        <f>F118*E118</f>
        <v>801.306</v>
      </c>
      <c r="H118" s="227"/>
      <c r="I118" s="227"/>
      <c r="J118" s="227"/>
      <c r="K118" s="227"/>
      <c r="L118" s="227"/>
    </row>
    <row r="119" ht="12.75" customHeight="1" outlineLevel="3">
      <c r="A119" s="151"/>
      <c r="B119" s="189"/>
      <c r="C119" s="152"/>
      <c r="D119" s="21"/>
      <c r="E119" s="115"/>
      <c r="F119" s="241"/>
      <c r="G119" s="241"/>
      <c r="H119" s="227"/>
      <c r="I119" s="227"/>
      <c r="J119" s="227"/>
      <c r="K119" s="227"/>
      <c r="L119" s="227"/>
    </row>
    <row r="120" ht="12.75" customHeight="1" outlineLevel="3">
      <c r="A120" s="151" t="s">
        <v>82</v>
      </c>
      <c r="B120" s="244" t="s">
        <v>2014</v>
      </c>
      <c r="C120" s="245" t="s">
        <v>828</v>
      </c>
      <c r="D120" s="21"/>
      <c r="E120" s="115"/>
      <c r="F120" s="241"/>
      <c r="G120" s="241"/>
      <c r="H120" s="227"/>
      <c r="I120" s="227"/>
      <c r="J120" s="227"/>
      <c r="K120" s="227"/>
      <c r="L120" s="227"/>
    </row>
    <row r="121" ht="12.75" customHeight="1" outlineLevel="3">
      <c r="A121" s="21"/>
      <c r="B121" s="198" t="s">
        <v>2016</v>
      </c>
      <c r="C121" s="202" t="s">
        <v>829</v>
      </c>
      <c r="D121" s="203" t="s">
        <v>827</v>
      </c>
      <c r="E121" s="214">
        <v>1572.83</v>
      </c>
      <c r="F121" s="205">
        <v>1.9</v>
      </c>
      <c r="G121" s="206">
        <f t="shared" ref="G121:G122" si="7">F121*E121</f>
        <v>2988.377</v>
      </c>
      <c r="H121" s="227"/>
      <c r="I121" s="227"/>
      <c r="J121" s="227"/>
      <c r="K121" s="227"/>
      <c r="L121" s="227"/>
    </row>
    <row r="122" ht="12.75" customHeight="1" outlineLevel="3">
      <c r="A122" s="21"/>
      <c r="B122" s="198" t="s">
        <v>2017</v>
      </c>
      <c r="C122" s="202" t="s">
        <v>826</v>
      </c>
      <c r="D122" s="203" t="s">
        <v>827</v>
      </c>
      <c r="E122" s="214">
        <v>3799.07</v>
      </c>
      <c r="F122" s="205">
        <v>1.9</v>
      </c>
      <c r="G122" s="206">
        <f t="shared" si="7"/>
        <v>7218.233</v>
      </c>
      <c r="H122" s="227"/>
      <c r="I122" s="227"/>
      <c r="J122" s="227"/>
      <c r="K122" s="227"/>
      <c r="L122" s="227"/>
    </row>
    <row r="123" ht="12.75" customHeight="1" outlineLevel="3">
      <c r="A123" s="151"/>
      <c r="B123" s="189"/>
      <c r="C123" s="152"/>
      <c r="D123" s="21"/>
      <c r="E123" s="115"/>
      <c r="F123" s="241"/>
      <c r="G123" s="241"/>
      <c r="H123" s="227"/>
      <c r="I123" s="227"/>
      <c r="J123" s="227"/>
      <c r="K123" s="227"/>
      <c r="L123" s="227"/>
    </row>
    <row r="124" ht="12.75" customHeight="1" outlineLevel="3">
      <c r="A124" s="151" t="s">
        <v>830</v>
      </c>
      <c r="B124" s="244" t="s">
        <v>2018</v>
      </c>
      <c r="C124" s="245" t="s">
        <v>831</v>
      </c>
      <c r="D124" s="21"/>
      <c r="E124" s="115"/>
      <c r="F124" s="241"/>
      <c r="G124" s="241"/>
      <c r="H124" s="227"/>
      <c r="I124" s="227"/>
      <c r="J124" s="227"/>
      <c r="K124" s="227"/>
      <c r="L124" s="227"/>
    </row>
    <row r="125" ht="12.75" customHeight="1" outlineLevel="3">
      <c r="A125" s="21"/>
      <c r="B125" s="198" t="s">
        <v>2020</v>
      </c>
      <c r="C125" s="202" t="s">
        <v>826</v>
      </c>
      <c r="D125" s="203" t="s">
        <v>827</v>
      </c>
      <c r="E125" s="214">
        <v>289.81</v>
      </c>
      <c r="F125" s="205">
        <v>1.9</v>
      </c>
      <c r="G125" s="206">
        <f t="shared" ref="G125:G126" si="8">F125*E125</f>
        <v>550.639</v>
      </c>
      <c r="H125" s="227"/>
      <c r="I125" s="227"/>
      <c r="J125" s="227"/>
      <c r="K125" s="227"/>
      <c r="L125" s="227"/>
    </row>
    <row r="126" ht="12.75" customHeight="1" outlineLevel="3">
      <c r="A126" s="21"/>
      <c r="B126" s="198" t="s">
        <v>2021</v>
      </c>
      <c r="C126" s="202" t="s">
        <v>832</v>
      </c>
      <c r="D126" s="203" t="s">
        <v>827</v>
      </c>
      <c r="E126" s="214">
        <v>412.85</v>
      </c>
      <c r="F126" s="205">
        <v>1.9</v>
      </c>
      <c r="G126" s="206">
        <f t="shared" si="8"/>
        <v>784.415</v>
      </c>
      <c r="H126" s="227"/>
      <c r="I126" s="227"/>
      <c r="J126" s="227"/>
      <c r="K126" s="227"/>
      <c r="L126" s="227"/>
    </row>
    <row r="127" ht="12.75" customHeight="1" outlineLevel="3">
      <c r="A127" s="21"/>
      <c r="B127" s="189"/>
      <c r="C127" s="21"/>
      <c r="D127" s="21"/>
      <c r="E127" s="115"/>
      <c r="F127" s="241"/>
      <c r="G127" s="241"/>
      <c r="H127" s="227"/>
      <c r="I127" s="227"/>
      <c r="J127" s="227"/>
      <c r="K127" s="227"/>
      <c r="L127" s="227"/>
    </row>
    <row r="128" ht="12.75" customHeight="1" outlineLevel="3">
      <c r="A128" s="151" t="s">
        <v>833</v>
      </c>
      <c r="B128" s="244" t="s">
        <v>2022</v>
      </c>
      <c r="C128" s="245" t="s">
        <v>834</v>
      </c>
      <c r="D128" s="21"/>
      <c r="E128" s="115"/>
      <c r="F128" s="241"/>
      <c r="G128" s="241"/>
      <c r="H128" s="227"/>
      <c r="I128" s="227"/>
      <c r="J128" s="227"/>
      <c r="K128" s="227"/>
      <c r="L128" s="227"/>
    </row>
    <row r="129" ht="12.75" customHeight="1" outlineLevel="3">
      <c r="A129" s="21"/>
      <c r="B129" s="198" t="s">
        <v>2024</v>
      </c>
      <c r="C129" s="202" t="s">
        <v>829</v>
      </c>
      <c r="D129" s="203" t="s">
        <v>827</v>
      </c>
      <c r="E129" s="214">
        <v>651.95</v>
      </c>
      <c r="F129" s="205">
        <v>1.9</v>
      </c>
      <c r="G129" s="206">
        <f t="shared" ref="G129:G132" si="9">F129*E129</f>
        <v>1238.705</v>
      </c>
      <c r="H129" s="227"/>
      <c r="I129" s="227"/>
      <c r="J129" s="227"/>
      <c r="K129" s="227"/>
      <c r="L129" s="227"/>
    </row>
    <row r="130" ht="12.75" customHeight="1" outlineLevel="3">
      <c r="A130" s="21"/>
      <c r="B130" s="198" t="s">
        <v>2025</v>
      </c>
      <c r="C130" s="202" t="s">
        <v>826</v>
      </c>
      <c r="D130" s="203" t="s">
        <v>827</v>
      </c>
      <c r="E130" s="214">
        <v>132.8</v>
      </c>
      <c r="F130" s="205">
        <v>1.9</v>
      </c>
      <c r="G130" s="206">
        <f t="shared" si="9"/>
        <v>252.32</v>
      </c>
      <c r="H130" s="227"/>
      <c r="I130" s="227"/>
      <c r="J130" s="227"/>
      <c r="K130" s="227"/>
      <c r="L130" s="227"/>
    </row>
    <row r="131" ht="12.75" customHeight="1" outlineLevel="3">
      <c r="A131" s="21"/>
      <c r="B131" s="198" t="s">
        <v>2026</v>
      </c>
      <c r="C131" s="202" t="s">
        <v>832</v>
      </c>
      <c r="D131" s="203" t="s">
        <v>827</v>
      </c>
      <c r="E131" s="214">
        <v>477.82</v>
      </c>
      <c r="F131" s="205">
        <v>1.9</v>
      </c>
      <c r="G131" s="206">
        <f t="shared" si="9"/>
        <v>907.858</v>
      </c>
      <c r="H131" s="227"/>
      <c r="I131" s="227"/>
      <c r="J131" s="227"/>
      <c r="K131" s="227"/>
      <c r="L131" s="227"/>
    </row>
    <row r="132" ht="12.75" customHeight="1" outlineLevel="3">
      <c r="A132" s="21"/>
      <c r="B132" s="198" t="s">
        <v>2027</v>
      </c>
      <c r="C132" s="202" t="s">
        <v>835</v>
      </c>
      <c r="D132" s="203" t="s">
        <v>827</v>
      </c>
      <c r="E132" s="214">
        <v>1878.6</v>
      </c>
      <c r="F132" s="205">
        <v>1.9</v>
      </c>
      <c r="G132" s="206">
        <f t="shared" si="9"/>
        <v>3569.34</v>
      </c>
      <c r="H132" s="227"/>
      <c r="I132" s="227"/>
      <c r="J132" s="227"/>
      <c r="K132" s="227"/>
      <c r="L132" s="227"/>
    </row>
    <row r="133" ht="12.75" customHeight="1" outlineLevel="3">
      <c r="A133" s="21"/>
      <c r="B133" s="189"/>
      <c r="C133" s="21"/>
      <c r="D133" s="21"/>
      <c r="E133" s="115"/>
      <c r="F133" s="241"/>
      <c r="G133" s="241"/>
      <c r="H133" s="227"/>
      <c r="I133" s="227"/>
      <c r="J133" s="227"/>
      <c r="K133" s="227"/>
      <c r="L133" s="227"/>
    </row>
    <row r="134" ht="12.75" customHeight="1" outlineLevel="3">
      <c r="A134" s="151" t="s">
        <v>836</v>
      </c>
      <c r="B134" s="244" t="s">
        <v>2028</v>
      </c>
      <c r="C134" s="245" t="s">
        <v>837</v>
      </c>
      <c r="D134" s="21"/>
      <c r="E134" s="115"/>
      <c r="F134" s="241"/>
      <c r="G134" s="241"/>
      <c r="H134" s="227"/>
      <c r="I134" s="227"/>
      <c r="J134" s="227"/>
      <c r="K134" s="227"/>
      <c r="L134" s="227"/>
    </row>
    <row r="135" ht="12.75" customHeight="1" outlineLevel="3">
      <c r="A135" s="21"/>
      <c r="B135" s="198" t="s">
        <v>2030</v>
      </c>
      <c r="C135" s="202" t="s">
        <v>829</v>
      </c>
      <c r="D135" s="203" t="s">
        <v>827</v>
      </c>
      <c r="E135" s="214">
        <v>861.38</v>
      </c>
      <c r="F135" s="205">
        <v>1.9</v>
      </c>
      <c r="G135" s="206">
        <f t="shared" ref="G135:G137" si="10">F135*E135</f>
        <v>1636.622</v>
      </c>
      <c r="H135" s="227"/>
      <c r="I135" s="227"/>
      <c r="J135" s="227"/>
      <c r="K135" s="227"/>
      <c r="L135" s="227"/>
    </row>
    <row r="136" ht="12.75" customHeight="1" outlineLevel="3">
      <c r="A136" s="21"/>
      <c r="B136" s="198" t="s">
        <v>2031</v>
      </c>
      <c r="C136" s="202" t="s">
        <v>826</v>
      </c>
      <c r="D136" s="203" t="s">
        <v>827</v>
      </c>
      <c r="E136" s="214">
        <v>4610.89</v>
      </c>
      <c r="F136" s="205">
        <v>1.9</v>
      </c>
      <c r="G136" s="206">
        <f t="shared" si="10"/>
        <v>8760.691</v>
      </c>
      <c r="H136" s="227"/>
      <c r="I136" s="227"/>
      <c r="J136" s="227"/>
      <c r="K136" s="227"/>
      <c r="L136" s="227"/>
    </row>
    <row r="137" ht="12.75" customHeight="1" outlineLevel="3">
      <c r="A137" s="21"/>
      <c r="B137" s="198" t="s">
        <v>2032</v>
      </c>
      <c r="C137" s="202" t="s">
        <v>832</v>
      </c>
      <c r="D137" s="203" t="s">
        <v>827</v>
      </c>
      <c r="E137" s="214">
        <v>12447.9</v>
      </c>
      <c r="F137" s="205">
        <v>1.9</v>
      </c>
      <c r="G137" s="206">
        <f t="shared" si="10"/>
        <v>23651.01</v>
      </c>
      <c r="H137" s="227"/>
      <c r="I137" s="227"/>
      <c r="J137" s="227"/>
      <c r="K137" s="227"/>
      <c r="L137" s="227"/>
    </row>
    <row r="138" ht="12.75" customHeight="1" outlineLevel="3">
      <c r="A138" s="21"/>
      <c r="B138" s="189"/>
      <c r="C138" s="21"/>
      <c r="D138" s="21"/>
      <c r="E138" s="115"/>
      <c r="F138" s="241"/>
      <c r="G138" s="241"/>
      <c r="H138" s="227"/>
      <c r="I138" s="227"/>
      <c r="J138" s="227"/>
      <c r="K138" s="227"/>
      <c r="L138" s="227"/>
    </row>
    <row r="139" ht="12.75" customHeight="1" outlineLevel="3">
      <c r="A139" s="151" t="s">
        <v>838</v>
      </c>
      <c r="B139" s="244" t="s">
        <v>2033</v>
      </c>
      <c r="C139" s="245" t="s">
        <v>839</v>
      </c>
      <c r="D139" s="21"/>
      <c r="E139" s="115"/>
      <c r="F139" s="241"/>
      <c r="G139" s="241"/>
      <c r="H139" s="227"/>
      <c r="I139" s="227"/>
      <c r="J139" s="227"/>
      <c r="K139" s="227"/>
      <c r="L139" s="227"/>
    </row>
    <row r="140" ht="12.75" customHeight="1" outlineLevel="3">
      <c r="A140" s="21"/>
      <c r="B140" s="198" t="s">
        <v>2035</v>
      </c>
      <c r="C140" s="202" t="s">
        <v>829</v>
      </c>
      <c r="D140" s="203" t="s">
        <v>827</v>
      </c>
      <c r="E140" s="214">
        <v>873.77</v>
      </c>
      <c r="F140" s="205">
        <v>1.9</v>
      </c>
      <c r="G140" s="206">
        <f t="shared" ref="G140:G142" si="11">F140*E140</f>
        <v>1660.163</v>
      </c>
      <c r="H140" s="227"/>
      <c r="I140" s="227"/>
      <c r="J140" s="227"/>
      <c r="K140" s="227"/>
      <c r="L140" s="227"/>
    </row>
    <row r="141" ht="12.75" customHeight="1" outlineLevel="3">
      <c r="A141" s="21"/>
      <c r="B141" s="198" t="s">
        <v>2036</v>
      </c>
      <c r="C141" s="202" t="s">
        <v>832</v>
      </c>
      <c r="D141" s="203" t="s">
        <v>827</v>
      </c>
      <c r="E141" s="214">
        <v>1173.14</v>
      </c>
      <c r="F141" s="205">
        <v>1.9</v>
      </c>
      <c r="G141" s="206">
        <f t="shared" si="11"/>
        <v>2228.966</v>
      </c>
      <c r="H141" s="227"/>
      <c r="I141" s="227"/>
      <c r="J141" s="227"/>
      <c r="K141" s="227"/>
      <c r="L141" s="227"/>
    </row>
    <row r="142" ht="12.75" customHeight="1" outlineLevel="3">
      <c r="A142" s="21"/>
      <c r="B142" s="198" t="s">
        <v>2037</v>
      </c>
      <c r="C142" s="202" t="s">
        <v>835</v>
      </c>
      <c r="D142" s="203" t="s">
        <v>827</v>
      </c>
      <c r="E142" s="214">
        <v>851.86</v>
      </c>
      <c r="F142" s="205">
        <v>1.9</v>
      </c>
      <c r="G142" s="206">
        <f t="shared" si="11"/>
        <v>1618.534</v>
      </c>
      <c r="H142" s="227"/>
      <c r="I142" s="227"/>
      <c r="J142" s="227"/>
      <c r="K142" s="227"/>
      <c r="L142" s="227"/>
    </row>
    <row r="143" ht="12.75" customHeight="1" outlineLevel="3">
      <c r="A143" s="21"/>
      <c r="B143" s="189"/>
      <c r="C143" s="21"/>
      <c r="D143" s="21"/>
      <c r="E143" s="115"/>
      <c r="F143" s="241"/>
      <c r="G143" s="241"/>
      <c r="H143" s="227"/>
      <c r="I143" s="227"/>
      <c r="J143" s="227"/>
      <c r="K143" s="227"/>
      <c r="L143" s="227"/>
    </row>
    <row r="144" ht="12.75" customHeight="1" outlineLevel="3">
      <c r="A144" s="151" t="s">
        <v>840</v>
      </c>
      <c r="B144" s="244" t="s">
        <v>2038</v>
      </c>
      <c r="C144" s="245" t="s">
        <v>841</v>
      </c>
      <c r="D144" s="21"/>
      <c r="E144" s="115"/>
      <c r="F144" s="241"/>
      <c r="G144" s="241"/>
      <c r="H144" s="227"/>
      <c r="I144" s="227"/>
      <c r="J144" s="227"/>
      <c r="K144" s="227"/>
      <c r="L144" s="227"/>
    </row>
    <row r="145" ht="12.75" customHeight="1" outlineLevel="3">
      <c r="A145" s="21"/>
      <c r="B145" s="198" t="s">
        <v>2040</v>
      </c>
      <c r="C145" s="202" t="s">
        <v>829</v>
      </c>
      <c r="D145" s="203" t="s">
        <v>827</v>
      </c>
      <c r="E145" s="214">
        <v>2505.02</v>
      </c>
      <c r="F145" s="205">
        <v>1.9</v>
      </c>
      <c r="G145" s="206">
        <f t="shared" ref="G145:G148" si="12">F145*E145</f>
        <v>4759.538</v>
      </c>
      <c r="H145" s="227"/>
      <c r="I145" s="227"/>
      <c r="J145" s="227"/>
      <c r="K145" s="227"/>
      <c r="L145" s="227"/>
    </row>
    <row r="146" ht="12.75" customHeight="1" outlineLevel="3">
      <c r="A146" s="21"/>
      <c r="B146" s="198" t="s">
        <v>2041</v>
      </c>
      <c r="C146" s="202" t="s">
        <v>826</v>
      </c>
      <c r="D146" s="203" t="s">
        <v>827</v>
      </c>
      <c r="E146" s="214">
        <v>113.14</v>
      </c>
      <c r="F146" s="205">
        <v>1.9</v>
      </c>
      <c r="G146" s="206">
        <f t="shared" si="12"/>
        <v>214.966</v>
      </c>
      <c r="H146" s="227"/>
      <c r="I146" s="227"/>
      <c r="J146" s="227"/>
      <c r="K146" s="227"/>
      <c r="L146" s="227"/>
    </row>
    <row r="147" ht="12.75" customHeight="1" outlineLevel="3">
      <c r="A147" s="21"/>
      <c r="B147" s="198" t="s">
        <v>2042</v>
      </c>
      <c r="C147" s="202" t="s">
        <v>832</v>
      </c>
      <c r="D147" s="203" t="s">
        <v>827</v>
      </c>
      <c r="E147" s="214">
        <v>145.88</v>
      </c>
      <c r="F147" s="205">
        <v>1.9</v>
      </c>
      <c r="G147" s="206">
        <f t="shared" si="12"/>
        <v>277.172</v>
      </c>
      <c r="H147" s="227"/>
      <c r="I147" s="227"/>
      <c r="J147" s="227"/>
      <c r="K147" s="227"/>
      <c r="L147" s="227"/>
    </row>
    <row r="148" ht="12.75" customHeight="1" outlineLevel="3">
      <c r="A148" s="21"/>
      <c r="B148" s="198" t="s">
        <v>2043</v>
      </c>
      <c r="C148" s="202" t="s">
        <v>835</v>
      </c>
      <c r="D148" s="203" t="s">
        <v>827</v>
      </c>
      <c r="E148" s="214">
        <v>6059.68</v>
      </c>
      <c r="F148" s="205">
        <v>1.9</v>
      </c>
      <c r="G148" s="206">
        <f t="shared" si="12"/>
        <v>11513.392</v>
      </c>
      <c r="H148" s="227"/>
      <c r="I148" s="227"/>
      <c r="J148" s="227"/>
      <c r="K148" s="227"/>
      <c r="L148" s="227"/>
    </row>
    <row r="149" ht="12.75" customHeight="1" outlineLevel="3">
      <c r="A149" s="21"/>
      <c r="B149" s="189"/>
      <c r="C149" s="21"/>
      <c r="D149" s="21"/>
      <c r="E149" s="115"/>
      <c r="F149" s="241"/>
      <c r="G149" s="241"/>
      <c r="H149" s="227"/>
      <c r="I149" s="227"/>
      <c r="J149" s="227"/>
      <c r="K149" s="227"/>
      <c r="L149" s="227"/>
    </row>
    <row r="150" ht="12.75" customHeight="1" outlineLevel="3">
      <c r="A150" s="151" t="s">
        <v>842</v>
      </c>
      <c r="B150" s="244" t="s">
        <v>2044</v>
      </c>
      <c r="C150" s="245" t="s">
        <v>843</v>
      </c>
      <c r="D150" s="21"/>
      <c r="E150" s="115"/>
      <c r="F150" s="241"/>
      <c r="G150" s="241"/>
      <c r="H150" s="227"/>
      <c r="I150" s="227"/>
      <c r="J150" s="227"/>
      <c r="K150" s="227"/>
      <c r="L150" s="227"/>
    </row>
    <row r="151" ht="12.75" customHeight="1" outlineLevel="3">
      <c r="A151" s="21"/>
      <c r="B151" s="198" t="s">
        <v>2046</v>
      </c>
      <c r="C151" s="202" t="s">
        <v>826</v>
      </c>
      <c r="D151" s="203" t="s">
        <v>827</v>
      </c>
      <c r="E151" s="214">
        <v>3007.17</v>
      </c>
      <c r="F151" s="205">
        <v>1.9</v>
      </c>
      <c r="G151" s="206">
        <f t="shared" ref="G151:G152" si="13">F151*E151</f>
        <v>5713.623</v>
      </c>
      <c r="H151" s="227"/>
      <c r="I151" s="227"/>
      <c r="J151" s="227"/>
      <c r="K151" s="227"/>
      <c r="L151" s="227"/>
    </row>
    <row r="152" ht="12.75" customHeight="1" outlineLevel="3">
      <c r="A152" s="21"/>
      <c r="B152" s="198" t="s">
        <v>2047</v>
      </c>
      <c r="C152" s="202" t="s">
        <v>832</v>
      </c>
      <c r="D152" s="203" t="s">
        <v>827</v>
      </c>
      <c r="E152" s="214">
        <v>14406.06</v>
      </c>
      <c r="F152" s="205">
        <v>1.9</v>
      </c>
      <c r="G152" s="206">
        <f t="shared" si="13"/>
        <v>27371.514</v>
      </c>
      <c r="H152" s="227"/>
      <c r="I152" s="227"/>
      <c r="J152" s="227"/>
      <c r="K152" s="227"/>
      <c r="L152" s="227"/>
    </row>
    <row r="153" ht="12.75" customHeight="1" outlineLevel="3">
      <c r="A153" s="21"/>
      <c r="B153" s="189"/>
      <c r="C153" s="21"/>
      <c r="D153" s="21"/>
      <c r="E153" s="115"/>
      <c r="F153" s="241"/>
      <c r="G153" s="241"/>
      <c r="H153" s="227"/>
      <c r="I153" s="227"/>
      <c r="J153" s="227"/>
      <c r="K153" s="227"/>
      <c r="L153" s="227"/>
    </row>
    <row r="154" ht="12.75" customHeight="1" outlineLevel="3">
      <c r="A154" s="151" t="s">
        <v>844</v>
      </c>
      <c r="B154" s="244" t="s">
        <v>2048</v>
      </c>
      <c r="C154" s="245" t="s">
        <v>845</v>
      </c>
      <c r="D154" s="21"/>
      <c r="E154" s="115"/>
      <c r="F154" s="241"/>
      <c r="G154" s="241"/>
      <c r="H154" s="227"/>
      <c r="I154" s="227"/>
      <c r="J154" s="227"/>
      <c r="K154" s="227"/>
      <c r="L154" s="227"/>
    </row>
    <row r="155" ht="12.75" customHeight="1" outlineLevel="3">
      <c r="A155" s="21"/>
      <c r="B155" s="198" t="s">
        <v>2050</v>
      </c>
      <c r="C155" s="202" t="s">
        <v>826</v>
      </c>
      <c r="D155" s="203" t="s">
        <v>827</v>
      </c>
      <c r="E155" s="214">
        <v>601.06</v>
      </c>
      <c r="F155" s="205">
        <v>1.9</v>
      </c>
      <c r="G155" s="206">
        <f>F155*E155</f>
        <v>1142.014</v>
      </c>
      <c r="H155" s="227"/>
      <c r="I155" s="227"/>
      <c r="J155" s="227"/>
      <c r="K155" s="227"/>
      <c r="L155" s="227"/>
    </row>
    <row r="156" ht="12.75" customHeight="1" outlineLevel="3">
      <c r="A156" s="21"/>
      <c r="B156" s="189"/>
      <c r="C156" s="21"/>
      <c r="D156" s="21"/>
      <c r="E156" s="115"/>
      <c r="F156" s="241"/>
      <c r="G156" s="241"/>
      <c r="H156" s="227"/>
      <c r="I156" s="227"/>
      <c r="J156" s="227"/>
      <c r="K156" s="227"/>
      <c r="L156" s="227"/>
    </row>
    <row r="157" ht="12.75" customHeight="1" outlineLevel="3">
      <c r="A157" s="151" t="s">
        <v>846</v>
      </c>
      <c r="B157" s="244" t="s">
        <v>2051</v>
      </c>
      <c r="C157" s="245" t="s">
        <v>847</v>
      </c>
      <c r="D157" s="21"/>
      <c r="E157" s="115"/>
      <c r="F157" s="241"/>
      <c r="G157" s="241"/>
      <c r="H157" s="227"/>
      <c r="I157" s="227"/>
      <c r="J157" s="227"/>
      <c r="K157" s="227"/>
      <c r="L157" s="227"/>
    </row>
    <row r="158" ht="12.75" customHeight="1" outlineLevel="3">
      <c r="A158" s="21"/>
      <c r="B158" s="198" t="s">
        <v>2053</v>
      </c>
      <c r="C158" s="202" t="s">
        <v>829</v>
      </c>
      <c r="D158" s="203" t="s">
        <v>827</v>
      </c>
      <c r="E158" s="214">
        <v>977.88</v>
      </c>
      <c r="F158" s="205">
        <v>1.9</v>
      </c>
      <c r="G158" s="206">
        <f t="shared" ref="G158:G160" si="14">F158*E158</f>
        <v>1857.972</v>
      </c>
      <c r="H158" s="227"/>
      <c r="I158" s="227"/>
      <c r="J158" s="227"/>
      <c r="K158" s="227"/>
      <c r="L158" s="227"/>
    </row>
    <row r="159" ht="12.75" customHeight="1" outlineLevel="3">
      <c r="A159" s="21"/>
      <c r="B159" s="198" t="s">
        <v>2054</v>
      </c>
      <c r="C159" s="202" t="s">
        <v>826</v>
      </c>
      <c r="D159" s="203" t="s">
        <v>827</v>
      </c>
      <c r="E159" s="214">
        <v>2445.29</v>
      </c>
      <c r="F159" s="205">
        <v>1.9</v>
      </c>
      <c r="G159" s="206">
        <f t="shared" si="14"/>
        <v>4646.051</v>
      </c>
      <c r="H159" s="227"/>
      <c r="I159" s="227"/>
      <c r="J159" s="227"/>
      <c r="K159" s="227"/>
      <c r="L159" s="227"/>
    </row>
    <row r="160" ht="12.75" customHeight="1" outlineLevel="3">
      <c r="A160" s="21"/>
      <c r="B160" s="198" t="s">
        <v>2055</v>
      </c>
      <c r="C160" s="202" t="s">
        <v>832</v>
      </c>
      <c r="D160" s="203" t="s">
        <v>827</v>
      </c>
      <c r="E160" s="214">
        <v>4767.93</v>
      </c>
      <c r="F160" s="205">
        <v>1.9</v>
      </c>
      <c r="G160" s="206">
        <f t="shared" si="14"/>
        <v>9059.067</v>
      </c>
      <c r="H160" s="227"/>
      <c r="I160" s="227"/>
      <c r="J160" s="227"/>
      <c r="K160" s="227"/>
      <c r="L160" s="227"/>
    </row>
    <row r="161" ht="12.75" customHeight="1" outlineLevel="3">
      <c r="A161" s="21"/>
      <c r="B161" s="189"/>
      <c r="C161" s="21"/>
      <c r="D161" s="21"/>
      <c r="E161" s="115"/>
      <c r="F161" s="241"/>
      <c r="G161" s="241"/>
      <c r="H161" s="227"/>
      <c r="I161" s="227"/>
      <c r="J161" s="227"/>
      <c r="K161" s="227"/>
      <c r="L161" s="227"/>
    </row>
    <row r="162" ht="12.75" customHeight="1" outlineLevel="3">
      <c r="A162" s="151" t="s">
        <v>848</v>
      </c>
      <c r="B162" s="244" t="s">
        <v>2056</v>
      </c>
      <c r="C162" s="245" t="s">
        <v>849</v>
      </c>
      <c r="D162" s="21"/>
      <c r="E162" s="115"/>
      <c r="F162" s="241"/>
      <c r="G162" s="241"/>
      <c r="H162" s="227"/>
      <c r="I162" s="227"/>
      <c r="J162" s="227"/>
      <c r="K162" s="227"/>
      <c r="L162" s="227"/>
    </row>
    <row r="163" ht="12.75" customHeight="1" outlineLevel="3">
      <c r="A163" s="21"/>
      <c r="B163" s="198" t="s">
        <v>2058</v>
      </c>
      <c r="C163" s="202" t="s">
        <v>829</v>
      </c>
      <c r="D163" s="203" t="s">
        <v>827</v>
      </c>
      <c r="E163" s="214">
        <v>539.19</v>
      </c>
      <c r="F163" s="205">
        <v>1.9</v>
      </c>
      <c r="G163" s="206">
        <f t="shared" ref="G163:G164" si="15">F163*E163</f>
        <v>1024.461</v>
      </c>
      <c r="H163" s="227"/>
      <c r="I163" s="227"/>
      <c r="J163" s="227"/>
      <c r="K163" s="227"/>
      <c r="L163" s="227"/>
    </row>
    <row r="164" ht="12.75" customHeight="1" outlineLevel="3">
      <c r="A164" s="21"/>
      <c r="B164" s="198" t="s">
        <v>2059</v>
      </c>
      <c r="C164" s="202" t="s">
        <v>832</v>
      </c>
      <c r="D164" s="203" t="s">
        <v>827</v>
      </c>
      <c r="E164" s="214">
        <v>44.55</v>
      </c>
      <c r="F164" s="205">
        <v>1.9</v>
      </c>
      <c r="G164" s="206">
        <f t="shared" si="15"/>
        <v>84.645</v>
      </c>
      <c r="H164" s="227"/>
      <c r="I164" s="227"/>
      <c r="J164" s="227"/>
      <c r="K164" s="227"/>
      <c r="L164" s="227"/>
    </row>
    <row r="165" ht="12.75" customHeight="1" outlineLevel="2">
      <c r="A165" s="21"/>
      <c r="B165" s="189"/>
      <c r="C165" s="21"/>
      <c r="D165" s="21"/>
      <c r="E165" s="115"/>
      <c r="F165" s="241"/>
      <c r="G165" s="241"/>
      <c r="H165" s="227"/>
      <c r="I165" s="227"/>
      <c r="J165" s="227"/>
      <c r="K165" s="227"/>
      <c r="L165" s="227"/>
    </row>
    <row r="166" ht="12.75" customHeight="1" outlineLevel="1">
      <c r="A166" s="151"/>
      <c r="B166" s="230"/>
      <c r="C166" s="237" t="s">
        <v>851</v>
      </c>
      <c r="D166" s="21"/>
      <c r="E166" s="115"/>
      <c r="F166" s="917">
        <f>SUM(G170:G185)</f>
        <v>138556.5</v>
      </c>
      <c r="G166" s="241"/>
      <c r="H166" s="227"/>
      <c r="I166" s="227"/>
      <c r="J166" s="227"/>
      <c r="K166" s="227"/>
      <c r="L166" s="227"/>
    </row>
    <row r="167" ht="12.75" customHeight="1" outlineLevel="2">
      <c r="A167" s="151"/>
      <c r="B167" s="230"/>
      <c r="C167" s="246"/>
      <c r="D167" s="21"/>
      <c r="E167" s="115"/>
      <c r="F167" s="241"/>
      <c r="G167" s="241"/>
      <c r="H167" s="227"/>
      <c r="I167" s="227"/>
      <c r="J167" s="227"/>
      <c r="K167" s="227"/>
      <c r="L167" s="227"/>
    </row>
    <row r="168" ht="12.75" customHeight="1" outlineLevel="2">
      <c r="A168" s="151" t="s">
        <v>96</v>
      </c>
      <c r="B168" s="244">
        <v>3.8</v>
      </c>
      <c r="C168" s="245" t="s">
        <v>852</v>
      </c>
      <c r="D168" s="21"/>
      <c r="E168" s="115"/>
      <c r="F168" s="241"/>
      <c r="G168" s="241"/>
      <c r="H168" s="227"/>
      <c r="I168" s="227"/>
      <c r="J168" s="227"/>
      <c r="K168" s="227"/>
      <c r="L168" s="227"/>
    </row>
    <row r="169" ht="12.75" customHeight="1" outlineLevel="3">
      <c r="A169" s="21"/>
      <c r="B169" s="189"/>
      <c r="C169" s="21"/>
      <c r="D169" s="21"/>
      <c r="E169" s="115"/>
      <c r="F169" s="241"/>
      <c r="G169" s="241"/>
      <c r="H169" s="227"/>
      <c r="I169" s="227"/>
      <c r="J169" s="227"/>
      <c r="K169" s="227"/>
      <c r="L169" s="227"/>
    </row>
    <row r="170" ht="12.75" customHeight="1" outlineLevel="3">
      <c r="A170" s="151" t="s">
        <v>98</v>
      </c>
      <c r="B170" s="198" t="s">
        <v>2062</v>
      </c>
      <c r="C170" s="202" t="s">
        <v>789</v>
      </c>
      <c r="D170" s="203" t="s">
        <v>40</v>
      </c>
      <c r="E170" s="214">
        <v>166.13</v>
      </c>
      <c r="F170" s="205">
        <v>50.0</v>
      </c>
      <c r="G170" s="206">
        <f t="shared" ref="G170:G179" si="16">F170*E170</f>
        <v>8306.5</v>
      </c>
      <c r="H170" s="227"/>
      <c r="I170" s="227"/>
      <c r="J170" s="227"/>
      <c r="K170" s="227"/>
      <c r="L170" s="227"/>
    </row>
    <row r="171" ht="12.75" customHeight="1" outlineLevel="3">
      <c r="A171" s="151" t="s">
        <v>853</v>
      </c>
      <c r="B171" s="198" t="s">
        <v>2063</v>
      </c>
      <c r="C171" s="202" t="s">
        <v>825</v>
      </c>
      <c r="D171" s="203" t="s">
        <v>40</v>
      </c>
      <c r="E171" s="214">
        <v>17.75</v>
      </c>
      <c r="F171" s="205">
        <v>50.0</v>
      </c>
      <c r="G171" s="206">
        <f t="shared" si="16"/>
        <v>887.5</v>
      </c>
      <c r="H171" s="227"/>
      <c r="I171" s="227"/>
      <c r="J171" s="227"/>
      <c r="K171" s="227"/>
      <c r="L171" s="227"/>
    </row>
    <row r="172" ht="12.75" customHeight="1" outlineLevel="3">
      <c r="A172" s="151" t="s">
        <v>854</v>
      </c>
      <c r="B172" s="198" t="s">
        <v>2064</v>
      </c>
      <c r="C172" s="202" t="s">
        <v>855</v>
      </c>
      <c r="D172" s="203" t="s">
        <v>40</v>
      </c>
      <c r="E172" s="214">
        <v>188.65</v>
      </c>
      <c r="F172" s="205">
        <v>50.0</v>
      </c>
      <c r="G172" s="206">
        <f t="shared" si="16"/>
        <v>9432.5</v>
      </c>
      <c r="H172" s="227"/>
      <c r="I172" s="227"/>
      <c r="J172" s="227"/>
      <c r="K172" s="227"/>
      <c r="L172" s="227"/>
    </row>
    <row r="173" ht="12.75" customHeight="1" outlineLevel="3">
      <c r="A173" s="151" t="s">
        <v>856</v>
      </c>
      <c r="B173" s="198" t="s">
        <v>2066</v>
      </c>
      <c r="C173" s="202" t="s">
        <v>857</v>
      </c>
      <c r="D173" s="203" t="s">
        <v>40</v>
      </c>
      <c r="E173" s="214">
        <v>913.44</v>
      </c>
      <c r="F173" s="205">
        <v>50.0</v>
      </c>
      <c r="G173" s="206">
        <f t="shared" si="16"/>
        <v>45672</v>
      </c>
      <c r="H173" s="227"/>
      <c r="I173" s="227"/>
      <c r="J173" s="227"/>
      <c r="K173" s="227"/>
      <c r="L173" s="227"/>
    </row>
    <row r="174" ht="12.75" customHeight="1" outlineLevel="3">
      <c r="A174" s="151" t="s">
        <v>858</v>
      </c>
      <c r="B174" s="198" t="s">
        <v>2068</v>
      </c>
      <c r="C174" s="202" t="s">
        <v>801</v>
      </c>
      <c r="D174" s="203" t="s">
        <v>40</v>
      </c>
      <c r="E174" s="214">
        <v>127.0</v>
      </c>
      <c r="F174" s="205">
        <v>50.0</v>
      </c>
      <c r="G174" s="206">
        <f t="shared" si="16"/>
        <v>6350</v>
      </c>
      <c r="H174" s="227"/>
      <c r="I174" s="227"/>
      <c r="J174" s="227"/>
      <c r="K174" s="227"/>
      <c r="L174" s="227"/>
    </row>
    <row r="175" ht="12.75" customHeight="1" outlineLevel="3">
      <c r="A175" s="151" t="s">
        <v>859</v>
      </c>
      <c r="B175" s="198" t="s">
        <v>2069</v>
      </c>
      <c r="C175" s="202" t="s">
        <v>860</v>
      </c>
      <c r="D175" s="203" t="s">
        <v>40</v>
      </c>
      <c r="E175" s="214">
        <v>280.94</v>
      </c>
      <c r="F175" s="205">
        <v>50.0</v>
      </c>
      <c r="G175" s="206">
        <f t="shared" si="16"/>
        <v>14047</v>
      </c>
      <c r="H175" s="227"/>
      <c r="I175" s="227"/>
      <c r="J175" s="227"/>
      <c r="K175" s="227"/>
      <c r="L175" s="227"/>
    </row>
    <row r="176" ht="12.75" customHeight="1" outlineLevel="3">
      <c r="A176" s="151" t="s">
        <v>861</v>
      </c>
      <c r="B176" s="198" t="s">
        <v>2071</v>
      </c>
      <c r="C176" s="202" t="s">
        <v>817</v>
      </c>
      <c r="D176" s="203" t="s">
        <v>40</v>
      </c>
      <c r="E176" s="214">
        <v>17.46</v>
      </c>
      <c r="F176" s="205">
        <v>50.0</v>
      </c>
      <c r="G176" s="206">
        <f t="shared" si="16"/>
        <v>873</v>
      </c>
      <c r="H176" s="227"/>
      <c r="I176" s="227"/>
      <c r="J176" s="227"/>
      <c r="K176" s="227"/>
      <c r="L176" s="227"/>
    </row>
    <row r="177" ht="12.75" customHeight="1" outlineLevel="3">
      <c r="A177" s="151" t="s">
        <v>862</v>
      </c>
      <c r="B177" s="198" t="s">
        <v>2072</v>
      </c>
      <c r="C177" s="202" t="s">
        <v>863</v>
      </c>
      <c r="D177" s="203" t="s">
        <v>40</v>
      </c>
      <c r="E177" s="214">
        <v>268.51</v>
      </c>
      <c r="F177" s="205">
        <v>50.0</v>
      </c>
      <c r="G177" s="206">
        <f t="shared" si="16"/>
        <v>13425.5</v>
      </c>
      <c r="H177" s="227"/>
      <c r="I177" s="227"/>
      <c r="J177" s="227"/>
      <c r="K177" s="227"/>
      <c r="L177" s="227"/>
    </row>
    <row r="178" ht="12.75" customHeight="1" outlineLevel="3">
      <c r="A178" s="151" t="s">
        <v>864</v>
      </c>
      <c r="B178" s="198" t="s">
        <v>2074</v>
      </c>
      <c r="C178" s="202" t="s">
        <v>865</v>
      </c>
      <c r="D178" s="203" t="s">
        <v>40</v>
      </c>
      <c r="E178" s="214">
        <v>7.58</v>
      </c>
      <c r="F178" s="205">
        <v>50.0</v>
      </c>
      <c r="G178" s="206">
        <f t="shared" si="16"/>
        <v>379</v>
      </c>
      <c r="H178" s="227"/>
      <c r="I178" s="227"/>
      <c r="J178" s="227"/>
      <c r="K178" s="227"/>
      <c r="L178" s="227"/>
    </row>
    <row r="179" ht="12.75" customHeight="1" outlineLevel="3">
      <c r="A179" s="151" t="s">
        <v>866</v>
      </c>
      <c r="B179" s="198" t="s">
        <v>2076</v>
      </c>
      <c r="C179" s="202" t="s">
        <v>867</v>
      </c>
      <c r="D179" s="203" t="s">
        <v>40</v>
      </c>
      <c r="E179" s="214">
        <v>29.03</v>
      </c>
      <c r="F179" s="205">
        <v>50.0</v>
      </c>
      <c r="G179" s="206">
        <f t="shared" si="16"/>
        <v>1451.5</v>
      </c>
      <c r="H179" s="227"/>
      <c r="I179" s="227"/>
      <c r="J179" s="227"/>
      <c r="K179" s="227"/>
      <c r="L179" s="227"/>
    </row>
    <row r="180" ht="12.75" customHeight="1" outlineLevel="2">
      <c r="A180" s="21"/>
      <c r="B180" s="189"/>
      <c r="C180" s="21"/>
      <c r="D180" s="21"/>
      <c r="E180" s="115"/>
      <c r="F180" s="241"/>
      <c r="G180" s="241"/>
      <c r="H180" s="227"/>
      <c r="I180" s="227"/>
      <c r="J180" s="227"/>
      <c r="K180" s="227"/>
      <c r="L180" s="227"/>
    </row>
    <row r="181" ht="12.75" customHeight="1" outlineLevel="2">
      <c r="A181" s="151" t="s">
        <v>138</v>
      </c>
      <c r="B181" s="244">
        <v>3.9</v>
      </c>
      <c r="C181" s="245" t="s">
        <v>868</v>
      </c>
      <c r="D181" s="21"/>
      <c r="E181" s="115"/>
      <c r="F181" s="241"/>
      <c r="G181" s="241"/>
      <c r="H181" s="227"/>
      <c r="I181" s="227"/>
      <c r="J181" s="227"/>
      <c r="K181" s="227"/>
      <c r="L181" s="227"/>
    </row>
    <row r="182" ht="12.75" customHeight="1" outlineLevel="3">
      <c r="A182" s="21"/>
      <c r="B182" s="189"/>
      <c r="C182" s="21"/>
      <c r="D182" s="21"/>
      <c r="E182" s="115"/>
      <c r="F182" s="241"/>
      <c r="G182" s="241"/>
      <c r="H182" s="227"/>
      <c r="I182" s="227"/>
      <c r="J182" s="227"/>
      <c r="K182" s="227"/>
      <c r="L182" s="227"/>
    </row>
    <row r="183" ht="12.75" customHeight="1" outlineLevel="3">
      <c r="A183" s="151" t="s">
        <v>869</v>
      </c>
      <c r="B183" s="198" t="s">
        <v>2079</v>
      </c>
      <c r="C183" s="202" t="s">
        <v>870</v>
      </c>
      <c r="D183" s="203" t="s">
        <v>40</v>
      </c>
      <c r="E183" s="214">
        <v>157.61</v>
      </c>
      <c r="F183" s="205">
        <v>50.0</v>
      </c>
      <c r="G183" s="206">
        <f t="shared" ref="G183:G185" si="17">F183*E183</f>
        <v>7880.5</v>
      </c>
      <c r="H183" s="227"/>
      <c r="I183" s="227"/>
      <c r="J183" s="227"/>
      <c r="K183" s="227"/>
      <c r="L183" s="227"/>
    </row>
    <row r="184" ht="12.75" customHeight="1" outlineLevel="3">
      <c r="A184" s="151" t="s">
        <v>871</v>
      </c>
      <c r="B184" s="198" t="s">
        <v>2081</v>
      </c>
      <c r="C184" s="202" t="s">
        <v>860</v>
      </c>
      <c r="D184" s="203" t="s">
        <v>40</v>
      </c>
      <c r="E184" s="214">
        <v>81.58</v>
      </c>
      <c r="F184" s="205">
        <v>50.0</v>
      </c>
      <c r="G184" s="206">
        <f t="shared" si="17"/>
        <v>4079</v>
      </c>
      <c r="H184" s="227"/>
      <c r="I184" s="227"/>
      <c r="J184" s="227"/>
      <c r="K184" s="227"/>
      <c r="L184" s="227"/>
    </row>
    <row r="185" ht="12.75" customHeight="1" outlineLevel="3">
      <c r="A185" s="151" t="s">
        <v>872</v>
      </c>
      <c r="B185" s="198" t="s">
        <v>2082</v>
      </c>
      <c r="C185" s="202" t="s">
        <v>817</v>
      </c>
      <c r="D185" s="203" t="s">
        <v>40</v>
      </c>
      <c r="E185" s="214">
        <v>515.45</v>
      </c>
      <c r="F185" s="205">
        <v>50.0</v>
      </c>
      <c r="G185" s="206">
        <f t="shared" si="17"/>
        <v>25772.5</v>
      </c>
      <c r="H185" s="227"/>
      <c r="I185" s="227"/>
      <c r="J185" s="227"/>
      <c r="K185" s="227"/>
      <c r="L185" s="227"/>
    </row>
    <row r="186" ht="12.75" customHeight="1" outlineLevel="2">
      <c r="A186" s="21"/>
      <c r="B186" s="189"/>
      <c r="C186" s="21"/>
      <c r="D186" s="21"/>
      <c r="E186" s="115"/>
      <c r="F186" s="241"/>
      <c r="G186" s="241"/>
      <c r="H186" s="227"/>
      <c r="I186" s="227"/>
      <c r="J186" s="227"/>
      <c r="K186" s="227"/>
      <c r="L186" s="227"/>
    </row>
    <row r="187" ht="12.75" customHeight="1" outlineLevel="1">
      <c r="A187" s="151" t="s">
        <v>873</v>
      </c>
      <c r="B187" s="189"/>
      <c r="C187" s="247" t="s">
        <v>874</v>
      </c>
      <c r="D187" s="21"/>
      <c r="E187" s="115"/>
      <c r="F187" s="917">
        <f>SUM(G191:G193)</f>
        <v>18218.72</v>
      </c>
      <c r="G187" s="241"/>
      <c r="H187" s="227"/>
      <c r="I187" s="227"/>
      <c r="J187" s="227"/>
      <c r="K187" s="227"/>
      <c r="L187" s="227"/>
    </row>
    <row r="188" ht="12.75" customHeight="1" outlineLevel="2">
      <c r="A188" s="21"/>
      <c r="B188" s="189"/>
      <c r="C188" s="21"/>
      <c r="D188" s="21"/>
      <c r="E188" s="115"/>
      <c r="F188" s="241"/>
      <c r="G188" s="241"/>
      <c r="H188" s="227"/>
      <c r="I188" s="227"/>
      <c r="J188" s="227"/>
      <c r="K188" s="227"/>
      <c r="L188" s="227"/>
    </row>
    <row r="189" ht="12.75" customHeight="1" outlineLevel="2">
      <c r="A189" s="151" t="s">
        <v>147</v>
      </c>
      <c r="B189" s="248">
        <v>3.1</v>
      </c>
      <c r="C189" s="245" t="s">
        <v>875</v>
      </c>
      <c r="D189" s="21"/>
      <c r="E189" s="115"/>
      <c r="F189" s="241"/>
      <c r="G189" s="241"/>
      <c r="H189" s="227"/>
      <c r="I189" s="227"/>
      <c r="J189" s="227"/>
      <c r="K189" s="227"/>
      <c r="L189" s="227"/>
    </row>
    <row r="190" ht="12.75" customHeight="1" outlineLevel="2">
      <c r="A190" s="21"/>
      <c r="B190" s="189"/>
      <c r="C190" s="21"/>
      <c r="D190" s="21"/>
      <c r="E190" s="115"/>
      <c r="F190" s="241"/>
      <c r="G190" s="241"/>
      <c r="H190" s="227"/>
      <c r="I190" s="227"/>
      <c r="J190" s="227"/>
      <c r="K190" s="227"/>
      <c r="L190" s="227"/>
    </row>
    <row r="191" ht="12.75" customHeight="1" outlineLevel="2">
      <c r="A191" s="151" t="s">
        <v>149</v>
      </c>
      <c r="B191" s="198" t="s">
        <v>2085</v>
      </c>
      <c r="C191" s="202" t="s">
        <v>876</v>
      </c>
      <c r="D191" s="203" t="s">
        <v>877</v>
      </c>
      <c r="E191" s="214">
        <v>1218.48</v>
      </c>
      <c r="F191" s="205">
        <v>14.0</v>
      </c>
      <c r="G191" s="206">
        <f t="shared" ref="G191:G193" si="18">E191*F191</f>
        <v>17058.72</v>
      </c>
      <c r="H191" s="227"/>
      <c r="I191" s="227"/>
      <c r="J191" s="227"/>
      <c r="K191" s="227"/>
      <c r="L191" s="227"/>
    </row>
    <row r="192" ht="12.75" customHeight="1" outlineLevel="2">
      <c r="A192" s="151" t="s">
        <v>878</v>
      </c>
      <c r="B192" s="198" t="s">
        <v>2087</v>
      </c>
      <c r="C192" s="202" t="s">
        <v>879</v>
      </c>
      <c r="D192" s="203" t="s">
        <v>75</v>
      </c>
      <c r="E192" s="214">
        <v>58.0</v>
      </c>
      <c r="F192" s="205">
        <v>10.0</v>
      </c>
      <c r="G192" s="206">
        <f t="shared" si="18"/>
        <v>580</v>
      </c>
      <c r="H192" s="227"/>
      <c r="I192" s="227"/>
      <c r="J192" s="227"/>
      <c r="K192" s="227"/>
      <c r="L192" s="227"/>
    </row>
    <row r="193" ht="12.75" customHeight="1" outlineLevel="2">
      <c r="A193" s="151" t="s">
        <v>881</v>
      </c>
      <c r="B193" s="198" t="s">
        <v>2089</v>
      </c>
      <c r="C193" s="202" t="s">
        <v>882</v>
      </c>
      <c r="D193" s="203" t="s">
        <v>75</v>
      </c>
      <c r="E193" s="214">
        <v>58.0</v>
      </c>
      <c r="F193" s="205">
        <v>10.0</v>
      </c>
      <c r="G193" s="206">
        <f t="shared" si="18"/>
        <v>580</v>
      </c>
      <c r="H193" s="227"/>
      <c r="I193" s="227"/>
      <c r="J193" s="227"/>
      <c r="K193" s="227"/>
      <c r="L193" s="227"/>
    </row>
    <row r="194" ht="12.75" customHeight="1" outlineLevel="2">
      <c r="A194" s="21"/>
      <c r="B194" s="189"/>
      <c r="C194" s="21"/>
      <c r="D194" s="21"/>
      <c r="E194" s="115"/>
      <c r="F194" s="241"/>
      <c r="G194" s="241"/>
      <c r="H194" s="227"/>
      <c r="I194" s="227"/>
      <c r="J194" s="227"/>
      <c r="K194" s="227"/>
      <c r="L194" s="227"/>
    </row>
    <row r="195" ht="12.75" customHeight="1" outlineLevel="1">
      <c r="A195" s="151" t="s">
        <v>883</v>
      </c>
      <c r="B195" s="189"/>
      <c r="C195" s="247" t="s">
        <v>884</v>
      </c>
      <c r="D195" s="21"/>
      <c r="E195" s="115"/>
      <c r="F195" s="917">
        <f>G199</f>
        <v>1914</v>
      </c>
      <c r="G195" s="241"/>
      <c r="H195" s="227"/>
      <c r="I195" s="227"/>
      <c r="J195" s="227"/>
      <c r="K195" s="227"/>
      <c r="L195" s="227"/>
    </row>
    <row r="196" ht="12.75" customHeight="1" outlineLevel="2">
      <c r="A196" s="21"/>
      <c r="B196" s="189"/>
      <c r="C196" s="21"/>
      <c r="D196" s="21"/>
      <c r="E196" s="115"/>
      <c r="F196" s="241"/>
      <c r="G196" s="241"/>
      <c r="H196" s="227"/>
      <c r="I196" s="227"/>
      <c r="J196" s="227"/>
      <c r="K196" s="227"/>
      <c r="L196" s="227"/>
    </row>
    <row r="197" ht="12.75" customHeight="1" outlineLevel="2">
      <c r="A197" s="151" t="s">
        <v>166</v>
      </c>
      <c r="B197" s="248">
        <v>3.11</v>
      </c>
      <c r="C197" s="245" t="s">
        <v>885</v>
      </c>
      <c r="D197" s="21"/>
      <c r="E197" s="115"/>
      <c r="F197" s="241"/>
      <c r="G197" s="241"/>
      <c r="H197" s="227"/>
      <c r="I197" s="227"/>
      <c r="J197" s="227"/>
      <c r="K197" s="227"/>
      <c r="L197" s="227"/>
    </row>
    <row r="198" ht="12.75" customHeight="1" outlineLevel="2">
      <c r="A198" s="21"/>
      <c r="B198" s="189"/>
      <c r="C198" s="21"/>
      <c r="D198" s="21"/>
      <c r="E198" s="115"/>
      <c r="F198" s="241"/>
      <c r="G198" s="241"/>
      <c r="H198" s="227"/>
      <c r="I198" s="227"/>
      <c r="J198" s="227"/>
      <c r="K198" s="227"/>
      <c r="L198" s="227"/>
    </row>
    <row r="199" ht="12.75" customHeight="1" outlineLevel="2">
      <c r="A199" s="151" t="s">
        <v>170</v>
      </c>
      <c r="B199" s="198" t="s">
        <v>2093</v>
      </c>
      <c r="C199" s="202" t="s">
        <v>886</v>
      </c>
      <c r="D199" s="203" t="s">
        <v>75</v>
      </c>
      <c r="E199" s="214">
        <v>638.0</v>
      </c>
      <c r="F199" s="205">
        <v>3.0</v>
      </c>
      <c r="G199" s="206">
        <f>E199*F199</f>
        <v>1914</v>
      </c>
      <c r="H199" s="227"/>
      <c r="I199" s="227"/>
      <c r="J199" s="227"/>
      <c r="K199" s="227"/>
      <c r="L199" s="227"/>
    </row>
    <row r="200" ht="12.75" customHeight="1" outlineLevel="2">
      <c r="A200" s="21"/>
      <c r="B200" s="189"/>
      <c r="C200" s="21"/>
      <c r="D200" s="21"/>
      <c r="E200" s="115"/>
      <c r="F200" s="241"/>
      <c r="G200" s="241"/>
      <c r="H200" s="227"/>
      <c r="I200" s="227"/>
      <c r="J200" s="227"/>
      <c r="K200" s="227"/>
      <c r="L200" s="227"/>
    </row>
    <row r="201" ht="12.75" customHeight="1" outlineLevel="1">
      <c r="A201" s="151" t="s">
        <v>887</v>
      </c>
      <c r="B201" s="189"/>
      <c r="C201" s="247" t="s">
        <v>888</v>
      </c>
      <c r="D201" s="21"/>
      <c r="E201" s="115"/>
      <c r="F201" s="917">
        <f>SUM(G205:G214)</f>
        <v>126055.99</v>
      </c>
      <c r="G201" s="241"/>
      <c r="H201" s="227"/>
      <c r="I201" s="227"/>
      <c r="J201" s="227"/>
      <c r="K201" s="227"/>
      <c r="L201" s="227"/>
    </row>
    <row r="202" ht="12.75" customHeight="1" outlineLevel="2">
      <c r="A202" s="21"/>
      <c r="B202" s="189"/>
      <c r="C202" s="21"/>
      <c r="D202" s="21"/>
      <c r="E202" s="115"/>
      <c r="F202" s="241"/>
      <c r="G202" s="241"/>
      <c r="H202" s="227"/>
      <c r="I202" s="227"/>
      <c r="J202" s="227"/>
      <c r="K202" s="227"/>
      <c r="L202" s="227"/>
    </row>
    <row r="203" ht="12.75" customHeight="1" outlineLevel="2">
      <c r="A203" s="151" t="s">
        <v>198</v>
      </c>
      <c r="B203" s="248">
        <v>3.12</v>
      </c>
      <c r="C203" s="245" t="s">
        <v>889</v>
      </c>
      <c r="D203" s="21"/>
      <c r="E203" s="115"/>
      <c r="F203" s="241"/>
      <c r="G203" s="241"/>
      <c r="H203" s="227"/>
      <c r="I203" s="227"/>
      <c r="J203" s="227"/>
      <c r="K203" s="227"/>
      <c r="L203" s="227"/>
    </row>
    <row r="204" ht="12.75" customHeight="1" outlineLevel="2">
      <c r="A204" s="21"/>
      <c r="B204" s="189"/>
      <c r="C204" s="21"/>
      <c r="D204" s="21"/>
      <c r="E204" s="115"/>
      <c r="F204" s="241"/>
      <c r="G204" s="241"/>
      <c r="H204" s="227"/>
      <c r="I204" s="227"/>
      <c r="J204" s="227"/>
      <c r="K204" s="227"/>
      <c r="L204" s="227"/>
    </row>
    <row r="205" ht="12.75" customHeight="1" outlineLevel="2">
      <c r="A205" s="21"/>
      <c r="B205" s="198" t="s">
        <v>2097</v>
      </c>
      <c r="C205" s="202" t="s">
        <v>890</v>
      </c>
      <c r="D205" s="203" t="s">
        <v>827</v>
      </c>
      <c r="E205" s="214">
        <v>4360.88</v>
      </c>
      <c r="F205" s="205">
        <v>10.0</v>
      </c>
      <c r="G205" s="206">
        <f t="shared" ref="G205:G206" si="19">E205*F205</f>
        <v>43608.8</v>
      </c>
      <c r="H205" s="227"/>
      <c r="I205" s="227"/>
      <c r="J205" s="227"/>
      <c r="K205" s="227"/>
      <c r="L205" s="227"/>
    </row>
    <row r="206" ht="12.75" customHeight="1" outlineLevel="2">
      <c r="A206" s="21"/>
      <c r="B206" s="198" t="s">
        <v>2099</v>
      </c>
      <c r="C206" s="202" t="s">
        <v>891</v>
      </c>
      <c r="D206" s="203" t="s">
        <v>827</v>
      </c>
      <c r="E206" s="214">
        <v>112.9</v>
      </c>
      <c r="F206" s="205">
        <v>10.0</v>
      </c>
      <c r="G206" s="206">
        <f t="shared" si="19"/>
        <v>1129</v>
      </c>
      <c r="H206" s="227"/>
      <c r="I206" s="227"/>
      <c r="J206" s="227"/>
      <c r="K206" s="227"/>
      <c r="L206" s="227"/>
    </row>
    <row r="207" ht="12.75" customHeight="1" outlineLevel="2">
      <c r="A207" s="21"/>
      <c r="B207" s="189"/>
      <c r="C207" s="21"/>
      <c r="D207" s="21"/>
      <c r="E207" s="115"/>
      <c r="F207" s="241"/>
      <c r="G207" s="241"/>
      <c r="H207" s="227"/>
      <c r="I207" s="227"/>
      <c r="J207" s="227"/>
      <c r="K207" s="227"/>
      <c r="L207" s="227"/>
    </row>
    <row r="208" ht="12.75" customHeight="1" outlineLevel="2">
      <c r="A208" s="151" t="s">
        <v>230</v>
      </c>
      <c r="B208" s="198">
        <v>3.13</v>
      </c>
      <c r="C208" s="202" t="s">
        <v>892</v>
      </c>
      <c r="D208" s="203" t="s">
        <v>827</v>
      </c>
      <c r="E208" s="214">
        <v>1501.78</v>
      </c>
      <c r="F208" s="205">
        <v>11.0</v>
      </c>
      <c r="G208" s="206">
        <v>17480.72</v>
      </c>
      <c r="H208" s="219"/>
      <c r="I208" s="219"/>
      <c r="J208" s="240"/>
      <c r="K208" s="240"/>
      <c r="L208" s="240"/>
    </row>
    <row r="209" ht="12.75" customHeight="1" outlineLevel="2">
      <c r="A209" s="21"/>
      <c r="B209" s="189"/>
      <c r="C209" s="21"/>
      <c r="D209" s="21"/>
      <c r="E209" s="115"/>
      <c r="F209" s="241"/>
      <c r="G209" s="241"/>
      <c r="H209" s="227"/>
      <c r="I209" s="227"/>
      <c r="J209" s="227"/>
      <c r="K209" s="227"/>
      <c r="L209" s="227"/>
    </row>
    <row r="210" ht="12.75" customHeight="1" outlineLevel="2">
      <c r="A210" s="151" t="s">
        <v>240</v>
      </c>
      <c r="B210" s="248">
        <v>3.14</v>
      </c>
      <c r="C210" s="245" t="s">
        <v>893</v>
      </c>
      <c r="D210" s="21"/>
      <c r="E210" s="115"/>
      <c r="F210" s="241"/>
      <c r="G210" s="241"/>
      <c r="H210" s="227"/>
      <c r="I210" s="227"/>
      <c r="J210" s="227"/>
      <c r="K210" s="227"/>
      <c r="L210" s="227"/>
    </row>
    <row r="211" ht="12.75" customHeight="1" outlineLevel="2">
      <c r="A211" s="21"/>
      <c r="B211" s="189"/>
      <c r="C211" s="21"/>
      <c r="D211" s="21"/>
      <c r="E211" s="115"/>
      <c r="F211" s="241"/>
      <c r="G211" s="241"/>
      <c r="H211" s="227"/>
      <c r="I211" s="227"/>
      <c r="J211" s="227"/>
      <c r="K211" s="227"/>
      <c r="L211" s="227"/>
    </row>
    <row r="212" ht="12.75" customHeight="1" outlineLevel="2">
      <c r="A212" s="21"/>
      <c r="B212" s="198" t="s">
        <v>1017</v>
      </c>
      <c r="C212" s="202" t="s">
        <v>894</v>
      </c>
      <c r="D212" s="203" t="s">
        <v>827</v>
      </c>
      <c r="E212" s="214">
        <v>3972.81</v>
      </c>
      <c r="F212" s="205">
        <v>12.0</v>
      </c>
      <c r="G212" s="206">
        <f>E212*F212</f>
        <v>47673.72</v>
      </c>
      <c r="H212" s="227"/>
      <c r="I212" s="227"/>
      <c r="J212" s="227"/>
      <c r="K212" s="227"/>
      <c r="L212" s="227"/>
    </row>
    <row r="213" ht="12.75" customHeight="1" outlineLevel="2">
      <c r="A213" s="21"/>
      <c r="B213" s="189"/>
      <c r="C213" s="21"/>
      <c r="D213" s="21"/>
      <c r="E213" s="115"/>
      <c r="F213" s="241"/>
      <c r="G213" s="241"/>
      <c r="H213" s="227"/>
      <c r="I213" s="227"/>
      <c r="J213" s="227"/>
      <c r="K213" s="227"/>
      <c r="L213" s="227"/>
    </row>
    <row r="214" ht="12.75" customHeight="1" outlineLevel="2">
      <c r="A214" s="151" t="s">
        <v>895</v>
      </c>
      <c r="B214" s="198">
        <v>3.15</v>
      </c>
      <c r="C214" s="202" t="s">
        <v>896</v>
      </c>
      <c r="D214" s="203" t="s">
        <v>33</v>
      </c>
      <c r="E214" s="214">
        <v>1.0</v>
      </c>
      <c r="F214" s="205">
        <v>16163.75</v>
      </c>
      <c r="G214" s="206">
        <f>E214*F214</f>
        <v>16163.75</v>
      </c>
      <c r="H214" s="219"/>
      <c r="I214" s="219"/>
      <c r="J214" s="240"/>
      <c r="K214" s="240"/>
      <c r="L214" s="240"/>
    </row>
    <row r="215" ht="12.75" customHeight="1" outlineLevel="2">
      <c r="A215" s="21"/>
      <c r="B215" s="189"/>
      <c r="C215" s="21"/>
      <c r="D215" s="21"/>
      <c r="E215" s="115"/>
      <c r="F215" s="241"/>
      <c r="G215" s="241"/>
      <c r="H215" s="227"/>
      <c r="I215" s="227"/>
      <c r="J215" s="227"/>
      <c r="K215" s="227"/>
      <c r="L215" s="227"/>
    </row>
    <row r="216" ht="12.75" customHeight="1" outlineLevel="1">
      <c r="A216" s="151" t="s">
        <v>897</v>
      </c>
      <c r="B216" s="189"/>
      <c r="C216" s="247" t="s">
        <v>898</v>
      </c>
      <c r="D216" s="21"/>
      <c r="E216" s="115"/>
      <c r="F216" s="917">
        <f>SUM(G220:G224)</f>
        <v>27534.7</v>
      </c>
      <c r="G216" s="241"/>
      <c r="H216" s="227"/>
      <c r="I216" s="227"/>
      <c r="J216" s="227"/>
      <c r="K216" s="227"/>
      <c r="L216" s="227"/>
    </row>
    <row r="217" ht="12.75" customHeight="1" outlineLevel="2">
      <c r="A217" s="21"/>
      <c r="B217" s="189"/>
      <c r="C217" s="21"/>
      <c r="D217" s="21"/>
      <c r="E217" s="115"/>
      <c r="F217" s="241"/>
      <c r="G217" s="241"/>
      <c r="H217" s="227"/>
      <c r="I217" s="227"/>
      <c r="J217" s="227"/>
      <c r="K217" s="227"/>
      <c r="L217" s="227"/>
    </row>
    <row r="218" ht="12.75" customHeight="1" outlineLevel="2">
      <c r="A218" s="151" t="s">
        <v>246</v>
      </c>
      <c r="B218" s="248">
        <v>3.16</v>
      </c>
      <c r="C218" s="245" t="s">
        <v>899</v>
      </c>
      <c r="D218" s="21"/>
      <c r="E218" s="115"/>
      <c r="F218" s="241"/>
      <c r="G218" s="241"/>
      <c r="H218" s="227"/>
      <c r="I218" s="227"/>
      <c r="J218" s="227"/>
      <c r="K218" s="227"/>
      <c r="L218" s="227"/>
    </row>
    <row r="219" ht="12.75" customHeight="1" outlineLevel="2">
      <c r="A219" s="21"/>
      <c r="B219" s="189"/>
      <c r="C219" s="21"/>
      <c r="D219" s="21"/>
      <c r="E219" s="115"/>
      <c r="F219" s="241"/>
      <c r="G219" s="241"/>
      <c r="H219" s="227"/>
      <c r="I219" s="227"/>
      <c r="J219" s="227"/>
      <c r="K219" s="227"/>
      <c r="L219" s="227"/>
    </row>
    <row r="220" ht="12.75" customHeight="1" outlineLevel="2">
      <c r="A220" s="21"/>
      <c r="B220" s="198" t="s">
        <v>2107</v>
      </c>
      <c r="C220" s="202" t="s">
        <v>900</v>
      </c>
      <c r="D220" s="203" t="s">
        <v>827</v>
      </c>
      <c r="E220" s="214">
        <v>4.79</v>
      </c>
      <c r="F220" s="205">
        <v>10.0</v>
      </c>
      <c r="G220" s="206">
        <f t="shared" ref="G220:G224" si="20">E220*F220</f>
        <v>47.9</v>
      </c>
      <c r="H220" s="227"/>
      <c r="I220" s="227"/>
      <c r="J220" s="227"/>
      <c r="K220" s="227"/>
      <c r="L220" s="227"/>
    </row>
    <row r="221" ht="12.75" customHeight="1" outlineLevel="2">
      <c r="A221" s="21"/>
      <c r="B221" s="198" t="s">
        <v>2108</v>
      </c>
      <c r="C221" s="202" t="s">
        <v>901</v>
      </c>
      <c r="D221" s="203" t="s">
        <v>827</v>
      </c>
      <c r="E221" s="214">
        <v>2265.99</v>
      </c>
      <c r="F221" s="205">
        <v>10.0</v>
      </c>
      <c r="G221" s="206">
        <f t="shared" si="20"/>
        <v>22659.9</v>
      </c>
      <c r="H221" s="227"/>
      <c r="I221" s="227"/>
      <c r="J221" s="227"/>
      <c r="K221" s="227"/>
      <c r="L221" s="227"/>
    </row>
    <row r="222" ht="12.75" customHeight="1" outlineLevel="2">
      <c r="A222" s="21"/>
      <c r="B222" s="198" t="s">
        <v>2109</v>
      </c>
      <c r="C222" s="202" t="s">
        <v>902</v>
      </c>
      <c r="D222" s="203" t="s">
        <v>827</v>
      </c>
      <c r="E222" s="214">
        <v>5.44</v>
      </c>
      <c r="F222" s="205">
        <v>10.0</v>
      </c>
      <c r="G222" s="206">
        <f t="shared" si="20"/>
        <v>54.4</v>
      </c>
      <c r="H222" s="227"/>
      <c r="I222" s="227"/>
      <c r="J222" s="227"/>
      <c r="K222" s="227"/>
      <c r="L222" s="227"/>
    </row>
    <row r="223" ht="12.75" customHeight="1" outlineLevel="2">
      <c r="A223" s="21"/>
      <c r="B223" s="198" t="s">
        <v>2110</v>
      </c>
      <c r="C223" s="202" t="s">
        <v>903</v>
      </c>
      <c r="D223" s="203" t="s">
        <v>827</v>
      </c>
      <c r="E223" s="214">
        <v>220.49</v>
      </c>
      <c r="F223" s="205">
        <v>10.0</v>
      </c>
      <c r="G223" s="206">
        <f t="shared" si="20"/>
        <v>2204.9</v>
      </c>
      <c r="H223" s="227"/>
      <c r="I223" s="227"/>
      <c r="J223" s="227"/>
      <c r="K223" s="227"/>
      <c r="L223" s="227"/>
    </row>
    <row r="224" ht="12.75" customHeight="1" outlineLevel="2">
      <c r="A224" s="21"/>
      <c r="B224" s="198" t="s">
        <v>2111</v>
      </c>
      <c r="C224" s="202" t="s">
        <v>904</v>
      </c>
      <c r="D224" s="203" t="s">
        <v>827</v>
      </c>
      <c r="E224" s="214">
        <v>256.76</v>
      </c>
      <c r="F224" s="205">
        <v>10.0</v>
      </c>
      <c r="G224" s="206">
        <f t="shared" si="20"/>
        <v>2567.6</v>
      </c>
      <c r="H224" s="227"/>
      <c r="I224" s="227"/>
      <c r="J224" s="227"/>
      <c r="K224" s="227"/>
      <c r="L224" s="227"/>
    </row>
    <row r="225" ht="12.75" customHeight="1" outlineLevel="2">
      <c r="A225" s="21"/>
      <c r="B225" s="189"/>
      <c r="C225" s="21"/>
      <c r="D225" s="21"/>
      <c r="E225" s="115"/>
      <c r="F225" s="241"/>
      <c r="G225" s="241"/>
      <c r="H225" s="227"/>
      <c r="I225" s="227"/>
      <c r="J225" s="227"/>
      <c r="K225" s="227"/>
      <c r="L225" s="227"/>
    </row>
    <row r="226" ht="12.75" customHeight="1" outlineLevel="1">
      <c r="A226" s="151" t="s">
        <v>905</v>
      </c>
      <c r="B226" s="189"/>
      <c r="C226" s="247" t="s">
        <v>906</v>
      </c>
      <c r="D226" s="21"/>
      <c r="E226" s="115"/>
      <c r="F226" s="917">
        <f>SUM(G231:G239)</f>
        <v>16957.82</v>
      </c>
      <c r="G226" s="241"/>
      <c r="H226" s="227"/>
      <c r="I226" s="227"/>
      <c r="J226" s="227"/>
      <c r="K226" s="227"/>
      <c r="L226" s="227"/>
    </row>
    <row r="227" ht="12.75" customHeight="1" outlineLevel="2">
      <c r="A227" s="21"/>
      <c r="B227" s="189"/>
      <c r="C227" s="21"/>
      <c r="D227" s="21"/>
      <c r="E227" s="115"/>
      <c r="F227" s="241"/>
      <c r="G227" s="241"/>
      <c r="H227" s="227"/>
      <c r="I227" s="227"/>
      <c r="J227" s="227"/>
      <c r="K227" s="227"/>
      <c r="L227" s="227"/>
    </row>
    <row r="228" ht="12.75" customHeight="1" outlineLevel="2">
      <c r="A228" s="21"/>
      <c r="B228" s="189"/>
      <c r="C228" s="21"/>
      <c r="D228" s="21"/>
      <c r="E228" s="115"/>
      <c r="F228" s="241"/>
      <c r="G228" s="241"/>
      <c r="H228" s="227"/>
      <c r="I228" s="227"/>
      <c r="J228" s="227"/>
      <c r="K228" s="227"/>
      <c r="L228" s="227"/>
    </row>
    <row r="229" ht="12.75" customHeight="1" outlineLevel="2">
      <c r="A229" s="151" t="s">
        <v>384</v>
      </c>
      <c r="B229" s="248">
        <v>3.17</v>
      </c>
      <c r="C229" s="245" t="s">
        <v>908</v>
      </c>
      <c r="D229" s="21"/>
      <c r="E229" s="115"/>
      <c r="F229" s="241"/>
      <c r="G229" s="241"/>
      <c r="H229" s="227"/>
      <c r="I229" s="227"/>
      <c r="J229" s="227"/>
      <c r="K229" s="227"/>
      <c r="L229" s="227"/>
    </row>
    <row r="230" ht="12.75" customHeight="1" outlineLevel="2">
      <c r="A230" s="21"/>
      <c r="B230" s="189"/>
      <c r="C230" s="21"/>
      <c r="D230" s="21"/>
      <c r="E230" s="115"/>
      <c r="F230" s="241"/>
      <c r="G230" s="241"/>
      <c r="H230" s="227"/>
      <c r="I230" s="227"/>
      <c r="J230" s="227"/>
      <c r="K230" s="227"/>
      <c r="L230" s="227"/>
    </row>
    <row r="231" ht="12.75" customHeight="1" outlineLevel="2">
      <c r="A231" s="21"/>
      <c r="B231" s="198" t="s">
        <v>2115</v>
      </c>
      <c r="C231" s="202" t="s">
        <v>909</v>
      </c>
      <c r="D231" s="203" t="s">
        <v>40</v>
      </c>
      <c r="E231" s="214">
        <v>246.48</v>
      </c>
      <c r="F231" s="205">
        <v>50.0</v>
      </c>
      <c r="G231" s="206">
        <v>10751.46</v>
      </c>
      <c r="H231" s="227"/>
      <c r="I231" s="227"/>
      <c r="J231" s="227"/>
      <c r="K231" s="227"/>
      <c r="L231" s="227"/>
    </row>
    <row r="232" ht="12.75" customHeight="1" outlineLevel="2">
      <c r="A232" s="21"/>
      <c r="B232" s="198" t="s">
        <v>2116</v>
      </c>
      <c r="C232" s="202" t="s">
        <v>910</v>
      </c>
      <c r="D232" s="203" t="s">
        <v>40</v>
      </c>
      <c r="E232" s="214">
        <v>11.46</v>
      </c>
      <c r="F232" s="205">
        <v>50.0</v>
      </c>
      <c r="G232" s="206">
        <v>499.89</v>
      </c>
      <c r="H232" s="227"/>
      <c r="I232" s="227"/>
      <c r="J232" s="227"/>
      <c r="K232" s="227"/>
      <c r="L232" s="227"/>
    </row>
    <row r="233" ht="12.75" customHeight="1" outlineLevel="2">
      <c r="A233" s="21"/>
      <c r="B233" s="189"/>
      <c r="C233" s="21"/>
      <c r="D233" s="21"/>
      <c r="E233" s="115"/>
      <c r="F233" s="241"/>
      <c r="G233" s="241"/>
      <c r="H233" s="227"/>
      <c r="I233" s="227"/>
      <c r="J233" s="227"/>
      <c r="K233" s="227"/>
      <c r="L233" s="227"/>
    </row>
    <row r="234" ht="12.75" customHeight="1" outlineLevel="2">
      <c r="A234" s="151" t="s">
        <v>384</v>
      </c>
      <c r="B234" s="248">
        <v>3.18</v>
      </c>
      <c r="C234" s="245" t="s">
        <v>911</v>
      </c>
      <c r="D234" s="21"/>
      <c r="E234" s="115"/>
      <c r="F234" s="241"/>
      <c r="G234" s="241"/>
      <c r="H234" s="227"/>
      <c r="I234" s="227"/>
      <c r="J234" s="227"/>
      <c r="K234" s="227"/>
      <c r="L234" s="227"/>
    </row>
    <row r="235" ht="12.75" customHeight="1" outlineLevel="2">
      <c r="A235" s="21"/>
      <c r="B235" s="189"/>
      <c r="C235" s="21"/>
      <c r="D235" s="21"/>
      <c r="E235" s="115"/>
      <c r="F235" s="241"/>
      <c r="G235" s="241"/>
      <c r="H235" s="227"/>
      <c r="I235" s="227"/>
      <c r="J235" s="227"/>
      <c r="K235" s="227"/>
      <c r="L235" s="227"/>
    </row>
    <row r="236" ht="12.75" customHeight="1" outlineLevel="2">
      <c r="A236" s="21"/>
      <c r="B236" s="198" t="s">
        <v>2118</v>
      </c>
      <c r="C236" s="202" t="s">
        <v>912</v>
      </c>
      <c r="D236" s="203" t="s">
        <v>40</v>
      </c>
      <c r="E236" s="214">
        <v>63.73</v>
      </c>
      <c r="F236" s="205">
        <v>50.0</v>
      </c>
      <c r="G236" s="206">
        <v>2897.8</v>
      </c>
      <c r="H236" s="227"/>
      <c r="I236" s="227"/>
      <c r="J236" s="227"/>
      <c r="K236" s="227"/>
      <c r="L236" s="227"/>
    </row>
    <row r="237" ht="12.75" customHeight="1" outlineLevel="2">
      <c r="A237" s="21"/>
      <c r="B237" s="198" t="s">
        <v>2119</v>
      </c>
      <c r="C237" s="202" t="s">
        <v>913</v>
      </c>
      <c r="D237" s="203" t="s">
        <v>40</v>
      </c>
      <c r="E237" s="214">
        <v>24.52</v>
      </c>
      <c r="F237" s="205">
        <v>50.0</v>
      </c>
      <c r="G237" s="206">
        <v>1114.92</v>
      </c>
      <c r="H237" s="227"/>
      <c r="I237" s="227"/>
      <c r="J237" s="227"/>
      <c r="K237" s="227"/>
      <c r="L237" s="227"/>
    </row>
    <row r="238" ht="12.75" customHeight="1" outlineLevel="2">
      <c r="A238" s="21"/>
      <c r="B238" s="198" t="s">
        <v>2120</v>
      </c>
      <c r="C238" s="202" t="s">
        <v>914</v>
      </c>
      <c r="D238" s="203" t="s">
        <v>40</v>
      </c>
      <c r="E238" s="214">
        <v>15.37</v>
      </c>
      <c r="F238" s="205">
        <v>50.0</v>
      </c>
      <c r="G238" s="206">
        <v>698.87</v>
      </c>
      <c r="H238" s="227"/>
      <c r="I238" s="227"/>
      <c r="J238" s="227"/>
      <c r="K238" s="227"/>
      <c r="L238" s="227"/>
    </row>
    <row r="239" ht="12.75" customHeight="1" outlineLevel="2">
      <c r="A239" s="21"/>
      <c r="B239" s="198" t="s">
        <v>2121</v>
      </c>
      <c r="C239" s="202" t="s">
        <v>915</v>
      </c>
      <c r="D239" s="203" t="s">
        <v>40</v>
      </c>
      <c r="E239" s="214">
        <v>21.88</v>
      </c>
      <c r="F239" s="205">
        <v>50.0</v>
      </c>
      <c r="G239" s="206">
        <v>994.88</v>
      </c>
      <c r="H239" s="227"/>
      <c r="I239" s="227"/>
      <c r="J239" s="227"/>
      <c r="K239" s="227"/>
      <c r="L239" s="227"/>
    </row>
    <row r="240" ht="12.75" customHeight="1" outlineLevel="2">
      <c r="A240" s="21"/>
      <c r="B240" s="189"/>
      <c r="C240" s="21"/>
      <c r="D240" s="21"/>
      <c r="E240" s="115"/>
      <c r="F240" s="241"/>
      <c r="G240" s="241"/>
      <c r="H240" s="227"/>
      <c r="I240" s="227"/>
      <c r="J240" s="227"/>
      <c r="K240" s="227"/>
      <c r="L240" s="227"/>
    </row>
    <row r="241" ht="12.75" customHeight="1" outlineLevel="1">
      <c r="A241" s="151" t="s">
        <v>916</v>
      </c>
      <c r="B241" s="189"/>
      <c r="C241" s="247" t="s">
        <v>917</v>
      </c>
      <c r="D241" s="21"/>
      <c r="E241" s="115"/>
      <c r="F241" s="917">
        <f>SUM(G247:G255)</f>
        <v>22365.9</v>
      </c>
      <c r="G241" s="241"/>
      <c r="H241" s="227"/>
      <c r="I241" s="227"/>
      <c r="J241" s="227"/>
      <c r="K241" s="227"/>
      <c r="L241" s="227"/>
    </row>
    <row r="242" ht="12.75" customHeight="1" outlineLevel="2">
      <c r="A242" s="21"/>
      <c r="B242" s="189"/>
      <c r="C242" s="21"/>
      <c r="D242" s="21"/>
      <c r="E242" s="115"/>
      <c r="F242" s="241"/>
      <c r="G242" s="241"/>
      <c r="H242" s="227"/>
      <c r="I242" s="227"/>
      <c r="J242" s="227"/>
      <c r="K242" s="227"/>
      <c r="L242" s="227"/>
    </row>
    <row r="243" ht="12.75" customHeight="1" outlineLevel="2">
      <c r="A243" s="151" t="s">
        <v>537</v>
      </c>
      <c r="B243" s="189"/>
      <c r="C243" s="152" t="s">
        <v>918</v>
      </c>
      <c r="D243" s="21"/>
      <c r="E243" s="115"/>
      <c r="F243" s="241"/>
      <c r="G243" s="241"/>
      <c r="H243" s="227"/>
      <c r="I243" s="227"/>
      <c r="J243" s="227"/>
      <c r="K243" s="227"/>
      <c r="L243" s="227"/>
    </row>
    <row r="244" ht="12.75" customHeight="1" outlineLevel="2">
      <c r="A244" s="21"/>
      <c r="B244" s="189"/>
      <c r="C244" s="21"/>
      <c r="D244" s="21"/>
      <c r="E244" s="115"/>
      <c r="F244" s="241"/>
      <c r="G244" s="241"/>
      <c r="H244" s="227"/>
      <c r="I244" s="227"/>
      <c r="J244" s="227"/>
      <c r="K244" s="227"/>
      <c r="L244" s="227"/>
    </row>
    <row r="245" ht="12.75" customHeight="1" outlineLevel="2">
      <c r="A245" s="151" t="s">
        <v>539</v>
      </c>
      <c r="B245" s="248">
        <v>3.19</v>
      </c>
      <c r="C245" s="245" t="s">
        <v>919</v>
      </c>
      <c r="D245" s="21"/>
      <c r="E245" s="115"/>
      <c r="F245" s="241"/>
      <c r="G245" s="241"/>
      <c r="H245" s="227"/>
      <c r="I245" s="227"/>
      <c r="J245" s="227"/>
      <c r="K245" s="227"/>
      <c r="L245" s="227"/>
    </row>
    <row r="246" ht="12.75" customHeight="1" outlineLevel="2">
      <c r="A246" s="21"/>
      <c r="B246" s="189"/>
      <c r="C246" s="21"/>
      <c r="D246" s="21"/>
      <c r="E246" s="115"/>
      <c r="F246" s="241"/>
      <c r="G246" s="241"/>
      <c r="H246" s="227"/>
      <c r="I246" s="227"/>
      <c r="J246" s="227"/>
      <c r="K246" s="227"/>
      <c r="L246" s="227"/>
    </row>
    <row r="247" ht="12.75" customHeight="1" outlineLevel="2">
      <c r="A247" s="21"/>
      <c r="B247" s="198" t="s">
        <v>2125</v>
      </c>
      <c r="C247" s="202" t="s">
        <v>920</v>
      </c>
      <c r="D247" s="203" t="s">
        <v>877</v>
      </c>
      <c r="E247" s="214">
        <v>42.55</v>
      </c>
      <c r="F247" s="205">
        <v>310.0</v>
      </c>
      <c r="G247" s="206">
        <f t="shared" ref="G247:G250" si="21">E247*F247</f>
        <v>13190.5</v>
      </c>
      <c r="H247" s="227"/>
      <c r="I247" s="227"/>
      <c r="J247" s="227"/>
      <c r="K247" s="227"/>
      <c r="L247" s="227"/>
    </row>
    <row r="248" ht="12.75" customHeight="1" outlineLevel="2">
      <c r="A248" s="21"/>
      <c r="B248" s="198" t="s">
        <v>2126</v>
      </c>
      <c r="C248" s="202" t="s">
        <v>921</v>
      </c>
      <c r="D248" s="203" t="s">
        <v>877</v>
      </c>
      <c r="E248" s="214">
        <v>3.92</v>
      </c>
      <c r="F248" s="205">
        <v>400.0</v>
      </c>
      <c r="G248" s="206">
        <f t="shared" si="21"/>
        <v>1568</v>
      </c>
      <c r="H248" s="227"/>
      <c r="I248" s="227"/>
      <c r="J248" s="227"/>
      <c r="K248" s="227"/>
      <c r="L248" s="227"/>
    </row>
    <row r="249" ht="12.75" customHeight="1" outlineLevel="2">
      <c r="A249" s="21"/>
      <c r="B249" s="198" t="s">
        <v>2127</v>
      </c>
      <c r="C249" s="202" t="s">
        <v>922</v>
      </c>
      <c r="D249" s="203" t="s">
        <v>877</v>
      </c>
      <c r="E249" s="214">
        <v>3.88</v>
      </c>
      <c r="F249" s="205">
        <v>460.0</v>
      </c>
      <c r="G249" s="206">
        <f t="shared" si="21"/>
        <v>1784.8</v>
      </c>
      <c r="H249" s="227"/>
      <c r="I249" s="227"/>
      <c r="J249" s="227"/>
      <c r="K249" s="227"/>
      <c r="L249" s="227"/>
    </row>
    <row r="250" ht="12.75" customHeight="1" outlineLevel="2">
      <c r="A250" s="21"/>
      <c r="B250" s="198" t="s">
        <v>2128</v>
      </c>
      <c r="C250" s="202" t="s">
        <v>923</v>
      </c>
      <c r="D250" s="203" t="s">
        <v>877</v>
      </c>
      <c r="E250" s="214">
        <v>4.5</v>
      </c>
      <c r="F250" s="205">
        <v>380.0</v>
      </c>
      <c r="G250" s="206">
        <f t="shared" si="21"/>
        <v>1710</v>
      </c>
      <c r="H250" s="227"/>
      <c r="I250" s="227"/>
      <c r="J250" s="227"/>
      <c r="K250" s="227"/>
      <c r="L250" s="227"/>
    </row>
    <row r="251" ht="12.75" customHeight="1" outlineLevel="2">
      <c r="A251" s="21"/>
      <c r="B251" s="189"/>
      <c r="C251" s="21"/>
      <c r="D251" s="21"/>
      <c r="E251" s="115"/>
      <c r="F251" s="241"/>
      <c r="G251" s="241"/>
      <c r="H251" s="227"/>
      <c r="I251" s="227"/>
      <c r="J251" s="227"/>
      <c r="K251" s="227"/>
      <c r="L251" s="227"/>
    </row>
    <row r="252" ht="12.75" customHeight="1" outlineLevel="2">
      <c r="A252" s="151" t="s">
        <v>924</v>
      </c>
      <c r="B252" s="248">
        <v>3.2</v>
      </c>
      <c r="C252" s="245" t="s">
        <v>925</v>
      </c>
      <c r="D252" s="21"/>
      <c r="E252" s="115"/>
      <c r="F252" s="241"/>
      <c r="G252" s="241"/>
      <c r="H252" s="227"/>
      <c r="I252" s="227"/>
      <c r="J252" s="227"/>
      <c r="K252" s="227"/>
      <c r="L252" s="227"/>
    </row>
    <row r="253" ht="12.75" customHeight="1" outlineLevel="2">
      <c r="A253" s="21"/>
      <c r="B253" s="189"/>
      <c r="C253" s="21"/>
      <c r="D253" s="21"/>
      <c r="E253" s="115"/>
      <c r="F253" s="241"/>
      <c r="G253" s="241"/>
      <c r="H253" s="227"/>
      <c r="I253" s="227"/>
      <c r="J253" s="227"/>
      <c r="K253" s="227"/>
      <c r="L253" s="227"/>
    </row>
    <row r="254" ht="12.75" customHeight="1" outlineLevel="2">
      <c r="A254" s="21"/>
      <c r="B254" s="198" t="s">
        <v>2130</v>
      </c>
      <c r="C254" s="202" t="s">
        <v>922</v>
      </c>
      <c r="D254" s="203" t="s">
        <v>877</v>
      </c>
      <c r="E254" s="214">
        <v>3.88</v>
      </c>
      <c r="F254" s="205">
        <v>500.0</v>
      </c>
      <c r="G254" s="206">
        <f t="shared" ref="G254:G255" si="22">E254*F254</f>
        <v>1940</v>
      </c>
      <c r="H254" s="227"/>
      <c r="I254" s="227"/>
      <c r="J254" s="227"/>
      <c r="K254" s="227"/>
      <c r="L254" s="227"/>
    </row>
    <row r="255" ht="12.75" customHeight="1" outlineLevel="2">
      <c r="A255" s="21"/>
      <c r="B255" s="198" t="s">
        <v>2131</v>
      </c>
      <c r="C255" s="202" t="s">
        <v>926</v>
      </c>
      <c r="D255" s="203" t="s">
        <v>877</v>
      </c>
      <c r="E255" s="214">
        <v>6.39</v>
      </c>
      <c r="F255" s="205">
        <v>340.0</v>
      </c>
      <c r="G255" s="206">
        <f t="shared" si="22"/>
        <v>2172.6</v>
      </c>
      <c r="H255" s="227"/>
      <c r="I255" s="227"/>
      <c r="J255" s="227"/>
      <c r="K255" s="227"/>
      <c r="L255" s="227"/>
    </row>
    <row r="256" ht="12.75" customHeight="1" outlineLevel="2">
      <c r="A256" s="21"/>
      <c r="B256" s="189"/>
      <c r="C256" s="21"/>
      <c r="D256" s="21"/>
      <c r="E256" s="115"/>
      <c r="F256" s="241"/>
      <c r="G256" s="241"/>
      <c r="H256" s="227"/>
      <c r="I256" s="227"/>
      <c r="J256" s="227"/>
      <c r="K256" s="227"/>
      <c r="L256" s="227"/>
    </row>
    <row r="257" ht="12.75" customHeight="1" outlineLevel="1">
      <c r="A257" s="151" t="s">
        <v>927</v>
      </c>
      <c r="B257" s="189"/>
      <c r="C257" s="247" t="s">
        <v>928</v>
      </c>
      <c r="D257" s="21"/>
      <c r="E257" s="115"/>
      <c r="F257" s="917">
        <f>SUM(G261:G269)</f>
        <v>11890.8</v>
      </c>
      <c r="G257" s="241"/>
      <c r="H257" s="227"/>
      <c r="I257" s="227"/>
      <c r="J257" s="227"/>
      <c r="K257" s="227"/>
      <c r="L257" s="227"/>
    </row>
    <row r="258" ht="12.75" customHeight="1" outlineLevel="2">
      <c r="A258" s="21"/>
      <c r="B258" s="189"/>
      <c r="C258" s="21"/>
      <c r="D258" s="21"/>
      <c r="E258" s="115"/>
      <c r="F258" s="241"/>
      <c r="G258" s="241"/>
      <c r="H258" s="227"/>
      <c r="I258" s="227"/>
      <c r="J258" s="227"/>
      <c r="K258" s="227"/>
      <c r="L258" s="227"/>
    </row>
    <row r="259" ht="12.75" customHeight="1" outlineLevel="2">
      <c r="A259" s="151" t="s">
        <v>610</v>
      </c>
      <c r="B259" s="189"/>
      <c r="C259" s="152" t="s">
        <v>929</v>
      </c>
      <c r="D259" s="21"/>
      <c r="E259" s="115"/>
      <c r="F259" s="241"/>
      <c r="G259" s="241"/>
      <c r="H259" s="227"/>
      <c r="I259" s="227"/>
      <c r="J259" s="227"/>
      <c r="K259" s="227"/>
      <c r="L259" s="227"/>
    </row>
    <row r="260" ht="12.75" customHeight="1" outlineLevel="2">
      <c r="A260" s="21"/>
      <c r="B260" s="189"/>
      <c r="C260" s="21"/>
      <c r="D260" s="21"/>
      <c r="E260" s="115"/>
      <c r="F260" s="241"/>
      <c r="G260" s="241"/>
      <c r="H260" s="227"/>
      <c r="I260" s="227"/>
      <c r="J260" s="227"/>
      <c r="K260" s="227"/>
      <c r="L260" s="227"/>
    </row>
    <row r="261" ht="12.75" customHeight="1" outlineLevel="2">
      <c r="A261" s="151" t="s">
        <v>612</v>
      </c>
      <c r="B261" s="198">
        <v>3.21</v>
      </c>
      <c r="C261" s="202" t="s">
        <v>930</v>
      </c>
      <c r="D261" s="203" t="s">
        <v>877</v>
      </c>
      <c r="E261" s="214">
        <v>45.8</v>
      </c>
      <c r="F261" s="205">
        <v>30.0</v>
      </c>
      <c r="G261" s="206">
        <f>E261*F261</f>
        <v>1374</v>
      </c>
      <c r="H261" s="219"/>
      <c r="I261" s="219"/>
      <c r="J261" s="240"/>
      <c r="K261" s="240"/>
      <c r="L261" s="240"/>
    </row>
    <row r="262" ht="12.75" customHeight="1" outlineLevel="2">
      <c r="A262" s="21"/>
      <c r="B262" s="189"/>
      <c r="C262" s="21"/>
      <c r="D262" s="21"/>
      <c r="E262" s="115"/>
      <c r="F262" s="241"/>
      <c r="G262" s="241"/>
      <c r="H262" s="227"/>
      <c r="I262" s="227"/>
      <c r="J262" s="227"/>
      <c r="K262" s="227"/>
      <c r="L262" s="227"/>
    </row>
    <row r="263" ht="12.75" customHeight="1" outlineLevel="2">
      <c r="A263" s="151" t="s">
        <v>620</v>
      </c>
      <c r="B263" s="198">
        <v>3.22</v>
      </c>
      <c r="C263" s="202" t="s">
        <v>931</v>
      </c>
      <c r="D263" s="203" t="s">
        <v>877</v>
      </c>
      <c r="E263" s="214">
        <v>10.42</v>
      </c>
      <c r="F263" s="205">
        <v>40.0</v>
      </c>
      <c r="G263" s="206">
        <f>E263*F263</f>
        <v>416.8</v>
      </c>
      <c r="H263" s="219"/>
      <c r="I263" s="219"/>
      <c r="J263" s="240"/>
      <c r="K263" s="240"/>
      <c r="L263" s="240"/>
    </row>
    <row r="264" ht="12.75" customHeight="1" outlineLevel="2">
      <c r="A264" s="21"/>
      <c r="B264" s="189"/>
      <c r="C264" s="21"/>
      <c r="D264" s="21"/>
      <c r="E264" s="115"/>
      <c r="F264" s="241"/>
      <c r="G264" s="241"/>
      <c r="H264" s="227"/>
      <c r="I264" s="227"/>
      <c r="J264" s="227"/>
      <c r="K264" s="227"/>
      <c r="L264" s="227"/>
    </row>
    <row r="265" ht="12.75" customHeight="1" outlineLevel="2">
      <c r="A265" s="151" t="s">
        <v>626</v>
      </c>
      <c r="B265" s="198">
        <v>3.23</v>
      </c>
      <c r="C265" s="202" t="s">
        <v>932</v>
      </c>
      <c r="D265" s="203" t="s">
        <v>933</v>
      </c>
      <c r="E265" s="214">
        <v>41.25</v>
      </c>
      <c r="F265" s="205">
        <v>160.0</v>
      </c>
      <c r="G265" s="206">
        <f>E265*F265</f>
        <v>6600</v>
      </c>
      <c r="H265" s="219"/>
      <c r="I265" s="219"/>
      <c r="J265" s="240"/>
      <c r="K265" s="240"/>
      <c r="L265" s="240"/>
    </row>
    <row r="266" ht="12.75" customHeight="1" outlineLevel="2">
      <c r="A266" s="21"/>
      <c r="B266" s="189"/>
      <c r="C266" s="21"/>
      <c r="D266" s="21"/>
      <c r="E266" s="115"/>
      <c r="F266" s="241"/>
      <c r="G266" s="241"/>
      <c r="H266" s="227"/>
      <c r="I266" s="227"/>
      <c r="J266" s="227"/>
      <c r="K266" s="227"/>
      <c r="L266" s="227"/>
    </row>
    <row r="267" ht="12.75" customHeight="1" outlineLevel="2">
      <c r="A267" s="151" t="s">
        <v>628</v>
      </c>
      <c r="B267" s="248">
        <v>3.24</v>
      </c>
      <c r="C267" s="249" t="s">
        <v>934</v>
      </c>
      <c r="D267" s="238"/>
      <c r="E267" s="170"/>
      <c r="F267" s="239"/>
      <c r="G267" s="239"/>
      <c r="H267" s="240"/>
      <c r="I267" s="240"/>
      <c r="J267" s="240"/>
      <c r="K267" s="240"/>
      <c r="L267" s="240"/>
    </row>
    <row r="268" ht="12.75" customHeight="1" outlineLevel="2">
      <c r="A268" s="21"/>
      <c r="B268" s="189"/>
      <c r="C268" s="21"/>
      <c r="D268" s="21"/>
      <c r="E268" s="115"/>
      <c r="F268" s="241"/>
      <c r="G268" s="241"/>
      <c r="H268" s="227"/>
      <c r="I268" s="227"/>
      <c r="J268" s="227"/>
      <c r="K268" s="227"/>
      <c r="L268" s="227"/>
    </row>
    <row r="269" ht="12.75" customHeight="1" outlineLevel="2">
      <c r="A269" s="151" t="s">
        <v>935</v>
      </c>
      <c r="B269" s="198" t="s">
        <v>2138</v>
      </c>
      <c r="C269" s="202" t="s">
        <v>936</v>
      </c>
      <c r="D269" s="203" t="s">
        <v>33</v>
      </c>
      <c r="E269" s="214">
        <v>1.0</v>
      </c>
      <c r="F269" s="205">
        <v>3500.0</v>
      </c>
      <c r="G269" s="206">
        <f>E269*F269</f>
        <v>3500</v>
      </c>
      <c r="H269" s="227"/>
      <c r="I269" s="227"/>
      <c r="J269" s="227"/>
      <c r="K269" s="227"/>
      <c r="L269" s="227"/>
    </row>
    <row r="270" ht="12.75" customHeight="1" outlineLevel="2">
      <c r="A270" s="208"/>
      <c r="B270" s="250"/>
      <c r="C270" s="152"/>
      <c r="D270" s="151"/>
      <c r="E270" s="153"/>
      <c r="F270" s="220"/>
      <c r="G270" s="220"/>
      <c r="H270" s="227"/>
      <c r="I270" s="227"/>
      <c r="J270" s="227"/>
      <c r="K270" s="227"/>
      <c r="L270" s="227"/>
    </row>
    <row r="271" ht="12.75" customHeight="1" outlineLevel="1">
      <c r="A271" s="208"/>
      <c r="B271" s="250"/>
      <c r="C271" s="152"/>
      <c r="D271" s="151"/>
      <c r="E271" s="153"/>
      <c r="F271" s="220"/>
      <c r="G271" s="220"/>
      <c r="H271" s="227"/>
      <c r="I271" s="227"/>
      <c r="J271" s="227"/>
      <c r="K271" s="227"/>
      <c r="L271" s="227"/>
    </row>
    <row r="272" ht="12.75" customHeight="1">
      <c r="A272" s="192"/>
      <c r="B272" s="83">
        <v>4.0</v>
      </c>
      <c r="C272" s="184" t="s">
        <v>95</v>
      </c>
      <c r="D272" s="193"/>
      <c r="E272" s="194"/>
      <c r="F272" s="195"/>
      <c r="G272" s="196">
        <f>SUM(G278:G316)</f>
        <v>39067</v>
      </c>
      <c r="H272" s="197">
        <f>G272-'Orcamento RU'!C68</f>
        <v>15313.61</v>
      </c>
      <c r="I272" s="197"/>
      <c r="J272" s="919"/>
      <c r="K272" s="169"/>
      <c r="L272" s="169"/>
    </row>
    <row r="273" ht="12.75" customHeight="1" outlineLevel="1">
      <c r="A273" s="208"/>
      <c r="B273" s="250"/>
      <c r="C273" s="152"/>
      <c r="D273" s="151"/>
      <c r="E273" s="153"/>
      <c r="F273" s="220"/>
      <c r="G273" s="220"/>
      <c r="H273" s="227"/>
      <c r="I273" s="227"/>
      <c r="J273" s="227"/>
      <c r="K273" s="227"/>
      <c r="L273" s="227"/>
    </row>
    <row r="274" ht="12.75" customHeight="1" outlineLevel="1">
      <c r="A274" s="89" t="s">
        <v>96</v>
      </c>
      <c r="B274" s="189"/>
      <c r="C274" s="184" t="s">
        <v>97</v>
      </c>
      <c r="E274" s="79"/>
      <c r="F274" s="917">
        <f>SUM(G278:G282)</f>
        <v>2636.94</v>
      </c>
      <c r="G274" s="220"/>
      <c r="H274" s="227"/>
      <c r="I274" s="227"/>
      <c r="J274" s="227"/>
      <c r="K274" s="227"/>
      <c r="L274" s="227"/>
    </row>
    <row r="275" ht="12.75" customHeight="1" outlineLevel="2">
      <c r="B275" s="189"/>
      <c r="E275" s="79"/>
      <c r="F275" s="191"/>
      <c r="G275" s="220"/>
      <c r="H275" s="227"/>
      <c r="I275" s="227"/>
      <c r="J275" s="227"/>
      <c r="K275" s="227"/>
      <c r="L275" s="227"/>
    </row>
    <row r="276" ht="12.75" customHeight="1" outlineLevel="2">
      <c r="A276" s="89" t="s">
        <v>98</v>
      </c>
      <c r="B276" s="251">
        <v>4.1</v>
      </c>
      <c r="C276" s="245" t="s">
        <v>99</v>
      </c>
      <c r="E276" s="79"/>
      <c r="F276" s="191"/>
      <c r="G276" s="220"/>
      <c r="H276" s="227"/>
      <c r="I276" s="227"/>
      <c r="J276" s="227"/>
      <c r="K276" s="227"/>
      <c r="L276" s="227"/>
    </row>
    <row r="277" ht="12.75" customHeight="1" outlineLevel="2">
      <c r="B277" s="189"/>
      <c r="E277" s="79"/>
      <c r="F277" s="191"/>
      <c r="G277" s="220"/>
      <c r="H277" s="227"/>
      <c r="I277" s="227"/>
      <c r="J277" s="227"/>
      <c r="K277" s="227"/>
      <c r="L277" s="227"/>
    </row>
    <row r="278" ht="12.75" customHeight="1" outlineLevel="2">
      <c r="A278" s="89" t="s">
        <v>100</v>
      </c>
      <c r="B278" s="198" t="s">
        <v>1037</v>
      </c>
      <c r="C278" s="202" t="s">
        <v>101</v>
      </c>
      <c r="D278" s="203" t="s">
        <v>40</v>
      </c>
      <c r="E278" s="214">
        <v>37.14</v>
      </c>
      <c r="F278" s="205">
        <v>20.0</v>
      </c>
      <c r="G278" s="206">
        <f>E278*F278</f>
        <v>742.8</v>
      </c>
      <c r="H278" s="219"/>
      <c r="I278" s="219"/>
      <c r="J278" s="240"/>
      <c r="K278" s="240"/>
      <c r="L278" s="240"/>
    </row>
    <row r="279" ht="12.75" customHeight="1" outlineLevel="2">
      <c r="B279" s="189"/>
      <c r="E279" s="79"/>
      <c r="F279" s="191"/>
      <c r="G279" s="220"/>
      <c r="H279" s="227"/>
      <c r="I279" s="227"/>
      <c r="J279" s="227"/>
      <c r="K279" s="227"/>
      <c r="L279" s="227"/>
    </row>
    <row r="280" ht="12.75" customHeight="1" outlineLevel="2">
      <c r="A280" s="89" t="s">
        <v>102</v>
      </c>
      <c r="B280" s="198" t="s">
        <v>1041</v>
      </c>
      <c r="C280" s="202" t="s">
        <v>103</v>
      </c>
      <c r="D280" s="203" t="s">
        <v>40</v>
      </c>
      <c r="E280" s="214">
        <v>37.14</v>
      </c>
      <c r="F280" s="205">
        <v>21.0</v>
      </c>
      <c r="G280" s="206">
        <f>E280*F280</f>
        <v>779.94</v>
      </c>
      <c r="H280" s="219"/>
      <c r="I280" s="219"/>
      <c r="J280" s="240"/>
      <c r="K280" s="240"/>
      <c r="L280" s="240"/>
    </row>
    <row r="281" ht="12.75" customHeight="1" outlineLevel="2">
      <c r="B281" s="189"/>
      <c r="E281" s="79"/>
      <c r="F281" s="191"/>
      <c r="G281" s="220"/>
      <c r="H281" s="227"/>
      <c r="I281" s="227"/>
      <c r="J281" s="227"/>
      <c r="K281" s="227"/>
      <c r="L281" s="227"/>
    </row>
    <row r="282" ht="12.75" customHeight="1" outlineLevel="2">
      <c r="A282" s="89" t="s">
        <v>104</v>
      </c>
      <c r="B282" s="198" t="s">
        <v>1051</v>
      </c>
      <c r="C282" s="202" t="s">
        <v>105</v>
      </c>
      <c r="D282" s="203" t="s">
        <v>40</v>
      </c>
      <c r="E282" s="214">
        <v>37.14</v>
      </c>
      <c r="F282" s="205">
        <v>30.0</v>
      </c>
      <c r="G282" s="206">
        <f>E282*F282</f>
        <v>1114.2</v>
      </c>
      <c r="H282" s="219"/>
      <c r="I282" s="219"/>
      <c r="J282" s="240"/>
      <c r="K282" s="240"/>
      <c r="L282" s="240"/>
    </row>
    <row r="283" ht="12.75" customHeight="1" outlineLevel="2">
      <c r="B283" s="189"/>
      <c r="E283" s="79"/>
      <c r="F283" s="191"/>
      <c r="G283" s="220"/>
      <c r="H283" s="227"/>
      <c r="I283" s="227"/>
      <c r="J283" s="227"/>
      <c r="K283" s="227"/>
      <c r="L283" s="227"/>
    </row>
    <row r="284" ht="12.75" customHeight="1" outlineLevel="1">
      <c r="A284" s="89" t="s">
        <v>106</v>
      </c>
      <c r="B284" s="189"/>
      <c r="C284" s="184" t="s">
        <v>107</v>
      </c>
      <c r="E284" s="79"/>
      <c r="F284" s="917">
        <f>SUM(G288:G292)</f>
        <v>3763</v>
      </c>
      <c r="G284" s="220"/>
      <c r="H284" s="227"/>
      <c r="I284" s="227"/>
      <c r="J284" s="227"/>
      <c r="K284" s="227"/>
      <c r="L284" s="227"/>
    </row>
    <row r="285" ht="12.75" customHeight="1" outlineLevel="2">
      <c r="B285" s="189"/>
      <c r="E285" s="79"/>
      <c r="F285" s="191"/>
      <c r="G285" s="220"/>
      <c r="H285" s="227"/>
      <c r="I285" s="227"/>
      <c r="J285" s="227"/>
      <c r="K285" s="227"/>
      <c r="L285" s="227"/>
    </row>
    <row r="286" ht="12.75" customHeight="1" outlineLevel="2">
      <c r="A286" s="89" t="s">
        <v>108</v>
      </c>
      <c r="B286" s="251">
        <v>4.2</v>
      </c>
      <c r="C286" s="245" t="s">
        <v>109</v>
      </c>
      <c r="E286" s="79"/>
      <c r="F286" s="191"/>
      <c r="G286" s="220"/>
      <c r="H286" s="227"/>
      <c r="I286" s="227"/>
      <c r="J286" s="227"/>
      <c r="K286" s="227"/>
      <c r="L286" s="227"/>
    </row>
    <row r="287" ht="12.75" customHeight="1" outlineLevel="2">
      <c r="B287" s="189"/>
      <c r="E287" s="79"/>
      <c r="F287" s="191"/>
      <c r="G287" s="220"/>
      <c r="H287" s="227"/>
      <c r="I287" s="227"/>
      <c r="J287" s="227"/>
      <c r="K287" s="227"/>
      <c r="L287" s="227"/>
    </row>
    <row r="288" ht="12.75" customHeight="1" outlineLevel="2">
      <c r="A288" s="89" t="s">
        <v>110</v>
      </c>
      <c r="B288" s="198" t="s">
        <v>2148</v>
      </c>
      <c r="C288" s="202" t="s">
        <v>101</v>
      </c>
      <c r="D288" s="203" t="s">
        <v>40</v>
      </c>
      <c r="E288" s="214">
        <v>53.0</v>
      </c>
      <c r="F288" s="205">
        <v>20.0</v>
      </c>
      <c r="G288" s="206">
        <f>E288*F288</f>
        <v>1060</v>
      </c>
      <c r="H288" s="219"/>
      <c r="I288" s="219"/>
      <c r="J288" s="240"/>
      <c r="K288" s="240"/>
      <c r="L288" s="240"/>
    </row>
    <row r="289" ht="12.75" customHeight="1" outlineLevel="2">
      <c r="B289" s="189"/>
      <c r="E289" s="79"/>
      <c r="F289" s="191"/>
      <c r="G289" s="220"/>
      <c r="H289" s="227"/>
      <c r="I289" s="227"/>
      <c r="J289" s="227"/>
      <c r="K289" s="227"/>
      <c r="L289" s="227"/>
    </row>
    <row r="290" ht="12.75" customHeight="1" outlineLevel="2">
      <c r="A290" s="89" t="s">
        <v>111</v>
      </c>
      <c r="B290" s="198" t="s">
        <v>2149</v>
      </c>
      <c r="C290" s="202" t="s">
        <v>112</v>
      </c>
      <c r="D290" s="203" t="s">
        <v>40</v>
      </c>
      <c r="E290" s="214">
        <v>53.0</v>
      </c>
      <c r="F290" s="205">
        <v>21.0</v>
      </c>
      <c r="G290" s="206">
        <f>E290*F290</f>
        <v>1113</v>
      </c>
      <c r="H290" s="219"/>
      <c r="I290" s="219"/>
      <c r="J290" s="240"/>
      <c r="K290" s="240"/>
      <c r="L290" s="240"/>
    </row>
    <row r="291" ht="12.75" customHeight="1" outlineLevel="2">
      <c r="B291" s="189"/>
      <c r="E291" s="79"/>
      <c r="F291" s="191"/>
      <c r="G291" s="220"/>
      <c r="H291" s="227"/>
      <c r="I291" s="227"/>
      <c r="J291" s="227"/>
      <c r="K291" s="227"/>
      <c r="L291" s="227"/>
    </row>
    <row r="292" ht="12.75" customHeight="1" outlineLevel="2">
      <c r="A292" s="89" t="s">
        <v>113</v>
      </c>
      <c r="B292" s="198" t="s">
        <v>2151</v>
      </c>
      <c r="C292" s="202" t="s">
        <v>114</v>
      </c>
      <c r="D292" s="203" t="s">
        <v>40</v>
      </c>
      <c r="E292" s="214">
        <v>53.0</v>
      </c>
      <c r="F292" s="205">
        <v>30.0</v>
      </c>
      <c r="G292" s="206">
        <f>E292*F292</f>
        <v>1590</v>
      </c>
      <c r="H292" s="219"/>
      <c r="I292" s="219"/>
      <c r="J292" s="240"/>
      <c r="K292" s="240"/>
      <c r="L292" s="240"/>
    </row>
    <row r="293" ht="12.75" customHeight="1" outlineLevel="2">
      <c r="B293" s="189"/>
      <c r="E293" s="79"/>
      <c r="F293" s="191"/>
      <c r="G293" s="220"/>
      <c r="H293" s="227"/>
      <c r="I293" s="227"/>
      <c r="J293" s="227"/>
      <c r="K293" s="227"/>
      <c r="L293" s="227"/>
    </row>
    <row r="294" ht="12.75" customHeight="1" outlineLevel="1">
      <c r="A294" s="89" t="s">
        <v>115</v>
      </c>
      <c r="B294" s="189"/>
      <c r="C294" s="184" t="s">
        <v>116</v>
      </c>
      <c r="E294" s="79"/>
      <c r="F294" s="917">
        <f>SUM(G298:G300)</f>
        <v>1652.4</v>
      </c>
      <c r="G294" s="220"/>
      <c r="H294" s="227"/>
      <c r="I294" s="227"/>
      <c r="J294" s="227"/>
      <c r="K294" s="227"/>
      <c r="L294" s="227"/>
    </row>
    <row r="295" ht="12.75" customHeight="1" outlineLevel="2">
      <c r="B295" s="189"/>
      <c r="E295" s="79"/>
      <c r="F295" s="191"/>
      <c r="G295" s="220"/>
      <c r="H295" s="227"/>
      <c r="I295" s="227"/>
      <c r="J295" s="227"/>
      <c r="K295" s="227"/>
      <c r="L295" s="227"/>
    </row>
    <row r="296" ht="12.75" customHeight="1" outlineLevel="2">
      <c r="A296" s="89" t="s">
        <v>117</v>
      </c>
      <c r="B296" s="251">
        <v>4.3</v>
      </c>
      <c r="C296" s="245" t="s">
        <v>118</v>
      </c>
      <c r="E296" s="79"/>
      <c r="F296" s="191"/>
      <c r="G296" s="220"/>
      <c r="H296" s="227"/>
      <c r="I296" s="227"/>
      <c r="J296" s="227"/>
      <c r="K296" s="227"/>
      <c r="L296" s="227"/>
    </row>
    <row r="297" ht="12.75" customHeight="1" outlineLevel="2">
      <c r="B297" s="189"/>
      <c r="E297" s="79"/>
      <c r="F297" s="191"/>
      <c r="G297" s="220"/>
      <c r="H297" s="227"/>
      <c r="I297" s="227"/>
      <c r="J297" s="227"/>
      <c r="K297" s="227"/>
      <c r="L297" s="227"/>
    </row>
    <row r="298" ht="12.75" customHeight="1" outlineLevel="2">
      <c r="A298" s="89" t="s">
        <v>119</v>
      </c>
      <c r="B298" s="198" t="s">
        <v>1059</v>
      </c>
      <c r="C298" s="202" t="s">
        <v>112</v>
      </c>
      <c r="D298" s="203" t="s">
        <v>40</v>
      </c>
      <c r="E298" s="214">
        <v>32.4</v>
      </c>
      <c r="F298" s="205">
        <v>21.0</v>
      </c>
      <c r="G298" s="206">
        <f>E298*F298</f>
        <v>680.4</v>
      </c>
      <c r="H298" s="219"/>
      <c r="I298" s="219"/>
      <c r="J298" s="240"/>
      <c r="K298" s="240"/>
      <c r="L298" s="240"/>
    </row>
    <row r="299" ht="12.75" customHeight="1" outlineLevel="2">
      <c r="B299" s="189"/>
      <c r="E299" s="79"/>
      <c r="F299" s="191"/>
      <c r="G299" s="220"/>
      <c r="H299" s="227"/>
      <c r="I299" s="227"/>
      <c r="J299" s="227"/>
      <c r="K299" s="227"/>
      <c r="L299" s="227"/>
    </row>
    <row r="300" ht="12.75" customHeight="1" outlineLevel="2">
      <c r="A300" s="89" t="s">
        <v>120</v>
      </c>
      <c r="B300" s="198" t="s">
        <v>1067</v>
      </c>
      <c r="C300" s="202" t="s">
        <v>114</v>
      </c>
      <c r="D300" s="203" t="s">
        <v>40</v>
      </c>
      <c r="E300" s="214">
        <v>32.4</v>
      </c>
      <c r="F300" s="205">
        <v>30.0</v>
      </c>
      <c r="G300" s="206">
        <f>E300*F300</f>
        <v>972</v>
      </c>
      <c r="H300" s="219"/>
      <c r="I300" s="219"/>
      <c r="J300" s="240"/>
      <c r="K300" s="240"/>
      <c r="L300" s="240"/>
    </row>
    <row r="301" ht="12.75" customHeight="1" outlineLevel="2">
      <c r="B301" s="189"/>
      <c r="E301" s="79"/>
      <c r="F301" s="191"/>
      <c r="G301" s="220"/>
      <c r="H301" s="227"/>
      <c r="I301" s="227"/>
      <c r="J301" s="227"/>
      <c r="K301" s="227"/>
      <c r="L301" s="227"/>
    </row>
    <row r="302" ht="12.75" customHeight="1" outlineLevel="1">
      <c r="A302" s="89" t="s">
        <v>121</v>
      </c>
      <c r="B302" s="189"/>
      <c r="C302" s="184" t="s">
        <v>122</v>
      </c>
      <c r="E302" s="79"/>
      <c r="F302" s="917">
        <f>G304</f>
        <v>12745.74</v>
      </c>
      <c r="G302" s="220"/>
      <c r="H302" s="227"/>
      <c r="I302" s="227"/>
      <c r="J302" s="227"/>
      <c r="K302" s="227"/>
      <c r="L302" s="227"/>
    </row>
    <row r="303" ht="12.75" customHeight="1" outlineLevel="2">
      <c r="B303" s="189"/>
      <c r="E303" s="79"/>
      <c r="F303" s="191"/>
      <c r="G303" s="220"/>
      <c r="H303" s="227"/>
      <c r="I303" s="227"/>
      <c r="J303" s="227"/>
      <c r="K303" s="227"/>
      <c r="L303" s="227"/>
    </row>
    <row r="304" ht="12.75" customHeight="1" outlineLevel="2">
      <c r="A304" s="89" t="s">
        <v>123</v>
      </c>
      <c r="B304" s="198">
        <v>4.4</v>
      </c>
      <c r="C304" s="202" t="s">
        <v>124</v>
      </c>
      <c r="D304" s="203" t="s">
        <v>40</v>
      </c>
      <c r="E304" s="214">
        <v>303.47</v>
      </c>
      <c r="F304" s="205">
        <v>42.0</v>
      </c>
      <c r="G304" s="206">
        <f>E304*F304</f>
        <v>12745.74</v>
      </c>
      <c r="H304" s="219"/>
      <c r="I304" s="219"/>
      <c r="J304" s="240"/>
      <c r="K304" s="240"/>
      <c r="L304" s="240"/>
    </row>
    <row r="305" ht="12.75" customHeight="1" outlineLevel="2">
      <c r="B305" s="189"/>
      <c r="E305" s="79"/>
      <c r="F305" s="191"/>
      <c r="G305" s="220"/>
      <c r="H305" s="227"/>
      <c r="I305" s="227"/>
      <c r="J305" s="227"/>
      <c r="K305" s="227"/>
      <c r="L305" s="227"/>
    </row>
    <row r="306" ht="12.75" customHeight="1" outlineLevel="1">
      <c r="A306" s="89" t="s">
        <v>125</v>
      </c>
      <c r="B306" s="189"/>
      <c r="C306" s="184" t="s">
        <v>126</v>
      </c>
      <c r="E306" s="79"/>
      <c r="F306" s="917">
        <f>G308</f>
        <v>6414</v>
      </c>
      <c r="G306" s="220"/>
      <c r="H306" s="227"/>
      <c r="I306" s="227"/>
      <c r="J306" s="227"/>
      <c r="K306" s="227"/>
      <c r="L306" s="227"/>
    </row>
    <row r="307" ht="12.75" customHeight="1" outlineLevel="2">
      <c r="B307" s="189"/>
      <c r="E307" s="79"/>
      <c r="F307" s="191"/>
      <c r="G307" s="220"/>
      <c r="H307" s="227"/>
      <c r="I307" s="227"/>
      <c r="J307" s="227"/>
      <c r="K307" s="227"/>
      <c r="L307" s="227"/>
    </row>
    <row r="308" ht="12.75" customHeight="1" outlineLevel="2">
      <c r="A308" s="89" t="s">
        <v>127</v>
      </c>
      <c r="B308" s="198">
        <v>4.5</v>
      </c>
      <c r="C308" s="202" t="s">
        <v>128</v>
      </c>
      <c r="D308" s="203" t="s">
        <v>40</v>
      </c>
      <c r="E308" s="214">
        <v>320.7</v>
      </c>
      <c r="F308" s="205">
        <v>20.0</v>
      </c>
      <c r="G308" s="206">
        <f>E308*F308</f>
        <v>6414</v>
      </c>
      <c r="H308" s="219"/>
      <c r="I308" s="219"/>
      <c r="J308" s="240"/>
      <c r="K308" s="240"/>
      <c r="L308" s="240"/>
    </row>
    <row r="309" ht="12.75" customHeight="1" outlineLevel="2">
      <c r="B309" s="189"/>
      <c r="E309" s="79"/>
      <c r="F309" s="191"/>
      <c r="G309" s="220"/>
      <c r="H309" s="227"/>
      <c r="I309" s="227"/>
      <c r="J309" s="227"/>
      <c r="K309" s="227"/>
      <c r="L309" s="227"/>
    </row>
    <row r="310" ht="12.75" customHeight="1" outlineLevel="1">
      <c r="A310" s="89" t="s">
        <v>129</v>
      </c>
      <c r="B310" s="189"/>
      <c r="C310" s="184" t="s">
        <v>130</v>
      </c>
      <c r="E310" s="79"/>
      <c r="F310" s="917">
        <f>G312</f>
        <v>621.32</v>
      </c>
      <c r="G310" s="220"/>
      <c r="H310" s="227"/>
      <c r="I310" s="227"/>
      <c r="J310" s="227"/>
      <c r="K310" s="227"/>
      <c r="L310" s="227"/>
    </row>
    <row r="311" ht="12.75" customHeight="1" outlineLevel="2">
      <c r="B311" s="189"/>
      <c r="E311" s="79"/>
      <c r="F311" s="191"/>
      <c r="G311" s="220"/>
      <c r="H311" s="227"/>
      <c r="I311" s="227"/>
      <c r="J311" s="227"/>
      <c r="K311" s="227"/>
      <c r="L311" s="227"/>
    </row>
    <row r="312" ht="12.75" customHeight="1" outlineLevel="2">
      <c r="A312" s="89" t="s">
        <v>131</v>
      </c>
      <c r="B312" s="198">
        <v>4.6</v>
      </c>
      <c r="C312" s="202" t="s">
        <v>132</v>
      </c>
      <c r="D312" s="203" t="s">
        <v>75</v>
      </c>
      <c r="E312" s="214">
        <v>22.19</v>
      </c>
      <c r="F312" s="205">
        <v>28.0</v>
      </c>
      <c r="G312" s="206">
        <f>E312*F312</f>
        <v>621.32</v>
      </c>
      <c r="H312" s="219"/>
      <c r="I312" s="219"/>
      <c r="J312" s="240"/>
      <c r="K312" s="240"/>
      <c r="L312" s="240"/>
    </row>
    <row r="313" ht="12.75" customHeight="1" outlineLevel="2">
      <c r="B313" s="189"/>
      <c r="E313" s="79"/>
      <c r="F313" s="191"/>
      <c r="G313" s="220"/>
      <c r="H313" s="227"/>
      <c r="I313" s="227"/>
      <c r="J313" s="227"/>
      <c r="K313" s="227"/>
      <c r="L313" s="227"/>
    </row>
    <row r="314" ht="12.75" customHeight="1" outlineLevel="1">
      <c r="A314" s="89" t="s">
        <v>133</v>
      </c>
      <c r="B314" s="189"/>
      <c r="C314" s="184" t="s">
        <v>5593</v>
      </c>
      <c r="E314" s="79"/>
      <c r="F314" s="917">
        <f>G316</f>
        <v>11233.6</v>
      </c>
      <c r="G314" s="220"/>
      <c r="H314" s="227"/>
      <c r="I314" s="227"/>
      <c r="J314" s="227"/>
      <c r="K314" s="227"/>
      <c r="L314" s="227"/>
    </row>
    <row r="315" ht="12.75" customHeight="1" outlineLevel="2">
      <c r="B315" s="189"/>
      <c r="E315" s="79"/>
      <c r="F315" s="191"/>
      <c r="G315" s="220"/>
      <c r="H315" s="227"/>
      <c r="I315" s="227"/>
      <c r="J315" s="227"/>
      <c r="K315" s="227"/>
      <c r="L315" s="227"/>
    </row>
    <row r="316" ht="12.75" customHeight="1" outlineLevel="2">
      <c r="A316" s="89" t="s">
        <v>135</v>
      </c>
      <c r="B316" s="198">
        <v>4.7</v>
      </c>
      <c r="C316" s="202" t="s">
        <v>136</v>
      </c>
      <c r="D316" s="203" t="s">
        <v>40</v>
      </c>
      <c r="E316" s="214">
        <v>200.6</v>
      </c>
      <c r="F316" s="205">
        <v>56.0</v>
      </c>
      <c r="G316" s="206">
        <f>E316*F316</f>
        <v>11233.6</v>
      </c>
      <c r="H316" s="219"/>
      <c r="I316" s="219"/>
      <c r="J316" s="240"/>
      <c r="K316" s="240"/>
      <c r="L316" s="240"/>
    </row>
    <row r="317" ht="12.75" customHeight="1" outlineLevel="2">
      <c r="A317" s="208"/>
      <c r="B317" s="250"/>
      <c r="C317" s="152"/>
      <c r="D317" s="151"/>
      <c r="E317" s="153"/>
      <c r="F317" s="220"/>
      <c r="G317" s="220"/>
      <c r="H317" s="227"/>
      <c r="I317" s="227"/>
      <c r="J317" s="227"/>
      <c r="K317" s="227"/>
      <c r="L317" s="227"/>
    </row>
    <row r="318" ht="12.75" customHeight="1" outlineLevel="1">
      <c r="A318" s="208"/>
      <c r="B318" s="250"/>
      <c r="C318" s="152"/>
      <c r="D318" s="151"/>
      <c r="E318" s="153"/>
      <c r="F318" s="220"/>
      <c r="G318" s="220"/>
      <c r="H318" s="227"/>
      <c r="I318" s="227"/>
      <c r="J318" s="227"/>
      <c r="K318" s="227"/>
      <c r="L318" s="227"/>
    </row>
    <row r="319" ht="12.75" customHeight="1">
      <c r="A319" s="192"/>
      <c r="B319" s="83">
        <v>5.0</v>
      </c>
      <c r="C319" s="184" t="s">
        <v>5594</v>
      </c>
      <c r="D319" s="193"/>
      <c r="E319" s="194"/>
      <c r="F319" s="195"/>
      <c r="G319" s="196">
        <f>SUM(G323:G366)</f>
        <v>32070.2244</v>
      </c>
      <c r="H319" s="197">
        <f>G319-('Orcamento RU'!C10+'Orcamento RU'!C42)</f>
        <v>2879.0644</v>
      </c>
      <c r="I319" s="197">
        <f>H319-('Orcamento RU'!D10+'Orcamento RU'!D42)</f>
        <v>2879.0644</v>
      </c>
      <c r="J319" s="919"/>
      <c r="K319" s="169"/>
      <c r="L319" s="169"/>
    </row>
    <row r="320" ht="12.75" customHeight="1" outlineLevel="1">
      <c r="A320" s="208"/>
      <c r="B320" s="250"/>
      <c r="C320" s="152"/>
      <c r="D320" s="151"/>
      <c r="E320" s="153"/>
      <c r="F320" s="220"/>
      <c r="G320" s="220"/>
      <c r="H320" s="227"/>
      <c r="I320" s="227"/>
      <c r="J320" s="227"/>
      <c r="K320" s="227"/>
      <c r="L320" s="227"/>
    </row>
    <row r="321" ht="12.75" customHeight="1" outlineLevel="1">
      <c r="A321" s="89" t="s">
        <v>36</v>
      </c>
      <c r="B321" s="189"/>
      <c r="C321" s="184" t="s">
        <v>37</v>
      </c>
      <c r="E321" s="79"/>
      <c r="F321" s="917">
        <f>SUM(G323:G327)</f>
        <v>12620.73</v>
      </c>
      <c r="G321" s="220"/>
      <c r="H321" s="227"/>
      <c r="I321" s="227"/>
      <c r="J321" s="227"/>
      <c r="K321" s="227"/>
      <c r="L321" s="227"/>
    </row>
    <row r="322" ht="12.75" customHeight="1" outlineLevel="2">
      <c r="B322" s="189"/>
      <c r="E322" s="79"/>
      <c r="F322" s="220"/>
      <c r="G322" s="220"/>
      <c r="H322" s="227"/>
      <c r="I322" s="227"/>
      <c r="J322" s="227"/>
      <c r="K322" s="227"/>
      <c r="L322" s="227"/>
    </row>
    <row r="323" ht="12.75" customHeight="1" outlineLevel="2">
      <c r="A323" s="95" t="s">
        <v>38</v>
      </c>
      <c r="B323" s="198">
        <v>5.1</v>
      </c>
      <c r="C323" s="202" t="s">
        <v>39</v>
      </c>
      <c r="D323" s="203" t="s">
        <v>40</v>
      </c>
      <c r="E323" s="214">
        <v>155.42</v>
      </c>
      <c r="F323" s="205">
        <v>42.0</v>
      </c>
      <c r="G323" s="206">
        <f>E323*F323</f>
        <v>6527.64</v>
      </c>
      <c r="H323" s="219"/>
      <c r="I323" s="219"/>
      <c r="J323" s="240"/>
      <c r="K323" s="240"/>
      <c r="L323" s="240"/>
    </row>
    <row r="324" ht="12.75" customHeight="1" outlineLevel="2">
      <c r="A324" s="102"/>
      <c r="B324" s="189"/>
      <c r="C324" s="102"/>
      <c r="D324" s="102"/>
      <c r="E324" s="103"/>
      <c r="F324" s="220"/>
      <c r="G324" s="220"/>
      <c r="H324" s="227"/>
      <c r="I324" s="227"/>
      <c r="J324" s="227"/>
      <c r="K324" s="227"/>
      <c r="L324" s="227"/>
    </row>
    <row r="325" ht="12.75" customHeight="1" outlineLevel="2">
      <c r="A325" s="95" t="s">
        <v>41</v>
      </c>
      <c r="B325" s="198">
        <v>5.2</v>
      </c>
      <c r="C325" s="202" t="s">
        <v>42</v>
      </c>
      <c r="D325" s="203" t="s">
        <v>40</v>
      </c>
      <c r="E325" s="214">
        <v>32.57</v>
      </c>
      <c r="F325" s="205">
        <v>32.0</v>
      </c>
      <c r="G325" s="206">
        <f>E325*F325</f>
        <v>1042.24</v>
      </c>
      <c r="H325" s="219"/>
      <c r="I325" s="219"/>
      <c r="J325" s="240"/>
      <c r="K325" s="240"/>
      <c r="L325" s="240"/>
    </row>
    <row r="326" ht="12.75" customHeight="1" outlineLevel="2">
      <c r="A326" s="102"/>
      <c r="B326" s="189"/>
      <c r="C326" s="102"/>
      <c r="D326" s="102"/>
      <c r="E326" s="103"/>
      <c r="F326" s="220"/>
      <c r="G326" s="220"/>
      <c r="H326" s="227"/>
      <c r="I326" s="227"/>
      <c r="J326" s="227"/>
      <c r="K326" s="227"/>
      <c r="L326" s="227"/>
    </row>
    <row r="327" ht="12.75" customHeight="1" outlineLevel="2">
      <c r="A327" s="95" t="s">
        <v>43</v>
      </c>
      <c r="B327" s="198">
        <v>5.3</v>
      </c>
      <c r="C327" s="202" t="s">
        <v>44</v>
      </c>
      <c r="D327" s="203" t="s">
        <v>40</v>
      </c>
      <c r="E327" s="214">
        <v>144.31</v>
      </c>
      <c r="F327" s="205">
        <v>35.0</v>
      </c>
      <c r="G327" s="206">
        <f>E327*F327</f>
        <v>5050.85</v>
      </c>
      <c r="H327" s="219"/>
      <c r="I327" s="219"/>
      <c r="J327" s="240"/>
      <c r="K327" s="240"/>
      <c r="L327" s="240"/>
    </row>
    <row r="328" ht="12.75" customHeight="1" outlineLevel="2">
      <c r="B328" s="189"/>
      <c r="E328" s="79"/>
      <c r="F328" s="220"/>
      <c r="G328" s="220"/>
      <c r="H328" s="227"/>
      <c r="I328" s="227"/>
      <c r="J328" s="227"/>
      <c r="K328" s="227"/>
      <c r="L328" s="227"/>
    </row>
    <row r="329" ht="12.75" customHeight="1" outlineLevel="1">
      <c r="A329" s="89" t="s">
        <v>45</v>
      </c>
      <c r="B329" s="189"/>
      <c r="C329" s="184" t="s">
        <v>46</v>
      </c>
      <c r="E329" s="79"/>
      <c r="F329" s="917">
        <f>SUM(G331:G335)</f>
        <v>8413.12</v>
      </c>
      <c r="G329" s="220"/>
      <c r="H329" s="227"/>
      <c r="I329" s="227"/>
      <c r="J329" s="227"/>
      <c r="K329" s="227"/>
      <c r="L329" s="227"/>
    </row>
    <row r="330" ht="12.75" customHeight="1" outlineLevel="2">
      <c r="B330" s="189"/>
      <c r="E330" s="79"/>
      <c r="F330" s="220"/>
      <c r="G330" s="220"/>
      <c r="H330" s="227"/>
      <c r="I330" s="227"/>
      <c r="J330" s="227"/>
      <c r="K330" s="227"/>
      <c r="L330" s="227"/>
    </row>
    <row r="331" ht="12.75" customHeight="1" outlineLevel="2">
      <c r="A331" s="89" t="s">
        <v>47</v>
      </c>
      <c r="B331" s="198">
        <v>5.4</v>
      </c>
      <c r="C331" s="202" t="s">
        <v>48</v>
      </c>
      <c r="D331" s="203" t="s">
        <v>40</v>
      </c>
      <c r="E331" s="214">
        <v>152.25</v>
      </c>
      <c r="F331" s="205">
        <v>32.0</v>
      </c>
      <c r="G331" s="206">
        <f>E331*F331</f>
        <v>4872</v>
      </c>
      <c r="H331" s="219"/>
      <c r="I331" s="219"/>
      <c r="J331" s="240"/>
      <c r="K331" s="240"/>
      <c r="L331" s="240"/>
    </row>
    <row r="332" ht="12.75" customHeight="1" outlineLevel="2">
      <c r="B332" s="189"/>
      <c r="E332" s="79"/>
      <c r="F332" s="220"/>
      <c r="G332" s="220"/>
      <c r="H332" s="227"/>
      <c r="I332" s="227"/>
      <c r="J332" s="227"/>
      <c r="K332" s="227"/>
      <c r="L332" s="227"/>
    </row>
    <row r="333" ht="12.75" customHeight="1" outlineLevel="2">
      <c r="A333" s="89" t="s">
        <v>49</v>
      </c>
      <c r="B333" s="198">
        <v>5.5</v>
      </c>
      <c r="C333" s="202" t="s">
        <v>50</v>
      </c>
      <c r="D333" s="203" t="s">
        <v>40</v>
      </c>
      <c r="E333" s="214">
        <v>14.64</v>
      </c>
      <c r="F333" s="205">
        <v>32.0</v>
      </c>
      <c r="G333" s="206">
        <f>E333*F333</f>
        <v>468.48</v>
      </c>
      <c r="H333" s="219"/>
      <c r="I333" s="219"/>
      <c r="J333" s="240"/>
      <c r="K333" s="240"/>
      <c r="L333" s="240"/>
    </row>
    <row r="334" ht="12.75" customHeight="1" outlineLevel="2">
      <c r="B334" s="189"/>
      <c r="E334" s="79"/>
      <c r="F334" s="220"/>
      <c r="G334" s="220"/>
      <c r="H334" s="227"/>
      <c r="I334" s="227"/>
      <c r="J334" s="227"/>
      <c r="K334" s="227"/>
      <c r="L334" s="227"/>
    </row>
    <row r="335" ht="12.75" customHeight="1" outlineLevel="2">
      <c r="A335" s="89" t="s">
        <v>51</v>
      </c>
      <c r="B335" s="198">
        <v>5.6</v>
      </c>
      <c r="C335" s="202" t="s">
        <v>52</v>
      </c>
      <c r="D335" s="203" t="s">
        <v>40</v>
      </c>
      <c r="E335" s="214">
        <v>48.01</v>
      </c>
      <c r="F335" s="205">
        <v>64.0</v>
      </c>
      <c r="G335" s="206">
        <f>E335*F335</f>
        <v>3072.64</v>
      </c>
      <c r="H335" s="219"/>
      <c r="I335" s="219"/>
      <c r="J335" s="240"/>
      <c r="K335" s="240"/>
      <c r="L335" s="240"/>
    </row>
    <row r="336" ht="12.75" customHeight="1" outlineLevel="2">
      <c r="B336" s="189"/>
      <c r="E336" s="79"/>
      <c r="F336" s="220"/>
      <c r="G336" s="220"/>
      <c r="H336" s="227"/>
      <c r="I336" s="227"/>
      <c r="J336" s="227"/>
      <c r="K336" s="227"/>
      <c r="L336" s="227"/>
    </row>
    <row r="337" ht="12.75" customHeight="1" outlineLevel="1">
      <c r="A337" s="89" t="s">
        <v>53</v>
      </c>
      <c r="B337" s="189"/>
      <c r="C337" s="184" t="s">
        <v>5596</v>
      </c>
      <c r="E337" s="79"/>
      <c r="F337" s="917">
        <f>SUM(G339:G349)</f>
        <v>7236.3744</v>
      </c>
      <c r="G337" s="220"/>
      <c r="H337" s="227"/>
      <c r="I337" s="227"/>
      <c r="J337" s="227"/>
      <c r="K337" s="227"/>
      <c r="L337" s="227"/>
    </row>
    <row r="338" ht="12.75" customHeight="1" outlineLevel="2">
      <c r="B338" s="189"/>
      <c r="E338" s="79"/>
      <c r="F338" s="220"/>
      <c r="G338" s="220"/>
      <c r="H338" s="227"/>
      <c r="I338" s="227"/>
      <c r="J338" s="227"/>
      <c r="K338" s="227"/>
      <c r="L338" s="227"/>
    </row>
    <row r="339" ht="12.75" customHeight="1" outlineLevel="2">
      <c r="A339" s="89" t="s">
        <v>55</v>
      </c>
      <c r="B339" s="198">
        <v>5.7</v>
      </c>
      <c r="C339" s="202" t="s">
        <v>56</v>
      </c>
      <c r="D339" s="203" t="s">
        <v>40</v>
      </c>
      <c r="E339" s="214">
        <v>19.35</v>
      </c>
      <c r="F339" s="205">
        <v>52.0</v>
      </c>
      <c r="G339" s="206">
        <f>E339*F339</f>
        <v>1006.2</v>
      </c>
      <c r="H339" s="219"/>
      <c r="I339" s="219"/>
      <c r="J339" s="240"/>
      <c r="K339" s="240"/>
      <c r="L339" s="240"/>
    </row>
    <row r="340" ht="12.75" customHeight="1" outlineLevel="2">
      <c r="B340" s="189"/>
      <c r="E340" s="79"/>
      <c r="F340" s="220"/>
      <c r="G340" s="220"/>
      <c r="H340" s="227"/>
      <c r="I340" s="227"/>
      <c r="J340" s="227"/>
      <c r="K340" s="227"/>
      <c r="L340" s="227"/>
    </row>
    <row r="341" ht="12.75" customHeight="1" outlineLevel="2">
      <c r="A341" s="89" t="s">
        <v>57</v>
      </c>
      <c r="B341" s="198">
        <v>5.8</v>
      </c>
      <c r="C341" s="202" t="s">
        <v>58</v>
      </c>
      <c r="D341" s="203" t="s">
        <v>40</v>
      </c>
      <c r="E341" s="214">
        <v>37.64</v>
      </c>
      <c r="F341" s="205">
        <v>50.0</v>
      </c>
      <c r="G341" s="206">
        <f>E341*F341</f>
        <v>1882</v>
      </c>
      <c r="H341" s="219"/>
      <c r="I341" s="219"/>
      <c r="J341" s="240"/>
      <c r="K341" s="240"/>
      <c r="L341" s="240"/>
    </row>
    <row r="342" ht="12.75" customHeight="1" outlineLevel="2">
      <c r="B342" s="189"/>
      <c r="E342" s="79"/>
      <c r="F342" s="220"/>
      <c r="G342" s="220"/>
      <c r="H342" s="227"/>
      <c r="I342" s="227"/>
      <c r="J342" s="227"/>
      <c r="K342" s="227"/>
      <c r="L342" s="227"/>
    </row>
    <row r="343" ht="12.75" customHeight="1" outlineLevel="2">
      <c r="A343" s="89" t="s">
        <v>59</v>
      </c>
      <c r="B343" s="198">
        <v>5.9</v>
      </c>
      <c r="C343" s="202" t="s">
        <v>60</v>
      </c>
      <c r="D343" s="203" t="s">
        <v>40</v>
      </c>
      <c r="E343" s="214">
        <v>20.27</v>
      </c>
      <c r="F343" s="205">
        <v>51.0</v>
      </c>
      <c r="G343" s="206">
        <f>E343*F343</f>
        <v>1033.77</v>
      </c>
      <c r="H343" s="219"/>
      <c r="I343" s="219"/>
      <c r="J343" s="240"/>
      <c r="K343" s="240"/>
      <c r="L343" s="240"/>
    </row>
    <row r="344" ht="12.75" customHeight="1" outlineLevel="2">
      <c r="B344" s="189"/>
      <c r="E344" s="79"/>
      <c r="F344" s="220"/>
      <c r="G344" s="220"/>
      <c r="H344" s="227"/>
      <c r="I344" s="227"/>
      <c r="J344" s="227"/>
      <c r="K344" s="227"/>
      <c r="L344" s="227"/>
    </row>
    <row r="345" ht="12.75" customHeight="1" outlineLevel="2">
      <c r="A345" s="89" t="s">
        <v>61</v>
      </c>
      <c r="B345" s="198">
        <v>5.1</v>
      </c>
      <c r="C345" s="202" t="s">
        <v>62</v>
      </c>
      <c r="D345" s="203" t="s">
        <v>40</v>
      </c>
      <c r="E345" s="214">
        <v>10.99</v>
      </c>
      <c r="F345" s="205">
        <v>51.0</v>
      </c>
      <c r="G345" s="206">
        <f>E345*F345</f>
        <v>560.49</v>
      </c>
      <c r="H345" s="219"/>
      <c r="I345" s="219"/>
      <c r="J345" s="240"/>
      <c r="K345" s="240"/>
      <c r="L345" s="240"/>
    </row>
    <row r="346" ht="12.75" customHeight="1" outlineLevel="2">
      <c r="B346" s="189"/>
      <c r="E346" s="79"/>
      <c r="F346" s="220"/>
      <c r="G346" s="220"/>
      <c r="H346" s="227"/>
      <c r="I346" s="227"/>
      <c r="J346" s="227"/>
      <c r="K346" s="227"/>
      <c r="L346" s="227"/>
    </row>
    <row r="347" ht="12.75" customHeight="1" outlineLevel="2">
      <c r="A347" s="89" t="s">
        <v>63</v>
      </c>
      <c r="B347" s="198">
        <v>5.11</v>
      </c>
      <c r="C347" s="202" t="s">
        <v>64</v>
      </c>
      <c r="D347" s="203" t="s">
        <v>40</v>
      </c>
      <c r="E347" s="214">
        <v>17.94</v>
      </c>
      <c r="F347" s="205">
        <v>52.76</v>
      </c>
      <c r="G347" s="206">
        <f>E347*F347</f>
        <v>946.5144</v>
      </c>
      <c r="H347" s="219"/>
      <c r="I347" s="219"/>
      <c r="J347" s="240"/>
      <c r="K347" s="240"/>
      <c r="L347" s="240"/>
    </row>
    <row r="348" ht="12.75" customHeight="1" outlineLevel="2">
      <c r="B348" s="189"/>
      <c r="E348" s="79"/>
      <c r="F348" s="220"/>
      <c r="G348" s="220"/>
      <c r="H348" s="227"/>
      <c r="I348" s="227"/>
      <c r="J348" s="227"/>
      <c r="K348" s="227"/>
      <c r="L348" s="227"/>
    </row>
    <row r="349" ht="12.75" customHeight="1" outlineLevel="2">
      <c r="A349" s="89" t="s">
        <v>65</v>
      </c>
      <c r="B349" s="198">
        <v>5.12</v>
      </c>
      <c r="C349" s="202" t="s">
        <v>66</v>
      </c>
      <c r="D349" s="203" t="s">
        <v>40</v>
      </c>
      <c r="E349" s="214">
        <v>12.91</v>
      </c>
      <c r="F349" s="205">
        <v>140.0</v>
      </c>
      <c r="G349" s="206">
        <f>E349*F349</f>
        <v>1807.4</v>
      </c>
      <c r="H349" s="219"/>
      <c r="I349" s="219"/>
      <c r="J349" s="240"/>
      <c r="K349" s="240"/>
      <c r="L349" s="240"/>
    </row>
    <row r="350" ht="12.75" customHeight="1" outlineLevel="2">
      <c r="A350" s="89"/>
      <c r="B350" s="230"/>
      <c r="C350" s="246"/>
      <c r="D350" s="130"/>
      <c r="E350" s="170"/>
      <c r="F350" s="239"/>
      <c r="G350" s="239"/>
      <c r="H350" s="240"/>
      <c r="I350" s="240"/>
      <c r="J350" s="240"/>
      <c r="K350" s="240"/>
      <c r="L350" s="240"/>
    </row>
    <row r="351" ht="12.75" customHeight="1" outlineLevel="1">
      <c r="A351" s="89" t="s">
        <v>69</v>
      </c>
      <c r="B351" s="189"/>
      <c r="C351" s="184" t="s">
        <v>70</v>
      </c>
      <c r="E351" s="79"/>
      <c r="F351" s="917">
        <f>SUM(G355:G366)</f>
        <v>3800</v>
      </c>
      <c r="G351" s="191"/>
      <c r="H351" s="240"/>
      <c r="I351" s="240"/>
      <c r="J351" s="240"/>
      <c r="K351" s="240"/>
      <c r="L351" s="240"/>
    </row>
    <row r="352" ht="12.75" customHeight="1" outlineLevel="2">
      <c r="B352" s="189"/>
      <c r="E352" s="79"/>
      <c r="F352" s="191"/>
      <c r="G352" s="191"/>
      <c r="H352" s="240"/>
      <c r="I352" s="240"/>
      <c r="J352" s="240"/>
      <c r="K352" s="240"/>
      <c r="L352" s="240"/>
    </row>
    <row r="353" ht="12.75" customHeight="1" outlineLevel="2">
      <c r="A353" s="89" t="s">
        <v>71</v>
      </c>
      <c r="B353" s="248">
        <v>5.13</v>
      </c>
      <c r="C353" s="245" t="s">
        <v>72</v>
      </c>
      <c r="E353" s="79"/>
      <c r="F353" s="191"/>
      <c r="G353" s="191"/>
      <c r="H353" s="240"/>
      <c r="I353" s="240"/>
      <c r="J353" s="240"/>
      <c r="K353" s="240"/>
      <c r="L353" s="240"/>
    </row>
    <row r="354" ht="12.75" customHeight="1" outlineLevel="2">
      <c r="B354" s="189"/>
      <c r="E354" s="79"/>
      <c r="F354" s="191"/>
      <c r="G354" s="191"/>
      <c r="H354" s="240"/>
      <c r="I354" s="240"/>
      <c r="J354" s="240"/>
      <c r="K354" s="240"/>
      <c r="L354" s="240"/>
    </row>
    <row r="355" ht="12.75" customHeight="1" outlineLevel="2">
      <c r="A355" s="89" t="s">
        <v>73</v>
      </c>
      <c r="B355" s="198" t="s">
        <v>2181</v>
      </c>
      <c r="C355" s="202" t="s">
        <v>74</v>
      </c>
      <c r="D355" s="203" t="s">
        <v>75</v>
      </c>
      <c r="E355" s="214">
        <v>1.0</v>
      </c>
      <c r="F355" s="205">
        <v>200.0</v>
      </c>
      <c r="G355" s="206">
        <f t="shared" ref="G355:G358" si="23">E355*F355</f>
        <v>200</v>
      </c>
      <c r="H355" s="240"/>
      <c r="I355" s="240"/>
      <c r="J355" s="240"/>
      <c r="K355" s="240"/>
      <c r="L355" s="240"/>
    </row>
    <row r="356" ht="12.75" customHeight="1" outlineLevel="2">
      <c r="A356" s="89" t="s">
        <v>76</v>
      </c>
      <c r="B356" s="198" t="s">
        <v>2183</v>
      </c>
      <c r="C356" s="202" t="s">
        <v>77</v>
      </c>
      <c r="D356" s="203" t="s">
        <v>75</v>
      </c>
      <c r="E356" s="214">
        <v>1.0</v>
      </c>
      <c r="F356" s="205">
        <v>700.0</v>
      </c>
      <c r="G356" s="206">
        <f t="shared" si="23"/>
        <v>700</v>
      </c>
      <c r="H356" s="240"/>
      <c r="I356" s="240"/>
      <c r="J356" s="240"/>
      <c r="K356" s="240"/>
      <c r="L356" s="240"/>
    </row>
    <row r="357" ht="12.75" customHeight="1" outlineLevel="2">
      <c r="A357" s="89" t="s">
        <v>78</v>
      </c>
      <c r="B357" s="198" t="s">
        <v>2185</v>
      </c>
      <c r="C357" s="202" t="s">
        <v>79</v>
      </c>
      <c r="D357" s="203" t="s">
        <v>75</v>
      </c>
      <c r="E357" s="214">
        <v>1.0</v>
      </c>
      <c r="F357" s="205">
        <v>690.0</v>
      </c>
      <c r="G357" s="206">
        <f t="shared" si="23"/>
        <v>690</v>
      </c>
      <c r="H357" s="240"/>
      <c r="I357" s="240"/>
      <c r="J357" s="240"/>
      <c r="K357" s="240"/>
      <c r="L357" s="240"/>
    </row>
    <row r="358" ht="12.75" customHeight="1" outlineLevel="2">
      <c r="A358" s="89" t="s">
        <v>80</v>
      </c>
      <c r="B358" s="198" t="s">
        <v>2187</v>
      </c>
      <c r="C358" s="202" t="s">
        <v>81</v>
      </c>
      <c r="D358" s="203" t="s">
        <v>75</v>
      </c>
      <c r="E358" s="214">
        <v>1.0</v>
      </c>
      <c r="F358" s="205">
        <v>430.0</v>
      </c>
      <c r="G358" s="206">
        <f t="shared" si="23"/>
        <v>430</v>
      </c>
      <c r="H358" s="240"/>
      <c r="I358" s="240"/>
      <c r="J358" s="240"/>
      <c r="K358" s="240"/>
      <c r="L358" s="240"/>
    </row>
    <row r="359" ht="12.75" customHeight="1" outlineLevel="2">
      <c r="B359" s="189"/>
      <c r="E359" s="79"/>
      <c r="F359" s="241"/>
      <c r="G359" s="191"/>
      <c r="H359" s="240"/>
      <c r="I359" s="240"/>
      <c r="J359" s="240"/>
      <c r="K359" s="240"/>
      <c r="L359" s="240"/>
    </row>
    <row r="360" ht="12.75" customHeight="1" outlineLevel="2">
      <c r="A360" s="89" t="s">
        <v>82</v>
      </c>
      <c r="B360" s="248">
        <v>5.14</v>
      </c>
      <c r="C360" s="245" t="s">
        <v>83</v>
      </c>
      <c r="E360" s="79"/>
      <c r="F360" s="241"/>
      <c r="G360" s="191"/>
      <c r="H360" s="240"/>
      <c r="I360" s="240"/>
      <c r="J360" s="240"/>
      <c r="K360" s="240"/>
      <c r="L360" s="240"/>
    </row>
    <row r="361" ht="12.75" customHeight="1" outlineLevel="2">
      <c r="B361" s="189"/>
      <c r="E361" s="79"/>
      <c r="F361" s="241"/>
      <c r="G361" s="191"/>
      <c r="H361" s="240"/>
      <c r="I361" s="240"/>
      <c r="J361" s="240"/>
      <c r="K361" s="240"/>
      <c r="L361" s="240"/>
    </row>
    <row r="362" ht="12.75" customHeight="1" outlineLevel="2">
      <c r="A362" s="89" t="s">
        <v>84</v>
      </c>
      <c r="B362" s="198" t="s">
        <v>2190</v>
      </c>
      <c r="C362" s="202" t="s">
        <v>85</v>
      </c>
      <c r="D362" s="203" t="s">
        <v>75</v>
      </c>
      <c r="E362" s="214">
        <v>1.0</v>
      </c>
      <c r="F362" s="205">
        <v>70.0</v>
      </c>
      <c r="G362" s="206">
        <f t="shared" ref="G362:G366" si="24">E362*F362</f>
        <v>70</v>
      </c>
      <c r="H362" s="240"/>
      <c r="I362" s="240"/>
      <c r="J362" s="240"/>
      <c r="K362" s="240"/>
      <c r="L362" s="240"/>
    </row>
    <row r="363" ht="12.75" customHeight="1" outlineLevel="2">
      <c r="A363" s="89" t="s">
        <v>86</v>
      </c>
      <c r="B363" s="198" t="s">
        <v>2192</v>
      </c>
      <c r="C363" s="202" t="s">
        <v>87</v>
      </c>
      <c r="D363" s="203" t="s">
        <v>75</v>
      </c>
      <c r="E363" s="214">
        <v>1.0</v>
      </c>
      <c r="F363" s="205">
        <v>600.0</v>
      </c>
      <c r="G363" s="206">
        <f t="shared" si="24"/>
        <v>600</v>
      </c>
      <c r="H363" s="240"/>
      <c r="I363" s="240"/>
      <c r="J363" s="240"/>
      <c r="K363" s="240"/>
      <c r="L363" s="240"/>
    </row>
    <row r="364" ht="12.75" customHeight="1" outlineLevel="2">
      <c r="A364" s="89" t="s">
        <v>88</v>
      </c>
      <c r="B364" s="198" t="s">
        <v>2194</v>
      </c>
      <c r="C364" s="202" t="s">
        <v>89</v>
      </c>
      <c r="D364" s="203" t="s">
        <v>75</v>
      </c>
      <c r="E364" s="214">
        <v>1.0</v>
      </c>
      <c r="F364" s="205">
        <v>720.0</v>
      </c>
      <c r="G364" s="206">
        <f t="shared" si="24"/>
        <v>720</v>
      </c>
      <c r="H364" s="240"/>
      <c r="I364" s="240"/>
      <c r="J364" s="240"/>
      <c r="K364" s="240"/>
      <c r="L364" s="240"/>
    </row>
    <row r="365" ht="12.75" customHeight="1" outlineLevel="2">
      <c r="A365" s="89" t="s">
        <v>90</v>
      </c>
      <c r="B365" s="198" t="s">
        <v>2196</v>
      </c>
      <c r="C365" s="202" t="s">
        <v>91</v>
      </c>
      <c r="D365" s="203" t="s">
        <v>75</v>
      </c>
      <c r="E365" s="214">
        <v>1.0</v>
      </c>
      <c r="F365" s="205">
        <v>210.0</v>
      </c>
      <c r="G365" s="206">
        <f t="shared" si="24"/>
        <v>210</v>
      </c>
      <c r="H365" s="240"/>
      <c r="I365" s="240"/>
      <c r="J365" s="240"/>
      <c r="K365" s="240"/>
      <c r="L365" s="240"/>
    </row>
    <row r="366" ht="12.75" customHeight="1" outlineLevel="2">
      <c r="A366" s="89" t="s">
        <v>92</v>
      </c>
      <c r="B366" s="198" t="s">
        <v>2198</v>
      </c>
      <c r="C366" s="202" t="s">
        <v>93</v>
      </c>
      <c r="D366" s="203" t="s">
        <v>75</v>
      </c>
      <c r="E366" s="214">
        <v>1.0</v>
      </c>
      <c r="F366" s="205">
        <v>180.0</v>
      </c>
      <c r="G366" s="206">
        <f t="shared" si="24"/>
        <v>180</v>
      </c>
      <c r="H366" s="240"/>
      <c r="I366" s="240"/>
      <c r="J366" s="240"/>
      <c r="K366" s="240"/>
      <c r="L366" s="240"/>
    </row>
    <row r="367" ht="12.75" customHeight="1" outlineLevel="2">
      <c r="A367" s="89"/>
      <c r="B367" s="230"/>
      <c r="C367" s="246"/>
      <c r="D367" s="130"/>
      <c r="E367" s="170"/>
      <c r="F367" s="239"/>
      <c r="G367" s="239"/>
      <c r="H367" s="240"/>
      <c r="I367" s="240"/>
      <c r="J367" s="240"/>
      <c r="K367" s="240"/>
      <c r="L367" s="240"/>
    </row>
    <row r="368" ht="12.75" customHeight="1" outlineLevel="2">
      <c r="B368" s="189"/>
      <c r="F368" s="191"/>
      <c r="G368" s="191"/>
      <c r="K368" s="21"/>
      <c r="L368" s="21"/>
    </row>
    <row r="369" ht="12.75" customHeight="1" outlineLevel="1">
      <c r="A369" s="167"/>
      <c r="B369" s="167"/>
      <c r="C369" s="252"/>
      <c r="D369" s="171"/>
      <c r="E369" s="170"/>
      <c r="F369" s="239"/>
      <c r="G369" s="253"/>
      <c r="H369" s="169"/>
      <c r="I369" s="169"/>
      <c r="J369" s="169"/>
      <c r="K369" s="169"/>
      <c r="L369" s="169"/>
    </row>
    <row r="370" ht="12.75" customHeight="1">
      <c r="A370" s="192"/>
      <c r="B370" s="83">
        <v>6.0</v>
      </c>
      <c r="C370" s="184" t="s">
        <v>137</v>
      </c>
      <c r="D370" s="193"/>
      <c r="E370" s="194"/>
      <c r="F370" s="195"/>
      <c r="G370" s="196">
        <f>SUM(G374:G380)</f>
        <v>55010.63</v>
      </c>
      <c r="H370" s="197">
        <f>G370-'Orcamento RU'!C114</f>
        <v>-5023.11</v>
      </c>
      <c r="I370" s="197">
        <f>H370-'Orcamento RU'!D114</f>
        <v>-5023.11</v>
      </c>
      <c r="J370" s="919"/>
      <c r="K370" s="169"/>
      <c r="L370" s="169"/>
    </row>
    <row r="371" ht="12.75" customHeight="1" outlineLevel="1">
      <c r="A371" s="89"/>
      <c r="B371" s="230"/>
      <c r="C371" s="246"/>
      <c r="D371" s="130"/>
      <c r="E371" s="170"/>
      <c r="F371" s="239"/>
      <c r="G371" s="239"/>
      <c r="H371" s="240"/>
      <c r="I371" s="240"/>
      <c r="J371" s="240"/>
      <c r="K371" s="240"/>
      <c r="L371" s="240"/>
    </row>
    <row r="372" ht="12.75" customHeight="1" outlineLevel="1">
      <c r="A372" s="89"/>
      <c r="B372" s="230"/>
      <c r="C372" s="184" t="s">
        <v>137</v>
      </c>
      <c r="D372" s="130"/>
      <c r="E372" s="170"/>
      <c r="F372" s="586">
        <f>SUM(G374:G380)</f>
        <v>55010.63</v>
      </c>
      <c r="K372" s="436">
        <v>35000.0</v>
      </c>
      <c r="L372" s="240">
        <f>F372-K372</f>
        <v>20010.63</v>
      </c>
    </row>
    <row r="373" ht="12.75" customHeight="1" outlineLevel="2">
      <c r="A373" s="89"/>
      <c r="B373" s="230"/>
      <c r="C373" s="246"/>
      <c r="D373" s="130"/>
      <c r="E373" s="170"/>
      <c r="F373" s="239"/>
      <c r="G373" s="239"/>
      <c r="H373" s="240"/>
      <c r="I373" s="240"/>
      <c r="J373" s="240"/>
      <c r="K373" s="240"/>
      <c r="L373" s="240"/>
    </row>
    <row r="374" ht="12.75" customHeight="1" outlineLevel="2">
      <c r="A374" s="254" t="s">
        <v>138</v>
      </c>
      <c r="B374" s="255">
        <v>6.1</v>
      </c>
      <c r="C374" s="256" t="s">
        <v>139</v>
      </c>
      <c r="D374" s="257" t="s">
        <v>40</v>
      </c>
      <c r="E374" s="258">
        <v>181.91</v>
      </c>
      <c r="F374" s="259">
        <v>275.0</v>
      </c>
      <c r="G374" s="260">
        <f>E374*F374</f>
        <v>50025.25</v>
      </c>
      <c r="H374" s="261"/>
      <c r="I374" s="261"/>
      <c r="J374" s="266"/>
      <c r="K374" s="240"/>
      <c r="L374" s="240"/>
    </row>
    <row r="375" ht="12.75" customHeight="1" outlineLevel="2">
      <c r="B375" s="189"/>
      <c r="E375" s="79"/>
      <c r="F375" s="191"/>
      <c r="G375" s="191"/>
      <c r="H375" s="240"/>
      <c r="I375" s="240"/>
      <c r="J375" s="240"/>
      <c r="K375" s="240"/>
      <c r="L375" s="240"/>
    </row>
    <row r="376" ht="12.75" customHeight="1" outlineLevel="2">
      <c r="A376" s="89" t="s">
        <v>140</v>
      </c>
      <c r="B376" s="198">
        <v>6.2</v>
      </c>
      <c r="C376" s="202" t="s">
        <v>141</v>
      </c>
      <c r="D376" s="203" t="s">
        <v>40</v>
      </c>
      <c r="E376" s="214">
        <v>37.14</v>
      </c>
      <c r="F376" s="205">
        <v>31.0</v>
      </c>
      <c r="G376" s="206">
        <f>E376*F376</f>
        <v>1151.34</v>
      </c>
      <c r="H376" s="219"/>
      <c r="I376" s="219"/>
      <c r="J376" s="240"/>
      <c r="K376" s="240"/>
      <c r="L376" s="240"/>
    </row>
    <row r="377" ht="12.75" customHeight="1" outlineLevel="2">
      <c r="B377" s="189"/>
      <c r="E377" s="79"/>
      <c r="F377" s="191"/>
      <c r="G377" s="191"/>
      <c r="H377" s="240"/>
      <c r="I377" s="240"/>
      <c r="J377" s="240"/>
      <c r="K377" s="240"/>
      <c r="L377" s="240"/>
    </row>
    <row r="378" ht="12.75" customHeight="1" outlineLevel="2">
      <c r="A378" s="254" t="s">
        <v>142</v>
      </c>
      <c r="B378" s="255">
        <v>6.3</v>
      </c>
      <c r="C378" s="256" t="s">
        <v>143</v>
      </c>
      <c r="D378" s="257" t="s">
        <v>40</v>
      </c>
      <c r="E378" s="258">
        <v>15.09</v>
      </c>
      <c r="F378" s="259">
        <v>156.0</v>
      </c>
      <c r="G378" s="260">
        <f>E378*F378</f>
        <v>2354.04</v>
      </c>
      <c r="H378" s="261"/>
      <c r="I378" s="261"/>
      <c r="J378" s="266"/>
      <c r="K378" s="240"/>
      <c r="L378" s="240"/>
    </row>
    <row r="379" ht="12.75" customHeight="1" outlineLevel="2">
      <c r="B379" s="189"/>
      <c r="E379" s="79"/>
      <c r="F379" s="191"/>
      <c r="G379" s="191"/>
      <c r="H379" s="240"/>
      <c r="I379" s="240"/>
      <c r="J379" s="240"/>
      <c r="K379" s="240"/>
      <c r="L379" s="240"/>
    </row>
    <row r="380" ht="12.75" customHeight="1" outlineLevel="2">
      <c r="A380" s="89" t="s">
        <v>144</v>
      </c>
      <c r="B380" s="198">
        <v>6.4</v>
      </c>
      <c r="C380" s="202" t="s">
        <v>145</v>
      </c>
      <c r="D380" s="203" t="s">
        <v>75</v>
      </c>
      <c r="E380" s="214">
        <v>2.0</v>
      </c>
      <c r="F380" s="205">
        <v>740.0</v>
      </c>
      <c r="G380" s="206">
        <f>E380*F380</f>
        <v>1480</v>
      </c>
      <c r="H380" s="219"/>
      <c r="I380" s="219"/>
      <c r="J380" s="240"/>
      <c r="K380" s="240"/>
      <c r="L380" s="240"/>
    </row>
    <row r="381" ht="12.75" customHeight="1" outlineLevel="1">
      <c r="A381" s="89"/>
      <c r="B381" s="230"/>
      <c r="C381" s="246"/>
      <c r="D381" s="130"/>
      <c r="E381" s="170"/>
      <c r="F381" s="239"/>
      <c r="G381" s="239"/>
      <c r="H381" s="240"/>
      <c r="I381" s="240"/>
      <c r="J381" s="240"/>
      <c r="K381" s="240"/>
      <c r="L381" s="240"/>
    </row>
    <row r="382" ht="12.75" customHeight="1">
      <c r="A382" s="192"/>
      <c r="B382" s="83">
        <v>7.0</v>
      </c>
      <c r="C382" s="184" t="s">
        <v>146</v>
      </c>
      <c r="D382" s="193"/>
      <c r="E382" s="194"/>
      <c r="F382" s="195"/>
      <c r="G382" s="196">
        <f>SUM(G386:G398)</f>
        <v>16547.615</v>
      </c>
      <c r="H382" s="197">
        <f>G382-Resumo!J30</f>
        <v>1090.745</v>
      </c>
      <c r="I382" s="197">
        <f>H382-Resumo!K30</f>
        <v>1090.745</v>
      </c>
      <c r="J382" s="919"/>
      <c r="K382" s="169"/>
      <c r="L382" s="169"/>
    </row>
    <row r="383" ht="12.75" customHeight="1" outlineLevel="1">
      <c r="A383" s="89"/>
      <c r="B383" s="230"/>
      <c r="C383" s="246"/>
      <c r="D383" s="130"/>
      <c r="E383" s="170"/>
      <c r="F383" s="239"/>
      <c r="G383" s="239"/>
      <c r="H383" s="240"/>
      <c r="I383" s="240"/>
      <c r="J383" s="240"/>
      <c r="K383" s="240"/>
      <c r="L383" s="240"/>
    </row>
    <row r="384" ht="12.75" customHeight="1" outlineLevel="1">
      <c r="A384" s="89" t="s">
        <v>147</v>
      </c>
      <c r="B384" s="189"/>
      <c r="C384" s="184" t="s">
        <v>148</v>
      </c>
      <c r="E384" s="79"/>
      <c r="F384" s="586">
        <f>SUM(G386)</f>
        <v>595.84</v>
      </c>
      <c r="K384" s="436">
        <v>5000.0</v>
      </c>
      <c r="L384" s="240">
        <f>F384-K384</f>
        <v>-4404.16</v>
      </c>
    </row>
    <row r="385" ht="12.75" customHeight="1" outlineLevel="2">
      <c r="B385" s="189"/>
      <c r="E385" s="79"/>
      <c r="F385" s="191"/>
      <c r="G385" s="191"/>
      <c r="H385" s="240"/>
      <c r="I385" s="240"/>
      <c r="J385" s="240"/>
      <c r="K385" s="240"/>
      <c r="L385" s="240"/>
    </row>
    <row r="386" ht="12.75" customHeight="1" outlineLevel="2">
      <c r="A386" s="89" t="s">
        <v>149</v>
      </c>
      <c r="B386" s="198">
        <v>7.1</v>
      </c>
      <c r="C386" s="202" t="s">
        <v>150</v>
      </c>
      <c r="D386" s="203" t="s">
        <v>40</v>
      </c>
      <c r="E386" s="214">
        <v>42.56</v>
      </c>
      <c r="F386" s="205">
        <v>14.0</v>
      </c>
      <c r="G386" s="206">
        <f>E386*F386</f>
        <v>595.84</v>
      </c>
      <c r="H386" s="219"/>
      <c r="I386" s="219"/>
      <c r="J386" s="240"/>
      <c r="K386" s="240"/>
      <c r="L386" s="240"/>
    </row>
    <row r="387" ht="12.75" customHeight="1" outlineLevel="2">
      <c r="B387" s="189"/>
      <c r="E387" s="79"/>
      <c r="F387" s="191"/>
      <c r="G387" s="191"/>
      <c r="H387" s="240"/>
      <c r="I387" s="240"/>
      <c r="J387" s="240"/>
      <c r="K387" s="240"/>
      <c r="L387" s="240"/>
    </row>
    <row r="388" ht="12.75" customHeight="1" outlineLevel="1">
      <c r="A388" s="89" t="s">
        <v>151</v>
      </c>
      <c r="B388" s="189"/>
      <c r="C388" s="184" t="s">
        <v>152</v>
      </c>
      <c r="E388" s="79"/>
      <c r="F388" s="917">
        <f>SUM(G390:G398)</f>
        <v>15951.775</v>
      </c>
      <c r="G388" s="191"/>
      <c r="H388" s="240"/>
      <c r="I388" s="240"/>
      <c r="J388" s="240"/>
      <c r="K388" s="240"/>
      <c r="L388" s="240"/>
    </row>
    <row r="389" ht="12.75" customHeight="1" outlineLevel="2">
      <c r="B389" s="189"/>
      <c r="E389" s="79"/>
      <c r="F389" s="191"/>
      <c r="G389" s="191"/>
      <c r="H389" s="240"/>
      <c r="I389" s="240"/>
      <c r="J389" s="240"/>
      <c r="K389" s="240"/>
      <c r="L389" s="240"/>
    </row>
    <row r="390" ht="12.75" customHeight="1" outlineLevel="2">
      <c r="A390" s="89" t="s">
        <v>153</v>
      </c>
      <c r="B390" s="198">
        <v>7.2</v>
      </c>
      <c r="C390" s="202" t="s">
        <v>154</v>
      </c>
      <c r="D390" s="203" t="s">
        <v>40</v>
      </c>
      <c r="E390" s="214">
        <v>331.34</v>
      </c>
      <c r="F390" s="205">
        <v>14.0</v>
      </c>
      <c r="G390" s="206">
        <f>E390*F390</f>
        <v>4638.76</v>
      </c>
      <c r="H390" s="219"/>
      <c r="I390" s="219"/>
      <c r="J390" s="240"/>
      <c r="K390" s="240"/>
      <c r="L390" s="240"/>
    </row>
    <row r="391" ht="12.75" customHeight="1" outlineLevel="2">
      <c r="B391" s="189"/>
      <c r="E391" s="79"/>
      <c r="F391" s="191"/>
      <c r="G391" s="191"/>
      <c r="H391" s="240"/>
      <c r="I391" s="240"/>
      <c r="J391" s="240"/>
      <c r="K391" s="240"/>
      <c r="L391" s="240"/>
    </row>
    <row r="392" ht="12.75" customHeight="1" outlineLevel="2">
      <c r="A392" s="89" t="s">
        <v>155</v>
      </c>
      <c r="B392" s="198">
        <v>7.3</v>
      </c>
      <c r="C392" s="202" t="s">
        <v>156</v>
      </c>
      <c r="D392" s="203" t="s">
        <v>40</v>
      </c>
      <c r="E392" s="214">
        <v>170.41</v>
      </c>
      <c r="F392" s="205">
        <v>32.5</v>
      </c>
      <c r="G392" s="206">
        <f>E392*F392</f>
        <v>5538.325</v>
      </c>
      <c r="H392" s="219" t="s">
        <v>5598</v>
      </c>
      <c r="I392" s="219" t="s">
        <v>5598</v>
      </c>
      <c r="J392" s="240"/>
      <c r="K392" s="240"/>
      <c r="L392" s="240"/>
    </row>
    <row r="393" ht="12.75" customHeight="1" outlineLevel="2">
      <c r="B393" s="189"/>
      <c r="E393" s="79"/>
      <c r="F393" s="191"/>
      <c r="G393" s="191"/>
      <c r="H393" s="240"/>
      <c r="I393" s="240"/>
      <c r="J393" s="240"/>
      <c r="K393" s="240"/>
      <c r="L393" s="240"/>
    </row>
    <row r="394" ht="12.75" customHeight="1" outlineLevel="2">
      <c r="A394" s="89" t="s">
        <v>157</v>
      </c>
      <c r="B394" s="198">
        <v>7.4</v>
      </c>
      <c r="C394" s="202" t="s">
        <v>158</v>
      </c>
      <c r="D394" s="203" t="s">
        <v>40</v>
      </c>
      <c r="E394" s="214">
        <v>59.45</v>
      </c>
      <c r="F394" s="205">
        <v>37.0</v>
      </c>
      <c r="G394" s="206">
        <f>E394*F394</f>
        <v>2199.65</v>
      </c>
      <c r="H394" s="219"/>
      <c r="I394" s="219"/>
      <c r="J394" s="240"/>
      <c r="K394" s="240"/>
      <c r="L394" s="240"/>
    </row>
    <row r="395" ht="12.75" customHeight="1" outlineLevel="2">
      <c r="B395" s="189"/>
      <c r="E395" s="79"/>
      <c r="F395" s="191"/>
      <c r="G395" s="191"/>
      <c r="H395" s="240"/>
      <c r="I395" s="240"/>
      <c r="J395" s="240"/>
      <c r="K395" s="240"/>
      <c r="L395" s="240"/>
    </row>
    <row r="396" ht="12.75" customHeight="1" outlineLevel="2">
      <c r="A396" s="89" t="s">
        <v>159</v>
      </c>
      <c r="B396" s="198">
        <v>7.5</v>
      </c>
      <c r="C396" s="202" t="s">
        <v>160</v>
      </c>
      <c r="D396" s="203" t="s">
        <v>161</v>
      </c>
      <c r="E396" s="214">
        <v>11.9</v>
      </c>
      <c r="F396" s="205">
        <v>30.0</v>
      </c>
      <c r="G396" s="206">
        <f>E396*F396</f>
        <v>357</v>
      </c>
      <c r="H396" s="219"/>
      <c r="I396" s="219"/>
      <c r="J396" s="240"/>
      <c r="K396" s="240"/>
      <c r="L396" s="240"/>
    </row>
    <row r="397" ht="12.75" customHeight="1" outlineLevel="2">
      <c r="B397" s="189"/>
      <c r="E397" s="79"/>
      <c r="F397" s="191"/>
      <c r="G397" s="191"/>
      <c r="H397" s="240"/>
      <c r="I397" s="240"/>
      <c r="J397" s="240"/>
      <c r="K397" s="240"/>
      <c r="L397" s="240"/>
    </row>
    <row r="398" ht="12.75" customHeight="1" outlineLevel="2">
      <c r="A398" s="89" t="s">
        <v>162</v>
      </c>
      <c r="B398" s="198">
        <v>7.6</v>
      </c>
      <c r="C398" s="202" t="s">
        <v>163</v>
      </c>
      <c r="D398" s="203" t="s">
        <v>40</v>
      </c>
      <c r="E398" s="214">
        <v>229.86</v>
      </c>
      <c r="F398" s="205">
        <v>14.0</v>
      </c>
      <c r="G398" s="206">
        <f>E398*F398</f>
        <v>3218.04</v>
      </c>
      <c r="H398" s="219"/>
      <c r="I398" s="219"/>
      <c r="J398" s="240"/>
      <c r="K398" s="240"/>
      <c r="L398" s="240"/>
    </row>
    <row r="399" ht="12.75" customHeight="1" outlineLevel="2">
      <c r="A399" s="89"/>
      <c r="B399" s="230"/>
      <c r="C399" s="246"/>
      <c r="D399" s="130"/>
      <c r="E399" s="170"/>
      <c r="F399" s="239"/>
      <c r="G399" s="239"/>
      <c r="H399" s="240"/>
      <c r="I399" s="240"/>
      <c r="J399" s="240"/>
      <c r="K399" s="240"/>
      <c r="L399" s="240"/>
    </row>
    <row r="400" ht="12.75" customHeight="1" outlineLevel="1">
      <c r="A400" s="89"/>
      <c r="B400" s="230"/>
      <c r="C400" s="246"/>
      <c r="D400" s="130"/>
      <c r="E400" s="170"/>
      <c r="F400" s="239"/>
      <c r="G400" s="239"/>
      <c r="H400" s="240"/>
      <c r="I400" s="240"/>
      <c r="J400" s="240"/>
      <c r="K400" s="240"/>
      <c r="L400" s="240"/>
    </row>
    <row r="401" ht="12.75" customHeight="1">
      <c r="A401" s="192"/>
      <c r="B401" s="83">
        <v>8.0</v>
      </c>
      <c r="C401" s="184" t="s">
        <v>165</v>
      </c>
      <c r="D401" s="193"/>
      <c r="E401" s="194"/>
      <c r="F401" s="195"/>
      <c r="G401" s="196">
        <f>SUM(G405:G431)</f>
        <v>82409.94</v>
      </c>
      <c r="H401" s="197">
        <f>G401-'Orcamento RU'!C142</f>
        <v>-8315.38</v>
      </c>
      <c r="I401" s="197">
        <f>H401-'Orcamento RU'!D142</f>
        <v>-8315.38</v>
      </c>
      <c r="J401" s="919"/>
      <c r="K401" s="169"/>
      <c r="L401" s="169"/>
    </row>
    <row r="402" ht="12.75" customHeight="1" outlineLevel="1">
      <c r="A402" s="89"/>
      <c r="B402" s="262"/>
      <c r="C402" s="246"/>
      <c r="D402" s="130"/>
      <c r="E402" s="170"/>
      <c r="F402" s="239"/>
      <c r="G402" s="239"/>
      <c r="H402" s="240"/>
      <c r="I402" s="240"/>
      <c r="J402" s="240"/>
      <c r="K402" s="240"/>
      <c r="L402" s="240"/>
    </row>
    <row r="403" ht="12.75" customHeight="1" outlineLevel="1">
      <c r="A403" s="89" t="s">
        <v>166</v>
      </c>
      <c r="B403" s="263"/>
      <c r="C403" s="184" t="s">
        <v>167</v>
      </c>
      <c r="E403" s="79"/>
      <c r="F403" s="586">
        <f>SUM(G405:G415)</f>
        <v>51752.84</v>
      </c>
      <c r="K403" s="436">
        <v>35000.0</v>
      </c>
      <c r="L403" s="240">
        <f>F403-K403</f>
        <v>16752.84</v>
      </c>
    </row>
    <row r="404" ht="12.75" customHeight="1" outlineLevel="2">
      <c r="B404" s="263"/>
      <c r="E404" s="79"/>
      <c r="F404" s="191"/>
      <c r="G404" s="191"/>
      <c r="H404" s="240"/>
      <c r="I404" s="240"/>
      <c r="J404" s="240"/>
      <c r="K404" s="240"/>
      <c r="L404" s="240"/>
    </row>
    <row r="405" ht="12.75" customHeight="1" outlineLevel="2">
      <c r="A405" s="89" t="s">
        <v>168</v>
      </c>
      <c r="B405" s="264">
        <v>8.1</v>
      </c>
      <c r="C405" s="202" t="s">
        <v>169</v>
      </c>
      <c r="D405" s="203" t="s">
        <v>40</v>
      </c>
      <c r="E405" s="214">
        <v>110.6</v>
      </c>
      <c r="F405" s="205">
        <v>13.0</v>
      </c>
      <c r="G405" s="206">
        <f>E405*F405</f>
        <v>1437.8</v>
      </c>
      <c r="H405" s="219"/>
      <c r="I405" s="219"/>
      <c r="J405" s="240"/>
      <c r="K405" s="240"/>
      <c r="L405" s="240"/>
    </row>
    <row r="406" ht="12.75" customHeight="1" outlineLevel="2">
      <c r="B406" s="263"/>
      <c r="E406" s="79"/>
      <c r="F406" s="191"/>
      <c r="G406" s="191"/>
      <c r="H406" s="240"/>
      <c r="I406" s="240"/>
      <c r="J406" s="240"/>
      <c r="K406" s="240"/>
      <c r="L406" s="240"/>
    </row>
    <row r="407" ht="12.75" customHeight="1" outlineLevel="2">
      <c r="A407" s="89" t="s">
        <v>170</v>
      </c>
      <c r="B407" s="264">
        <v>8.2</v>
      </c>
      <c r="C407" s="202" t="s">
        <v>171</v>
      </c>
      <c r="D407" s="203" t="s">
        <v>40</v>
      </c>
      <c r="E407" s="214">
        <v>319.19</v>
      </c>
      <c r="F407" s="205">
        <v>25.0</v>
      </c>
      <c r="G407" s="206">
        <f>E407*F407</f>
        <v>7979.75</v>
      </c>
      <c r="H407" s="219"/>
      <c r="I407" s="219"/>
      <c r="J407" s="240"/>
      <c r="K407" s="240"/>
      <c r="L407" s="240"/>
    </row>
    <row r="408" ht="12.75" customHeight="1" outlineLevel="2">
      <c r="B408" s="263"/>
      <c r="E408" s="79"/>
      <c r="F408" s="191"/>
      <c r="G408" s="191"/>
      <c r="H408" s="240"/>
      <c r="I408" s="240"/>
      <c r="J408" s="240"/>
      <c r="K408" s="240"/>
      <c r="L408" s="240"/>
    </row>
    <row r="409" ht="12.75" customHeight="1" outlineLevel="2">
      <c r="A409" s="89" t="s">
        <v>172</v>
      </c>
      <c r="B409" s="264">
        <v>8.3</v>
      </c>
      <c r="C409" s="202" t="s">
        <v>173</v>
      </c>
      <c r="D409" s="203" t="s">
        <v>40</v>
      </c>
      <c r="E409" s="214">
        <v>131.48</v>
      </c>
      <c r="F409" s="205">
        <v>75.0</v>
      </c>
      <c r="G409" s="206">
        <f>E409*F409</f>
        <v>9861</v>
      </c>
      <c r="H409" s="219"/>
      <c r="I409" s="219"/>
      <c r="J409" s="240"/>
      <c r="K409" s="240"/>
      <c r="L409" s="240"/>
    </row>
    <row r="410" ht="12.75" customHeight="1" outlineLevel="2">
      <c r="B410" s="263"/>
      <c r="E410" s="79"/>
      <c r="F410" s="191"/>
      <c r="G410" s="191"/>
      <c r="H410" s="240"/>
      <c r="I410" s="240"/>
      <c r="J410" s="240"/>
      <c r="K410" s="240"/>
      <c r="L410" s="240"/>
    </row>
    <row r="411" ht="12.75" customHeight="1" outlineLevel="2">
      <c r="A411" s="89" t="s">
        <v>174</v>
      </c>
      <c r="B411" s="265">
        <v>8.4</v>
      </c>
      <c r="C411" s="256" t="s">
        <v>175</v>
      </c>
      <c r="D411" s="257" t="s">
        <v>40</v>
      </c>
      <c r="E411" s="258">
        <v>106.79</v>
      </c>
      <c r="F411" s="259">
        <v>230.0</v>
      </c>
      <c r="G411" s="260">
        <f>E411*F411</f>
        <v>24561.7</v>
      </c>
      <c r="H411" s="261" t="s">
        <v>5599</v>
      </c>
      <c r="I411" s="261" t="s">
        <v>5599</v>
      </c>
      <c r="J411" s="266"/>
      <c r="K411" s="240"/>
      <c r="L411" s="240"/>
    </row>
    <row r="412" ht="12.75" customHeight="1" outlineLevel="2">
      <c r="B412" s="263"/>
      <c r="E412" s="79"/>
      <c r="F412" s="191"/>
      <c r="G412" s="191"/>
      <c r="H412" s="240"/>
      <c r="I412" s="240"/>
      <c r="J412" s="240"/>
      <c r="K412" s="240"/>
      <c r="L412" s="240"/>
    </row>
    <row r="413" ht="12.75" customHeight="1" outlineLevel="2">
      <c r="A413" s="89" t="s">
        <v>176</v>
      </c>
      <c r="B413" s="264">
        <v>8.5</v>
      </c>
      <c r="C413" s="202" t="s">
        <v>177</v>
      </c>
      <c r="D413" s="203" t="s">
        <v>40</v>
      </c>
      <c r="E413" s="214">
        <v>353.75</v>
      </c>
      <c r="F413" s="205">
        <v>21.0</v>
      </c>
      <c r="G413" s="206">
        <f>E413*F413</f>
        <v>7428.75</v>
      </c>
      <c r="H413" s="219"/>
      <c r="I413" s="219"/>
      <c r="J413" s="240"/>
      <c r="K413" s="240"/>
      <c r="L413" s="240"/>
    </row>
    <row r="414" ht="12.75" customHeight="1" outlineLevel="2">
      <c r="B414" s="263"/>
      <c r="E414" s="79"/>
      <c r="F414" s="191"/>
      <c r="G414" s="191"/>
      <c r="H414" s="240"/>
      <c r="I414" s="240"/>
      <c r="J414" s="240"/>
      <c r="K414" s="240"/>
      <c r="L414" s="240"/>
    </row>
    <row r="415" ht="12.75" customHeight="1" outlineLevel="2">
      <c r="A415" s="89" t="s">
        <v>178</v>
      </c>
      <c r="B415" s="264">
        <v>8.6</v>
      </c>
      <c r="C415" s="202" t="s">
        <v>179</v>
      </c>
      <c r="D415" s="203" t="s">
        <v>40</v>
      </c>
      <c r="E415" s="214">
        <v>34.56</v>
      </c>
      <c r="F415" s="205">
        <v>14.0</v>
      </c>
      <c r="G415" s="206">
        <f>E415*F415</f>
        <v>483.84</v>
      </c>
      <c r="H415" s="219"/>
      <c r="I415" s="219"/>
      <c r="J415" s="240"/>
      <c r="K415" s="240"/>
      <c r="L415" s="240"/>
    </row>
    <row r="416" ht="12.75" customHeight="1" outlineLevel="2">
      <c r="B416" s="263"/>
      <c r="E416" s="79"/>
      <c r="F416" s="191"/>
      <c r="G416" s="191"/>
      <c r="H416" s="240"/>
      <c r="I416" s="240"/>
      <c r="J416" s="240"/>
      <c r="K416" s="240"/>
      <c r="L416" s="240"/>
    </row>
    <row r="417" ht="12.75" customHeight="1" outlineLevel="1">
      <c r="A417" s="89" t="s">
        <v>180</v>
      </c>
      <c r="B417" s="263"/>
      <c r="C417" s="184" t="s">
        <v>181</v>
      </c>
      <c r="E417" s="79"/>
      <c r="F417" s="917">
        <f>SUM(G419:G431)</f>
        <v>30657.1</v>
      </c>
      <c r="G417" s="191"/>
      <c r="K417" s="21"/>
      <c r="L417" s="21"/>
    </row>
    <row r="418" ht="12.75" customHeight="1" outlineLevel="2">
      <c r="B418" s="263"/>
      <c r="E418" s="79"/>
      <c r="F418" s="191"/>
      <c r="G418" s="191"/>
      <c r="H418" s="240"/>
      <c r="I418" s="240"/>
      <c r="J418" s="240"/>
      <c r="K418" s="240"/>
      <c r="L418" s="240"/>
    </row>
    <row r="419" ht="12.75" customHeight="1" outlineLevel="2">
      <c r="A419" s="89" t="s">
        <v>182</v>
      </c>
      <c r="B419" s="264">
        <v>8.7</v>
      </c>
      <c r="C419" s="202" t="s">
        <v>183</v>
      </c>
      <c r="D419" s="203" t="s">
        <v>40</v>
      </c>
      <c r="E419" s="214">
        <v>52.0</v>
      </c>
      <c r="F419" s="205">
        <v>13.0</v>
      </c>
      <c r="G419" s="206">
        <f>E419*F419</f>
        <v>676</v>
      </c>
      <c r="H419" s="219"/>
      <c r="I419" s="219"/>
      <c r="J419" s="240"/>
      <c r="K419" s="240"/>
      <c r="L419" s="240"/>
    </row>
    <row r="420" ht="12.75" customHeight="1" outlineLevel="2">
      <c r="B420" s="263"/>
      <c r="E420" s="79"/>
      <c r="F420" s="191"/>
      <c r="G420" s="191"/>
      <c r="H420" s="240"/>
      <c r="I420" s="240"/>
      <c r="J420" s="240"/>
      <c r="K420" s="240"/>
      <c r="L420" s="240"/>
    </row>
    <row r="421" ht="12.75" customHeight="1" outlineLevel="2">
      <c r="A421" s="89" t="s">
        <v>184</v>
      </c>
      <c r="B421" s="264">
        <v>8.8</v>
      </c>
      <c r="C421" s="202" t="s">
        <v>185</v>
      </c>
      <c r="D421" s="203" t="s">
        <v>40</v>
      </c>
      <c r="E421" s="214">
        <v>466.94</v>
      </c>
      <c r="F421" s="205">
        <v>21.0</v>
      </c>
      <c r="G421" s="206">
        <f>E421*F421</f>
        <v>9805.74</v>
      </c>
      <c r="H421" s="219"/>
      <c r="I421" s="219"/>
      <c r="J421" s="240"/>
      <c r="K421" s="240"/>
      <c r="L421" s="240"/>
    </row>
    <row r="422" ht="12.75" customHeight="1" outlineLevel="2">
      <c r="B422" s="263"/>
      <c r="E422" s="79"/>
      <c r="F422" s="191"/>
      <c r="G422" s="191"/>
      <c r="H422" s="240"/>
      <c r="I422" s="240"/>
      <c r="J422" s="240"/>
      <c r="K422" s="240"/>
      <c r="L422" s="240"/>
    </row>
    <row r="423" ht="12.75" customHeight="1" outlineLevel="2">
      <c r="A423" s="89" t="s">
        <v>186</v>
      </c>
      <c r="B423" s="264">
        <v>8.9</v>
      </c>
      <c r="C423" s="202" t="s">
        <v>187</v>
      </c>
      <c r="D423" s="203" t="s">
        <v>40</v>
      </c>
      <c r="E423" s="214">
        <v>81.43</v>
      </c>
      <c r="F423" s="205">
        <v>87.0</v>
      </c>
      <c r="G423" s="206">
        <f>E423*F423</f>
        <v>7084.41</v>
      </c>
      <c r="H423" s="219" t="s">
        <v>7881</v>
      </c>
      <c r="I423" s="219" t="s">
        <v>7881</v>
      </c>
      <c r="J423" s="240"/>
      <c r="K423" s="240"/>
      <c r="L423" s="240"/>
    </row>
    <row r="424" ht="12.75" customHeight="1" outlineLevel="2">
      <c r="B424" s="263"/>
      <c r="E424" s="79"/>
      <c r="F424" s="191"/>
      <c r="G424" s="191"/>
      <c r="H424" s="240"/>
      <c r="I424" s="240"/>
      <c r="J424" s="240"/>
      <c r="K424" s="240"/>
      <c r="L424" s="240"/>
    </row>
    <row r="425" ht="12.75" customHeight="1" outlineLevel="2">
      <c r="A425" s="89" t="s">
        <v>188</v>
      </c>
      <c r="B425" s="267">
        <v>8.1</v>
      </c>
      <c r="C425" s="268" t="s">
        <v>189</v>
      </c>
      <c r="D425" s="269" t="s">
        <v>40</v>
      </c>
      <c r="E425" s="270">
        <v>46.05</v>
      </c>
      <c r="F425" s="205">
        <v>87.0</v>
      </c>
      <c r="G425" s="206">
        <f>E425*F425</f>
        <v>4006.35</v>
      </c>
      <c r="H425" s="219" t="s">
        <v>7882</v>
      </c>
      <c r="I425" s="219" t="s">
        <v>7882</v>
      </c>
      <c r="J425" s="240"/>
      <c r="K425" s="240"/>
      <c r="L425" s="240"/>
    </row>
    <row r="426" ht="12.75" customHeight="1" outlineLevel="2">
      <c r="B426" s="263"/>
      <c r="E426" s="79"/>
      <c r="F426" s="191"/>
      <c r="G426" s="191"/>
      <c r="H426" s="240"/>
      <c r="I426" s="240"/>
      <c r="J426" s="240"/>
      <c r="K426" s="240"/>
      <c r="L426" s="240"/>
    </row>
    <row r="427" ht="12.75" customHeight="1" outlineLevel="2">
      <c r="A427" s="89" t="s">
        <v>190</v>
      </c>
      <c r="B427" s="267">
        <v>8.11</v>
      </c>
      <c r="C427" s="268" t="s">
        <v>191</v>
      </c>
      <c r="D427" s="269" t="s">
        <v>40</v>
      </c>
      <c r="E427" s="270">
        <v>50.7</v>
      </c>
      <c r="F427" s="205">
        <v>21.0</v>
      </c>
      <c r="G427" s="206">
        <f>E427*F427</f>
        <v>1064.7</v>
      </c>
      <c r="H427" s="271"/>
      <c r="I427" s="271"/>
      <c r="J427" s="276"/>
      <c r="K427" s="276"/>
      <c r="L427" s="276"/>
    </row>
    <row r="428" ht="12.75" customHeight="1" outlineLevel="2">
      <c r="B428" s="263"/>
      <c r="E428" s="79"/>
      <c r="F428" s="191"/>
      <c r="G428" s="191"/>
      <c r="H428" s="240"/>
      <c r="I428" s="240"/>
      <c r="J428" s="240"/>
      <c r="K428" s="240"/>
      <c r="L428" s="240"/>
    </row>
    <row r="429" ht="12.75" customHeight="1" outlineLevel="2">
      <c r="A429" s="89" t="s">
        <v>192</v>
      </c>
      <c r="B429" s="267">
        <v>8.12</v>
      </c>
      <c r="C429" s="268" t="s">
        <v>193</v>
      </c>
      <c r="D429" s="269" t="s">
        <v>40</v>
      </c>
      <c r="E429" s="270">
        <v>551.51</v>
      </c>
      <c r="F429" s="205">
        <v>14.0</v>
      </c>
      <c r="G429" s="206">
        <f>E429*F429</f>
        <v>7721.14</v>
      </c>
      <c r="H429" s="271"/>
      <c r="I429" s="271"/>
      <c r="J429" s="276"/>
      <c r="K429" s="276"/>
      <c r="L429" s="276"/>
    </row>
    <row r="430" ht="12.75" customHeight="1" outlineLevel="2">
      <c r="B430" s="263"/>
      <c r="E430" s="79"/>
      <c r="F430" s="191"/>
      <c r="G430" s="191"/>
      <c r="H430" s="240"/>
      <c r="I430" s="240"/>
      <c r="J430" s="240"/>
      <c r="K430" s="240"/>
      <c r="L430" s="240"/>
    </row>
    <row r="431" ht="12.75" customHeight="1" outlineLevel="2">
      <c r="A431" s="89" t="s">
        <v>194</v>
      </c>
      <c r="B431" s="267">
        <v>8.13</v>
      </c>
      <c r="C431" s="268" t="s">
        <v>195</v>
      </c>
      <c r="D431" s="269" t="s">
        <v>40</v>
      </c>
      <c r="E431" s="270">
        <v>21.34</v>
      </c>
      <c r="F431" s="205">
        <v>14.0</v>
      </c>
      <c r="G431" s="206">
        <f>E431*F431</f>
        <v>298.76</v>
      </c>
      <c r="H431" s="271"/>
      <c r="I431" s="271"/>
      <c r="J431" s="276"/>
      <c r="K431" s="276"/>
      <c r="L431" s="276"/>
    </row>
    <row r="432" ht="12.75" customHeight="1" outlineLevel="2">
      <c r="A432" s="89"/>
      <c r="B432" s="262"/>
      <c r="C432" s="246"/>
      <c r="D432" s="130"/>
      <c r="E432" s="170"/>
      <c r="F432" s="239"/>
      <c r="G432" s="239"/>
      <c r="H432" s="240"/>
      <c r="I432" s="240"/>
      <c r="J432" s="240"/>
      <c r="K432" s="240"/>
      <c r="L432" s="240"/>
    </row>
    <row r="433" ht="12.75" customHeight="1" outlineLevel="1">
      <c r="A433" s="89"/>
      <c r="B433" s="262"/>
      <c r="C433" s="246"/>
      <c r="D433" s="130"/>
      <c r="E433" s="170"/>
      <c r="F433" s="239"/>
      <c r="G433" s="239"/>
      <c r="H433" s="240"/>
      <c r="I433" s="240"/>
      <c r="J433" s="240"/>
      <c r="K433" s="240"/>
      <c r="L433" s="240"/>
    </row>
    <row r="434" ht="12.75" customHeight="1">
      <c r="A434" s="192"/>
      <c r="B434" s="83">
        <v>9.0</v>
      </c>
      <c r="C434" s="184" t="s">
        <v>197</v>
      </c>
      <c r="D434" s="193"/>
      <c r="E434" s="194"/>
      <c r="F434" s="195"/>
      <c r="G434" s="196">
        <f>SUM(G438:G479)</f>
        <v>116008.42</v>
      </c>
      <c r="H434" s="197">
        <f>G434-'Orcamento RU'!C174</f>
        <v>-9735.89</v>
      </c>
      <c r="I434" s="197">
        <f>H434-'Orcamento RU'!D174</f>
        <v>-9735.89</v>
      </c>
      <c r="J434" s="919"/>
      <c r="K434" s="169"/>
      <c r="L434" s="169"/>
    </row>
    <row r="435" ht="12.75" customHeight="1" outlineLevel="1">
      <c r="A435" s="89"/>
      <c r="B435" s="230"/>
      <c r="C435" s="246"/>
      <c r="D435" s="130"/>
      <c r="E435" s="170"/>
      <c r="F435" s="239"/>
      <c r="G435" s="239"/>
      <c r="H435" s="240"/>
      <c r="I435" s="240"/>
      <c r="J435" s="240"/>
      <c r="K435" s="240"/>
      <c r="L435" s="240"/>
    </row>
    <row r="436" ht="12.75" customHeight="1" outlineLevel="1">
      <c r="A436" s="89" t="s">
        <v>198</v>
      </c>
      <c r="B436" s="189"/>
      <c r="C436" s="184" t="s">
        <v>199</v>
      </c>
      <c r="E436" s="79"/>
      <c r="F436" s="586">
        <f>SUM(G438:G465)</f>
        <v>61425.64</v>
      </c>
      <c r="K436" s="436">
        <v>30000.0</v>
      </c>
      <c r="L436" s="240">
        <f>F436-K436</f>
        <v>31425.64</v>
      </c>
    </row>
    <row r="437" ht="15.75" customHeight="1" outlineLevel="2">
      <c r="B437" s="189"/>
      <c r="E437" s="79"/>
      <c r="F437" s="80"/>
      <c r="G437" s="80"/>
      <c r="H437" s="240"/>
      <c r="I437" s="240"/>
      <c r="J437" s="240"/>
      <c r="K437" s="240"/>
      <c r="L437" s="240"/>
    </row>
    <row r="438" ht="12.75" customHeight="1" outlineLevel="2">
      <c r="A438" s="89" t="s">
        <v>200</v>
      </c>
      <c r="B438" s="272">
        <v>9.1</v>
      </c>
      <c r="C438" s="268" t="s">
        <v>201</v>
      </c>
      <c r="D438" s="269" t="s">
        <v>40</v>
      </c>
      <c r="E438" s="270">
        <v>228.22</v>
      </c>
      <c r="F438" s="205">
        <v>40.0</v>
      </c>
      <c r="G438" s="206">
        <f>E438*F438</f>
        <v>9128.8</v>
      </c>
      <c r="H438" s="271"/>
      <c r="I438" s="271"/>
      <c r="J438" s="276"/>
      <c r="K438" s="276"/>
      <c r="L438" s="276"/>
    </row>
    <row r="439" ht="12.75" customHeight="1" outlineLevel="2">
      <c r="B439" s="189"/>
      <c r="E439" s="79"/>
      <c r="F439" s="80"/>
      <c r="G439" s="80"/>
      <c r="H439" s="240"/>
      <c r="I439" s="240"/>
      <c r="J439" s="240"/>
      <c r="K439" s="240"/>
      <c r="L439" s="240"/>
    </row>
    <row r="440" ht="12.75" customHeight="1" outlineLevel="2">
      <c r="A440" s="89" t="s">
        <v>202</v>
      </c>
      <c r="B440" s="272">
        <v>9.2</v>
      </c>
      <c r="C440" s="268" t="s">
        <v>203</v>
      </c>
      <c r="D440" s="269" t="s">
        <v>40</v>
      </c>
      <c r="E440" s="270">
        <v>153.22</v>
      </c>
      <c r="F440" s="205">
        <v>35.0</v>
      </c>
      <c r="G440" s="206">
        <f>E440*F440</f>
        <v>5362.7</v>
      </c>
      <c r="H440" s="271"/>
      <c r="I440" s="271"/>
      <c r="J440" s="276"/>
      <c r="K440" s="276"/>
      <c r="L440" s="276"/>
    </row>
    <row r="441" ht="12.75" customHeight="1" outlineLevel="2">
      <c r="B441" s="189"/>
      <c r="E441" s="79"/>
      <c r="F441" s="80"/>
      <c r="G441" s="80"/>
      <c r="H441" s="240"/>
      <c r="I441" s="240"/>
      <c r="J441" s="240"/>
      <c r="K441" s="240"/>
      <c r="L441" s="240"/>
    </row>
    <row r="442" ht="12.75" customHeight="1" outlineLevel="2">
      <c r="A442" s="89" t="s">
        <v>204</v>
      </c>
      <c r="B442" s="272">
        <v>9.3</v>
      </c>
      <c r="C442" s="268" t="s">
        <v>205</v>
      </c>
      <c r="D442" s="269" t="s">
        <v>40</v>
      </c>
      <c r="E442" s="270">
        <v>50.95</v>
      </c>
      <c r="F442" s="205">
        <v>61.0</v>
      </c>
      <c r="G442" s="206">
        <f>E442*F442</f>
        <v>3107.95</v>
      </c>
      <c r="H442" s="271"/>
      <c r="I442" s="271"/>
      <c r="J442" s="276"/>
      <c r="K442" s="276"/>
      <c r="L442" s="276"/>
    </row>
    <row r="443" ht="12.75" customHeight="1" outlineLevel="2">
      <c r="B443" s="189"/>
      <c r="E443" s="79"/>
      <c r="F443" s="80"/>
      <c r="G443" s="80"/>
      <c r="H443" s="240"/>
      <c r="I443" s="240"/>
      <c r="J443" s="240"/>
      <c r="K443" s="240"/>
      <c r="L443" s="240"/>
    </row>
    <row r="444" ht="12.75" customHeight="1" outlineLevel="2">
      <c r="A444" s="89" t="s">
        <v>206</v>
      </c>
      <c r="B444" s="272">
        <v>9.4</v>
      </c>
      <c r="C444" s="273" t="s">
        <v>207</v>
      </c>
      <c r="D444" s="274"/>
      <c r="E444" s="275"/>
      <c r="F444" s="239"/>
      <c r="G444" s="239"/>
      <c r="H444" s="276"/>
      <c r="I444" s="276"/>
      <c r="J444" s="276"/>
      <c r="K444" s="276"/>
      <c r="L444" s="276"/>
    </row>
    <row r="445" ht="12.75" customHeight="1" outlineLevel="3">
      <c r="B445" s="189"/>
      <c r="E445" s="79"/>
      <c r="F445" s="80"/>
      <c r="G445" s="80"/>
      <c r="H445" s="240"/>
      <c r="I445" s="240"/>
      <c r="J445" s="240"/>
      <c r="K445" s="240"/>
      <c r="L445" s="240"/>
    </row>
    <row r="446" ht="12.75" customHeight="1" outlineLevel="3">
      <c r="A446" s="89" t="s">
        <v>208</v>
      </c>
      <c r="B446" s="272" t="s">
        <v>2240</v>
      </c>
      <c r="C446" s="268" t="s">
        <v>209</v>
      </c>
      <c r="D446" s="269" t="s">
        <v>40</v>
      </c>
      <c r="E446" s="270">
        <v>1.27</v>
      </c>
      <c r="F446" s="205">
        <v>180.0</v>
      </c>
      <c r="G446" s="206">
        <f>E446*F446</f>
        <v>228.6</v>
      </c>
      <c r="H446" s="271"/>
      <c r="I446" s="271"/>
      <c r="J446" s="276"/>
      <c r="K446" s="276"/>
      <c r="L446" s="276"/>
    </row>
    <row r="447" ht="12.75" customHeight="1" outlineLevel="3">
      <c r="B447" s="189"/>
      <c r="E447" s="79"/>
      <c r="F447" s="80"/>
      <c r="G447" s="80"/>
      <c r="H447" s="240"/>
      <c r="I447" s="240"/>
      <c r="J447" s="240"/>
      <c r="K447" s="240"/>
      <c r="L447" s="240"/>
    </row>
    <row r="448" ht="12.75" customHeight="1" outlineLevel="3">
      <c r="A448" s="89" t="s">
        <v>210</v>
      </c>
      <c r="B448" s="272" t="s">
        <v>2242</v>
      </c>
      <c r="C448" s="268" t="s">
        <v>211</v>
      </c>
      <c r="D448" s="269" t="s">
        <v>40</v>
      </c>
      <c r="E448" s="270">
        <v>5.38</v>
      </c>
      <c r="F448" s="205">
        <v>180.0</v>
      </c>
      <c r="G448" s="206">
        <f>E448*F448</f>
        <v>968.4</v>
      </c>
      <c r="H448" s="271"/>
      <c r="I448" s="271"/>
      <c r="J448" s="276"/>
      <c r="K448" s="276"/>
      <c r="L448" s="276"/>
    </row>
    <row r="449" ht="12.75" customHeight="1" outlineLevel="3">
      <c r="B449" s="189"/>
      <c r="E449" s="79"/>
      <c r="F449" s="80"/>
      <c r="G449" s="80"/>
      <c r="H449" s="240"/>
      <c r="I449" s="240"/>
      <c r="J449" s="240"/>
      <c r="K449" s="240"/>
      <c r="L449" s="240"/>
    </row>
    <row r="450" ht="12.75" customHeight="1" outlineLevel="3">
      <c r="A450" s="89" t="s">
        <v>212</v>
      </c>
      <c r="B450" s="272" t="s">
        <v>2244</v>
      </c>
      <c r="C450" s="268" t="s">
        <v>213</v>
      </c>
      <c r="D450" s="269" t="s">
        <v>40</v>
      </c>
      <c r="E450" s="270">
        <v>5.54</v>
      </c>
      <c r="F450" s="205">
        <v>180.0</v>
      </c>
      <c r="G450" s="206">
        <f>E450*F450</f>
        <v>997.2</v>
      </c>
      <c r="H450" s="271"/>
      <c r="I450" s="271"/>
      <c r="J450" s="276"/>
      <c r="K450" s="276"/>
      <c r="L450" s="276"/>
    </row>
    <row r="451" ht="12.75" customHeight="1" outlineLevel="3">
      <c r="B451" s="189"/>
      <c r="E451" s="79"/>
      <c r="F451" s="80"/>
      <c r="G451" s="80"/>
      <c r="H451" s="240"/>
      <c r="I451" s="240"/>
      <c r="J451" s="240"/>
      <c r="K451" s="240"/>
      <c r="L451" s="240"/>
    </row>
    <row r="452" ht="12.75" customHeight="1" outlineLevel="2">
      <c r="B452" s="189"/>
      <c r="E452" s="79"/>
      <c r="F452" s="80"/>
      <c r="G452" s="80"/>
      <c r="H452" s="240"/>
      <c r="I452" s="240"/>
      <c r="J452" s="240"/>
      <c r="K452" s="240"/>
      <c r="L452" s="240"/>
    </row>
    <row r="453" ht="12.75" customHeight="1" outlineLevel="2">
      <c r="A453" s="89" t="s">
        <v>214</v>
      </c>
      <c r="B453" s="272">
        <v>9.5</v>
      </c>
      <c r="C453" s="268" t="s">
        <v>215</v>
      </c>
      <c r="D453" s="269" t="s">
        <v>40</v>
      </c>
      <c r="E453" s="270">
        <v>116.49</v>
      </c>
      <c r="F453" s="205">
        <v>75.0</v>
      </c>
      <c r="G453" s="206">
        <f>E453*F453</f>
        <v>8736.75</v>
      </c>
      <c r="H453" s="271"/>
      <c r="I453" s="271"/>
      <c r="J453" s="276"/>
      <c r="K453" s="276"/>
      <c r="L453" s="276"/>
    </row>
    <row r="454" ht="12.75" customHeight="1" outlineLevel="2">
      <c r="B454" s="189"/>
      <c r="E454" s="79"/>
      <c r="F454" s="80"/>
      <c r="G454" s="80"/>
      <c r="H454" s="240"/>
      <c r="I454" s="240"/>
      <c r="J454" s="240"/>
      <c r="K454" s="240"/>
      <c r="L454" s="240"/>
    </row>
    <row r="455" ht="12.75" customHeight="1" outlineLevel="2">
      <c r="A455" s="89" t="s">
        <v>216</v>
      </c>
      <c r="B455" s="277">
        <v>9.6</v>
      </c>
      <c r="C455" s="278" t="s">
        <v>217</v>
      </c>
      <c r="D455" s="279" t="s">
        <v>40</v>
      </c>
      <c r="E455" s="280">
        <v>50.0</v>
      </c>
      <c r="F455" s="259">
        <v>145.0</v>
      </c>
      <c r="G455" s="260">
        <f>E455*F455</f>
        <v>7250</v>
      </c>
      <c r="H455" s="281" t="s">
        <v>5601</v>
      </c>
      <c r="I455" s="281" t="s">
        <v>5601</v>
      </c>
      <c r="J455" s="920"/>
      <c r="K455" s="276"/>
      <c r="L455" s="276"/>
    </row>
    <row r="456" ht="12.75" customHeight="1" outlineLevel="2">
      <c r="B456" s="189"/>
      <c r="E456" s="79"/>
      <c r="F456" s="80"/>
      <c r="G456" s="80"/>
      <c r="H456" s="240"/>
      <c r="I456" s="240"/>
      <c r="J456" s="240"/>
      <c r="K456" s="240"/>
      <c r="L456" s="240"/>
    </row>
    <row r="457" ht="12.75" customHeight="1" outlineLevel="2">
      <c r="A457" s="89" t="s">
        <v>218</v>
      </c>
      <c r="B457" s="272">
        <v>9.7</v>
      </c>
      <c r="C457" s="268" t="s">
        <v>219</v>
      </c>
      <c r="D457" s="269" t="s">
        <v>40</v>
      </c>
      <c r="E457" s="270">
        <v>5.75</v>
      </c>
      <c r="F457" s="205">
        <v>42.0</v>
      </c>
      <c r="G457" s="206">
        <f>E457*F457</f>
        <v>241.5</v>
      </c>
      <c r="H457" s="271"/>
      <c r="I457" s="271"/>
      <c r="J457" s="276"/>
      <c r="K457" s="276"/>
      <c r="L457" s="276"/>
    </row>
    <row r="458" ht="12.75" customHeight="1" outlineLevel="2">
      <c r="B458" s="189"/>
      <c r="E458" s="79"/>
      <c r="F458" s="80"/>
      <c r="G458" s="80"/>
      <c r="H458" s="240"/>
      <c r="I458" s="240"/>
      <c r="J458" s="240"/>
      <c r="K458" s="240"/>
      <c r="L458" s="240"/>
    </row>
    <row r="459" ht="12.75" customHeight="1" outlineLevel="2">
      <c r="A459" s="89" t="s">
        <v>220</v>
      </c>
      <c r="B459" s="272">
        <v>9.8</v>
      </c>
      <c r="C459" s="268" t="s">
        <v>221</v>
      </c>
      <c r="D459" s="269" t="s">
        <v>40</v>
      </c>
      <c r="E459" s="270">
        <v>17.54</v>
      </c>
      <c r="F459" s="205">
        <v>31.0</v>
      </c>
      <c r="G459" s="206">
        <f>E459*F459</f>
        <v>543.74</v>
      </c>
      <c r="H459" s="271"/>
      <c r="I459" s="271"/>
      <c r="J459" s="276"/>
      <c r="K459" s="276"/>
      <c r="L459" s="276"/>
    </row>
    <row r="460" ht="12.75" customHeight="1" outlineLevel="2">
      <c r="B460" s="189"/>
      <c r="E460" s="79"/>
      <c r="F460" s="80"/>
      <c r="G460" s="80"/>
      <c r="H460" s="240"/>
      <c r="I460" s="240"/>
      <c r="J460" s="240"/>
      <c r="K460" s="240"/>
      <c r="L460" s="240"/>
    </row>
    <row r="461" ht="12.75" customHeight="1" outlineLevel="2">
      <c r="A461" s="109" t="s">
        <v>222</v>
      </c>
      <c r="B461" s="272">
        <v>9.9</v>
      </c>
      <c r="C461" s="268" t="s">
        <v>223</v>
      </c>
      <c r="D461" s="269" t="s">
        <v>40</v>
      </c>
      <c r="E461" s="270">
        <v>200.6</v>
      </c>
      <c r="F461" s="205">
        <v>100.0</v>
      </c>
      <c r="G461" s="206">
        <f>E461*F461</f>
        <v>20060</v>
      </c>
      <c r="H461" s="271"/>
      <c r="I461" s="271"/>
      <c r="J461" s="276"/>
      <c r="K461" s="276"/>
      <c r="L461" s="276"/>
    </row>
    <row r="462" ht="12.75" customHeight="1" outlineLevel="2">
      <c r="B462" s="189"/>
      <c r="E462" s="79"/>
      <c r="F462" s="80"/>
      <c r="G462" s="80"/>
      <c r="H462" s="240"/>
      <c r="I462" s="240"/>
      <c r="J462" s="240"/>
      <c r="K462" s="240"/>
      <c r="L462" s="240"/>
    </row>
    <row r="463" ht="12.75" customHeight="1" outlineLevel="2">
      <c r="A463" s="89" t="s">
        <v>225</v>
      </c>
      <c r="B463" s="282">
        <v>9.1</v>
      </c>
      <c r="C463" s="268" t="s">
        <v>226</v>
      </c>
      <c r="D463" s="269" t="s">
        <v>227</v>
      </c>
      <c r="E463" s="270">
        <v>1.0</v>
      </c>
      <c r="F463" s="205">
        <v>1500.0</v>
      </c>
      <c r="G463" s="206">
        <f>E463*F463</f>
        <v>1500</v>
      </c>
      <c r="H463" s="271"/>
      <c r="I463" s="271"/>
      <c r="J463" s="276"/>
      <c r="K463" s="276"/>
      <c r="L463" s="276"/>
    </row>
    <row r="464" ht="12.75" customHeight="1" outlineLevel="2">
      <c r="B464" s="189"/>
      <c r="E464" s="79"/>
      <c r="F464" s="80"/>
      <c r="G464" s="80"/>
      <c r="H464" s="240"/>
      <c r="I464" s="240"/>
      <c r="J464" s="240"/>
      <c r="K464" s="240"/>
      <c r="L464" s="240"/>
    </row>
    <row r="465" ht="12.75" customHeight="1" outlineLevel="2">
      <c r="A465" s="89" t="s">
        <v>228</v>
      </c>
      <c r="B465" s="282">
        <v>9.11</v>
      </c>
      <c r="C465" s="268" t="s">
        <v>229</v>
      </c>
      <c r="D465" s="269" t="s">
        <v>227</v>
      </c>
      <c r="E465" s="270">
        <v>1.0</v>
      </c>
      <c r="F465" s="205">
        <v>3300.0</v>
      </c>
      <c r="G465" s="206">
        <f>E465*F465</f>
        <v>3300</v>
      </c>
      <c r="H465" s="271"/>
      <c r="I465" s="271"/>
      <c r="J465" s="276"/>
      <c r="K465" s="276"/>
      <c r="L465" s="276"/>
    </row>
    <row r="466" ht="12.75" customHeight="1" outlineLevel="2">
      <c r="B466" s="189"/>
      <c r="E466" s="79"/>
      <c r="F466" s="80"/>
      <c r="G466" s="80"/>
      <c r="H466" s="240"/>
      <c r="I466" s="240"/>
      <c r="J466" s="240"/>
      <c r="K466" s="240"/>
      <c r="L466" s="240"/>
    </row>
    <row r="467" ht="12.75" customHeight="1" outlineLevel="1">
      <c r="A467" s="89" t="s">
        <v>230</v>
      </c>
      <c r="B467" s="189"/>
      <c r="C467" s="184" t="s">
        <v>231</v>
      </c>
      <c r="E467" s="79"/>
      <c r="F467" s="586">
        <f>SUM(G469:G475)</f>
        <v>50942.5</v>
      </c>
      <c r="K467" s="436">
        <v>25000.0</v>
      </c>
      <c r="L467" s="240">
        <f>F467-K467</f>
        <v>25942.5</v>
      </c>
    </row>
    <row r="468" ht="12.75" customHeight="1" outlineLevel="2">
      <c r="B468" s="189"/>
      <c r="E468" s="79"/>
      <c r="F468" s="80"/>
      <c r="G468" s="80"/>
      <c r="H468" s="240"/>
      <c r="I468" s="240"/>
      <c r="J468" s="240"/>
      <c r="K468" s="240"/>
      <c r="L468" s="240"/>
    </row>
    <row r="469" ht="12.75" customHeight="1" outlineLevel="2">
      <c r="A469" s="89" t="s">
        <v>232</v>
      </c>
      <c r="B469" s="282">
        <v>9.12</v>
      </c>
      <c r="C469" s="268" t="s">
        <v>233</v>
      </c>
      <c r="D469" s="269" t="s">
        <v>40</v>
      </c>
      <c r="E469" s="270">
        <v>277.52</v>
      </c>
      <c r="F469" s="205">
        <v>50.0</v>
      </c>
      <c r="G469" s="206">
        <f>E469*F469</f>
        <v>13876</v>
      </c>
      <c r="H469" s="271"/>
      <c r="I469" s="271"/>
      <c r="J469" s="276"/>
      <c r="K469" s="276"/>
      <c r="L469" s="276"/>
    </row>
    <row r="470" ht="12.75" customHeight="1" outlineLevel="2">
      <c r="B470" s="189"/>
      <c r="E470" s="79"/>
      <c r="F470" s="80"/>
      <c r="G470" s="80"/>
      <c r="H470" s="240"/>
      <c r="I470" s="240"/>
      <c r="J470" s="240"/>
      <c r="K470" s="240"/>
      <c r="L470" s="240"/>
    </row>
    <row r="471" ht="12.75" customHeight="1" outlineLevel="2">
      <c r="A471" s="89" t="s">
        <v>234</v>
      </c>
      <c r="B471" s="283">
        <v>9.13</v>
      </c>
      <c r="C471" s="278" t="s">
        <v>235</v>
      </c>
      <c r="D471" s="279" t="s">
        <v>40</v>
      </c>
      <c r="E471" s="280">
        <v>239.8</v>
      </c>
      <c r="F471" s="259">
        <v>145.0</v>
      </c>
      <c r="G471" s="260">
        <f>E471*F471</f>
        <v>34771</v>
      </c>
      <c r="H471" s="281" t="s">
        <v>5603</v>
      </c>
      <c r="I471" s="281" t="s">
        <v>5603</v>
      </c>
      <c r="J471" s="920"/>
      <c r="K471" s="276"/>
      <c r="L471" s="276"/>
    </row>
    <row r="472" ht="12.75" customHeight="1" outlineLevel="2">
      <c r="B472" s="189"/>
      <c r="E472" s="79"/>
      <c r="F472" s="80"/>
      <c r="G472" s="80"/>
      <c r="H472" s="240"/>
      <c r="I472" s="240"/>
      <c r="J472" s="240"/>
      <c r="K472" s="240"/>
      <c r="L472" s="240"/>
    </row>
    <row r="473" ht="12.75" customHeight="1" outlineLevel="2">
      <c r="A473" s="89" t="s">
        <v>236</v>
      </c>
      <c r="B473" s="283">
        <v>9.14</v>
      </c>
      <c r="C473" s="278" t="s">
        <v>237</v>
      </c>
      <c r="D473" s="279" t="s">
        <v>40</v>
      </c>
      <c r="E473" s="280">
        <v>16.81</v>
      </c>
      <c r="F473" s="259">
        <v>50.0</v>
      </c>
      <c r="G473" s="260">
        <f>E473*F473</f>
        <v>840.5</v>
      </c>
      <c r="H473" s="281" t="s">
        <v>5604</v>
      </c>
      <c r="I473" s="281" t="s">
        <v>5604</v>
      </c>
      <c r="J473" s="920"/>
      <c r="K473" s="276"/>
      <c r="L473" s="276"/>
    </row>
    <row r="474" ht="12.75" customHeight="1" outlineLevel="2">
      <c r="B474" s="189"/>
      <c r="E474" s="79"/>
      <c r="F474" s="80"/>
      <c r="G474" s="80"/>
      <c r="H474" s="240"/>
      <c r="I474" s="240"/>
      <c r="J474" s="240"/>
      <c r="K474" s="240"/>
      <c r="L474" s="240"/>
    </row>
    <row r="475" ht="12.75" customHeight="1" outlineLevel="2">
      <c r="A475" s="89" t="s">
        <v>238</v>
      </c>
      <c r="B475" s="283">
        <v>9.15</v>
      </c>
      <c r="C475" s="278" t="s">
        <v>239</v>
      </c>
      <c r="D475" s="279" t="s">
        <v>40</v>
      </c>
      <c r="E475" s="280">
        <v>29.1</v>
      </c>
      <c r="F475" s="259">
        <v>50.0</v>
      </c>
      <c r="G475" s="260">
        <f>E475*F475</f>
        <v>1455</v>
      </c>
      <c r="H475" s="281" t="s">
        <v>5604</v>
      </c>
      <c r="I475" s="281" t="s">
        <v>5604</v>
      </c>
      <c r="J475" s="920"/>
      <c r="K475" s="276"/>
      <c r="L475" s="276"/>
    </row>
    <row r="476" ht="12.75" customHeight="1" outlineLevel="2">
      <c r="B476" s="189"/>
      <c r="E476" s="79"/>
      <c r="F476" s="80"/>
      <c r="G476" s="80"/>
      <c r="H476" s="240"/>
      <c r="I476" s="240"/>
      <c r="J476" s="240"/>
      <c r="K476" s="240"/>
      <c r="L476" s="240"/>
    </row>
    <row r="477" ht="12.75" customHeight="1" outlineLevel="1">
      <c r="A477" s="89" t="s">
        <v>240</v>
      </c>
      <c r="B477" s="189"/>
      <c r="C477" s="184" t="s">
        <v>241</v>
      </c>
      <c r="E477" s="79"/>
      <c r="F477" s="917">
        <f>G479</f>
        <v>3640.28</v>
      </c>
      <c r="G477" s="80"/>
      <c r="H477" s="240"/>
      <c r="I477" s="240"/>
      <c r="J477" s="240"/>
      <c r="K477" s="240"/>
      <c r="L477" s="240"/>
    </row>
    <row r="478" ht="12.75" customHeight="1" outlineLevel="2">
      <c r="B478" s="189"/>
      <c r="E478" s="79"/>
      <c r="F478" s="80"/>
      <c r="G478" s="80"/>
      <c r="H478" s="240"/>
      <c r="I478" s="240"/>
      <c r="J478" s="240"/>
      <c r="K478" s="240"/>
      <c r="L478" s="240"/>
    </row>
    <row r="479" ht="12.75" customHeight="1" outlineLevel="2">
      <c r="A479" s="89" t="s">
        <v>242</v>
      </c>
      <c r="B479" s="283">
        <v>9.16</v>
      </c>
      <c r="C479" s="278" t="s">
        <v>243</v>
      </c>
      <c r="D479" s="279" t="s">
        <v>161</v>
      </c>
      <c r="E479" s="280">
        <v>130.01</v>
      </c>
      <c r="F479" s="259">
        <v>28.0</v>
      </c>
      <c r="G479" s="260">
        <f>E479*F479</f>
        <v>3640.28</v>
      </c>
      <c r="H479" s="281" t="s">
        <v>5605</v>
      </c>
      <c r="I479" s="281" t="s">
        <v>5605</v>
      </c>
      <c r="J479" s="920"/>
      <c r="K479" s="276"/>
      <c r="L479" s="276"/>
    </row>
    <row r="480" ht="12.75" customHeight="1" outlineLevel="2">
      <c r="A480" s="89"/>
      <c r="B480" s="230"/>
      <c r="C480" s="246"/>
      <c r="D480" s="130"/>
      <c r="E480" s="170"/>
      <c r="F480" s="239"/>
      <c r="G480" s="239"/>
      <c r="H480" s="240"/>
      <c r="I480" s="240"/>
      <c r="J480" s="240"/>
      <c r="K480" s="240"/>
      <c r="L480" s="240"/>
    </row>
    <row r="481" ht="12.75" customHeight="1" outlineLevel="1">
      <c r="A481" s="167"/>
      <c r="B481" s="167"/>
      <c r="C481" s="252"/>
      <c r="D481" s="171"/>
      <c r="E481" s="170"/>
      <c r="F481" s="239"/>
      <c r="G481" s="253"/>
      <c r="H481" s="169"/>
      <c r="I481" s="169"/>
      <c r="J481" s="169"/>
      <c r="K481" s="169"/>
      <c r="L481" s="169"/>
    </row>
    <row r="482" ht="12.75" customHeight="1">
      <c r="A482" s="192"/>
      <c r="B482" s="83">
        <v>10.0</v>
      </c>
      <c r="C482" s="184" t="s">
        <v>380</v>
      </c>
      <c r="D482" s="193"/>
      <c r="E482" s="194"/>
      <c r="F482" s="195"/>
      <c r="G482" s="196">
        <f>SUM(G486:G640)</f>
        <v>243804.03</v>
      </c>
      <c r="H482" s="197">
        <f>G482-'Orcamento RU'!C354</f>
        <v>-35535.08</v>
      </c>
      <c r="I482" s="197">
        <f>H482-'Orcamento RU'!D354</f>
        <v>-35535.08</v>
      </c>
      <c r="J482" s="919"/>
      <c r="K482" s="169"/>
      <c r="L482" s="169"/>
    </row>
    <row r="483" ht="12.75" customHeight="1" outlineLevel="1">
      <c r="A483" s="89"/>
      <c r="B483" s="262"/>
      <c r="C483" s="246"/>
      <c r="D483" s="130"/>
      <c r="E483" s="170"/>
      <c r="F483" s="239"/>
      <c r="G483" s="239"/>
      <c r="H483" s="240"/>
      <c r="I483" s="240"/>
      <c r="J483" s="240"/>
      <c r="K483" s="240"/>
      <c r="L483" s="240"/>
    </row>
    <row r="484" ht="12.75" customHeight="1" outlineLevel="1">
      <c r="A484" s="89" t="s">
        <v>381</v>
      </c>
      <c r="B484" s="263"/>
      <c r="C484" s="184" t="s">
        <v>382</v>
      </c>
      <c r="E484" s="79"/>
      <c r="F484" s="586">
        <f>SUM(G486:G533)</f>
        <v>152600</v>
      </c>
      <c r="K484" s="436">
        <v>140000.0</v>
      </c>
      <c r="L484" s="240">
        <f>F484-K484</f>
        <v>12600</v>
      </c>
    </row>
    <row r="485" ht="12.75" customHeight="1" outlineLevel="2">
      <c r="A485" s="21"/>
      <c r="B485" s="263"/>
      <c r="C485" s="21"/>
      <c r="D485" s="21"/>
      <c r="E485" s="115"/>
      <c r="F485" s="116"/>
      <c r="G485" s="116"/>
      <c r="H485" s="240"/>
      <c r="I485" s="240"/>
      <c r="J485" s="240"/>
      <c r="K485" s="240"/>
      <c r="L485" s="240"/>
    </row>
    <row r="486" ht="12.75" customHeight="1" outlineLevel="2">
      <c r="A486" s="89" t="s">
        <v>384</v>
      </c>
      <c r="B486" s="284" t="s">
        <v>2266</v>
      </c>
      <c r="C486" s="268" t="s">
        <v>385</v>
      </c>
      <c r="D486" s="269"/>
      <c r="E486" s="270"/>
      <c r="F486" s="205"/>
      <c r="G486" s="206"/>
      <c r="H486" s="219"/>
      <c r="I486" s="219"/>
      <c r="J486" s="240"/>
      <c r="K486" s="240"/>
      <c r="L486" s="240"/>
    </row>
    <row r="487" ht="12.75" customHeight="1" outlineLevel="3">
      <c r="B487" s="234"/>
      <c r="E487" s="79"/>
      <c r="F487" s="80"/>
      <c r="G487" s="80"/>
      <c r="H487" s="240"/>
      <c r="I487" s="240"/>
      <c r="J487" s="240"/>
      <c r="K487" s="240"/>
      <c r="L487" s="240"/>
    </row>
    <row r="488" ht="12.75" customHeight="1" outlineLevel="3">
      <c r="A488" s="89" t="s">
        <v>386</v>
      </c>
      <c r="B488" s="267" t="s">
        <v>2268</v>
      </c>
      <c r="C488" s="268" t="s">
        <v>387</v>
      </c>
      <c r="D488" s="269" t="s">
        <v>75</v>
      </c>
      <c r="E488" s="270">
        <v>1.0</v>
      </c>
      <c r="F488" s="205">
        <v>2000.0</v>
      </c>
      <c r="G488" s="206">
        <f>F488*E488</f>
        <v>2000</v>
      </c>
      <c r="H488" s="219"/>
      <c r="I488" s="219"/>
      <c r="J488" s="240"/>
      <c r="K488" s="240"/>
      <c r="L488" s="240"/>
    </row>
    <row r="489" ht="12.75" customHeight="1" outlineLevel="3">
      <c r="B489" s="234"/>
      <c r="E489" s="79"/>
      <c r="F489" s="80"/>
      <c r="G489" s="80"/>
      <c r="H489" s="240"/>
      <c r="I489" s="240"/>
      <c r="J489" s="240"/>
      <c r="K489" s="240"/>
      <c r="L489" s="240"/>
    </row>
    <row r="490" ht="12.75" customHeight="1" outlineLevel="3">
      <c r="A490" s="89" t="s">
        <v>388</v>
      </c>
      <c r="B490" s="267" t="s">
        <v>2270</v>
      </c>
      <c r="C490" s="268" t="s">
        <v>389</v>
      </c>
      <c r="D490" s="269" t="s">
        <v>75</v>
      </c>
      <c r="E490" s="270">
        <v>1.0</v>
      </c>
      <c r="F490" s="205">
        <v>7200.0</v>
      </c>
      <c r="G490" s="206">
        <f>F490*E490</f>
        <v>7200</v>
      </c>
      <c r="H490" s="219"/>
      <c r="I490" s="219"/>
      <c r="J490" s="240"/>
      <c r="K490" s="240"/>
      <c r="L490" s="240"/>
    </row>
    <row r="491" ht="12.75" customHeight="1" outlineLevel="3">
      <c r="B491" s="234"/>
      <c r="E491" s="79"/>
      <c r="F491" s="80"/>
      <c r="G491" s="80"/>
      <c r="H491" s="240"/>
      <c r="I491" s="240"/>
      <c r="J491" s="240"/>
      <c r="K491" s="240"/>
      <c r="L491" s="240"/>
    </row>
    <row r="492" ht="12.75" customHeight="1" outlineLevel="3">
      <c r="A492" s="89" t="s">
        <v>390</v>
      </c>
      <c r="B492" s="267" t="s">
        <v>2272</v>
      </c>
      <c r="C492" s="268" t="s">
        <v>391</v>
      </c>
      <c r="D492" s="269" t="s">
        <v>75</v>
      </c>
      <c r="E492" s="270">
        <v>1.0</v>
      </c>
      <c r="F492" s="205">
        <v>8000.0</v>
      </c>
      <c r="G492" s="206">
        <f>F492*E492</f>
        <v>8000</v>
      </c>
      <c r="H492" s="219"/>
      <c r="I492" s="219"/>
      <c r="J492" s="240"/>
      <c r="K492" s="240"/>
      <c r="L492" s="240"/>
    </row>
    <row r="493" ht="12.75" customHeight="1" outlineLevel="3">
      <c r="B493" s="234"/>
      <c r="E493" s="79"/>
      <c r="F493" s="80"/>
      <c r="G493" s="80"/>
      <c r="H493" s="240"/>
      <c r="I493" s="240"/>
      <c r="J493" s="240"/>
      <c r="K493" s="240"/>
      <c r="L493" s="240"/>
    </row>
    <row r="494" ht="12.75" customHeight="1" outlineLevel="3">
      <c r="A494" s="89" t="s">
        <v>392</v>
      </c>
      <c r="B494" s="267" t="s">
        <v>2274</v>
      </c>
      <c r="C494" s="268" t="s">
        <v>393</v>
      </c>
      <c r="D494" s="269" t="s">
        <v>75</v>
      </c>
      <c r="E494" s="270">
        <v>1.0</v>
      </c>
      <c r="F494" s="205">
        <v>5600.0</v>
      </c>
      <c r="G494" s="206">
        <f>F494*E494</f>
        <v>5600</v>
      </c>
      <c r="H494" s="219"/>
      <c r="I494" s="219"/>
      <c r="J494" s="240"/>
      <c r="K494" s="240"/>
      <c r="L494" s="240"/>
    </row>
    <row r="495" ht="12.75" customHeight="1" outlineLevel="3">
      <c r="B495" s="234"/>
      <c r="E495" s="79"/>
      <c r="F495" s="80"/>
      <c r="G495" s="80"/>
      <c r="H495" s="240"/>
      <c r="I495" s="240"/>
      <c r="J495" s="240"/>
      <c r="K495" s="240"/>
      <c r="L495" s="240"/>
    </row>
    <row r="496" ht="12.75" customHeight="1" outlineLevel="3">
      <c r="A496" s="89" t="s">
        <v>394</v>
      </c>
      <c r="B496" s="267" t="s">
        <v>2276</v>
      </c>
      <c r="C496" s="268" t="s">
        <v>395</v>
      </c>
      <c r="D496" s="269" t="s">
        <v>75</v>
      </c>
      <c r="E496" s="270">
        <v>1.0</v>
      </c>
      <c r="F496" s="205">
        <v>10000.0</v>
      </c>
      <c r="G496" s="206">
        <f>F496*E496</f>
        <v>10000</v>
      </c>
      <c r="H496" s="219"/>
      <c r="I496" s="219"/>
      <c r="J496" s="240"/>
      <c r="K496" s="240"/>
      <c r="L496" s="240"/>
    </row>
    <row r="497" ht="12.75" customHeight="1" outlineLevel="3">
      <c r="B497" s="234"/>
      <c r="E497" s="79"/>
      <c r="F497" s="80"/>
      <c r="G497" s="80"/>
      <c r="H497" s="240"/>
      <c r="I497" s="240"/>
      <c r="J497" s="240"/>
      <c r="K497" s="240"/>
      <c r="L497" s="240"/>
    </row>
    <row r="498" ht="12.75" customHeight="1" outlineLevel="3">
      <c r="A498" s="89" t="s">
        <v>396</v>
      </c>
      <c r="B498" s="267" t="s">
        <v>2278</v>
      </c>
      <c r="C498" s="268" t="s">
        <v>397</v>
      </c>
      <c r="D498" s="269" t="s">
        <v>75</v>
      </c>
      <c r="E498" s="270">
        <v>1.0</v>
      </c>
      <c r="F498" s="205">
        <v>10000.0</v>
      </c>
      <c r="G498" s="206">
        <f>F498*E498</f>
        <v>10000</v>
      </c>
      <c r="H498" s="219"/>
      <c r="I498" s="219"/>
      <c r="J498" s="240"/>
      <c r="K498" s="240"/>
      <c r="L498" s="240"/>
    </row>
    <row r="499" ht="12.75" customHeight="1" outlineLevel="3">
      <c r="B499" s="234"/>
      <c r="E499" s="79"/>
      <c r="F499" s="80"/>
      <c r="G499" s="80"/>
      <c r="H499" s="240"/>
      <c r="I499" s="240"/>
      <c r="J499" s="240"/>
      <c r="K499" s="240"/>
      <c r="L499" s="240"/>
    </row>
    <row r="500" ht="12.75" customHeight="1" outlineLevel="3">
      <c r="A500" s="89" t="s">
        <v>398</v>
      </c>
      <c r="B500" s="267" t="s">
        <v>2280</v>
      </c>
      <c r="C500" s="268" t="s">
        <v>399</v>
      </c>
      <c r="D500" s="269" t="s">
        <v>75</v>
      </c>
      <c r="E500" s="270">
        <v>1.0</v>
      </c>
      <c r="F500" s="205">
        <v>8500.0</v>
      </c>
      <c r="G500" s="206">
        <f>F500*E500</f>
        <v>8500</v>
      </c>
      <c r="H500" s="219"/>
      <c r="I500" s="219"/>
      <c r="J500" s="240"/>
      <c r="K500" s="240"/>
      <c r="L500" s="240"/>
    </row>
    <row r="501" ht="12.75" customHeight="1" outlineLevel="3">
      <c r="B501" s="234"/>
      <c r="E501" s="79"/>
      <c r="F501" s="80"/>
      <c r="G501" s="80"/>
      <c r="H501" s="240"/>
      <c r="I501" s="240"/>
      <c r="J501" s="240"/>
      <c r="K501" s="240"/>
      <c r="L501" s="240"/>
    </row>
    <row r="502" ht="12.75" customHeight="1" outlineLevel="3">
      <c r="A502" s="89" t="s">
        <v>400</v>
      </c>
      <c r="B502" s="267" t="s">
        <v>2282</v>
      </c>
      <c r="C502" s="268" t="s">
        <v>401</v>
      </c>
      <c r="D502" s="269" t="s">
        <v>75</v>
      </c>
      <c r="E502" s="270">
        <v>1.0</v>
      </c>
      <c r="F502" s="205">
        <v>11000.0</v>
      </c>
      <c r="G502" s="206">
        <f>F502*E502</f>
        <v>11000</v>
      </c>
      <c r="H502" s="219"/>
      <c r="I502" s="219"/>
      <c r="J502" s="240"/>
      <c r="K502" s="240"/>
      <c r="L502" s="240"/>
    </row>
    <row r="503" ht="12.75" customHeight="1" outlineLevel="3">
      <c r="B503" s="234"/>
      <c r="E503" s="79"/>
      <c r="F503" s="80"/>
      <c r="G503" s="80"/>
      <c r="H503" s="240"/>
      <c r="I503" s="240"/>
      <c r="J503" s="240"/>
      <c r="K503" s="240"/>
      <c r="L503" s="240"/>
    </row>
    <row r="504" ht="12.75" customHeight="1" outlineLevel="3">
      <c r="A504" s="89" t="s">
        <v>402</v>
      </c>
      <c r="B504" s="267" t="s">
        <v>2284</v>
      </c>
      <c r="C504" s="268" t="s">
        <v>403</v>
      </c>
      <c r="D504" s="269" t="s">
        <v>75</v>
      </c>
      <c r="E504" s="270">
        <v>1.0</v>
      </c>
      <c r="F504" s="205">
        <v>11000.0</v>
      </c>
      <c r="G504" s="206">
        <f>F504*E504</f>
        <v>11000</v>
      </c>
      <c r="H504" s="219"/>
      <c r="I504" s="219"/>
      <c r="J504" s="240"/>
      <c r="K504" s="240"/>
      <c r="L504" s="240"/>
    </row>
    <row r="505" ht="12.75" customHeight="1" outlineLevel="3">
      <c r="B505" s="234"/>
      <c r="E505" s="79"/>
      <c r="F505" s="80"/>
      <c r="G505" s="80"/>
      <c r="H505" s="240"/>
      <c r="I505" s="240"/>
      <c r="J505" s="240"/>
      <c r="K505" s="240"/>
      <c r="L505" s="240"/>
    </row>
    <row r="506" ht="12.75" customHeight="1" outlineLevel="3">
      <c r="A506" s="89" t="s">
        <v>404</v>
      </c>
      <c r="B506" s="267" t="s">
        <v>2286</v>
      </c>
      <c r="C506" s="268" t="s">
        <v>405</v>
      </c>
      <c r="D506" s="269" t="s">
        <v>75</v>
      </c>
      <c r="E506" s="270">
        <v>1.0</v>
      </c>
      <c r="F506" s="205">
        <v>4200.0</v>
      </c>
      <c r="G506" s="206">
        <f>F506*E506</f>
        <v>4200</v>
      </c>
      <c r="H506" s="219"/>
      <c r="I506" s="219"/>
      <c r="J506" s="240"/>
      <c r="K506" s="240"/>
      <c r="L506" s="240"/>
    </row>
    <row r="507" ht="12.75" customHeight="1" outlineLevel="3">
      <c r="B507" s="234"/>
      <c r="E507" s="79"/>
      <c r="F507" s="80"/>
      <c r="G507" s="80"/>
      <c r="H507" s="240"/>
      <c r="I507" s="240"/>
      <c r="J507" s="240"/>
      <c r="K507" s="240"/>
      <c r="L507" s="240"/>
    </row>
    <row r="508" ht="12.75" customHeight="1" outlineLevel="3">
      <c r="A508" s="89" t="s">
        <v>406</v>
      </c>
      <c r="B508" s="267" t="s">
        <v>2288</v>
      </c>
      <c r="C508" s="268" t="s">
        <v>407</v>
      </c>
      <c r="D508" s="269" t="s">
        <v>75</v>
      </c>
      <c r="E508" s="270">
        <v>1.0</v>
      </c>
      <c r="F508" s="205">
        <v>4000.0</v>
      </c>
      <c r="G508" s="206">
        <f>F508*E508</f>
        <v>4000</v>
      </c>
      <c r="H508" s="219"/>
      <c r="I508" s="219"/>
      <c r="J508" s="240"/>
      <c r="K508" s="240"/>
      <c r="L508" s="240"/>
    </row>
    <row r="509" ht="12.75" customHeight="1" outlineLevel="3">
      <c r="B509" s="234"/>
      <c r="E509" s="79"/>
      <c r="F509" s="80"/>
      <c r="G509" s="80"/>
      <c r="H509" s="240"/>
      <c r="I509" s="240"/>
      <c r="J509" s="240"/>
      <c r="K509" s="240"/>
      <c r="L509" s="240"/>
    </row>
    <row r="510" ht="12.75" customHeight="1" outlineLevel="3">
      <c r="A510" s="89" t="s">
        <v>408</v>
      </c>
      <c r="B510" s="267" t="s">
        <v>2290</v>
      </c>
      <c r="C510" s="268" t="s">
        <v>409</v>
      </c>
      <c r="D510" s="269" t="s">
        <v>75</v>
      </c>
      <c r="E510" s="270">
        <v>1.0</v>
      </c>
      <c r="F510" s="205">
        <v>4900.0</v>
      </c>
      <c r="G510" s="206">
        <f>F510*E510</f>
        <v>4900</v>
      </c>
      <c r="H510" s="219"/>
      <c r="I510" s="219"/>
      <c r="J510" s="240"/>
      <c r="K510" s="240"/>
      <c r="L510" s="240"/>
    </row>
    <row r="511" ht="12.75" customHeight="1" outlineLevel="3">
      <c r="B511" s="234"/>
      <c r="E511" s="79"/>
      <c r="F511" s="80"/>
      <c r="G511" s="80"/>
      <c r="H511" s="240"/>
      <c r="I511" s="240"/>
      <c r="J511" s="240"/>
      <c r="K511" s="240"/>
      <c r="L511" s="240"/>
    </row>
    <row r="512" ht="12.75" customHeight="1" outlineLevel="3">
      <c r="A512" s="89" t="s">
        <v>410</v>
      </c>
      <c r="B512" s="267" t="s">
        <v>2292</v>
      </c>
      <c r="C512" s="268" t="s">
        <v>411</v>
      </c>
      <c r="D512" s="269" t="s">
        <v>75</v>
      </c>
      <c r="E512" s="270">
        <v>1.0</v>
      </c>
      <c r="F512" s="205">
        <v>30000.0</v>
      </c>
      <c r="G512" s="206">
        <f>F512*E512</f>
        <v>30000</v>
      </c>
      <c r="H512" s="219"/>
      <c r="I512" s="219"/>
      <c r="J512" s="240"/>
      <c r="K512" s="240"/>
      <c r="L512" s="240"/>
    </row>
    <row r="513" ht="12.75" customHeight="1" outlineLevel="3">
      <c r="B513" s="234"/>
      <c r="E513" s="79"/>
      <c r="F513" s="80"/>
      <c r="G513" s="80"/>
      <c r="H513" s="240"/>
      <c r="I513" s="240"/>
      <c r="J513" s="240"/>
      <c r="K513" s="240"/>
      <c r="L513" s="240"/>
    </row>
    <row r="514" ht="12.75" customHeight="1" outlineLevel="3">
      <c r="A514" s="89" t="s">
        <v>412</v>
      </c>
      <c r="B514" s="267" t="s">
        <v>2294</v>
      </c>
      <c r="C514" s="268" t="s">
        <v>413</v>
      </c>
      <c r="D514" s="269" t="s">
        <v>75</v>
      </c>
      <c r="E514" s="270">
        <v>1.0</v>
      </c>
      <c r="F514" s="205">
        <v>8000.0</v>
      </c>
      <c r="G514" s="206">
        <f>F514*E514</f>
        <v>8000</v>
      </c>
      <c r="H514" s="219"/>
      <c r="I514" s="219"/>
      <c r="J514" s="240"/>
      <c r="K514" s="240"/>
      <c r="L514" s="240"/>
    </row>
    <row r="515" ht="12.75" customHeight="1" outlineLevel="3">
      <c r="B515" s="234"/>
      <c r="E515" s="79"/>
      <c r="F515" s="80"/>
      <c r="G515" s="80"/>
      <c r="H515" s="240"/>
      <c r="I515" s="240"/>
      <c r="J515" s="240"/>
      <c r="K515" s="240"/>
      <c r="L515" s="240"/>
    </row>
    <row r="516" ht="12.75" customHeight="1" outlineLevel="3">
      <c r="A516" s="89" t="s">
        <v>414</v>
      </c>
      <c r="B516" s="267" t="s">
        <v>2296</v>
      </c>
      <c r="C516" s="268" t="s">
        <v>415</v>
      </c>
      <c r="D516" s="269" t="s">
        <v>75</v>
      </c>
      <c r="E516" s="270">
        <v>1.0</v>
      </c>
      <c r="F516" s="205">
        <v>4000.0</v>
      </c>
      <c r="G516" s="206">
        <f>F516*E516</f>
        <v>4000</v>
      </c>
      <c r="H516" s="219"/>
      <c r="I516" s="219"/>
      <c r="J516" s="240"/>
      <c r="K516" s="240"/>
      <c r="L516" s="240"/>
    </row>
    <row r="517" ht="12.75" customHeight="1" outlineLevel="3">
      <c r="B517" s="234"/>
      <c r="E517" s="79"/>
      <c r="F517" s="80"/>
      <c r="G517" s="80"/>
      <c r="H517" s="240"/>
      <c r="I517" s="240"/>
      <c r="J517" s="240"/>
      <c r="K517" s="240"/>
      <c r="L517" s="240"/>
    </row>
    <row r="518" ht="12.75" customHeight="1" outlineLevel="3">
      <c r="A518" s="89" t="s">
        <v>416</v>
      </c>
      <c r="B518" s="267" t="s">
        <v>2298</v>
      </c>
      <c r="C518" s="268" t="s">
        <v>417</v>
      </c>
      <c r="D518" s="269" t="s">
        <v>75</v>
      </c>
      <c r="E518" s="270">
        <v>1.0</v>
      </c>
      <c r="F518" s="205">
        <v>4500.0</v>
      </c>
      <c r="G518" s="206">
        <f>F518*E518</f>
        <v>4500</v>
      </c>
      <c r="H518" s="219"/>
      <c r="I518" s="219"/>
      <c r="J518" s="240"/>
      <c r="K518" s="240"/>
      <c r="L518" s="240"/>
    </row>
    <row r="519" ht="12.75" customHeight="1" outlineLevel="3">
      <c r="B519" s="234"/>
      <c r="E519" s="79"/>
      <c r="F519" s="80"/>
      <c r="G519" s="80"/>
      <c r="H519" s="240"/>
      <c r="I519" s="240"/>
      <c r="J519" s="240"/>
      <c r="K519" s="240"/>
      <c r="L519" s="240"/>
    </row>
    <row r="520" ht="12.75" customHeight="1" outlineLevel="3">
      <c r="A520" s="89" t="s">
        <v>418</v>
      </c>
      <c r="B520" s="267" t="s">
        <v>2300</v>
      </c>
      <c r="C520" s="268" t="s">
        <v>419</v>
      </c>
      <c r="D520" s="269" t="s">
        <v>75</v>
      </c>
      <c r="E520" s="270">
        <v>1.0</v>
      </c>
      <c r="F520" s="205">
        <v>6100.0</v>
      </c>
      <c r="G520" s="206">
        <f>F520*E520</f>
        <v>6100</v>
      </c>
      <c r="H520" s="219"/>
      <c r="I520" s="219"/>
      <c r="J520" s="240"/>
      <c r="K520" s="240"/>
      <c r="L520" s="240"/>
    </row>
    <row r="521" ht="12.75" customHeight="1" outlineLevel="3">
      <c r="B521" s="234"/>
      <c r="E521" s="79"/>
      <c r="F521" s="80"/>
      <c r="G521" s="80"/>
      <c r="H521" s="240"/>
      <c r="I521" s="240"/>
      <c r="J521" s="240"/>
      <c r="K521" s="240"/>
      <c r="L521" s="240"/>
    </row>
    <row r="522" ht="12.75" customHeight="1" outlineLevel="3">
      <c r="A522" s="89" t="s">
        <v>420</v>
      </c>
      <c r="B522" s="267" t="s">
        <v>2302</v>
      </c>
      <c r="C522" s="268" t="s">
        <v>421</v>
      </c>
      <c r="D522" s="269" t="s">
        <v>75</v>
      </c>
      <c r="E522" s="270">
        <v>1.0</v>
      </c>
      <c r="F522" s="205">
        <v>5500.0</v>
      </c>
      <c r="G522" s="206">
        <f>F522*E522</f>
        <v>5500</v>
      </c>
      <c r="H522" s="219"/>
      <c r="I522" s="219"/>
      <c r="J522" s="240"/>
      <c r="K522" s="240"/>
      <c r="L522" s="240"/>
    </row>
    <row r="523" ht="12.75" customHeight="1" outlineLevel="3">
      <c r="B523" s="234"/>
      <c r="E523" s="79"/>
      <c r="F523" s="80"/>
      <c r="G523" s="80"/>
      <c r="H523" s="240"/>
      <c r="I523" s="240"/>
      <c r="J523" s="240"/>
      <c r="K523" s="240"/>
      <c r="L523" s="240"/>
    </row>
    <row r="524" ht="12.75" customHeight="1" outlineLevel="3">
      <c r="A524" s="89" t="s">
        <v>422</v>
      </c>
      <c r="B524" s="267" t="s">
        <v>2304</v>
      </c>
      <c r="C524" s="268" t="s">
        <v>423</v>
      </c>
      <c r="D524" s="269" t="s">
        <v>75</v>
      </c>
      <c r="E524" s="270">
        <v>1.0</v>
      </c>
      <c r="F524" s="205">
        <v>2300.0</v>
      </c>
      <c r="G524" s="206">
        <f>F524*E524</f>
        <v>2300</v>
      </c>
      <c r="H524" s="219"/>
      <c r="I524" s="219"/>
      <c r="J524" s="240"/>
      <c r="K524" s="240"/>
      <c r="L524" s="240"/>
    </row>
    <row r="525" ht="12.75" customHeight="1" outlineLevel="3">
      <c r="B525" s="234"/>
      <c r="E525" s="79"/>
      <c r="F525" s="80"/>
      <c r="G525" s="80"/>
      <c r="H525" s="240"/>
      <c r="I525" s="240"/>
      <c r="J525" s="240"/>
      <c r="K525" s="240"/>
      <c r="L525" s="240"/>
    </row>
    <row r="526" ht="12.75" customHeight="1" outlineLevel="3">
      <c r="A526" s="89" t="s">
        <v>424</v>
      </c>
      <c r="B526" s="267" t="s">
        <v>2306</v>
      </c>
      <c r="C526" s="268" t="s">
        <v>425</v>
      </c>
      <c r="D526" s="269" t="s">
        <v>75</v>
      </c>
      <c r="E526" s="270">
        <v>1.0</v>
      </c>
      <c r="F526" s="205">
        <v>4000.0</v>
      </c>
      <c r="G526" s="206">
        <f>F526*E526</f>
        <v>4000</v>
      </c>
      <c r="H526" s="219"/>
      <c r="I526" s="219"/>
      <c r="J526" s="240"/>
      <c r="K526" s="240"/>
      <c r="L526" s="240"/>
    </row>
    <row r="527" ht="12.75" customHeight="1" outlineLevel="3">
      <c r="B527" s="234"/>
      <c r="E527" s="79"/>
      <c r="F527" s="80"/>
      <c r="G527" s="80"/>
      <c r="H527" s="240"/>
      <c r="I527" s="240"/>
      <c r="J527" s="240"/>
      <c r="K527" s="240"/>
      <c r="L527" s="240"/>
    </row>
    <row r="528" ht="12.75" customHeight="1" outlineLevel="3">
      <c r="A528" s="89" t="s">
        <v>426</v>
      </c>
      <c r="B528" s="267" t="s">
        <v>2308</v>
      </c>
      <c r="C528" s="268" t="s">
        <v>427</v>
      </c>
      <c r="D528" s="269" t="s">
        <v>75</v>
      </c>
      <c r="E528" s="270">
        <v>1.0</v>
      </c>
      <c r="F528" s="205">
        <v>1269.31</v>
      </c>
      <c r="G528" s="206">
        <v>1400.0</v>
      </c>
      <c r="H528" s="219"/>
      <c r="I528" s="219"/>
      <c r="J528" s="240"/>
      <c r="K528" s="240"/>
      <c r="L528" s="240"/>
    </row>
    <row r="529" ht="15.75" customHeight="1" outlineLevel="3">
      <c r="B529" s="234"/>
      <c r="E529" s="79"/>
      <c r="F529" s="80"/>
      <c r="G529" s="80"/>
      <c r="H529" s="240"/>
      <c r="I529" s="240"/>
      <c r="J529" s="240"/>
      <c r="K529" s="240"/>
      <c r="L529" s="240"/>
    </row>
    <row r="530" ht="12.75" customHeight="1" outlineLevel="2">
      <c r="A530" s="89"/>
      <c r="B530" s="275"/>
      <c r="C530" s="285"/>
      <c r="D530" s="274"/>
      <c r="E530" s="275"/>
      <c r="F530" s="239"/>
      <c r="G530" s="239"/>
      <c r="H530" s="240"/>
      <c r="I530" s="240"/>
      <c r="J530" s="240"/>
      <c r="K530" s="240"/>
      <c r="L530" s="240"/>
    </row>
    <row r="531" ht="12.75" customHeight="1" outlineLevel="2">
      <c r="A531" s="89" t="s">
        <v>428</v>
      </c>
      <c r="B531" s="267">
        <v>10.2</v>
      </c>
      <c r="C531" s="268" t="s">
        <v>429</v>
      </c>
      <c r="D531" s="269"/>
      <c r="E531" s="270"/>
      <c r="F531" s="205"/>
      <c r="G531" s="206"/>
      <c r="H531" s="219"/>
      <c r="I531" s="219"/>
      <c r="J531" s="240"/>
      <c r="K531" s="240"/>
      <c r="L531" s="240"/>
    </row>
    <row r="532" ht="12.75" customHeight="1" outlineLevel="3">
      <c r="B532" s="234"/>
      <c r="E532" s="79"/>
      <c r="F532" s="80"/>
      <c r="G532" s="80"/>
      <c r="H532" s="240"/>
      <c r="I532" s="240"/>
      <c r="J532" s="240"/>
      <c r="K532" s="240"/>
      <c r="L532" s="240"/>
    </row>
    <row r="533" ht="12.75" customHeight="1" outlineLevel="3">
      <c r="A533" s="89" t="s">
        <v>430</v>
      </c>
      <c r="B533" s="267" t="s">
        <v>2311</v>
      </c>
      <c r="C533" s="268" t="s">
        <v>431</v>
      </c>
      <c r="D533" s="269" t="s">
        <v>75</v>
      </c>
      <c r="E533" s="270">
        <v>1.0</v>
      </c>
      <c r="F533" s="205">
        <v>403.01</v>
      </c>
      <c r="G533" s="206">
        <v>400.0</v>
      </c>
      <c r="H533" s="219"/>
      <c r="I533" s="219"/>
      <c r="J533" s="240"/>
      <c r="K533" s="240"/>
      <c r="L533" s="240"/>
    </row>
    <row r="534" ht="12.75" customHeight="1" outlineLevel="3">
      <c r="B534" s="234"/>
      <c r="E534" s="79"/>
      <c r="F534" s="80"/>
      <c r="G534" s="80"/>
      <c r="H534" s="240"/>
      <c r="I534" s="240"/>
      <c r="J534" s="240"/>
      <c r="K534" s="240"/>
      <c r="L534" s="240"/>
    </row>
    <row r="535" ht="12.75" customHeight="1" outlineLevel="1">
      <c r="A535" s="89" t="s">
        <v>432</v>
      </c>
      <c r="B535" s="234"/>
      <c r="C535" s="184" t="s">
        <v>433</v>
      </c>
      <c r="E535" s="79"/>
      <c r="F535" s="917">
        <f>SUM(G537:G565)</f>
        <v>9855</v>
      </c>
      <c r="G535" s="80"/>
      <c r="H535" s="240"/>
      <c r="I535" s="240"/>
      <c r="J535" s="240"/>
      <c r="K535" s="240"/>
      <c r="L535" s="240"/>
    </row>
    <row r="536" ht="12.75" customHeight="1" outlineLevel="2">
      <c r="B536" s="234"/>
      <c r="E536" s="79"/>
      <c r="F536" s="80"/>
      <c r="G536" s="80"/>
      <c r="H536" s="240"/>
      <c r="I536" s="240"/>
      <c r="J536" s="240"/>
      <c r="K536" s="240"/>
      <c r="L536" s="240"/>
    </row>
    <row r="537" ht="12.75" customHeight="1" outlineLevel="2">
      <c r="A537" s="89" t="s">
        <v>434</v>
      </c>
      <c r="B537" s="267">
        <v>10.3</v>
      </c>
      <c r="C537" s="268" t="s">
        <v>435</v>
      </c>
      <c r="D537" s="269"/>
      <c r="E537" s="270"/>
      <c r="F537" s="205"/>
      <c r="G537" s="206"/>
      <c r="H537" s="219"/>
      <c r="I537" s="219"/>
      <c r="J537" s="240"/>
      <c r="K537" s="240"/>
      <c r="L537" s="240"/>
    </row>
    <row r="538" ht="12.75" customHeight="1" outlineLevel="2">
      <c r="B538" s="234"/>
      <c r="E538" s="79"/>
      <c r="F538" s="80"/>
      <c r="G538" s="80"/>
      <c r="H538" s="240"/>
      <c r="I538" s="240"/>
      <c r="J538" s="240"/>
      <c r="K538" s="240"/>
      <c r="L538" s="240"/>
    </row>
    <row r="539" ht="12.75" customHeight="1" outlineLevel="2">
      <c r="A539" s="89" t="s">
        <v>436</v>
      </c>
      <c r="B539" s="267" t="s">
        <v>2316</v>
      </c>
      <c r="C539" s="268" t="s">
        <v>437</v>
      </c>
      <c r="D539" s="269" t="s">
        <v>75</v>
      </c>
      <c r="E539" s="270">
        <v>1.0</v>
      </c>
      <c r="F539" s="205">
        <v>900.0</v>
      </c>
      <c r="G539" s="206">
        <f>F539*E539</f>
        <v>900</v>
      </c>
      <c r="H539" s="219"/>
      <c r="I539" s="219"/>
      <c r="J539" s="240"/>
      <c r="K539" s="240"/>
      <c r="L539" s="240"/>
    </row>
    <row r="540" ht="12.75" customHeight="1" outlineLevel="2">
      <c r="B540" s="234"/>
      <c r="E540" s="79"/>
      <c r="F540" s="80"/>
      <c r="G540" s="80"/>
      <c r="H540" s="240"/>
      <c r="I540" s="240"/>
      <c r="J540" s="240"/>
      <c r="K540" s="240"/>
      <c r="L540" s="240"/>
    </row>
    <row r="541" ht="12.75" customHeight="1" outlineLevel="2">
      <c r="A541" s="89" t="s">
        <v>438</v>
      </c>
      <c r="B541" s="267">
        <v>10.4</v>
      </c>
      <c r="C541" s="268" t="s">
        <v>439</v>
      </c>
      <c r="D541" s="269"/>
      <c r="E541" s="270"/>
      <c r="F541" s="205"/>
      <c r="G541" s="206"/>
      <c r="H541" s="219"/>
      <c r="I541" s="219"/>
      <c r="J541" s="240"/>
      <c r="K541" s="240"/>
      <c r="L541" s="240"/>
    </row>
    <row r="542" ht="12.75" customHeight="1" outlineLevel="2">
      <c r="B542" s="234"/>
      <c r="E542" s="79"/>
      <c r="F542" s="80"/>
      <c r="G542" s="80"/>
      <c r="H542" s="240"/>
      <c r="I542" s="240"/>
      <c r="J542" s="240"/>
      <c r="K542" s="240"/>
      <c r="L542" s="240"/>
    </row>
    <row r="543" ht="12.75" customHeight="1" outlineLevel="2">
      <c r="A543" s="89" t="s">
        <v>440</v>
      </c>
      <c r="B543" s="267" t="s">
        <v>2320</v>
      </c>
      <c r="C543" s="268" t="s">
        <v>441</v>
      </c>
      <c r="D543" s="269" t="s">
        <v>75</v>
      </c>
      <c r="E543" s="270">
        <v>1.0</v>
      </c>
      <c r="F543" s="205">
        <v>900.0</v>
      </c>
      <c r="G543" s="206">
        <f>F543*E543</f>
        <v>900</v>
      </c>
      <c r="H543" s="219"/>
      <c r="I543" s="219"/>
      <c r="J543" s="240"/>
      <c r="K543" s="240"/>
      <c r="L543" s="240"/>
    </row>
    <row r="544" ht="12.75" customHeight="1" outlineLevel="2">
      <c r="B544" s="234"/>
      <c r="E544" s="79"/>
      <c r="F544" s="80"/>
      <c r="G544" s="80"/>
      <c r="H544" s="240"/>
      <c r="I544" s="240"/>
      <c r="J544" s="240"/>
      <c r="K544" s="240"/>
      <c r="L544" s="240"/>
    </row>
    <row r="545" ht="12.75" customHeight="1" outlineLevel="2">
      <c r="A545" s="89" t="s">
        <v>442</v>
      </c>
      <c r="B545" s="267">
        <v>10.5</v>
      </c>
      <c r="C545" s="268" t="s">
        <v>443</v>
      </c>
      <c r="D545" s="269"/>
      <c r="E545" s="270"/>
      <c r="F545" s="205"/>
      <c r="G545" s="206"/>
      <c r="H545" s="219"/>
      <c r="I545" s="219"/>
      <c r="J545" s="240"/>
      <c r="K545" s="240"/>
      <c r="L545" s="240"/>
    </row>
    <row r="546" ht="12.75" customHeight="1" outlineLevel="2">
      <c r="B546" s="234"/>
      <c r="E546" s="79"/>
      <c r="F546" s="80"/>
      <c r="G546" s="80"/>
      <c r="H546" s="240"/>
      <c r="I546" s="240"/>
      <c r="J546" s="240"/>
      <c r="K546" s="240"/>
      <c r="L546" s="240"/>
    </row>
    <row r="547" ht="12.75" customHeight="1" outlineLevel="2">
      <c r="A547" s="89" t="s">
        <v>444</v>
      </c>
      <c r="B547" s="267" t="s">
        <v>2324</v>
      </c>
      <c r="C547" s="268" t="s">
        <v>445</v>
      </c>
      <c r="D547" s="269" t="s">
        <v>75</v>
      </c>
      <c r="E547" s="270">
        <v>1.0</v>
      </c>
      <c r="F547" s="205">
        <v>1000.0</v>
      </c>
      <c r="G547" s="206">
        <f>F547*E547</f>
        <v>1000</v>
      </c>
      <c r="H547" s="219"/>
      <c r="I547" s="219"/>
      <c r="J547" s="240"/>
      <c r="K547" s="240"/>
      <c r="L547" s="240"/>
    </row>
    <row r="548" ht="12.75" customHeight="1" outlineLevel="2">
      <c r="B548" s="234"/>
      <c r="E548" s="79"/>
      <c r="F548" s="80"/>
      <c r="G548" s="80"/>
      <c r="H548" s="240"/>
      <c r="I548" s="240"/>
      <c r="J548" s="240"/>
      <c r="K548" s="240"/>
      <c r="L548" s="240"/>
    </row>
    <row r="549" ht="12.75" customHeight="1" outlineLevel="2">
      <c r="A549" s="89" t="s">
        <v>446</v>
      </c>
      <c r="B549" s="267" t="s">
        <v>2326</v>
      </c>
      <c r="C549" s="268" t="s">
        <v>447</v>
      </c>
      <c r="D549" s="269" t="s">
        <v>75</v>
      </c>
      <c r="E549" s="270">
        <v>1.0</v>
      </c>
      <c r="F549" s="205">
        <v>1000.0</v>
      </c>
      <c r="G549" s="206">
        <f>F549*E549</f>
        <v>1000</v>
      </c>
      <c r="H549" s="219"/>
      <c r="I549" s="219"/>
      <c r="J549" s="240"/>
      <c r="K549" s="240"/>
      <c r="L549" s="240"/>
    </row>
    <row r="550" ht="12.75" customHeight="1" outlineLevel="2">
      <c r="B550" s="234"/>
      <c r="E550" s="79"/>
      <c r="F550" s="80"/>
      <c r="G550" s="80"/>
      <c r="H550" s="240"/>
      <c r="I550" s="240"/>
      <c r="J550" s="240"/>
      <c r="K550" s="240"/>
      <c r="L550" s="240"/>
    </row>
    <row r="551" ht="12.75" customHeight="1" outlineLevel="2">
      <c r="A551" s="89" t="s">
        <v>448</v>
      </c>
      <c r="B551" s="267">
        <v>10.6</v>
      </c>
      <c r="C551" s="268" t="s">
        <v>449</v>
      </c>
      <c r="D551" s="269"/>
      <c r="E551" s="270"/>
      <c r="F551" s="205"/>
      <c r="G551" s="206"/>
      <c r="H551" s="219"/>
      <c r="I551" s="219"/>
      <c r="J551" s="240"/>
      <c r="K551" s="240"/>
      <c r="L551" s="240"/>
    </row>
    <row r="552" ht="12.75" customHeight="1" outlineLevel="2">
      <c r="B552" s="234"/>
      <c r="E552" s="79"/>
      <c r="F552" s="80"/>
      <c r="G552" s="80"/>
      <c r="H552" s="240"/>
      <c r="I552" s="240"/>
      <c r="J552" s="240"/>
      <c r="K552" s="240"/>
      <c r="L552" s="240"/>
    </row>
    <row r="553" ht="12.75" customHeight="1" outlineLevel="2">
      <c r="A553" s="89" t="s">
        <v>450</v>
      </c>
      <c r="B553" s="267" t="s">
        <v>2330</v>
      </c>
      <c r="C553" s="268" t="s">
        <v>451</v>
      </c>
      <c r="D553" s="269" t="s">
        <v>75</v>
      </c>
      <c r="E553" s="270">
        <v>1.0</v>
      </c>
      <c r="F553" s="205">
        <v>1100.0</v>
      </c>
      <c r="G553" s="206">
        <f>F553*E553</f>
        <v>1100</v>
      </c>
      <c r="H553" s="219"/>
      <c r="I553" s="219"/>
      <c r="J553" s="240"/>
      <c r="K553" s="240"/>
      <c r="L553" s="240"/>
    </row>
    <row r="554" ht="12.75" customHeight="1" outlineLevel="2">
      <c r="B554" s="234"/>
      <c r="E554" s="79"/>
      <c r="F554" s="80"/>
      <c r="G554" s="80"/>
      <c r="H554" s="240"/>
      <c r="I554" s="240"/>
      <c r="J554" s="240"/>
      <c r="K554" s="240"/>
      <c r="L554" s="240"/>
    </row>
    <row r="555" ht="12.75" customHeight="1" outlineLevel="2">
      <c r="A555" s="89" t="s">
        <v>452</v>
      </c>
      <c r="B555" s="267">
        <v>10.7</v>
      </c>
      <c r="C555" s="268" t="s">
        <v>453</v>
      </c>
      <c r="D555" s="269"/>
      <c r="E555" s="270"/>
      <c r="F555" s="205"/>
      <c r="G555" s="206"/>
      <c r="H555" s="219"/>
      <c r="I555" s="219"/>
      <c r="J555" s="240"/>
      <c r="K555" s="240"/>
      <c r="L555" s="240"/>
    </row>
    <row r="556" ht="12.75" customHeight="1" outlineLevel="2">
      <c r="B556" s="234"/>
      <c r="E556" s="79"/>
      <c r="F556" s="80"/>
      <c r="G556" s="80"/>
      <c r="H556" s="240"/>
      <c r="I556" s="240"/>
      <c r="J556" s="240"/>
      <c r="K556" s="240"/>
      <c r="L556" s="240"/>
    </row>
    <row r="557" ht="12.75" customHeight="1" outlineLevel="2">
      <c r="A557" s="89" t="s">
        <v>454</v>
      </c>
      <c r="B557" s="267" t="s">
        <v>2334</v>
      </c>
      <c r="C557" s="268" t="s">
        <v>455</v>
      </c>
      <c r="D557" s="269" t="s">
        <v>75</v>
      </c>
      <c r="E557" s="270">
        <v>1.0</v>
      </c>
      <c r="F557" s="205">
        <v>750.0</v>
      </c>
      <c r="G557" s="206">
        <f>F557*E557</f>
        <v>750</v>
      </c>
      <c r="H557" s="240"/>
      <c r="I557" s="240"/>
      <c r="J557" s="240"/>
      <c r="K557" s="240"/>
      <c r="L557" s="240"/>
    </row>
    <row r="558" ht="12.75" customHeight="1" outlineLevel="2">
      <c r="B558" s="234"/>
      <c r="E558" s="79"/>
      <c r="F558" s="80"/>
      <c r="G558" s="80"/>
      <c r="H558" s="240"/>
      <c r="I558" s="240"/>
      <c r="J558" s="240"/>
      <c r="K558" s="240"/>
      <c r="L558" s="240"/>
    </row>
    <row r="559" ht="12.75" customHeight="1" outlineLevel="2">
      <c r="A559" s="89" t="s">
        <v>456</v>
      </c>
      <c r="B559" s="267">
        <v>10.8</v>
      </c>
      <c r="C559" s="268" t="s">
        <v>457</v>
      </c>
      <c r="D559" s="269"/>
      <c r="E559" s="270"/>
      <c r="F559" s="205"/>
      <c r="G559" s="206"/>
      <c r="H559" s="219"/>
      <c r="I559" s="219"/>
      <c r="J559" s="240"/>
      <c r="K559" s="240"/>
      <c r="L559" s="240"/>
    </row>
    <row r="560" ht="12.75" customHeight="1" outlineLevel="2">
      <c r="B560" s="234"/>
      <c r="E560" s="79"/>
      <c r="F560" s="80"/>
      <c r="G560" s="80"/>
      <c r="H560" s="240"/>
      <c r="I560" s="240"/>
      <c r="J560" s="240"/>
      <c r="K560" s="240"/>
      <c r="L560" s="240"/>
    </row>
    <row r="561" ht="12.75" customHeight="1" outlineLevel="2">
      <c r="A561" s="89" t="s">
        <v>458</v>
      </c>
      <c r="B561" s="267" t="s">
        <v>2338</v>
      </c>
      <c r="C561" s="268" t="s">
        <v>459</v>
      </c>
      <c r="D561" s="269" t="s">
        <v>75</v>
      </c>
      <c r="E561" s="270">
        <v>1.0</v>
      </c>
      <c r="F561" s="205">
        <v>1100.0</v>
      </c>
      <c r="G561" s="206">
        <f>F561*E561</f>
        <v>1100</v>
      </c>
      <c r="H561" s="219"/>
      <c r="I561" s="219"/>
      <c r="J561" s="240"/>
      <c r="K561" s="240"/>
      <c r="L561" s="240"/>
    </row>
    <row r="562" ht="12.75" customHeight="1" outlineLevel="2">
      <c r="B562" s="234"/>
      <c r="E562" s="79"/>
      <c r="F562" s="80"/>
      <c r="G562" s="80"/>
      <c r="H562" s="240"/>
      <c r="I562" s="240"/>
      <c r="J562" s="240"/>
      <c r="K562" s="240"/>
      <c r="L562" s="240"/>
    </row>
    <row r="563" ht="12.75" customHeight="1" outlineLevel="2">
      <c r="A563" s="89" t="s">
        <v>460</v>
      </c>
      <c r="B563" s="267" t="s">
        <v>2340</v>
      </c>
      <c r="C563" s="268" t="s">
        <v>461</v>
      </c>
      <c r="D563" s="269" t="s">
        <v>75</v>
      </c>
      <c r="E563" s="270">
        <v>1.0</v>
      </c>
      <c r="F563" s="205">
        <v>2015.0</v>
      </c>
      <c r="G563" s="206">
        <f>F563*E563</f>
        <v>2015</v>
      </c>
      <c r="H563" s="219"/>
      <c r="I563" s="219"/>
      <c r="J563" s="240"/>
      <c r="K563" s="240"/>
      <c r="L563" s="240"/>
    </row>
    <row r="564" ht="12.75" customHeight="1" outlineLevel="2">
      <c r="B564" s="234"/>
      <c r="E564" s="79"/>
      <c r="F564" s="80"/>
      <c r="G564" s="80"/>
      <c r="H564" s="240"/>
      <c r="I564" s="240"/>
      <c r="J564" s="240"/>
      <c r="K564" s="240"/>
      <c r="L564" s="240"/>
    </row>
    <row r="565" ht="12.75" customHeight="1" outlineLevel="2">
      <c r="A565" s="89" t="s">
        <v>462</v>
      </c>
      <c r="B565" s="267" t="s">
        <v>2342</v>
      </c>
      <c r="C565" s="268" t="s">
        <v>463</v>
      </c>
      <c r="D565" s="269" t="s">
        <v>75</v>
      </c>
      <c r="E565" s="270">
        <v>1.0</v>
      </c>
      <c r="F565" s="205">
        <v>1090.0</v>
      </c>
      <c r="G565" s="206">
        <f>F565*E565</f>
        <v>1090</v>
      </c>
      <c r="H565" s="219"/>
      <c r="I565" s="219"/>
      <c r="J565" s="240"/>
      <c r="K565" s="240"/>
      <c r="L565" s="240"/>
    </row>
    <row r="566" ht="12.75" customHeight="1" outlineLevel="2">
      <c r="B566" s="234"/>
      <c r="E566" s="79"/>
      <c r="F566" s="80"/>
      <c r="G566" s="80"/>
      <c r="H566" s="240"/>
      <c r="I566" s="240"/>
      <c r="J566" s="240"/>
      <c r="K566" s="240"/>
      <c r="L566" s="240"/>
    </row>
    <row r="567" ht="12.75" customHeight="1" outlineLevel="1">
      <c r="A567" s="89" t="s">
        <v>464</v>
      </c>
      <c r="B567" s="234"/>
      <c r="C567" s="184" t="s">
        <v>465</v>
      </c>
      <c r="E567" s="79"/>
      <c r="F567" s="917">
        <f>SUM(G569:G571)</f>
        <v>1900</v>
      </c>
      <c r="G567" s="80"/>
      <c r="H567" s="240"/>
      <c r="I567" s="240"/>
      <c r="J567" s="240"/>
      <c r="K567" s="240"/>
      <c r="L567" s="240"/>
    </row>
    <row r="568" ht="12.75" customHeight="1" outlineLevel="2">
      <c r="B568" s="234"/>
      <c r="E568" s="79"/>
      <c r="F568" s="80"/>
      <c r="G568" s="80"/>
      <c r="H568" s="240"/>
      <c r="I568" s="240"/>
      <c r="J568" s="240"/>
      <c r="K568" s="240"/>
      <c r="L568" s="240"/>
    </row>
    <row r="569" ht="12.75" customHeight="1" outlineLevel="2">
      <c r="A569" s="89" t="s">
        <v>466</v>
      </c>
      <c r="B569" s="267">
        <v>10.9</v>
      </c>
      <c r="C569" s="268" t="s">
        <v>467</v>
      </c>
      <c r="D569" s="269"/>
      <c r="E569" s="270"/>
      <c r="F569" s="205"/>
      <c r="G569" s="206"/>
      <c r="H569" s="219"/>
      <c r="I569" s="219"/>
      <c r="J569" s="240"/>
      <c r="K569" s="240"/>
      <c r="L569" s="240"/>
    </row>
    <row r="570" ht="12.75" customHeight="1" outlineLevel="2">
      <c r="B570" s="234"/>
      <c r="E570" s="79"/>
      <c r="F570" s="80"/>
      <c r="G570" s="80"/>
      <c r="H570" s="240"/>
      <c r="I570" s="240"/>
      <c r="J570" s="240"/>
      <c r="K570" s="240"/>
      <c r="L570" s="240"/>
    </row>
    <row r="571" ht="12.75" customHeight="1" outlineLevel="2">
      <c r="A571" s="89" t="s">
        <v>468</v>
      </c>
      <c r="B571" s="267" t="s">
        <v>2347</v>
      </c>
      <c r="C571" s="268" t="s">
        <v>469</v>
      </c>
      <c r="D571" s="269" t="s">
        <v>75</v>
      </c>
      <c r="E571" s="270">
        <v>1.0</v>
      </c>
      <c r="F571" s="205">
        <v>1900.0</v>
      </c>
      <c r="G571" s="206">
        <f>F571*E571</f>
        <v>1900</v>
      </c>
      <c r="H571" s="240"/>
      <c r="I571" s="240"/>
      <c r="J571" s="240"/>
      <c r="K571" s="240"/>
      <c r="L571" s="240"/>
    </row>
    <row r="572" ht="12.75" customHeight="1" outlineLevel="2">
      <c r="B572" s="234"/>
      <c r="E572" s="79"/>
      <c r="F572" s="80"/>
      <c r="G572" s="80"/>
      <c r="H572" s="240"/>
      <c r="I572" s="240"/>
      <c r="J572" s="240"/>
      <c r="K572" s="240"/>
      <c r="L572" s="240"/>
    </row>
    <row r="573" ht="12.75" customHeight="1" outlineLevel="1">
      <c r="A573" s="89" t="s">
        <v>470</v>
      </c>
      <c r="B573" s="234"/>
      <c r="C573" s="184" t="s">
        <v>471</v>
      </c>
      <c r="E573" s="79"/>
      <c r="F573" s="917">
        <f>SUM(G577)</f>
        <v>3500</v>
      </c>
      <c r="G573" s="80"/>
      <c r="H573" s="240"/>
      <c r="I573" s="240"/>
      <c r="J573" s="240"/>
      <c r="K573" s="240"/>
      <c r="L573" s="240"/>
    </row>
    <row r="574" ht="12.75" customHeight="1" outlineLevel="2">
      <c r="B574" s="234"/>
      <c r="E574" s="79"/>
      <c r="F574" s="80"/>
      <c r="G574" s="80"/>
      <c r="H574" s="240"/>
      <c r="I574" s="240"/>
      <c r="J574" s="240"/>
      <c r="K574" s="240"/>
      <c r="L574" s="240"/>
    </row>
    <row r="575" ht="12.75" customHeight="1" outlineLevel="2">
      <c r="A575" s="89" t="s">
        <v>472</v>
      </c>
      <c r="B575" s="287">
        <v>10.1</v>
      </c>
      <c r="C575" s="273" t="s">
        <v>473</v>
      </c>
      <c r="E575" s="79"/>
      <c r="F575" s="80"/>
      <c r="G575" s="80"/>
      <c r="H575" s="240"/>
      <c r="I575" s="240"/>
      <c r="J575" s="240"/>
      <c r="K575" s="240"/>
      <c r="L575" s="240"/>
    </row>
    <row r="576" ht="12.75" customHeight="1" outlineLevel="2">
      <c r="B576" s="234"/>
      <c r="E576" s="79"/>
      <c r="F576" s="80"/>
      <c r="G576" s="80"/>
      <c r="H576" s="240"/>
      <c r="I576" s="240"/>
      <c r="J576" s="240"/>
      <c r="K576" s="240"/>
      <c r="L576" s="240"/>
    </row>
    <row r="577" ht="12.75" customHeight="1" outlineLevel="2">
      <c r="A577" s="89" t="s">
        <v>474</v>
      </c>
      <c r="B577" s="267" t="s">
        <v>2351</v>
      </c>
      <c r="C577" s="268" t="s">
        <v>475</v>
      </c>
      <c r="D577" s="269" t="s">
        <v>75</v>
      </c>
      <c r="E577" s="270">
        <v>1.0</v>
      </c>
      <c r="F577" s="205">
        <v>3500.0</v>
      </c>
      <c r="G577" s="206">
        <f>F577*E577</f>
        <v>3500</v>
      </c>
      <c r="H577" s="240"/>
      <c r="I577" s="240"/>
      <c r="J577" s="240"/>
      <c r="K577" s="240"/>
      <c r="L577" s="240"/>
    </row>
    <row r="578" ht="12.75" customHeight="1" outlineLevel="2">
      <c r="B578" s="234"/>
      <c r="E578" s="79"/>
      <c r="F578" s="80"/>
      <c r="G578" s="80"/>
      <c r="H578" s="240"/>
      <c r="I578" s="240"/>
      <c r="J578" s="240"/>
      <c r="K578" s="240"/>
      <c r="L578" s="240"/>
    </row>
    <row r="579" ht="12.75" customHeight="1" outlineLevel="1">
      <c r="A579" s="89" t="s">
        <v>476</v>
      </c>
      <c r="B579" s="234"/>
      <c r="C579" s="184" t="s">
        <v>477</v>
      </c>
      <c r="E579" s="79"/>
      <c r="F579" s="917">
        <f>SUM(G581)</f>
        <v>6200</v>
      </c>
      <c r="G579" s="80"/>
      <c r="H579" s="240"/>
      <c r="I579" s="240"/>
      <c r="J579" s="240"/>
      <c r="K579" s="240"/>
      <c r="L579" s="240"/>
    </row>
    <row r="580" ht="12.75" customHeight="1" outlineLevel="2">
      <c r="B580" s="234"/>
      <c r="E580" s="79"/>
      <c r="F580" s="80"/>
      <c r="G580" s="80"/>
      <c r="H580" s="240"/>
      <c r="I580" s="240"/>
      <c r="J580" s="240"/>
      <c r="K580" s="240"/>
      <c r="L580" s="240"/>
    </row>
    <row r="581" ht="12.75" customHeight="1" outlineLevel="2">
      <c r="A581" s="89" t="s">
        <v>478</v>
      </c>
      <c r="B581" s="267">
        <v>10.11</v>
      </c>
      <c r="C581" s="268" t="s">
        <v>7883</v>
      </c>
      <c r="D581" s="269" t="s">
        <v>227</v>
      </c>
      <c r="E581" s="270">
        <v>1.0</v>
      </c>
      <c r="F581" s="205">
        <v>6200.0</v>
      </c>
      <c r="G581" s="206">
        <f>F581*E581</f>
        <v>6200</v>
      </c>
      <c r="H581" s="219" t="s">
        <v>5607</v>
      </c>
      <c r="I581" s="219" t="s">
        <v>5607</v>
      </c>
      <c r="J581" s="240"/>
      <c r="K581" s="240"/>
      <c r="L581" s="240"/>
    </row>
    <row r="582" ht="12.75" customHeight="1" outlineLevel="2">
      <c r="B582" s="234"/>
      <c r="E582" s="79"/>
      <c r="F582" s="80"/>
      <c r="G582" s="80"/>
      <c r="H582" s="240"/>
      <c r="I582" s="240"/>
      <c r="J582" s="240"/>
      <c r="K582" s="240"/>
      <c r="L582" s="240"/>
    </row>
    <row r="583" ht="12.75" customHeight="1" outlineLevel="1">
      <c r="A583" s="89" t="s">
        <v>480</v>
      </c>
      <c r="B583" s="234"/>
      <c r="C583" s="184" t="s">
        <v>481</v>
      </c>
      <c r="E583" s="79"/>
      <c r="F583" s="917">
        <f>SUM(G587:G592)</f>
        <v>16700</v>
      </c>
      <c r="G583" s="80"/>
      <c r="H583" s="240"/>
      <c r="I583" s="240"/>
      <c r="J583" s="240"/>
      <c r="K583" s="240"/>
      <c r="L583" s="240"/>
    </row>
    <row r="584" ht="12.75" customHeight="1" outlineLevel="2">
      <c r="B584" s="234"/>
      <c r="E584" s="79"/>
      <c r="F584" s="80"/>
      <c r="G584" s="80"/>
      <c r="H584" s="240"/>
      <c r="I584" s="240"/>
      <c r="J584" s="240"/>
      <c r="K584" s="240"/>
      <c r="L584" s="240"/>
    </row>
    <row r="585" ht="12.75" customHeight="1" outlineLevel="2">
      <c r="A585" s="89" t="s">
        <v>482</v>
      </c>
      <c r="B585" s="267">
        <v>10.12</v>
      </c>
      <c r="C585" s="268" t="s">
        <v>483</v>
      </c>
      <c r="D585" s="269"/>
      <c r="E585" s="270"/>
      <c r="F585" s="205"/>
      <c r="G585" s="206"/>
      <c r="H585" s="219"/>
      <c r="I585" s="219"/>
      <c r="J585" s="240"/>
      <c r="K585" s="240"/>
      <c r="L585" s="240"/>
    </row>
    <row r="586" ht="12.75" customHeight="1" outlineLevel="2">
      <c r="B586" s="234"/>
      <c r="E586" s="79"/>
      <c r="F586" s="80"/>
      <c r="G586" s="80"/>
      <c r="H586" s="240"/>
      <c r="I586" s="240"/>
      <c r="J586" s="240"/>
      <c r="K586" s="240"/>
      <c r="L586" s="240"/>
    </row>
    <row r="587" ht="12.75" customHeight="1" outlineLevel="2">
      <c r="A587" s="89" t="s">
        <v>484</v>
      </c>
      <c r="B587" s="267" t="s">
        <v>2358</v>
      </c>
      <c r="C587" s="268" t="s">
        <v>485</v>
      </c>
      <c r="D587" s="269" t="s">
        <v>75</v>
      </c>
      <c r="E587" s="270">
        <v>1.0</v>
      </c>
      <c r="F587" s="205">
        <v>3400.0</v>
      </c>
      <c r="G587" s="206">
        <f t="shared" ref="G587:G592" si="25">F587*E587</f>
        <v>3400</v>
      </c>
      <c r="H587" s="240"/>
      <c r="I587" s="240"/>
      <c r="J587" s="240"/>
      <c r="K587" s="240"/>
      <c r="L587" s="240"/>
    </row>
    <row r="588" ht="12.75" customHeight="1" outlineLevel="2">
      <c r="A588" s="89" t="s">
        <v>486</v>
      </c>
      <c r="B588" s="267" t="s">
        <v>2360</v>
      </c>
      <c r="C588" s="268" t="s">
        <v>487</v>
      </c>
      <c r="D588" s="269" t="s">
        <v>75</v>
      </c>
      <c r="E588" s="270">
        <v>1.0</v>
      </c>
      <c r="F588" s="205">
        <v>3300.0</v>
      </c>
      <c r="G588" s="206">
        <f t="shared" si="25"/>
        <v>3300</v>
      </c>
      <c r="H588" s="240"/>
      <c r="I588" s="240"/>
      <c r="J588" s="240"/>
      <c r="K588" s="240"/>
      <c r="L588" s="240"/>
    </row>
    <row r="589" ht="12.75" customHeight="1" outlineLevel="2">
      <c r="A589" s="89" t="s">
        <v>488</v>
      </c>
      <c r="B589" s="267" t="s">
        <v>2362</v>
      </c>
      <c r="C589" s="268" t="s">
        <v>489</v>
      </c>
      <c r="D589" s="269" t="s">
        <v>75</v>
      </c>
      <c r="E589" s="270">
        <v>1.0</v>
      </c>
      <c r="F589" s="205">
        <v>2600.0</v>
      </c>
      <c r="G589" s="206">
        <f t="shared" si="25"/>
        <v>2600</v>
      </c>
      <c r="H589" s="240"/>
      <c r="I589" s="240"/>
      <c r="J589" s="240"/>
      <c r="K589" s="240"/>
      <c r="L589" s="240"/>
    </row>
    <row r="590" ht="12.75" customHeight="1" outlineLevel="2">
      <c r="A590" s="89" t="s">
        <v>490</v>
      </c>
      <c r="B590" s="267" t="s">
        <v>2364</v>
      </c>
      <c r="C590" s="268" t="s">
        <v>491</v>
      </c>
      <c r="D590" s="269" t="s">
        <v>75</v>
      </c>
      <c r="E590" s="270">
        <v>1.0</v>
      </c>
      <c r="F590" s="205">
        <v>3700.0</v>
      </c>
      <c r="G590" s="206">
        <f t="shared" si="25"/>
        <v>3700</v>
      </c>
      <c r="H590" s="240"/>
      <c r="I590" s="240"/>
      <c r="J590" s="240"/>
      <c r="K590" s="240"/>
      <c r="L590" s="240"/>
    </row>
    <row r="591" ht="12.75" customHeight="1" outlineLevel="2">
      <c r="A591" s="89" t="s">
        <v>492</v>
      </c>
      <c r="B591" s="267" t="s">
        <v>2366</v>
      </c>
      <c r="C591" s="268" t="s">
        <v>493</v>
      </c>
      <c r="D591" s="269" t="s">
        <v>75</v>
      </c>
      <c r="E591" s="270">
        <v>1.0</v>
      </c>
      <c r="F591" s="205">
        <v>1500.0</v>
      </c>
      <c r="G591" s="206">
        <f t="shared" si="25"/>
        <v>1500</v>
      </c>
      <c r="H591" s="240"/>
      <c r="I591" s="240"/>
      <c r="J591" s="240"/>
      <c r="K591" s="240"/>
      <c r="L591" s="240"/>
    </row>
    <row r="592" ht="12.75" customHeight="1" outlineLevel="2">
      <c r="A592" s="89" t="s">
        <v>494</v>
      </c>
      <c r="B592" s="267" t="s">
        <v>2368</v>
      </c>
      <c r="C592" s="268" t="s">
        <v>495</v>
      </c>
      <c r="D592" s="269" t="s">
        <v>75</v>
      </c>
      <c r="E592" s="270">
        <v>1.0</v>
      </c>
      <c r="F592" s="205">
        <v>2200.0</v>
      </c>
      <c r="G592" s="206">
        <f t="shared" si="25"/>
        <v>2200</v>
      </c>
      <c r="H592" s="240"/>
      <c r="I592" s="240"/>
      <c r="J592" s="240"/>
      <c r="K592" s="240"/>
      <c r="L592" s="240"/>
    </row>
    <row r="593" ht="12.75" customHeight="1" outlineLevel="2">
      <c r="B593" s="234"/>
      <c r="E593" s="79"/>
      <c r="F593" s="80"/>
      <c r="G593" s="80"/>
      <c r="H593" s="240"/>
      <c r="I593" s="240"/>
      <c r="J593" s="240"/>
      <c r="K593" s="240"/>
      <c r="L593" s="240"/>
    </row>
    <row r="594" ht="12.75" customHeight="1" outlineLevel="1">
      <c r="A594" s="89" t="s">
        <v>470</v>
      </c>
      <c r="B594" s="234"/>
      <c r="C594" s="184" t="s">
        <v>496</v>
      </c>
      <c r="E594" s="79"/>
      <c r="F594" s="917">
        <f>SUM(G598:G610)</f>
        <v>11508.4</v>
      </c>
      <c r="G594" s="80"/>
      <c r="H594" s="240"/>
      <c r="I594" s="240"/>
      <c r="J594" s="240"/>
      <c r="K594" s="240"/>
      <c r="L594" s="240"/>
    </row>
    <row r="595" ht="12.75" customHeight="1" outlineLevel="2">
      <c r="B595" s="234"/>
      <c r="E595" s="79"/>
      <c r="F595" s="80"/>
      <c r="G595" s="80"/>
      <c r="H595" s="240"/>
      <c r="I595" s="240"/>
      <c r="J595" s="240"/>
      <c r="K595" s="240"/>
      <c r="L595" s="240"/>
    </row>
    <row r="596" ht="12.75" customHeight="1" outlineLevel="2">
      <c r="A596" s="89" t="s">
        <v>472</v>
      </c>
      <c r="B596" s="267">
        <v>10.13</v>
      </c>
      <c r="C596" s="273" t="s">
        <v>497</v>
      </c>
      <c r="E596" s="79"/>
      <c r="F596" s="80"/>
      <c r="G596" s="80"/>
      <c r="H596" s="240"/>
      <c r="I596" s="240"/>
      <c r="J596" s="240"/>
      <c r="K596" s="240"/>
      <c r="L596" s="240"/>
    </row>
    <row r="597" ht="12.75" customHeight="1" outlineLevel="2">
      <c r="B597" s="234"/>
      <c r="E597" s="79"/>
      <c r="F597" s="80"/>
      <c r="G597" s="80"/>
      <c r="H597" s="240"/>
      <c r="I597" s="240"/>
      <c r="J597" s="240"/>
      <c r="K597" s="240"/>
      <c r="L597" s="240"/>
    </row>
    <row r="598" ht="12.75" customHeight="1" outlineLevel="2">
      <c r="A598" s="89" t="s">
        <v>474</v>
      </c>
      <c r="B598" s="267" t="s">
        <v>2372</v>
      </c>
      <c r="C598" s="268" t="s">
        <v>498</v>
      </c>
      <c r="D598" s="269" t="s">
        <v>161</v>
      </c>
      <c r="E598" s="270">
        <v>4.53</v>
      </c>
      <c r="F598" s="205">
        <v>120.0</v>
      </c>
      <c r="G598" s="206">
        <f>F598*E598</f>
        <v>543.6</v>
      </c>
      <c r="H598" s="240"/>
      <c r="I598" s="240"/>
      <c r="J598" s="240"/>
      <c r="K598" s="240"/>
      <c r="L598" s="240"/>
    </row>
    <row r="599" ht="12.75" customHeight="1" outlineLevel="2">
      <c r="B599" s="234"/>
      <c r="E599" s="79"/>
      <c r="F599" s="80"/>
      <c r="G599" s="80"/>
      <c r="H599" s="240"/>
      <c r="I599" s="240"/>
      <c r="J599" s="240"/>
      <c r="K599" s="240"/>
      <c r="L599" s="240"/>
    </row>
    <row r="600" ht="12.75" customHeight="1" outlineLevel="2">
      <c r="A600" s="89" t="s">
        <v>499</v>
      </c>
      <c r="B600" s="267" t="s">
        <v>2374</v>
      </c>
      <c r="C600" s="268" t="s">
        <v>500</v>
      </c>
      <c r="D600" s="269" t="s">
        <v>161</v>
      </c>
      <c r="E600" s="270">
        <v>8.7</v>
      </c>
      <c r="F600" s="205">
        <v>120.0</v>
      </c>
      <c r="G600" s="206">
        <f>F600*E600</f>
        <v>1044</v>
      </c>
      <c r="H600" s="240"/>
      <c r="I600" s="240"/>
      <c r="J600" s="240"/>
      <c r="K600" s="240"/>
      <c r="L600" s="240"/>
    </row>
    <row r="601" ht="12.75" customHeight="1" outlineLevel="2">
      <c r="B601" s="234"/>
      <c r="E601" s="79"/>
      <c r="F601" s="80"/>
      <c r="G601" s="80"/>
      <c r="H601" s="240"/>
      <c r="I601" s="240"/>
      <c r="J601" s="240"/>
      <c r="K601" s="240"/>
      <c r="L601" s="240"/>
    </row>
    <row r="602" ht="12.75" customHeight="1" outlineLevel="2">
      <c r="A602" s="89" t="s">
        <v>501</v>
      </c>
      <c r="B602" s="267" t="s">
        <v>2376</v>
      </c>
      <c r="C602" s="268" t="s">
        <v>502</v>
      </c>
      <c r="D602" s="269" t="s">
        <v>161</v>
      </c>
      <c r="E602" s="270">
        <v>14.0</v>
      </c>
      <c r="F602" s="205">
        <v>120.0</v>
      </c>
      <c r="G602" s="206">
        <f>F602*E602</f>
        <v>1680</v>
      </c>
      <c r="H602" s="240"/>
      <c r="I602" s="240"/>
      <c r="J602" s="240"/>
      <c r="K602" s="240"/>
      <c r="L602" s="240"/>
    </row>
    <row r="603" ht="12.75" customHeight="1" outlineLevel="2">
      <c r="B603" s="234"/>
      <c r="E603" s="79"/>
      <c r="F603" s="80"/>
      <c r="G603" s="80"/>
      <c r="H603" s="240"/>
      <c r="I603" s="240"/>
      <c r="J603" s="240"/>
      <c r="K603" s="240"/>
      <c r="L603" s="240"/>
    </row>
    <row r="604" ht="12.75" customHeight="1" outlineLevel="2">
      <c r="A604" s="89" t="s">
        <v>503</v>
      </c>
      <c r="B604" s="267" t="s">
        <v>2378</v>
      </c>
      <c r="C604" s="268" t="s">
        <v>504</v>
      </c>
      <c r="D604" s="269" t="s">
        <v>161</v>
      </c>
      <c r="E604" s="270">
        <v>8.44</v>
      </c>
      <c r="F604" s="205">
        <v>120.0</v>
      </c>
      <c r="G604" s="206">
        <f>F604*E604</f>
        <v>1012.8</v>
      </c>
      <c r="H604" s="240"/>
      <c r="I604" s="240"/>
      <c r="J604" s="240"/>
      <c r="K604" s="240"/>
      <c r="L604" s="240"/>
    </row>
    <row r="605" ht="12.75" customHeight="1" outlineLevel="2">
      <c r="B605" s="234"/>
      <c r="E605" s="79"/>
      <c r="F605" s="80"/>
      <c r="G605" s="80"/>
      <c r="H605" s="240"/>
      <c r="I605" s="240"/>
      <c r="J605" s="240"/>
      <c r="K605" s="240"/>
      <c r="L605" s="240"/>
    </row>
    <row r="606" ht="12.75" customHeight="1" outlineLevel="2">
      <c r="A606" s="89" t="s">
        <v>505</v>
      </c>
      <c r="B606" s="267">
        <v>10.14</v>
      </c>
      <c r="C606" s="273" t="s">
        <v>506</v>
      </c>
      <c r="E606" s="79"/>
      <c r="F606" s="80"/>
      <c r="G606" s="80"/>
      <c r="H606" s="240"/>
      <c r="I606" s="240"/>
      <c r="J606" s="240"/>
      <c r="K606" s="240"/>
      <c r="L606" s="240"/>
    </row>
    <row r="607" ht="12.75" customHeight="1" outlineLevel="2">
      <c r="B607" s="234"/>
      <c r="E607" s="79"/>
      <c r="F607" s="80"/>
      <c r="G607" s="80"/>
      <c r="H607" s="240"/>
      <c r="I607" s="240"/>
      <c r="J607" s="240"/>
      <c r="K607" s="240"/>
      <c r="L607" s="240"/>
    </row>
    <row r="608" ht="12.75" customHeight="1" outlineLevel="2">
      <c r="A608" s="89" t="s">
        <v>507</v>
      </c>
      <c r="B608" s="267" t="s">
        <v>2381</v>
      </c>
      <c r="C608" s="268" t="s">
        <v>508</v>
      </c>
      <c r="D608" s="269" t="s">
        <v>161</v>
      </c>
      <c r="E608" s="270">
        <v>2.65</v>
      </c>
      <c r="F608" s="205">
        <v>260.0</v>
      </c>
      <c r="G608" s="206">
        <f>F608*E608</f>
        <v>689</v>
      </c>
      <c r="H608" s="240"/>
      <c r="I608" s="240"/>
      <c r="J608" s="240"/>
      <c r="K608" s="240"/>
      <c r="L608" s="240"/>
    </row>
    <row r="609" ht="12.75" customHeight="1" outlineLevel="2">
      <c r="B609" s="234"/>
      <c r="E609" s="79"/>
      <c r="F609" s="80"/>
      <c r="G609" s="80"/>
      <c r="H609" s="240"/>
      <c r="I609" s="240"/>
      <c r="J609" s="240"/>
      <c r="K609" s="240"/>
      <c r="L609" s="240"/>
    </row>
    <row r="610" ht="12.75" customHeight="1" outlineLevel="2">
      <c r="A610" s="89" t="s">
        <v>509</v>
      </c>
      <c r="B610" s="267" t="s">
        <v>2383</v>
      </c>
      <c r="C610" s="268" t="s">
        <v>510</v>
      </c>
      <c r="D610" s="269" t="s">
        <v>161</v>
      </c>
      <c r="E610" s="270">
        <v>25.15</v>
      </c>
      <c r="F610" s="205">
        <v>260.0</v>
      </c>
      <c r="G610" s="206">
        <f>F610*E610</f>
        <v>6539</v>
      </c>
      <c r="H610" s="240"/>
      <c r="I610" s="240"/>
      <c r="J610" s="240"/>
      <c r="K610" s="240"/>
      <c r="L610" s="240"/>
    </row>
    <row r="611" ht="12.75" customHeight="1" outlineLevel="2">
      <c r="B611" s="234"/>
      <c r="E611" s="79"/>
      <c r="F611" s="80"/>
      <c r="G611" s="80"/>
      <c r="H611" s="240"/>
      <c r="I611" s="240"/>
      <c r="J611" s="240"/>
      <c r="K611" s="240"/>
      <c r="L611" s="240"/>
    </row>
    <row r="612" ht="12.75" customHeight="1" outlineLevel="1">
      <c r="A612" s="89" t="s">
        <v>476</v>
      </c>
      <c r="B612" s="234"/>
      <c r="C612" s="184" t="s">
        <v>511</v>
      </c>
      <c r="E612" s="79"/>
      <c r="F612" s="586">
        <f>SUM(G616:G628)</f>
        <v>37114.74</v>
      </c>
      <c r="G612" s="80"/>
      <c r="H612" s="240"/>
      <c r="I612" s="240"/>
      <c r="J612" s="240"/>
      <c r="K612" s="436">
        <v>20000.0</v>
      </c>
      <c r="L612" s="240">
        <f>F612-K612</f>
        <v>17114.74</v>
      </c>
    </row>
    <row r="613" ht="12.75" customHeight="1" outlineLevel="2">
      <c r="B613" s="234"/>
      <c r="E613" s="79"/>
      <c r="F613" s="80"/>
      <c r="G613" s="80"/>
      <c r="H613" s="240"/>
      <c r="I613" s="240"/>
      <c r="J613" s="240"/>
      <c r="K613" s="240"/>
      <c r="L613" s="240"/>
    </row>
    <row r="614" ht="12.75" customHeight="1" outlineLevel="2">
      <c r="A614" s="89" t="s">
        <v>478</v>
      </c>
      <c r="B614" s="267">
        <v>10.15</v>
      </c>
      <c r="C614" s="273" t="s">
        <v>512</v>
      </c>
      <c r="E614" s="79"/>
      <c r="F614" s="80"/>
      <c r="G614" s="80"/>
      <c r="H614" s="240"/>
      <c r="I614" s="240"/>
      <c r="J614" s="240"/>
      <c r="K614" s="240"/>
      <c r="L614" s="240"/>
    </row>
    <row r="615" ht="12.75" customHeight="1" outlineLevel="2">
      <c r="B615" s="234"/>
      <c r="E615" s="79"/>
      <c r="F615" s="80"/>
      <c r="G615" s="80"/>
      <c r="H615" s="240"/>
      <c r="I615" s="240"/>
      <c r="J615" s="240"/>
      <c r="K615" s="240"/>
      <c r="L615" s="240"/>
    </row>
    <row r="616" ht="12.75" customHeight="1" outlineLevel="2">
      <c r="A616" s="89" t="s">
        <v>513</v>
      </c>
      <c r="B616" s="267" t="s">
        <v>2387</v>
      </c>
      <c r="C616" s="268" t="s">
        <v>514</v>
      </c>
      <c r="D616" s="269" t="s">
        <v>40</v>
      </c>
      <c r="E616" s="270">
        <v>70.44</v>
      </c>
      <c r="F616" s="205">
        <v>234.0</v>
      </c>
      <c r="G616" s="206">
        <f>F616*E616</f>
        <v>16482.96</v>
      </c>
      <c r="H616" s="240" t="s">
        <v>5608</v>
      </c>
      <c r="I616" s="240" t="s">
        <v>5608</v>
      </c>
      <c r="J616" s="240"/>
      <c r="K616" s="240"/>
      <c r="L616" s="240"/>
    </row>
    <row r="617" ht="12.75" customHeight="1" outlineLevel="2">
      <c r="B617" s="234"/>
      <c r="E617" s="79"/>
      <c r="F617" s="80"/>
      <c r="G617" s="80"/>
      <c r="H617" s="240"/>
      <c r="I617" s="240"/>
      <c r="J617" s="240"/>
      <c r="K617" s="240"/>
      <c r="L617" s="240"/>
    </row>
    <row r="618" ht="12.75" customHeight="1" outlineLevel="2">
      <c r="A618" s="89" t="s">
        <v>515</v>
      </c>
      <c r="B618" s="267">
        <v>10.16</v>
      </c>
      <c r="C618" s="273" t="s">
        <v>516</v>
      </c>
      <c r="E618" s="79"/>
      <c r="F618" s="80"/>
      <c r="G618" s="80"/>
      <c r="H618" s="240"/>
      <c r="I618" s="240"/>
      <c r="J618" s="240"/>
      <c r="K618" s="240"/>
      <c r="L618" s="240"/>
    </row>
    <row r="619" ht="12.75" customHeight="1" outlineLevel="2">
      <c r="B619" s="234"/>
      <c r="E619" s="79"/>
      <c r="F619" s="80"/>
      <c r="G619" s="80"/>
      <c r="H619" s="240"/>
      <c r="I619" s="240"/>
      <c r="J619" s="240"/>
      <c r="K619" s="240"/>
      <c r="L619" s="240"/>
    </row>
    <row r="620" ht="12.75" customHeight="1" outlineLevel="2">
      <c r="A620" s="89" t="s">
        <v>517</v>
      </c>
      <c r="B620" s="267" t="s">
        <v>2391</v>
      </c>
      <c r="C620" s="268" t="s">
        <v>518</v>
      </c>
      <c r="D620" s="269" t="s">
        <v>40</v>
      </c>
      <c r="E620" s="270">
        <v>39.46</v>
      </c>
      <c r="F620" s="205">
        <v>234.0</v>
      </c>
      <c r="G620" s="206">
        <f>F620*E620</f>
        <v>9233.64</v>
      </c>
      <c r="H620" s="240"/>
      <c r="I620" s="240"/>
      <c r="J620" s="240"/>
      <c r="K620" s="240"/>
      <c r="L620" s="240"/>
    </row>
    <row r="621" ht="12.75" customHeight="1" outlineLevel="2">
      <c r="B621" s="234"/>
      <c r="E621" s="79"/>
      <c r="F621" s="80"/>
      <c r="G621" s="80"/>
      <c r="H621" s="240"/>
      <c r="I621" s="240"/>
      <c r="J621" s="240"/>
      <c r="K621" s="240"/>
      <c r="L621" s="240"/>
    </row>
    <row r="622" ht="12.75" customHeight="1" outlineLevel="2">
      <c r="A622" s="89" t="s">
        <v>519</v>
      </c>
      <c r="B622" s="267">
        <v>10.17</v>
      </c>
      <c r="C622" s="273" t="s">
        <v>520</v>
      </c>
      <c r="E622" s="79"/>
      <c r="F622" s="80"/>
      <c r="G622" s="80"/>
      <c r="H622" s="240"/>
      <c r="I622" s="240"/>
      <c r="J622" s="240"/>
      <c r="K622" s="240"/>
      <c r="L622" s="240"/>
    </row>
    <row r="623" ht="12.75" customHeight="1" outlineLevel="2">
      <c r="B623" s="234"/>
      <c r="E623" s="79"/>
      <c r="F623" s="80"/>
      <c r="G623" s="80"/>
      <c r="H623" s="240"/>
      <c r="I623" s="240"/>
      <c r="J623" s="240"/>
      <c r="K623" s="240"/>
      <c r="L623" s="240"/>
    </row>
    <row r="624" ht="12.75" customHeight="1" outlineLevel="2">
      <c r="A624" s="89" t="s">
        <v>521</v>
      </c>
      <c r="B624" s="267" t="s">
        <v>2394</v>
      </c>
      <c r="C624" s="268" t="s">
        <v>522</v>
      </c>
      <c r="D624" s="269" t="s">
        <v>40</v>
      </c>
      <c r="E624" s="270">
        <v>40.81</v>
      </c>
      <c r="F624" s="205">
        <v>234.0</v>
      </c>
      <c r="G624" s="206">
        <f>F624*E624</f>
        <v>9549.54</v>
      </c>
      <c r="H624" s="240"/>
      <c r="I624" s="240"/>
      <c r="J624" s="240"/>
      <c r="K624" s="240"/>
      <c r="L624" s="240"/>
    </row>
    <row r="625" ht="12.75" customHeight="1" outlineLevel="2">
      <c r="B625" s="234"/>
      <c r="E625" s="79"/>
      <c r="F625" s="80"/>
      <c r="G625" s="80"/>
      <c r="H625" s="240"/>
      <c r="I625" s="240"/>
      <c r="J625" s="240"/>
      <c r="K625" s="240"/>
      <c r="L625" s="240"/>
    </row>
    <row r="626" ht="12.75" customHeight="1" outlineLevel="2">
      <c r="A626" s="89" t="s">
        <v>523</v>
      </c>
      <c r="B626" s="267">
        <v>10.18</v>
      </c>
      <c r="C626" s="273" t="s">
        <v>524</v>
      </c>
      <c r="E626" s="79"/>
      <c r="F626" s="80"/>
      <c r="G626" s="80"/>
      <c r="H626" s="240"/>
      <c r="I626" s="240"/>
      <c r="J626" s="240"/>
      <c r="K626" s="240"/>
      <c r="L626" s="240"/>
    </row>
    <row r="627" ht="12.75" customHeight="1" outlineLevel="2">
      <c r="B627" s="234"/>
      <c r="E627" s="79"/>
      <c r="F627" s="80"/>
      <c r="G627" s="80"/>
      <c r="H627" s="240"/>
      <c r="I627" s="240"/>
      <c r="J627" s="240"/>
      <c r="K627" s="240"/>
      <c r="L627" s="240"/>
    </row>
    <row r="628" ht="12.75" customHeight="1" outlineLevel="2">
      <c r="A628" s="89" t="s">
        <v>525</v>
      </c>
      <c r="B628" s="267" t="s">
        <v>2397</v>
      </c>
      <c r="C628" s="268" t="s">
        <v>526</v>
      </c>
      <c r="D628" s="269" t="s">
        <v>40</v>
      </c>
      <c r="E628" s="270">
        <v>7.9</v>
      </c>
      <c r="F628" s="205">
        <v>234.0</v>
      </c>
      <c r="G628" s="206">
        <f>F628*E628</f>
        <v>1848.6</v>
      </c>
      <c r="H628" s="240"/>
      <c r="I628" s="240"/>
      <c r="J628" s="240"/>
      <c r="K628" s="240"/>
      <c r="L628" s="240"/>
    </row>
    <row r="629" ht="12.75" customHeight="1" outlineLevel="2">
      <c r="B629" s="234"/>
      <c r="E629" s="79"/>
      <c r="F629" s="80"/>
      <c r="G629" s="80"/>
      <c r="H629" s="240"/>
      <c r="I629" s="240"/>
      <c r="J629" s="240"/>
      <c r="K629" s="240"/>
      <c r="L629" s="240"/>
    </row>
    <row r="630" ht="12.75" customHeight="1" outlineLevel="1">
      <c r="A630" s="89" t="s">
        <v>480</v>
      </c>
      <c r="B630" s="234"/>
      <c r="C630" s="184" t="s">
        <v>527</v>
      </c>
      <c r="E630" s="79"/>
      <c r="F630" s="917">
        <f>SUM(G634:G636)</f>
        <v>3725.89</v>
      </c>
      <c r="G630" s="80"/>
      <c r="H630" s="240"/>
      <c r="I630" s="240"/>
      <c r="J630" s="240"/>
      <c r="K630" s="240"/>
      <c r="L630" s="240"/>
    </row>
    <row r="631" ht="12.75" customHeight="1" outlineLevel="2">
      <c r="B631" s="234"/>
      <c r="E631" s="79"/>
      <c r="F631" s="80"/>
      <c r="G631" s="80"/>
      <c r="H631" s="240"/>
      <c r="I631" s="240"/>
      <c r="J631" s="240"/>
      <c r="K631" s="240"/>
      <c r="L631" s="240"/>
    </row>
    <row r="632" ht="12.75" customHeight="1" outlineLevel="2">
      <c r="A632" s="89" t="s">
        <v>482</v>
      </c>
      <c r="B632" s="267">
        <v>10.19</v>
      </c>
      <c r="C632" s="273" t="s">
        <v>528</v>
      </c>
      <c r="E632" s="79"/>
      <c r="F632" s="80"/>
      <c r="G632" s="80"/>
      <c r="H632" s="240"/>
      <c r="I632" s="240"/>
      <c r="J632" s="240"/>
      <c r="K632" s="240"/>
      <c r="L632" s="240"/>
    </row>
    <row r="633" ht="12.75" customHeight="1" outlineLevel="2">
      <c r="B633" s="234"/>
      <c r="E633" s="79"/>
      <c r="F633" s="80"/>
      <c r="G633" s="80"/>
      <c r="H633" s="240"/>
      <c r="I633" s="240"/>
      <c r="J633" s="240"/>
      <c r="K633" s="240"/>
      <c r="L633" s="240"/>
    </row>
    <row r="634" ht="12.75" customHeight="1" outlineLevel="2">
      <c r="A634" s="89" t="s">
        <v>484</v>
      </c>
      <c r="B634" s="267" t="s">
        <v>2401</v>
      </c>
      <c r="C634" s="268" t="s">
        <v>529</v>
      </c>
      <c r="D634" s="269" t="s">
        <v>161</v>
      </c>
      <c r="E634" s="270">
        <v>3.6</v>
      </c>
      <c r="F634" s="205">
        <v>142.0</v>
      </c>
      <c r="G634" s="206">
        <f t="shared" ref="G634:G636" si="26">F634*E634</f>
        <v>511.2</v>
      </c>
      <c r="H634" s="240"/>
      <c r="I634" s="240"/>
      <c r="J634" s="240"/>
      <c r="K634" s="240"/>
      <c r="L634" s="240"/>
    </row>
    <row r="635" ht="12.75" customHeight="1" outlineLevel="2">
      <c r="A635" s="89" t="s">
        <v>486</v>
      </c>
      <c r="B635" s="267" t="s">
        <v>2403</v>
      </c>
      <c r="C635" s="268" t="s">
        <v>530</v>
      </c>
      <c r="D635" s="269" t="s">
        <v>161</v>
      </c>
      <c r="E635" s="270">
        <v>22.07</v>
      </c>
      <c r="F635" s="205">
        <v>142.0</v>
      </c>
      <c r="G635" s="206">
        <f t="shared" si="26"/>
        <v>3133.94</v>
      </c>
      <c r="H635" s="240"/>
      <c r="I635" s="240"/>
      <c r="J635" s="240"/>
      <c r="K635" s="240"/>
      <c r="L635" s="240"/>
    </row>
    <row r="636" ht="12.75" customHeight="1" outlineLevel="2">
      <c r="A636" s="89" t="s">
        <v>488</v>
      </c>
      <c r="B636" s="267" t="s">
        <v>2405</v>
      </c>
      <c r="C636" s="268" t="s">
        <v>531</v>
      </c>
      <c r="D636" s="269" t="s">
        <v>161</v>
      </c>
      <c r="E636" s="270">
        <v>0.85</v>
      </c>
      <c r="F636" s="205">
        <v>95.0</v>
      </c>
      <c r="G636" s="206">
        <f t="shared" si="26"/>
        <v>80.75</v>
      </c>
      <c r="H636" s="240"/>
      <c r="I636" s="240"/>
      <c r="J636" s="240"/>
      <c r="K636" s="240"/>
      <c r="L636" s="240"/>
    </row>
    <row r="637" ht="12.75" customHeight="1" outlineLevel="2">
      <c r="B637" s="234"/>
      <c r="E637" s="79"/>
      <c r="F637" s="80"/>
      <c r="G637" s="80"/>
      <c r="H637" s="240"/>
      <c r="I637" s="240"/>
      <c r="J637" s="240"/>
      <c r="K637" s="240"/>
      <c r="L637" s="240"/>
    </row>
    <row r="638" ht="12.75" customHeight="1" outlineLevel="1">
      <c r="A638" s="89" t="s">
        <v>532</v>
      </c>
      <c r="B638" s="234"/>
      <c r="C638" s="184" t="s">
        <v>533</v>
      </c>
      <c r="E638" s="79"/>
      <c r="F638" s="917">
        <f>SUM(G640)</f>
        <v>700</v>
      </c>
      <c r="G638" s="80"/>
      <c r="H638" s="240"/>
      <c r="I638" s="240"/>
      <c r="J638" s="240"/>
      <c r="K638" s="240"/>
      <c r="L638" s="240"/>
    </row>
    <row r="639" ht="12.75" customHeight="1" outlineLevel="2">
      <c r="B639" s="234"/>
      <c r="E639" s="79"/>
      <c r="F639" s="80"/>
      <c r="G639" s="80"/>
      <c r="H639" s="240"/>
      <c r="I639" s="240"/>
      <c r="J639" s="240"/>
      <c r="K639" s="240"/>
      <c r="L639" s="240"/>
    </row>
    <row r="640" ht="12.75" customHeight="1" outlineLevel="2">
      <c r="A640" s="89" t="s">
        <v>534</v>
      </c>
      <c r="B640" s="267">
        <v>10.2</v>
      </c>
      <c r="C640" s="268" t="s">
        <v>535</v>
      </c>
      <c r="D640" s="269" t="s">
        <v>75</v>
      </c>
      <c r="E640" s="270">
        <v>1.0</v>
      </c>
      <c r="F640" s="205">
        <v>700.0</v>
      </c>
      <c r="G640" s="206">
        <f>F640*E640</f>
        <v>700</v>
      </c>
      <c r="H640" s="219"/>
      <c r="I640" s="219"/>
      <c r="J640" s="240"/>
      <c r="K640" s="240"/>
      <c r="L640" s="240"/>
    </row>
    <row r="641" ht="12.75" customHeight="1" outlineLevel="2">
      <c r="A641" s="89"/>
      <c r="B641" s="288"/>
      <c r="C641" s="285"/>
      <c r="D641" s="274"/>
      <c r="E641" s="275"/>
      <c r="F641" s="239"/>
      <c r="G641" s="239"/>
      <c r="H641" s="240"/>
      <c r="I641" s="240"/>
      <c r="J641" s="240"/>
      <c r="K641" s="240"/>
      <c r="L641" s="240"/>
    </row>
    <row r="642" ht="12.75" customHeight="1" outlineLevel="1">
      <c r="A642" s="89"/>
      <c r="B642" s="288"/>
      <c r="C642" s="285"/>
      <c r="D642" s="274"/>
      <c r="E642" s="275"/>
      <c r="F642" s="239"/>
      <c r="G642" s="239"/>
      <c r="H642" s="240"/>
      <c r="I642" s="240"/>
      <c r="J642" s="240"/>
      <c r="K642" s="240"/>
      <c r="L642" s="240"/>
    </row>
    <row r="643" ht="12.75" customHeight="1">
      <c r="A643" s="192"/>
      <c r="B643" s="83">
        <v>11.0</v>
      </c>
      <c r="C643" s="184" t="s">
        <v>245</v>
      </c>
      <c r="D643" s="193"/>
      <c r="E643" s="194"/>
      <c r="F643" s="195"/>
      <c r="G643" s="196">
        <f>SUM(G647:G758)</f>
        <v>93845</v>
      </c>
      <c r="H643" s="197">
        <f>G643-'Orcamento RU'!C220</f>
        <v>-14.78</v>
      </c>
      <c r="I643" s="197">
        <f>H643-'Orcamento RU'!D220</f>
        <v>-14.78</v>
      </c>
      <c r="J643" s="919"/>
      <c r="K643" s="169"/>
      <c r="L643" s="169"/>
    </row>
    <row r="644" ht="12.75" customHeight="1" outlineLevel="1">
      <c r="A644" s="89"/>
      <c r="B644" s="189"/>
      <c r="C644" s="252"/>
      <c r="E644" s="79"/>
      <c r="F644" s="80"/>
      <c r="G644" s="80"/>
      <c r="H644" s="240"/>
      <c r="I644" s="240"/>
      <c r="J644" s="240"/>
      <c r="K644" s="240"/>
      <c r="L644" s="240"/>
    </row>
    <row r="645" ht="12.75" customHeight="1" outlineLevel="1">
      <c r="A645" s="89" t="s">
        <v>246</v>
      </c>
      <c r="B645" s="189"/>
      <c r="C645" s="184" t="s">
        <v>247</v>
      </c>
      <c r="E645" s="79"/>
      <c r="F645" s="917">
        <f>SUM(G649:G664)</f>
        <v>13100</v>
      </c>
      <c r="G645" s="80"/>
      <c r="H645" s="240"/>
      <c r="I645" s="240"/>
      <c r="J645" s="240"/>
      <c r="K645" s="240"/>
      <c r="L645" s="240"/>
    </row>
    <row r="646" ht="12.75" customHeight="1" outlineLevel="2">
      <c r="A646" s="21"/>
      <c r="B646" s="189"/>
      <c r="C646" s="21"/>
      <c r="D646" s="21"/>
      <c r="E646" s="115"/>
      <c r="F646" s="116"/>
      <c r="G646" s="116"/>
      <c r="H646" s="240"/>
      <c r="I646" s="240"/>
      <c r="J646" s="240"/>
      <c r="K646" s="240"/>
      <c r="L646" s="240"/>
    </row>
    <row r="647" ht="12.75" customHeight="1" outlineLevel="2">
      <c r="A647" s="89" t="s">
        <v>248</v>
      </c>
      <c r="B647" s="272">
        <v>11.1</v>
      </c>
      <c r="C647" s="273" t="s">
        <v>249</v>
      </c>
      <c r="E647" s="79"/>
      <c r="F647" s="80"/>
      <c r="G647" s="80"/>
      <c r="H647" s="240"/>
      <c r="I647" s="240"/>
      <c r="J647" s="240"/>
      <c r="K647" s="240"/>
      <c r="L647" s="240"/>
    </row>
    <row r="648" ht="12.75" customHeight="1" outlineLevel="2">
      <c r="B648" s="189"/>
      <c r="E648" s="79"/>
      <c r="F648" s="80"/>
      <c r="G648" s="80"/>
      <c r="H648" s="240"/>
      <c r="I648" s="240"/>
      <c r="J648" s="240"/>
      <c r="K648" s="240"/>
      <c r="L648" s="240"/>
    </row>
    <row r="649" ht="12.75" customHeight="1" outlineLevel="2">
      <c r="A649" s="89" t="s">
        <v>251</v>
      </c>
      <c r="B649" s="282" t="s">
        <v>2412</v>
      </c>
      <c r="C649" s="268" t="s">
        <v>252</v>
      </c>
      <c r="D649" s="269" t="s">
        <v>75</v>
      </c>
      <c r="E649" s="270">
        <v>1.0</v>
      </c>
      <c r="F649" s="205">
        <v>1200.0</v>
      </c>
      <c r="G649" s="206">
        <f t="shared" ref="G649:G652" si="27">F649*E649</f>
        <v>1200</v>
      </c>
      <c r="H649" s="240"/>
      <c r="I649" s="240"/>
      <c r="J649" s="240"/>
      <c r="K649" s="240"/>
      <c r="L649" s="240"/>
    </row>
    <row r="650" ht="12.75" customHeight="1" outlineLevel="2">
      <c r="A650" s="89" t="s">
        <v>253</v>
      </c>
      <c r="B650" s="282" t="s">
        <v>2414</v>
      </c>
      <c r="C650" s="268" t="s">
        <v>254</v>
      </c>
      <c r="D650" s="269" t="s">
        <v>75</v>
      </c>
      <c r="E650" s="270">
        <v>1.0</v>
      </c>
      <c r="F650" s="205">
        <v>1200.0</v>
      </c>
      <c r="G650" s="206">
        <f t="shared" si="27"/>
        <v>1200</v>
      </c>
      <c r="H650" s="240"/>
      <c r="I650" s="240"/>
      <c r="J650" s="240"/>
      <c r="K650" s="240"/>
      <c r="L650" s="240"/>
    </row>
    <row r="651" ht="12.75" customHeight="1" outlineLevel="2">
      <c r="A651" s="89" t="s">
        <v>255</v>
      </c>
      <c r="B651" s="282" t="s">
        <v>2416</v>
      </c>
      <c r="C651" s="268" t="s">
        <v>256</v>
      </c>
      <c r="D651" s="269" t="s">
        <v>75</v>
      </c>
      <c r="E651" s="270">
        <v>1.0</v>
      </c>
      <c r="F651" s="205">
        <v>1200.0</v>
      </c>
      <c r="G651" s="206">
        <f t="shared" si="27"/>
        <v>1200</v>
      </c>
      <c r="H651" s="240"/>
      <c r="I651" s="240"/>
      <c r="J651" s="240"/>
      <c r="K651" s="240"/>
      <c r="L651" s="240"/>
    </row>
    <row r="652" ht="12.75" customHeight="1" outlineLevel="2">
      <c r="A652" s="89" t="s">
        <v>257</v>
      </c>
      <c r="B652" s="282" t="s">
        <v>2418</v>
      </c>
      <c r="C652" s="268" t="s">
        <v>258</v>
      </c>
      <c r="D652" s="269" t="s">
        <v>75</v>
      </c>
      <c r="E652" s="270">
        <v>1.0</v>
      </c>
      <c r="F652" s="205">
        <v>1200.0</v>
      </c>
      <c r="G652" s="206">
        <f t="shared" si="27"/>
        <v>1200</v>
      </c>
      <c r="H652" s="240"/>
      <c r="I652" s="240"/>
      <c r="J652" s="240"/>
      <c r="K652" s="240"/>
      <c r="L652" s="240"/>
    </row>
    <row r="653" ht="12.75" customHeight="1" outlineLevel="2">
      <c r="B653" s="189"/>
      <c r="E653" s="79"/>
      <c r="F653" s="80"/>
      <c r="G653" s="80"/>
      <c r="H653" s="240"/>
      <c r="I653" s="240"/>
      <c r="J653" s="240"/>
      <c r="K653" s="240"/>
      <c r="L653" s="240"/>
    </row>
    <row r="654" ht="12.75" customHeight="1" outlineLevel="2">
      <c r="A654" s="89" t="s">
        <v>259</v>
      </c>
      <c r="B654" s="272">
        <v>11.2</v>
      </c>
      <c r="C654" s="273" t="s">
        <v>260</v>
      </c>
      <c r="E654" s="79"/>
      <c r="F654" s="80"/>
      <c r="G654" s="80"/>
      <c r="H654" s="240"/>
      <c r="I654" s="240"/>
      <c r="J654" s="240"/>
      <c r="K654" s="240"/>
      <c r="L654" s="240"/>
    </row>
    <row r="655" ht="12.75" customHeight="1" outlineLevel="2">
      <c r="B655" s="189"/>
      <c r="E655" s="79"/>
      <c r="F655" s="80"/>
      <c r="G655" s="80"/>
      <c r="H655" s="240"/>
      <c r="I655" s="240"/>
      <c r="J655" s="240"/>
      <c r="K655" s="240"/>
      <c r="L655" s="240"/>
    </row>
    <row r="656" ht="12.75" customHeight="1" outlineLevel="2">
      <c r="A656" s="89" t="s">
        <v>261</v>
      </c>
      <c r="B656" s="282" t="s">
        <v>2421</v>
      </c>
      <c r="C656" s="268" t="s">
        <v>262</v>
      </c>
      <c r="D656" s="269" t="s">
        <v>75</v>
      </c>
      <c r="E656" s="270">
        <v>1.0</v>
      </c>
      <c r="F656" s="205">
        <v>1400.0</v>
      </c>
      <c r="G656" s="206">
        <f t="shared" ref="G656:G660" si="28">F656*E656</f>
        <v>1400</v>
      </c>
      <c r="H656" s="240"/>
      <c r="I656" s="240"/>
      <c r="J656" s="240"/>
      <c r="K656" s="240"/>
      <c r="L656" s="240"/>
    </row>
    <row r="657" ht="12.75" customHeight="1" outlineLevel="2">
      <c r="A657" s="89" t="s">
        <v>263</v>
      </c>
      <c r="B657" s="282" t="s">
        <v>2423</v>
      </c>
      <c r="C657" s="268" t="s">
        <v>264</v>
      </c>
      <c r="D657" s="269" t="s">
        <v>75</v>
      </c>
      <c r="E657" s="270">
        <v>1.0</v>
      </c>
      <c r="F657" s="205">
        <v>1400.0</v>
      </c>
      <c r="G657" s="206">
        <f t="shared" si="28"/>
        <v>1400</v>
      </c>
      <c r="H657" s="240"/>
      <c r="I657" s="240"/>
      <c r="J657" s="240"/>
      <c r="K657" s="240"/>
      <c r="L657" s="240"/>
    </row>
    <row r="658" ht="12.75" customHeight="1" outlineLevel="2">
      <c r="A658" s="89" t="s">
        <v>265</v>
      </c>
      <c r="B658" s="282" t="s">
        <v>2425</v>
      </c>
      <c r="C658" s="268" t="s">
        <v>266</v>
      </c>
      <c r="D658" s="269" t="s">
        <v>75</v>
      </c>
      <c r="E658" s="270">
        <v>1.0</v>
      </c>
      <c r="F658" s="205">
        <v>1400.0</v>
      </c>
      <c r="G658" s="206">
        <f t="shared" si="28"/>
        <v>1400</v>
      </c>
      <c r="H658" s="240"/>
      <c r="I658" s="240"/>
      <c r="J658" s="240"/>
      <c r="K658" s="240"/>
      <c r="L658" s="240"/>
    </row>
    <row r="659" ht="12.75" customHeight="1" outlineLevel="2">
      <c r="A659" s="89" t="s">
        <v>267</v>
      </c>
      <c r="B659" s="282" t="s">
        <v>2427</v>
      </c>
      <c r="C659" s="268" t="s">
        <v>268</v>
      </c>
      <c r="D659" s="269" t="s">
        <v>75</v>
      </c>
      <c r="E659" s="270">
        <v>1.0</v>
      </c>
      <c r="F659" s="205">
        <v>1400.0</v>
      </c>
      <c r="G659" s="206">
        <f t="shared" si="28"/>
        <v>1400</v>
      </c>
      <c r="H659" s="240"/>
      <c r="I659" s="240"/>
      <c r="J659" s="240"/>
      <c r="K659" s="240"/>
      <c r="L659" s="240"/>
    </row>
    <row r="660" ht="12.75" customHeight="1" outlineLevel="2">
      <c r="A660" s="89" t="s">
        <v>269</v>
      </c>
      <c r="B660" s="282" t="s">
        <v>2429</v>
      </c>
      <c r="C660" s="268" t="s">
        <v>270</v>
      </c>
      <c r="D660" s="269" t="s">
        <v>75</v>
      </c>
      <c r="E660" s="270">
        <v>1.0</v>
      </c>
      <c r="F660" s="205">
        <v>1400.0</v>
      </c>
      <c r="G660" s="206">
        <f t="shared" si="28"/>
        <v>1400</v>
      </c>
      <c r="H660" s="240"/>
      <c r="I660" s="240"/>
      <c r="J660" s="240"/>
      <c r="K660" s="240"/>
      <c r="L660" s="240"/>
    </row>
    <row r="661" ht="12.75" customHeight="1" outlineLevel="2">
      <c r="B661" s="189"/>
      <c r="E661" s="79"/>
      <c r="F661" s="80"/>
      <c r="G661" s="80"/>
      <c r="H661" s="240"/>
      <c r="I661" s="240"/>
      <c r="J661" s="240"/>
      <c r="K661" s="240"/>
      <c r="L661" s="240"/>
    </row>
    <row r="662" ht="12.75" customHeight="1" outlineLevel="2">
      <c r="A662" s="89" t="s">
        <v>271</v>
      </c>
      <c r="B662" s="272">
        <v>11.3</v>
      </c>
      <c r="C662" s="273" t="s">
        <v>272</v>
      </c>
      <c r="E662" s="79"/>
      <c r="F662" s="80"/>
      <c r="G662" s="80"/>
      <c r="H662" s="240"/>
      <c r="I662" s="240"/>
      <c r="J662" s="240"/>
      <c r="K662" s="240"/>
      <c r="L662" s="240"/>
    </row>
    <row r="663" ht="12.75" customHeight="1" outlineLevel="2">
      <c r="B663" s="189"/>
      <c r="E663" s="79"/>
      <c r="F663" s="80"/>
      <c r="G663" s="80"/>
      <c r="H663" s="240"/>
      <c r="I663" s="240"/>
      <c r="J663" s="240"/>
      <c r="K663" s="240"/>
      <c r="L663" s="240"/>
    </row>
    <row r="664" ht="12.75" customHeight="1" outlineLevel="2">
      <c r="A664" s="89" t="s">
        <v>273</v>
      </c>
      <c r="B664" s="282" t="s">
        <v>2432</v>
      </c>
      <c r="C664" s="268" t="s">
        <v>274</v>
      </c>
      <c r="D664" s="269" t="s">
        <v>75</v>
      </c>
      <c r="E664" s="270">
        <v>1.0</v>
      </c>
      <c r="F664" s="205">
        <v>1300.0</v>
      </c>
      <c r="G664" s="206">
        <f>F664*E664</f>
        <v>1300</v>
      </c>
      <c r="H664" s="240"/>
      <c r="I664" s="240"/>
      <c r="J664" s="240"/>
      <c r="K664" s="240"/>
      <c r="L664" s="240"/>
    </row>
    <row r="665" ht="12.75" customHeight="1" outlineLevel="2">
      <c r="B665" s="189"/>
      <c r="E665" s="79"/>
      <c r="F665" s="80"/>
      <c r="G665" s="80"/>
      <c r="H665" s="240"/>
      <c r="I665" s="240"/>
      <c r="J665" s="240"/>
      <c r="K665" s="240"/>
      <c r="L665" s="240"/>
    </row>
    <row r="666" ht="12.75" customHeight="1" outlineLevel="1">
      <c r="A666" s="89" t="s">
        <v>275</v>
      </c>
      <c r="B666" s="189"/>
      <c r="C666" s="184" t="s">
        <v>276</v>
      </c>
      <c r="E666" s="79"/>
      <c r="F666" s="917">
        <f>SUM(G670:G683)</f>
        <v>6400</v>
      </c>
      <c r="G666" s="80"/>
      <c r="H666" s="240"/>
      <c r="I666" s="240"/>
      <c r="J666" s="240"/>
      <c r="K666" s="240"/>
      <c r="L666" s="240"/>
    </row>
    <row r="667" ht="12.75" customHeight="1" outlineLevel="2">
      <c r="B667" s="189"/>
      <c r="E667" s="79"/>
      <c r="F667" s="80"/>
      <c r="G667" s="80"/>
      <c r="H667" s="240"/>
      <c r="I667" s="240"/>
      <c r="J667" s="240"/>
      <c r="K667" s="240"/>
      <c r="L667" s="240"/>
    </row>
    <row r="668" ht="12.75" customHeight="1" outlineLevel="2">
      <c r="A668" s="89" t="s">
        <v>277</v>
      </c>
      <c r="B668" s="272">
        <v>11.4</v>
      </c>
      <c r="C668" s="273" t="s">
        <v>278</v>
      </c>
      <c r="E668" s="79"/>
      <c r="F668" s="80"/>
      <c r="G668" s="80"/>
      <c r="H668" s="240"/>
      <c r="I668" s="240"/>
      <c r="J668" s="240"/>
      <c r="K668" s="240"/>
      <c r="L668" s="240"/>
    </row>
    <row r="669" ht="12.75" customHeight="1" outlineLevel="2">
      <c r="B669" s="189"/>
      <c r="E669" s="79"/>
      <c r="F669" s="80"/>
      <c r="G669" s="80"/>
      <c r="H669" s="240"/>
      <c r="I669" s="240"/>
      <c r="J669" s="240"/>
      <c r="K669" s="240"/>
      <c r="L669" s="240"/>
    </row>
    <row r="670" ht="12.75" customHeight="1" outlineLevel="2">
      <c r="A670" s="89" t="s">
        <v>279</v>
      </c>
      <c r="B670" s="282" t="s">
        <v>2436</v>
      </c>
      <c r="C670" s="268" t="s">
        <v>280</v>
      </c>
      <c r="D670" s="269" t="s">
        <v>75</v>
      </c>
      <c r="E670" s="270">
        <v>1.0</v>
      </c>
      <c r="F670" s="205">
        <v>1200.0</v>
      </c>
      <c r="G670" s="206">
        <f>F670*E670</f>
        <v>1200</v>
      </c>
      <c r="H670" s="240"/>
      <c r="I670" s="240"/>
      <c r="J670" s="240"/>
      <c r="K670" s="240"/>
      <c r="L670" s="240"/>
    </row>
    <row r="671" ht="12.75" customHeight="1" outlineLevel="2">
      <c r="B671" s="189"/>
      <c r="E671" s="79"/>
      <c r="F671" s="80"/>
      <c r="G671" s="80"/>
      <c r="H671" s="240"/>
      <c r="I671" s="240"/>
      <c r="J671" s="240"/>
      <c r="K671" s="240"/>
      <c r="L671" s="240"/>
    </row>
    <row r="672" ht="12.75" customHeight="1" outlineLevel="2">
      <c r="A672" s="89" t="s">
        <v>281</v>
      </c>
      <c r="B672" s="272">
        <v>11.5</v>
      </c>
      <c r="C672" s="273" t="s">
        <v>282</v>
      </c>
      <c r="E672" s="79"/>
      <c r="F672" s="80"/>
      <c r="G672" s="80"/>
      <c r="H672" s="240"/>
      <c r="I672" s="240"/>
      <c r="J672" s="240"/>
      <c r="K672" s="240"/>
      <c r="L672" s="240"/>
    </row>
    <row r="673" ht="12.75" customHeight="1" outlineLevel="2">
      <c r="B673" s="189"/>
      <c r="E673" s="79"/>
      <c r="F673" s="80"/>
      <c r="G673" s="80"/>
      <c r="H673" s="240"/>
      <c r="I673" s="240"/>
      <c r="J673" s="240"/>
      <c r="K673" s="240"/>
      <c r="L673" s="240"/>
    </row>
    <row r="674" ht="12.75" customHeight="1" outlineLevel="2">
      <c r="A674" s="89" t="s">
        <v>283</v>
      </c>
      <c r="B674" s="282" t="s">
        <v>2439</v>
      </c>
      <c r="C674" s="268" t="s">
        <v>284</v>
      </c>
      <c r="D674" s="269" t="s">
        <v>75</v>
      </c>
      <c r="E674" s="270">
        <v>1.0</v>
      </c>
      <c r="F674" s="205">
        <v>1400.0</v>
      </c>
      <c r="G674" s="206">
        <f>F674*E674</f>
        <v>1400</v>
      </c>
      <c r="H674" s="240"/>
      <c r="I674" s="240"/>
      <c r="J674" s="240"/>
      <c r="K674" s="240"/>
      <c r="L674" s="240"/>
    </row>
    <row r="675" ht="12.75" customHeight="1" outlineLevel="2">
      <c r="B675" s="189"/>
      <c r="E675" s="79"/>
      <c r="F675" s="80"/>
      <c r="G675" s="80"/>
      <c r="H675" s="240"/>
      <c r="I675" s="240"/>
      <c r="J675" s="240"/>
      <c r="K675" s="240"/>
      <c r="L675" s="240"/>
    </row>
    <row r="676" ht="12.75" customHeight="1" outlineLevel="2">
      <c r="A676" s="89" t="s">
        <v>285</v>
      </c>
      <c r="B676" s="272">
        <v>11.6</v>
      </c>
      <c r="C676" s="273" t="s">
        <v>286</v>
      </c>
      <c r="E676" s="79"/>
      <c r="F676" s="80"/>
      <c r="G676" s="80"/>
      <c r="H676" s="240"/>
      <c r="I676" s="240"/>
      <c r="J676" s="240"/>
      <c r="K676" s="240"/>
      <c r="L676" s="240"/>
    </row>
    <row r="677" ht="12.75" customHeight="1" outlineLevel="2">
      <c r="B677" s="189"/>
      <c r="E677" s="79"/>
      <c r="F677" s="80"/>
      <c r="G677" s="80"/>
      <c r="H677" s="240"/>
      <c r="I677" s="240"/>
      <c r="J677" s="240"/>
      <c r="K677" s="240"/>
      <c r="L677" s="240"/>
    </row>
    <row r="678" ht="12.75" customHeight="1" outlineLevel="2">
      <c r="A678" s="89" t="s">
        <v>287</v>
      </c>
      <c r="B678" s="282" t="s">
        <v>2442</v>
      </c>
      <c r="C678" s="268" t="s">
        <v>288</v>
      </c>
      <c r="D678" s="269" t="s">
        <v>75</v>
      </c>
      <c r="E678" s="270">
        <v>1.0</v>
      </c>
      <c r="F678" s="205">
        <v>1400.0</v>
      </c>
      <c r="G678" s="206">
        <f>F678*E678</f>
        <v>1400</v>
      </c>
      <c r="H678" s="240"/>
      <c r="I678" s="240"/>
      <c r="J678" s="240"/>
      <c r="K678" s="240"/>
      <c r="L678" s="240"/>
    </row>
    <row r="679" ht="12.75" customHeight="1" outlineLevel="2">
      <c r="B679" s="189"/>
      <c r="E679" s="79"/>
      <c r="F679" s="80"/>
      <c r="G679" s="80"/>
      <c r="H679" s="240"/>
      <c r="I679" s="240"/>
      <c r="J679" s="240"/>
      <c r="K679" s="240"/>
      <c r="L679" s="240"/>
    </row>
    <row r="680" ht="12.75" customHeight="1" outlineLevel="2">
      <c r="A680" s="89" t="s">
        <v>289</v>
      </c>
      <c r="B680" s="272">
        <v>11.7</v>
      </c>
      <c r="C680" s="273" t="s">
        <v>290</v>
      </c>
      <c r="E680" s="79"/>
      <c r="F680" s="80"/>
      <c r="G680" s="80"/>
      <c r="H680" s="240"/>
      <c r="I680" s="240"/>
      <c r="J680" s="240"/>
      <c r="K680" s="240"/>
      <c r="L680" s="240"/>
    </row>
    <row r="681" ht="12.75" customHeight="1" outlineLevel="2">
      <c r="B681" s="189"/>
      <c r="E681" s="79"/>
      <c r="F681" s="80"/>
      <c r="G681" s="80"/>
      <c r="H681" s="240"/>
      <c r="I681" s="240"/>
      <c r="J681" s="240"/>
      <c r="K681" s="240"/>
      <c r="L681" s="240"/>
    </row>
    <row r="682" ht="12.75" customHeight="1" outlineLevel="2">
      <c r="A682" s="89" t="s">
        <v>291</v>
      </c>
      <c r="B682" s="282" t="s">
        <v>2445</v>
      </c>
      <c r="C682" s="268" t="s">
        <v>292</v>
      </c>
      <c r="D682" s="269" t="s">
        <v>75</v>
      </c>
      <c r="E682" s="270">
        <v>1.0</v>
      </c>
      <c r="F682" s="205">
        <v>1200.0</v>
      </c>
      <c r="G682" s="206">
        <f t="shared" ref="G682:G683" si="29">F682*E682</f>
        <v>1200</v>
      </c>
      <c r="H682" s="240"/>
      <c r="I682" s="240"/>
      <c r="J682" s="240"/>
      <c r="K682" s="240"/>
      <c r="L682" s="240"/>
    </row>
    <row r="683" ht="12.75" customHeight="1" outlineLevel="2">
      <c r="A683" s="89" t="s">
        <v>293</v>
      </c>
      <c r="B683" s="282" t="s">
        <v>2447</v>
      </c>
      <c r="C683" s="268" t="s">
        <v>294</v>
      </c>
      <c r="D683" s="269" t="s">
        <v>75</v>
      </c>
      <c r="E683" s="270">
        <v>1.0</v>
      </c>
      <c r="F683" s="205">
        <v>1200.0</v>
      </c>
      <c r="G683" s="206">
        <f t="shared" si="29"/>
        <v>1200</v>
      </c>
      <c r="H683" s="240"/>
      <c r="I683" s="240"/>
      <c r="J683" s="240"/>
      <c r="K683" s="240"/>
      <c r="L683" s="240"/>
    </row>
    <row r="684" ht="12.75" customHeight="1" outlineLevel="2">
      <c r="B684" s="189"/>
      <c r="E684" s="79"/>
      <c r="F684" s="80"/>
      <c r="G684" s="80"/>
      <c r="H684" s="240"/>
      <c r="I684" s="240"/>
      <c r="J684" s="240"/>
      <c r="K684" s="240"/>
      <c r="L684" s="240"/>
    </row>
    <row r="685" ht="12.75" customHeight="1" outlineLevel="1">
      <c r="A685" s="89" t="s">
        <v>295</v>
      </c>
      <c r="B685" s="189"/>
      <c r="C685" s="184" t="s">
        <v>296</v>
      </c>
      <c r="E685" s="79"/>
      <c r="F685" s="586">
        <f>SUM(G689:G758)</f>
        <v>74345</v>
      </c>
      <c r="K685" s="436">
        <v>60000.0</v>
      </c>
      <c r="L685" s="240">
        <f>F685-K685</f>
        <v>14345</v>
      </c>
    </row>
    <row r="686" ht="12.75" customHeight="1" outlineLevel="2">
      <c r="A686" s="21"/>
      <c r="B686" s="209"/>
      <c r="C686" s="21"/>
      <c r="D686" s="21"/>
      <c r="E686" s="115"/>
      <c r="F686" s="116"/>
      <c r="G686" s="116"/>
      <c r="H686" s="240"/>
      <c r="I686" s="240"/>
      <c r="J686" s="240"/>
      <c r="K686" s="240"/>
      <c r="L686" s="240"/>
    </row>
    <row r="687" ht="12.75" customHeight="1" outlineLevel="2">
      <c r="A687" s="89" t="s">
        <v>297</v>
      </c>
      <c r="B687" s="272">
        <v>11.8</v>
      </c>
      <c r="C687" s="273" t="s">
        <v>298</v>
      </c>
      <c r="E687" s="79"/>
      <c r="F687" s="80"/>
      <c r="H687" s="240" t="s">
        <v>5609</v>
      </c>
      <c r="I687" s="240" t="s">
        <v>5609</v>
      </c>
      <c r="J687" s="240"/>
      <c r="K687" s="240"/>
      <c r="L687" s="240"/>
    </row>
    <row r="688" ht="12.75" customHeight="1" outlineLevel="2">
      <c r="B688" s="189"/>
      <c r="E688" s="79"/>
      <c r="F688" s="80"/>
      <c r="G688" s="80"/>
      <c r="H688" s="240"/>
      <c r="I688" s="240"/>
      <c r="J688" s="240"/>
      <c r="K688" s="240"/>
      <c r="L688" s="240"/>
    </row>
    <row r="689" ht="12.75" customHeight="1" outlineLevel="2">
      <c r="A689" s="89" t="s">
        <v>300</v>
      </c>
      <c r="B689" s="282" t="s">
        <v>2452</v>
      </c>
      <c r="C689" s="268" t="s">
        <v>301</v>
      </c>
      <c r="D689" s="269" t="s">
        <v>75</v>
      </c>
      <c r="E689" s="270">
        <v>1.0</v>
      </c>
      <c r="F689" s="205">
        <v>2500.0</v>
      </c>
      <c r="G689" s="206">
        <f>F689*E689</f>
        <v>2500</v>
      </c>
      <c r="H689" s="240"/>
      <c r="I689" s="240"/>
      <c r="J689" s="240"/>
      <c r="K689" s="240"/>
      <c r="L689" s="240"/>
    </row>
    <row r="690" ht="12.75" customHeight="1" outlineLevel="2">
      <c r="B690" s="189"/>
      <c r="E690" s="79"/>
      <c r="F690" s="80"/>
      <c r="G690" s="80"/>
      <c r="H690" s="240"/>
      <c r="I690" s="240"/>
      <c r="J690" s="240"/>
      <c r="K690" s="240"/>
      <c r="L690" s="240"/>
    </row>
    <row r="691" ht="12.75" customHeight="1" outlineLevel="2">
      <c r="A691" s="89" t="s">
        <v>302</v>
      </c>
      <c r="B691" s="272">
        <v>11.9</v>
      </c>
      <c r="C691" s="273" t="s">
        <v>303</v>
      </c>
      <c r="E691" s="79"/>
      <c r="F691" s="80"/>
      <c r="G691" s="80"/>
      <c r="H691" s="240" t="s">
        <v>5609</v>
      </c>
      <c r="I691" s="240" t="s">
        <v>5609</v>
      </c>
      <c r="J691" s="240"/>
      <c r="K691" s="240"/>
      <c r="L691" s="240"/>
    </row>
    <row r="692" ht="12.75" customHeight="1" outlineLevel="2">
      <c r="B692" s="189"/>
      <c r="E692" s="79"/>
      <c r="F692" s="80"/>
      <c r="G692" s="80"/>
      <c r="H692" s="240"/>
      <c r="I692" s="240"/>
      <c r="J692" s="240"/>
      <c r="K692" s="240"/>
      <c r="L692" s="240"/>
    </row>
    <row r="693" ht="12.75" customHeight="1" outlineLevel="2">
      <c r="A693" s="89" t="s">
        <v>304</v>
      </c>
      <c r="B693" s="282" t="s">
        <v>2455</v>
      </c>
      <c r="C693" s="268" t="s">
        <v>305</v>
      </c>
      <c r="D693" s="269" t="s">
        <v>75</v>
      </c>
      <c r="E693" s="270">
        <v>1.0</v>
      </c>
      <c r="F693" s="205">
        <v>1700.0</v>
      </c>
      <c r="G693" s="206">
        <f t="shared" ref="G693:G694" si="30">F693*E693</f>
        <v>1700</v>
      </c>
      <c r="H693" s="240"/>
      <c r="I693" s="240"/>
      <c r="J693" s="240"/>
      <c r="K693" s="240"/>
      <c r="L693" s="240"/>
    </row>
    <row r="694" ht="12.75" customHeight="1" outlineLevel="2">
      <c r="A694" s="89" t="s">
        <v>306</v>
      </c>
      <c r="B694" s="282" t="s">
        <v>2457</v>
      </c>
      <c r="C694" s="268" t="s">
        <v>307</v>
      </c>
      <c r="D694" s="269" t="s">
        <v>75</v>
      </c>
      <c r="E694" s="270">
        <v>1.0</v>
      </c>
      <c r="F694" s="205">
        <v>1000.0</v>
      </c>
      <c r="G694" s="206">
        <f t="shared" si="30"/>
        <v>1000</v>
      </c>
      <c r="H694" s="240"/>
      <c r="I694" s="240"/>
      <c r="J694" s="240"/>
      <c r="K694" s="240"/>
      <c r="L694" s="240"/>
    </row>
    <row r="695" ht="12.75" customHeight="1" outlineLevel="2">
      <c r="B695" s="189"/>
      <c r="E695" s="79"/>
      <c r="F695" s="80"/>
      <c r="G695" s="80"/>
      <c r="H695" s="240"/>
      <c r="I695" s="240"/>
      <c r="J695" s="240"/>
      <c r="K695" s="240"/>
      <c r="L695" s="240"/>
    </row>
    <row r="696" ht="12.75" customHeight="1" outlineLevel="2">
      <c r="A696" s="89" t="s">
        <v>308</v>
      </c>
      <c r="B696" s="282">
        <v>11.1</v>
      </c>
      <c r="C696" s="273" t="s">
        <v>309</v>
      </c>
      <c r="E696" s="79"/>
      <c r="F696" s="80"/>
      <c r="G696" s="80"/>
      <c r="H696" s="240" t="s">
        <v>5609</v>
      </c>
      <c r="I696" s="240" t="s">
        <v>5609</v>
      </c>
      <c r="J696" s="240"/>
      <c r="K696" s="240"/>
      <c r="L696" s="240"/>
    </row>
    <row r="697" ht="12.75" customHeight="1" outlineLevel="2">
      <c r="B697" s="189"/>
      <c r="E697" s="79"/>
      <c r="F697" s="80"/>
      <c r="G697" s="80"/>
      <c r="H697" s="240"/>
      <c r="I697" s="240"/>
      <c r="J697" s="240"/>
      <c r="K697" s="240"/>
      <c r="L697" s="240"/>
    </row>
    <row r="698" ht="12.75" customHeight="1" outlineLevel="2">
      <c r="A698" s="89" t="s">
        <v>310</v>
      </c>
      <c r="B698" s="282" t="s">
        <v>2460</v>
      </c>
      <c r="C698" s="268" t="s">
        <v>311</v>
      </c>
      <c r="D698" s="269" t="s">
        <v>75</v>
      </c>
      <c r="E698" s="270">
        <v>1.0</v>
      </c>
      <c r="F698" s="205">
        <v>1000.0</v>
      </c>
      <c r="G698" s="206">
        <f>F698*E698</f>
        <v>1000</v>
      </c>
      <c r="H698" s="240"/>
      <c r="I698" s="240"/>
      <c r="J698" s="240"/>
      <c r="K698" s="240"/>
      <c r="L698" s="240"/>
    </row>
    <row r="699" ht="12.75" customHeight="1" outlineLevel="2">
      <c r="B699" s="189"/>
      <c r="E699" s="79"/>
      <c r="F699" s="80"/>
      <c r="G699" s="80"/>
      <c r="H699" s="240"/>
      <c r="I699" s="240"/>
      <c r="J699" s="240"/>
      <c r="K699" s="240"/>
      <c r="L699" s="240"/>
    </row>
    <row r="700" ht="12.75" customHeight="1" outlineLevel="2">
      <c r="A700" s="89" t="s">
        <v>312</v>
      </c>
      <c r="B700" s="282">
        <v>11.11</v>
      </c>
      <c r="C700" s="273" t="s">
        <v>313</v>
      </c>
      <c r="E700" s="79"/>
      <c r="F700" s="80"/>
      <c r="G700" s="80"/>
      <c r="H700" s="240" t="s">
        <v>5609</v>
      </c>
      <c r="I700" s="240" t="s">
        <v>5609</v>
      </c>
      <c r="J700" s="240"/>
      <c r="K700" s="240"/>
      <c r="L700" s="240"/>
    </row>
    <row r="701" ht="12.75" customHeight="1" outlineLevel="2">
      <c r="B701" s="189"/>
      <c r="E701" s="79"/>
      <c r="F701" s="80"/>
      <c r="G701" s="80"/>
      <c r="H701" s="240"/>
      <c r="I701" s="240"/>
      <c r="J701" s="240"/>
      <c r="K701" s="240"/>
      <c r="L701" s="240"/>
    </row>
    <row r="702" ht="12.75" customHeight="1" outlineLevel="2">
      <c r="A702" s="89" t="s">
        <v>314</v>
      </c>
      <c r="B702" s="282" t="s">
        <v>2463</v>
      </c>
      <c r="C702" s="268" t="s">
        <v>315</v>
      </c>
      <c r="D702" s="269" t="s">
        <v>75</v>
      </c>
      <c r="E702" s="270">
        <v>1.0</v>
      </c>
      <c r="F702" s="205">
        <v>5500.0</v>
      </c>
      <c r="G702" s="206">
        <f>F702*E702</f>
        <v>5500</v>
      </c>
      <c r="H702" s="240"/>
      <c r="I702" s="240"/>
      <c r="J702" s="240"/>
      <c r="K702" s="240"/>
      <c r="L702" s="240"/>
    </row>
    <row r="703" ht="12.75" customHeight="1" outlineLevel="2">
      <c r="B703" s="189"/>
      <c r="E703" s="79"/>
      <c r="F703" s="80"/>
      <c r="G703" s="80"/>
      <c r="H703" s="240"/>
      <c r="I703" s="240"/>
      <c r="J703" s="240"/>
      <c r="K703" s="240"/>
      <c r="L703" s="240"/>
    </row>
    <row r="704" ht="12.75" customHeight="1" outlineLevel="2">
      <c r="A704" s="89" t="s">
        <v>316</v>
      </c>
      <c r="B704" s="282">
        <v>11.12</v>
      </c>
      <c r="C704" s="273" t="s">
        <v>317</v>
      </c>
      <c r="E704" s="79"/>
      <c r="F704" s="80"/>
      <c r="G704" s="80"/>
      <c r="H704" s="240" t="s">
        <v>5609</v>
      </c>
      <c r="I704" s="240" t="s">
        <v>5609</v>
      </c>
      <c r="J704" s="240"/>
      <c r="K704" s="240"/>
      <c r="L704" s="240"/>
    </row>
    <row r="705" ht="12.75" customHeight="1" outlineLevel="2">
      <c r="B705" s="189"/>
      <c r="E705" s="79"/>
      <c r="F705" s="80"/>
      <c r="G705" s="80"/>
      <c r="H705" s="240"/>
      <c r="I705" s="240"/>
      <c r="J705" s="240"/>
      <c r="K705" s="240"/>
      <c r="L705" s="240"/>
    </row>
    <row r="706" ht="12.75" customHeight="1" outlineLevel="2">
      <c r="A706" s="89" t="s">
        <v>318</v>
      </c>
      <c r="B706" s="282" t="s">
        <v>2466</v>
      </c>
      <c r="C706" s="268" t="s">
        <v>319</v>
      </c>
      <c r="D706" s="269" t="s">
        <v>75</v>
      </c>
      <c r="E706" s="270">
        <v>1.0</v>
      </c>
      <c r="F706" s="205">
        <v>3200.0</v>
      </c>
      <c r="G706" s="206">
        <f>F706*E706</f>
        <v>3200</v>
      </c>
      <c r="H706" s="240"/>
      <c r="I706" s="240"/>
      <c r="J706" s="240"/>
      <c r="K706" s="240"/>
      <c r="L706" s="240"/>
    </row>
    <row r="707" ht="12.75" customHeight="1" outlineLevel="2">
      <c r="B707" s="189"/>
      <c r="E707" s="79"/>
      <c r="F707" s="80"/>
      <c r="G707" s="80"/>
      <c r="H707" s="240"/>
      <c r="I707" s="240"/>
      <c r="J707" s="240"/>
      <c r="K707" s="240"/>
      <c r="L707" s="240"/>
    </row>
    <row r="708" ht="12.75" customHeight="1" outlineLevel="2">
      <c r="A708" s="89" t="s">
        <v>320</v>
      </c>
      <c r="B708" s="282">
        <v>11.13</v>
      </c>
      <c r="C708" s="273" t="s">
        <v>321</v>
      </c>
      <c r="E708" s="79"/>
      <c r="F708" s="80"/>
      <c r="G708" s="80"/>
      <c r="H708" s="240" t="s">
        <v>5609</v>
      </c>
      <c r="I708" s="240" t="s">
        <v>5609</v>
      </c>
      <c r="J708" s="240"/>
      <c r="K708" s="240"/>
      <c r="L708" s="240"/>
    </row>
    <row r="709" ht="12.75" customHeight="1" outlineLevel="2">
      <c r="B709" s="189"/>
      <c r="E709" s="79"/>
      <c r="F709" s="80"/>
      <c r="G709" s="80"/>
      <c r="H709" s="240"/>
      <c r="I709" s="240"/>
      <c r="J709" s="240"/>
      <c r="K709" s="240"/>
      <c r="L709" s="240"/>
    </row>
    <row r="710" ht="12.75" customHeight="1" outlineLevel="2">
      <c r="A710" s="89" t="s">
        <v>322</v>
      </c>
      <c r="B710" s="282" t="s">
        <v>2469</v>
      </c>
      <c r="C710" s="268" t="s">
        <v>323</v>
      </c>
      <c r="D710" s="269" t="s">
        <v>75</v>
      </c>
      <c r="E710" s="270">
        <v>1.0</v>
      </c>
      <c r="F710" s="205">
        <v>1875.0</v>
      </c>
      <c r="G710" s="206">
        <f>F710*E710</f>
        <v>1875</v>
      </c>
      <c r="H710" s="240"/>
      <c r="I710" s="240"/>
      <c r="J710" s="240"/>
      <c r="K710" s="240"/>
      <c r="L710" s="240"/>
    </row>
    <row r="711" ht="12.75" customHeight="1" outlineLevel="2">
      <c r="B711" s="189"/>
      <c r="E711" s="79"/>
      <c r="F711" s="80"/>
      <c r="G711" s="80"/>
      <c r="H711" s="240"/>
      <c r="I711" s="240"/>
      <c r="J711" s="240"/>
      <c r="K711" s="240"/>
      <c r="L711" s="240"/>
    </row>
    <row r="712" ht="12.75" customHeight="1" outlineLevel="2">
      <c r="A712" s="89" t="s">
        <v>324</v>
      </c>
      <c r="B712" s="282">
        <v>11.14</v>
      </c>
      <c r="C712" s="273" t="s">
        <v>325</v>
      </c>
      <c r="E712" s="79"/>
      <c r="F712" s="80"/>
      <c r="G712" s="80"/>
      <c r="H712" s="240" t="s">
        <v>5609</v>
      </c>
      <c r="I712" s="240" t="s">
        <v>5609</v>
      </c>
      <c r="J712" s="240"/>
      <c r="K712" s="240"/>
      <c r="L712" s="240"/>
    </row>
    <row r="713" ht="12.75" customHeight="1" outlineLevel="2">
      <c r="B713" s="189"/>
      <c r="E713" s="79"/>
      <c r="F713" s="80"/>
      <c r="G713" s="80"/>
      <c r="H713" s="240"/>
      <c r="I713" s="240"/>
      <c r="J713" s="240"/>
      <c r="K713" s="240"/>
      <c r="L713" s="240"/>
    </row>
    <row r="714" ht="12.75" customHeight="1" outlineLevel="2">
      <c r="A714" s="89" t="s">
        <v>326</v>
      </c>
      <c r="B714" s="282" t="s">
        <v>2472</v>
      </c>
      <c r="C714" s="268" t="s">
        <v>327</v>
      </c>
      <c r="D714" s="269" t="s">
        <v>75</v>
      </c>
      <c r="E714" s="270">
        <v>1.0</v>
      </c>
      <c r="F714" s="205">
        <v>3000.0</v>
      </c>
      <c r="G714" s="206">
        <f>F714*E714</f>
        <v>3000</v>
      </c>
      <c r="H714" s="240"/>
      <c r="I714" s="240"/>
      <c r="J714" s="240"/>
      <c r="K714" s="240"/>
      <c r="L714" s="240"/>
    </row>
    <row r="715" ht="12.75" customHeight="1" outlineLevel="2">
      <c r="B715" s="189"/>
      <c r="E715" s="79"/>
      <c r="F715" s="80"/>
      <c r="G715" s="80"/>
      <c r="H715" s="240"/>
      <c r="I715" s="240"/>
      <c r="J715" s="240"/>
      <c r="K715" s="240"/>
      <c r="L715" s="240"/>
    </row>
    <row r="716" ht="12.75" customHeight="1" outlineLevel="2">
      <c r="A716" s="89" t="s">
        <v>328</v>
      </c>
      <c r="B716" s="282">
        <v>11.15</v>
      </c>
      <c r="C716" s="273" t="s">
        <v>329</v>
      </c>
      <c r="E716" s="79"/>
      <c r="F716" s="80"/>
      <c r="G716" s="80"/>
      <c r="H716" s="240" t="s">
        <v>5609</v>
      </c>
      <c r="I716" s="240" t="s">
        <v>5609</v>
      </c>
      <c r="J716" s="240"/>
      <c r="K716" s="240"/>
      <c r="L716" s="240"/>
    </row>
    <row r="717" ht="12.75" customHeight="1" outlineLevel="2">
      <c r="B717" s="189"/>
      <c r="E717" s="79"/>
      <c r="F717" s="80"/>
      <c r="G717" s="80"/>
      <c r="H717" s="240"/>
      <c r="I717" s="240"/>
      <c r="J717" s="240"/>
      <c r="K717" s="240"/>
      <c r="L717" s="240"/>
    </row>
    <row r="718" ht="12.75" customHeight="1" outlineLevel="2">
      <c r="A718" s="89" t="s">
        <v>330</v>
      </c>
      <c r="B718" s="282" t="s">
        <v>2475</v>
      </c>
      <c r="C718" s="268" t="s">
        <v>331</v>
      </c>
      <c r="D718" s="269" t="s">
        <v>75</v>
      </c>
      <c r="E718" s="270">
        <v>1.0</v>
      </c>
      <c r="F718" s="205">
        <v>1350.0</v>
      </c>
      <c r="G718" s="206">
        <f t="shared" ref="G718:G719" si="31">F718*E718</f>
        <v>1350</v>
      </c>
      <c r="H718" s="240"/>
      <c r="I718" s="240"/>
      <c r="J718" s="240"/>
      <c r="K718" s="240"/>
      <c r="L718" s="240"/>
    </row>
    <row r="719" ht="12.75" customHeight="1" outlineLevel="2">
      <c r="A719" s="89" t="s">
        <v>332</v>
      </c>
      <c r="B719" s="282" t="s">
        <v>2477</v>
      </c>
      <c r="C719" s="268" t="s">
        <v>333</v>
      </c>
      <c r="D719" s="269" t="s">
        <v>75</v>
      </c>
      <c r="E719" s="270">
        <v>1.0</v>
      </c>
      <c r="F719" s="205">
        <v>1600.0</v>
      </c>
      <c r="G719" s="206">
        <f t="shared" si="31"/>
        <v>1600</v>
      </c>
      <c r="H719" s="240"/>
      <c r="I719" s="240"/>
      <c r="J719" s="240"/>
      <c r="K719" s="240"/>
      <c r="L719" s="240"/>
    </row>
    <row r="720" ht="12.75" customHeight="1" outlineLevel="2">
      <c r="B720" s="189"/>
      <c r="E720" s="79"/>
      <c r="F720" s="80"/>
      <c r="G720" s="80"/>
      <c r="H720" s="240"/>
      <c r="I720" s="240"/>
      <c r="J720" s="240"/>
      <c r="K720" s="240"/>
      <c r="L720" s="240"/>
    </row>
    <row r="721" ht="12.75" customHeight="1" outlineLevel="2">
      <c r="A721" s="89" t="s">
        <v>334</v>
      </c>
      <c r="B721" s="282">
        <v>11.16</v>
      </c>
      <c r="C721" s="273" t="s">
        <v>335</v>
      </c>
      <c r="E721" s="79"/>
      <c r="F721" s="80"/>
      <c r="G721" s="80"/>
      <c r="H721" s="240" t="s">
        <v>5609</v>
      </c>
      <c r="I721" s="240" t="s">
        <v>5609</v>
      </c>
      <c r="J721" s="240"/>
      <c r="K721" s="240"/>
      <c r="L721" s="240"/>
    </row>
    <row r="722" ht="12.75" customHeight="1" outlineLevel="2">
      <c r="B722" s="189"/>
      <c r="E722" s="79"/>
      <c r="F722" s="80"/>
      <c r="G722" s="80"/>
      <c r="H722" s="240"/>
      <c r="I722" s="240"/>
      <c r="J722" s="240"/>
      <c r="K722" s="240"/>
      <c r="L722" s="240"/>
    </row>
    <row r="723" ht="12.75" customHeight="1" outlineLevel="2">
      <c r="A723" s="89" t="s">
        <v>336</v>
      </c>
      <c r="B723" s="282" t="s">
        <v>2480</v>
      </c>
      <c r="C723" s="268" t="s">
        <v>337</v>
      </c>
      <c r="D723" s="269" t="s">
        <v>75</v>
      </c>
      <c r="E723" s="270">
        <v>2.0</v>
      </c>
      <c r="F723" s="205">
        <v>4460.0</v>
      </c>
      <c r="G723" s="206">
        <f>F723*E723</f>
        <v>8920</v>
      </c>
      <c r="H723" s="240"/>
      <c r="I723" s="240"/>
      <c r="J723" s="240"/>
      <c r="K723" s="240"/>
      <c r="L723" s="240"/>
    </row>
    <row r="724" ht="12.75" customHeight="1" outlineLevel="2">
      <c r="B724" s="189"/>
      <c r="E724" s="79"/>
      <c r="F724" s="80"/>
      <c r="G724" s="80"/>
      <c r="H724" s="240"/>
      <c r="I724" s="240"/>
      <c r="J724" s="240"/>
      <c r="K724" s="240"/>
      <c r="L724" s="240"/>
    </row>
    <row r="725" ht="12.75" customHeight="1" outlineLevel="2">
      <c r="A725" s="89" t="s">
        <v>338</v>
      </c>
      <c r="B725" s="282">
        <v>11.17</v>
      </c>
      <c r="C725" s="273" t="s">
        <v>339</v>
      </c>
      <c r="E725" s="79"/>
      <c r="F725" s="80"/>
      <c r="G725" s="80"/>
      <c r="H725" s="240" t="s">
        <v>5609</v>
      </c>
      <c r="I725" s="240" t="s">
        <v>5609</v>
      </c>
      <c r="J725" s="240"/>
      <c r="K725" s="240"/>
      <c r="L725" s="240"/>
    </row>
    <row r="726" ht="12.75" customHeight="1" outlineLevel="2">
      <c r="B726" s="189"/>
      <c r="E726" s="79"/>
      <c r="F726" s="80"/>
      <c r="G726" s="80"/>
      <c r="H726" s="240"/>
      <c r="I726" s="240"/>
      <c r="J726" s="240"/>
      <c r="K726" s="240"/>
      <c r="L726" s="240"/>
    </row>
    <row r="727" ht="12.75" customHeight="1" outlineLevel="2">
      <c r="A727" s="89" t="s">
        <v>340</v>
      </c>
      <c r="B727" s="282" t="s">
        <v>2483</v>
      </c>
      <c r="C727" s="268" t="s">
        <v>341</v>
      </c>
      <c r="D727" s="269" t="s">
        <v>75</v>
      </c>
      <c r="E727" s="270">
        <v>1.0</v>
      </c>
      <c r="F727" s="205">
        <v>3620.0</v>
      </c>
      <c r="G727" s="206">
        <f>F727*E727</f>
        <v>3620</v>
      </c>
      <c r="H727" s="240"/>
      <c r="I727" s="240"/>
      <c r="J727" s="240"/>
      <c r="K727" s="240"/>
      <c r="L727" s="240"/>
    </row>
    <row r="728" ht="12.75" customHeight="1" outlineLevel="2">
      <c r="B728" s="189"/>
      <c r="E728" s="79"/>
      <c r="F728" s="80"/>
      <c r="G728" s="80"/>
      <c r="H728" s="240"/>
      <c r="I728" s="240"/>
      <c r="J728" s="240"/>
      <c r="K728" s="240"/>
      <c r="L728" s="240"/>
    </row>
    <row r="729" ht="12.75" customHeight="1" outlineLevel="2">
      <c r="A729" s="89" t="s">
        <v>342</v>
      </c>
      <c r="B729" s="282">
        <v>11.18</v>
      </c>
      <c r="C729" s="273" t="s">
        <v>343</v>
      </c>
      <c r="E729" s="79"/>
      <c r="F729" s="80"/>
      <c r="G729" s="80"/>
      <c r="H729" s="240" t="s">
        <v>5609</v>
      </c>
      <c r="I729" s="240" t="s">
        <v>5609</v>
      </c>
      <c r="J729" s="240"/>
      <c r="K729" s="240"/>
      <c r="L729" s="240"/>
    </row>
    <row r="730" ht="12.75" customHeight="1" outlineLevel="2">
      <c r="B730" s="189"/>
      <c r="E730" s="79"/>
      <c r="F730" s="80"/>
      <c r="G730" s="80"/>
      <c r="H730" s="240"/>
      <c r="I730" s="240"/>
      <c r="J730" s="240"/>
      <c r="K730" s="240"/>
      <c r="L730" s="240"/>
    </row>
    <row r="731" ht="12.75" customHeight="1" outlineLevel="2">
      <c r="A731" s="89" t="s">
        <v>344</v>
      </c>
      <c r="B731" s="282" t="s">
        <v>2486</v>
      </c>
      <c r="C731" s="268" t="s">
        <v>345</v>
      </c>
      <c r="D731" s="269" t="s">
        <v>75</v>
      </c>
      <c r="E731" s="270">
        <v>1.0</v>
      </c>
      <c r="F731" s="205">
        <v>4370.0</v>
      </c>
      <c r="G731" s="206">
        <f>F731*E731</f>
        <v>4370</v>
      </c>
      <c r="H731" s="240"/>
      <c r="I731" s="240"/>
      <c r="J731" s="240"/>
      <c r="K731" s="240"/>
      <c r="L731" s="240"/>
    </row>
    <row r="732" ht="12.75" customHeight="1" outlineLevel="2">
      <c r="B732" s="189"/>
      <c r="E732" s="79"/>
      <c r="F732" s="80"/>
      <c r="G732" s="80"/>
      <c r="H732" s="240"/>
      <c r="I732" s="240"/>
      <c r="J732" s="240"/>
      <c r="K732" s="240"/>
      <c r="L732" s="240"/>
    </row>
    <row r="733" ht="12.75" customHeight="1" outlineLevel="2">
      <c r="A733" s="89" t="s">
        <v>346</v>
      </c>
      <c r="B733" s="282">
        <v>11.19</v>
      </c>
      <c r="C733" s="273" t="s">
        <v>347</v>
      </c>
      <c r="E733" s="79"/>
      <c r="F733" s="80"/>
      <c r="G733" s="80"/>
      <c r="H733" s="240" t="s">
        <v>5609</v>
      </c>
      <c r="I733" s="240" t="s">
        <v>5609</v>
      </c>
      <c r="J733" s="240"/>
      <c r="K733" s="240"/>
      <c r="L733" s="240"/>
    </row>
    <row r="734" ht="12.75" customHeight="1" outlineLevel="2">
      <c r="B734" s="189"/>
      <c r="E734" s="79"/>
      <c r="F734" s="80"/>
      <c r="G734" s="80"/>
      <c r="H734" s="240"/>
      <c r="I734" s="240"/>
      <c r="J734" s="240"/>
      <c r="K734" s="240"/>
      <c r="L734" s="240"/>
    </row>
    <row r="735" ht="12.75" customHeight="1" outlineLevel="2">
      <c r="A735" s="89" t="s">
        <v>348</v>
      </c>
      <c r="B735" s="282" t="s">
        <v>2489</v>
      </c>
      <c r="C735" s="268" t="s">
        <v>349</v>
      </c>
      <c r="D735" s="269" t="s">
        <v>75</v>
      </c>
      <c r="E735" s="270">
        <v>1.0</v>
      </c>
      <c r="F735" s="205">
        <v>4370.0</v>
      </c>
      <c r="G735" s="206">
        <f t="shared" ref="G735:G737" si="32">F735*E735</f>
        <v>4370</v>
      </c>
      <c r="H735" s="240"/>
      <c r="I735" s="240"/>
      <c r="J735" s="240"/>
      <c r="K735" s="240"/>
      <c r="L735" s="240"/>
    </row>
    <row r="736" ht="12.75" customHeight="1" outlineLevel="2">
      <c r="A736" s="89" t="s">
        <v>350</v>
      </c>
      <c r="B736" s="282" t="s">
        <v>2491</v>
      </c>
      <c r="C736" s="268" t="s">
        <v>351</v>
      </c>
      <c r="D736" s="269" t="s">
        <v>75</v>
      </c>
      <c r="E736" s="270">
        <v>1.0</v>
      </c>
      <c r="F736" s="205">
        <v>3200.0</v>
      </c>
      <c r="G736" s="206">
        <f t="shared" si="32"/>
        <v>3200</v>
      </c>
      <c r="H736" s="240"/>
      <c r="I736" s="240"/>
      <c r="J736" s="240"/>
      <c r="K736" s="240"/>
      <c r="L736" s="240"/>
    </row>
    <row r="737" ht="12.75" customHeight="1" outlineLevel="2">
      <c r="A737" s="89" t="s">
        <v>352</v>
      </c>
      <c r="B737" s="282" t="s">
        <v>2493</v>
      </c>
      <c r="C737" s="268" t="s">
        <v>353</v>
      </c>
      <c r="D737" s="269" t="s">
        <v>75</v>
      </c>
      <c r="E737" s="270">
        <v>1.0</v>
      </c>
      <c r="F737" s="205">
        <v>560.0</v>
      </c>
      <c r="G737" s="206">
        <f t="shared" si="32"/>
        <v>560</v>
      </c>
      <c r="H737" s="240"/>
      <c r="I737" s="240"/>
      <c r="J737" s="240"/>
      <c r="K737" s="240"/>
      <c r="L737" s="240"/>
    </row>
    <row r="738" ht="12.75" customHeight="1" outlineLevel="2">
      <c r="B738" s="189"/>
      <c r="E738" s="79"/>
      <c r="F738" s="80"/>
      <c r="G738" s="80"/>
      <c r="H738" s="240"/>
      <c r="I738" s="240"/>
      <c r="J738" s="240"/>
      <c r="K738" s="240"/>
      <c r="L738" s="240"/>
    </row>
    <row r="739" ht="12.75" customHeight="1" outlineLevel="2">
      <c r="A739" s="89" t="s">
        <v>354</v>
      </c>
      <c r="B739" s="282">
        <v>11.2</v>
      </c>
      <c r="C739" s="273" t="s">
        <v>355</v>
      </c>
      <c r="E739" s="79"/>
      <c r="F739" s="80"/>
      <c r="G739" s="80"/>
      <c r="H739" s="240" t="s">
        <v>5609</v>
      </c>
      <c r="I739" s="240" t="s">
        <v>5609</v>
      </c>
      <c r="J739" s="240"/>
      <c r="K739" s="240"/>
      <c r="L739" s="240"/>
    </row>
    <row r="740" ht="12.75" customHeight="1" outlineLevel="2">
      <c r="B740" s="189"/>
      <c r="E740" s="79"/>
      <c r="F740" s="80"/>
      <c r="G740" s="80"/>
      <c r="H740" s="240"/>
      <c r="I740" s="240"/>
      <c r="J740" s="240"/>
      <c r="K740" s="240"/>
      <c r="L740" s="240"/>
    </row>
    <row r="741" ht="12.75" customHeight="1" outlineLevel="2">
      <c r="A741" s="89" t="s">
        <v>356</v>
      </c>
      <c r="B741" s="282" t="s">
        <v>2496</v>
      </c>
      <c r="C741" s="268" t="s">
        <v>357</v>
      </c>
      <c r="D741" s="269" t="s">
        <v>75</v>
      </c>
      <c r="E741" s="270">
        <v>1.0</v>
      </c>
      <c r="F741" s="205">
        <v>4460.0</v>
      </c>
      <c r="G741" s="206">
        <f>F741*E741</f>
        <v>4460</v>
      </c>
      <c r="H741" s="240"/>
      <c r="I741" s="240"/>
      <c r="J741" s="240"/>
      <c r="K741" s="240"/>
      <c r="L741" s="240"/>
    </row>
    <row r="742" ht="12.75" customHeight="1" outlineLevel="2">
      <c r="B742" s="189"/>
      <c r="E742" s="79"/>
      <c r="F742" s="80"/>
      <c r="G742" s="80"/>
      <c r="H742" s="240"/>
      <c r="I742" s="240"/>
      <c r="J742" s="240"/>
      <c r="K742" s="240"/>
      <c r="L742" s="240"/>
    </row>
    <row r="743" ht="12.75" customHeight="1" outlineLevel="2">
      <c r="A743" s="89" t="s">
        <v>358</v>
      </c>
      <c r="B743" s="282">
        <v>11.21</v>
      </c>
      <c r="C743" s="273" t="s">
        <v>359</v>
      </c>
      <c r="E743" s="79"/>
      <c r="F743" s="80"/>
      <c r="G743" s="80"/>
      <c r="H743" s="240" t="s">
        <v>5609</v>
      </c>
      <c r="I743" s="240" t="s">
        <v>5609</v>
      </c>
      <c r="J743" s="240"/>
      <c r="K743" s="240"/>
      <c r="L743" s="240"/>
    </row>
    <row r="744" ht="12.75" customHeight="1" outlineLevel="2">
      <c r="B744" s="189"/>
      <c r="E744" s="79"/>
      <c r="F744" s="80"/>
      <c r="G744" s="80"/>
      <c r="H744" s="240"/>
      <c r="I744" s="240"/>
      <c r="J744" s="240"/>
      <c r="K744" s="240"/>
      <c r="L744" s="240"/>
    </row>
    <row r="745" ht="12.75" customHeight="1" outlineLevel="2">
      <c r="A745" s="89" t="s">
        <v>360</v>
      </c>
      <c r="B745" s="282" t="s">
        <v>2499</v>
      </c>
      <c r="C745" s="268" t="s">
        <v>361</v>
      </c>
      <c r="D745" s="269" t="s">
        <v>75</v>
      </c>
      <c r="E745" s="270">
        <v>1.0</v>
      </c>
      <c r="F745" s="205">
        <v>6700.0</v>
      </c>
      <c r="G745" s="206">
        <f>F745*E745</f>
        <v>6700</v>
      </c>
      <c r="H745" s="240"/>
      <c r="I745" s="240"/>
      <c r="J745" s="240"/>
      <c r="K745" s="240"/>
      <c r="L745" s="240"/>
    </row>
    <row r="746" ht="12.75" customHeight="1" outlineLevel="2">
      <c r="B746" s="189"/>
      <c r="E746" s="79"/>
      <c r="F746" s="80"/>
      <c r="G746" s="80"/>
      <c r="H746" s="240"/>
      <c r="I746" s="240"/>
      <c r="J746" s="240"/>
      <c r="K746" s="240"/>
      <c r="L746" s="240"/>
    </row>
    <row r="747" ht="12.75" customHeight="1" outlineLevel="2">
      <c r="A747" s="89" t="s">
        <v>362</v>
      </c>
      <c r="B747" s="282">
        <v>11.22</v>
      </c>
      <c r="C747" s="273" t="s">
        <v>363</v>
      </c>
      <c r="E747" s="79"/>
      <c r="F747" s="80"/>
      <c r="G747" s="80"/>
      <c r="H747" s="240" t="s">
        <v>5609</v>
      </c>
      <c r="I747" s="240" t="s">
        <v>5609</v>
      </c>
      <c r="J747" s="240"/>
      <c r="K747" s="240"/>
      <c r="L747" s="240"/>
    </row>
    <row r="748" ht="12.75" customHeight="1" outlineLevel="2">
      <c r="B748" s="189"/>
      <c r="E748" s="79"/>
      <c r="F748" s="80"/>
      <c r="G748" s="80"/>
      <c r="H748" s="240"/>
      <c r="I748" s="240"/>
      <c r="J748" s="240"/>
      <c r="K748" s="240"/>
      <c r="L748" s="240"/>
    </row>
    <row r="749" ht="12.75" customHeight="1" outlineLevel="2">
      <c r="A749" s="89" t="s">
        <v>364</v>
      </c>
      <c r="B749" s="282" t="s">
        <v>2502</v>
      </c>
      <c r="C749" s="268" t="s">
        <v>365</v>
      </c>
      <c r="D749" s="269" t="s">
        <v>75</v>
      </c>
      <c r="E749" s="270">
        <v>1.0</v>
      </c>
      <c r="F749" s="205">
        <v>580.0</v>
      </c>
      <c r="G749" s="206">
        <f>F749*E749</f>
        <v>580</v>
      </c>
      <c r="H749" s="240"/>
      <c r="I749" s="240"/>
      <c r="J749" s="240"/>
      <c r="K749" s="240"/>
      <c r="L749" s="240"/>
    </row>
    <row r="750" ht="12.75" customHeight="1" outlineLevel="2">
      <c r="B750" s="189"/>
      <c r="E750" s="79"/>
      <c r="F750" s="80"/>
      <c r="G750" s="80"/>
      <c r="H750" s="240"/>
      <c r="I750" s="240"/>
      <c r="J750" s="240"/>
      <c r="K750" s="240"/>
      <c r="L750" s="240"/>
    </row>
    <row r="751" ht="12.75" customHeight="1" outlineLevel="2">
      <c r="A751" s="89" t="s">
        <v>366</v>
      </c>
      <c r="B751" s="282">
        <v>11.23</v>
      </c>
      <c r="C751" s="273" t="s">
        <v>367</v>
      </c>
      <c r="E751" s="79"/>
      <c r="F751" s="80"/>
      <c r="G751" s="80"/>
      <c r="H751" s="240" t="s">
        <v>5609</v>
      </c>
      <c r="I751" s="240" t="s">
        <v>5609</v>
      </c>
      <c r="J751" s="240"/>
      <c r="K751" s="240"/>
      <c r="L751" s="240"/>
    </row>
    <row r="752" ht="12.75" customHeight="1" outlineLevel="2">
      <c r="B752" s="189"/>
      <c r="E752" s="79"/>
      <c r="F752" s="80"/>
      <c r="G752" s="80"/>
      <c r="H752" s="240"/>
      <c r="I752" s="240"/>
      <c r="J752" s="240"/>
      <c r="K752" s="240"/>
      <c r="L752" s="240"/>
    </row>
    <row r="753" ht="12.75" customHeight="1" outlineLevel="2">
      <c r="A753" s="89" t="s">
        <v>368</v>
      </c>
      <c r="B753" s="282" t="s">
        <v>2505</v>
      </c>
      <c r="C753" s="268" t="s">
        <v>369</v>
      </c>
      <c r="D753" s="269" t="s">
        <v>75</v>
      </c>
      <c r="E753" s="270">
        <v>1.0</v>
      </c>
      <c r="F753" s="205">
        <v>3420.0</v>
      </c>
      <c r="G753" s="206">
        <f t="shared" ref="G753:G758" si="33">F753*E753</f>
        <v>3420</v>
      </c>
      <c r="H753" s="240"/>
      <c r="I753" s="240"/>
      <c r="J753" s="240"/>
      <c r="K753" s="240"/>
      <c r="L753" s="240"/>
    </row>
    <row r="754" ht="12.75" customHeight="1" outlineLevel="2">
      <c r="A754" s="89" t="s">
        <v>370</v>
      </c>
      <c r="B754" s="282" t="s">
        <v>2507</v>
      </c>
      <c r="C754" s="268" t="s">
        <v>371</v>
      </c>
      <c r="D754" s="269" t="s">
        <v>75</v>
      </c>
      <c r="E754" s="270">
        <v>1.0</v>
      </c>
      <c r="F754" s="205">
        <v>3420.0</v>
      </c>
      <c r="G754" s="206">
        <f t="shared" si="33"/>
        <v>3420</v>
      </c>
      <c r="H754" s="240"/>
      <c r="I754" s="240"/>
      <c r="J754" s="240"/>
      <c r="K754" s="240"/>
      <c r="L754" s="240"/>
    </row>
    <row r="755" ht="12.75" customHeight="1" outlineLevel="2">
      <c r="A755" s="89" t="s">
        <v>372</v>
      </c>
      <c r="B755" s="282" t="s">
        <v>2509</v>
      </c>
      <c r="C755" s="268" t="s">
        <v>373</v>
      </c>
      <c r="D755" s="269" t="s">
        <v>75</v>
      </c>
      <c r="E755" s="270">
        <v>1.0</v>
      </c>
      <c r="F755" s="205">
        <v>580.0</v>
      </c>
      <c r="G755" s="206">
        <f t="shared" si="33"/>
        <v>580</v>
      </c>
      <c r="H755" s="240"/>
      <c r="I755" s="240"/>
      <c r="J755" s="240"/>
      <c r="K755" s="240"/>
      <c r="L755" s="240"/>
    </row>
    <row r="756" ht="12.75" customHeight="1" outlineLevel="2">
      <c r="A756" s="89" t="s">
        <v>374</v>
      </c>
      <c r="B756" s="282" t="s">
        <v>2511</v>
      </c>
      <c r="C756" s="268" t="s">
        <v>375</v>
      </c>
      <c r="D756" s="269" t="s">
        <v>75</v>
      </c>
      <c r="E756" s="270">
        <v>1.0</v>
      </c>
      <c r="F756" s="205">
        <v>3420.0</v>
      </c>
      <c r="G756" s="206">
        <f t="shared" si="33"/>
        <v>3420</v>
      </c>
      <c r="H756" s="240"/>
      <c r="I756" s="240"/>
      <c r="J756" s="240"/>
      <c r="K756" s="240"/>
      <c r="L756" s="240"/>
    </row>
    <row r="757" ht="12.75" customHeight="1" outlineLevel="2">
      <c r="A757" s="89" t="s">
        <v>376</v>
      </c>
      <c r="B757" s="282" t="s">
        <v>2513</v>
      </c>
      <c r="C757" s="268" t="s">
        <v>377</v>
      </c>
      <c r="D757" s="269" t="s">
        <v>75</v>
      </c>
      <c r="E757" s="270">
        <v>1.0</v>
      </c>
      <c r="F757" s="205">
        <v>3420.0</v>
      </c>
      <c r="G757" s="206">
        <f t="shared" si="33"/>
        <v>3420</v>
      </c>
      <c r="H757" s="240"/>
      <c r="I757" s="240"/>
      <c r="J757" s="240"/>
      <c r="K757" s="240"/>
      <c r="L757" s="240"/>
    </row>
    <row r="758" ht="12.75" customHeight="1" outlineLevel="2">
      <c r="A758" s="89" t="s">
        <v>378</v>
      </c>
      <c r="B758" s="282" t="s">
        <v>2515</v>
      </c>
      <c r="C758" s="268" t="s">
        <v>379</v>
      </c>
      <c r="D758" s="269" t="s">
        <v>75</v>
      </c>
      <c r="E758" s="270">
        <v>1.0</v>
      </c>
      <c r="F758" s="205">
        <v>580.0</v>
      </c>
      <c r="G758" s="206">
        <f t="shared" si="33"/>
        <v>580</v>
      </c>
      <c r="H758" s="240"/>
      <c r="I758" s="240"/>
      <c r="J758" s="240"/>
      <c r="K758" s="240"/>
      <c r="L758" s="240"/>
    </row>
    <row r="759" ht="12.75" customHeight="1" outlineLevel="2">
      <c r="A759" s="89"/>
      <c r="B759" s="289"/>
      <c r="C759" s="285"/>
      <c r="D759" s="274"/>
      <c r="E759" s="275"/>
      <c r="F759" s="239"/>
      <c r="G759" s="239"/>
      <c r="H759" s="240"/>
      <c r="I759" s="240"/>
      <c r="J759" s="240"/>
      <c r="K759" s="240"/>
      <c r="L759" s="240"/>
    </row>
    <row r="760" ht="12.75" customHeight="1" outlineLevel="1">
      <c r="A760" s="89"/>
      <c r="B760" s="289"/>
      <c r="C760" s="285"/>
      <c r="D760" s="274"/>
      <c r="E760" s="275"/>
      <c r="F760" s="239"/>
      <c r="G760" s="239"/>
      <c r="H760" s="240"/>
      <c r="I760" s="240"/>
      <c r="J760" s="240"/>
      <c r="K760" s="240"/>
      <c r="L760" s="240"/>
    </row>
    <row r="761" ht="12.75" customHeight="1">
      <c r="A761" s="192"/>
      <c r="B761" s="83">
        <v>12.0</v>
      </c>
      <c r="C761" s="184" t="s">
        <v>536</v>
      </c>
      <c r="D761" s="193"/>
      <c r="E761" s="194"/>
      <c r="F761" s="195"/>
      <c r="G761" s="196">
        <f>SUM(G765:G829)</f>
        <v>51642.25</v>
      </c>
      <c r="H761" s="197">
        <f>G761-'Orcamento RU'!C520</f>
        <v>-4592.29</v>
      </c>
      <c r="I761" s="197">
        <f>H761-'Orcamento RU'!D520</f>
        <v>-4592.29</v>
      </c>
      <c r="J761" s="919"/>
      <c r="K761" s="169"/>
      <c r="L761" s="169"/>
    </row>
    <row r="762" ht="12.75" customHeight="1" outlineLevel="1">
      <c r="A762" s="89"/>
      <c r="B762" s="288"/>
      <c r="C762" s="285"/>
      <c r="D762" s="274"/>
      <c r="E762" s="275"/>
      <c r="F762" s="239"/>
      <c r="G762" s="239"/>
      <c r="H762" s="240"/>
      <c r="I762" s="240"/>
      <c r="J762" s="240"/>
      <c r="K762" s="240"/>
      <c r="L762" s="240"/>
    </row>
    <row r="763" ht="12.75" customHeight="1" outlineLevel="1">
      <c r="A763" s="89" t="s">
        <v>537</v>
      </c>
      <c r="B763" s="290"/>
      <c r="C763" s="184" t="s">
        <v>538</v>
      </c>
      <c r="E763" s="79"/>
      <c r="F763" s="917">
        <f>SUM(G767:G771)</f>
        <v>10400</v>
      </c>
      <c r="G763" s="80"/>
      <c r="H763" s="240"/>
      <c r="I763" s="240"/>
      <c r="J763" s="240"/>
      <c r="K763" s="240"/>
      <c r="L763" s="240"/>
    </row>
    <row r="764" ht="12.75" customHeight="1" outlineLevel="2">
      <c r="B764" s="290"/>
      <c r="E764" s="79"/>
      <c r="F764" s="80"/>
      <c r="G764" s="80"/>
      <c r="H764" s="240"/>
      <c r="I764" s="240"/>
      <c r="J764" s="240"/>
      <c r="K764" s="240"/>
      <c r="L764" s="240"/>
    </row>
    <row r="765" ht="12.75" customHeight="1" outlineLevel="2">
      <c r="A765" s="89" t="s">
        <v>539</v>
      </c>
      <c r="B765" s="198" t="s">
        <v>2519</v>
      </c>
      <c r="C765" s="202" t="s">
        <v>540</v>
      </c>
      <c r="D765" s="203"/>
      <c r="E765" s="214"/>
      <c r="F765" s="205"/>
      <c r="G765" s="206"/>
      <c r="H765" s="219" t="s">
        <v>5617</v>
      </c>
      <c r="I765" s="219" t="s">
        <v>5617</v>
      </c>
      <c r="J765" s="240"/>
      <c r="K765" s="240"/>
      <c r="L765" s="240"/>
    </row>
    <row r="766" ht="12.75" customHeight="1" outlineLevel="2">
      <c r="B766" s="291"/>
      <c r="E766" s="79"/>
      <c r="F766" s="80"/>
      <c r="G766" s="80"/>
      <c r="H766" s="240"/>
      <c r="I766" s="240"/>
      <c r="J766" s="240"/>
      <c r="K766" s="240"/>
      <c r="L766" s="240"/>
    </row>
    <row r="767" ht="12.75" customHeight="1" outlineLevel="2">
      <c r="A767" s="89" t="s">
        <v>541</v>
      </c>
      <c r="B767" s="198" t="s">
        <v>2522</v>
      </c>
      <c r="C767" s="202" t="s">
        <v>542</v>
      </c>
      <c r="D767" s="203" t="s">
        <v>227</v>
      </c>
      <c r="E767" s="214">
        <v>1.0</v>
      </c>
      <c r="F767" s="205">
        <v>3800.0</v>
      </c>
      <c r="G767" s="206">
        <f>E767*F767</f>
        <v>3800</v>
      </c>
      <c r="H767" s="219"/>
      <c r="I767" s="219"/>
      <c r="J767" s="240"/>
      <c r="K767" s="240"/>
      <c r="L767" s="240"/>
    </row>
    <row r="768" ht="12.75" customHeight="1" outlineLevel="2">
      <c r="B768" s="286"/>
      <c r="E768" s="79"/>
      <c r="F768" s="80"/>
      <c r="G768" s="80"/>
      <c r="H768" s="240"/>
      <c r="I768" s="240"/>
      <c r="J768" s="240"/>
      <c r="K768" s="240"/>
      <c r="L768" s="240"/>
    </row>
    <row r="769" ht="12.75" customHeight="1" outlineLevel="2">
      <c r="A769" s="89" t="s">
        <v>543</v>
      </c>
      <c r="B769" s="198" t="s">
        <v>2524</v>
      </c>
      <c r="C769" s="202" t="s">
        <v>544</v>
      </c>
      <c r="D769" s="203" t="s">
        <v>227</v>
      </c>
      <c r="E769" s="214">
        <v>1.0</v>
      </c>
      <c r="F769" s="205">
        <v>3800.0</v>
      </c>
      <c r="G769" s="206">
        <f>E769*F769</f>
        <v>3800</v>
      </c>
      <c r="H769" s="219"/>
      <c r="I769" s="219"/>
      <c r="J769" s="240"/>
      <c r="K769" s="240"/>
      <c r="L769" s="240"/>
    </row>
    <row r="770" ht="12.75" customHeight="1" outlineLevel="2">
      <c r="B770" s="286"/>
      <c r="E770" s="79"/>
      <c r="F770" s="80"/>
      <c r="G770" s="80"/>
      <c r="H770" s="240"/>
      <c r="I770" s="240"/>
      <c r="J770" s="240"/>
      <c r="K770" s="240"/>
      <c r="L770" s="240"/>
    </row>
    <row r="771" ht="12.75" customHeight="1" outlineLevel="2">
      <c r="A771" s="89" t="s">
        <v>545</v>
      </c>
      <c r="B771" s="198" t="s">
        <v>2526</v>
      </c>
      <c r="C771" s="202" t="s">
        <v>546</v>
      </c>
      <c r="D771" s="203" t="s">
        <v>227</v>
      </c>
      <c r="E771" s="214">
        <v>1.0</v>
      </c>
      <c r="F771" s="205">
        <v>2800.0</v>
      </c>
      <c r="G771" s="206">
        <f>E771*F771</f>
        <v>2800</v>
      </c>
      <c r="H771" s="219"/>
      <c r="I771" s="219"/>
      <c r="J771" s="240"/>
      <c r="K771" s="240"/>
      <c r="L771" s="240"/>
    </row>
    <row r="772" ht="12.75" customHeight="1" outlineLevel="2">
      <c r="B772" s="286"/>
      <c r="E772" s="79"/>
      <c r="F772" s="80"/>
      <c r="G772" s="80"/>
      <c r="H772" s="240"/>
      <c r="I772" s="240"/>
      <c r="J772" s="240"/>
      <c r="K772" s="240"/>
      <c r="L772" s="240"/>
    </row>
    <row r="773" ht="12.75" customHeight="1" outlineLevel="1">
      <c r="A773" s="89" t="s">
        <v>547</v>
      </c>
      <c r="B773" s="286"/>
      <c r="C773" s="184" t="s">
        <v>548</v>
      </c>
      <c r="E773" s="79"/>
      <c r="F773" s="917">
        <f>SUM(G777:G781)</f>
        <v>6900</v>
      </c>
      <c r="G773" s="80"/>
      <c r="H773" s="240"/>
      <c r="I773" s="240"/>
      <c r="J773" s="240"/>
      <c r="K773" s="240"/>
      <c r="L773" s="240"/>
    </row>
    <row r="774" ht="12.75" customHeight="1" outlineLevel="2">
      <c r="B774" s="286"/>
      <c r="E774" s="79"/>
      <c r="F774" s="80"/>
      <c r="G774" s="80"/>
      <c r="H774" s="240"/>
      <c r="I774" s="240"/>
      <c r="J774" s="240"/>
      <c r="K774" s="240"/>
      <c r="L774" s="240"/>
    </row>
    <row r="775" ht="12.75" customHeight="1" outlineLevel="2">
      <c r="A775" s="95" t="s">
        <v>549</v>
      </c>
      <c r="B775" s="264" t="s">
        <v>2529</v>
      </c>
      <c r="C775" s="292" t="s">
        <v>550</v>
      </c>
      <c r="D775" s="293"/>
      <c r="E775" s="214"/>
      <c r="F775" s="205"/>
      <c r="G775" s="206"/>
      <c r="H775" s="294"/>
      <c r="I775" s="294"/>
      <c r="J775" s="295"/>
      <c r="K775" s="295"/>
      <c r="L775" s="295"/>
    </row>
    <row r="776" ht="12.75" customHeight="1" outlineLevel="2">
      <c r="A776" s="102"/>
      <c r="B776" s="286"/>
      <c r="C776" s="102"/>
      <c r="D776" s="102"/>
      <c r="E776" s="103"/>
      <c r="F776" s="104"/>
      <c r="G776" s="104"/>
      <c r="H776" s="295"/>
      <c r="I776" s="295"/>
      <c r="J776" s="295"/>
      <c r="K776" s="295"/>
      <c r="L776" s="295"/>
    </row>
    <row r="777" ht="12.75" customHeight="1" outlineLevel="2">
      <c r="A777" s="95" t="s">
        <v>551</v>
      </c>
      <c r="B777" s="264" t="s">
        <v>2531</v>
      </c>
      <c r="C777" s="292" t="s">
        <v>552</v>
      </c>
      <c r="D777" s="293" t="s">
        <v>75</v>
      </c>
      <c r="E777" s="214">
        <v>1.0</v>
      </c>
      <c r="F777" s="205">
        <v>2300.0</v>
      </c>
      <c r="G777" s="206">
        <f>E777*F777</f>
        <v>2300</v>
      </c>
      <c r="H777" s="294"/>
      <c r="I777" s="294"/>
      <c r="J777" s="295"/>
      <c r="K777" s="295"/>
      <c r="L777" s="295"/>
    </row>
    <row r="778" ht="12.75" customHeight="1" outlineLevel="2">
      <c r="A778" s="102"/>
      <c r="B778" s="286"/>
      <c r="C778" s="102"/>
      <c r="D778" s="102"/>
      <c r="E778" s="103"/>
      <c r="F778" s="104"/>
      <c r="G778" s="104"/>
      <c r="H778" s="295"/>
      <c r="I778" s="295"/>
      <c r="J778" s="295"/>
      <c r="K778" s="295"/>
      <c r="L778" s="295"/>
    </row>
    <row r="779" ht="12.75" customHeight="1" outlineLevel="2">
      <c r="A779" s="95" t="s">
        <v>553</v>
      </c>
      <c r="B779" s="264" t="s">
        <v>2533</v>
      </c>
      <c r="C779" s="292" t="s">
        <v>554</v>
      </c>
      <c r="D779" s="293" t="s">
        <v>75</v>
      </c>
      <c r="E779" s="214">
        <v>1.0</v>
      </c>
      <c r="F779" s="205">
        <v>2300.0</v>
      </c>
      <c r="G779" s="206">
        <f>E779*F779</f>
        <v>2300</v>
      </c>
      <c r="H779" s="294"/>
      <c r="I779" s="294"/>
      <c r="J779" s="295"/>
      <c r="K779" s="295"/>
      <c r="L779" s="295"/>
    </row>
    <row r="780" ht="12.75" customHeight="1" outlineLevel="2">
      <c r="A780" s="102"/>
      <c r="B780" s="286"/>
      <c r="C780" s="102"/>
      <c r="D780" s="102"/>
      <c r="E780" s="103"/>
      <c r="F780" s="104"/>
      <c r="G780" s="104"/>
      <c r="H780" s="295"/>
      <c r="I780" s="295"/>
      <c r="J780" s="295"/>
      <c r="K780" s="295"/>
      <c r="L780" s="295"/>
    </row>
    <row r="781" ht="12.75" customHeight="1" outlineLevel="2">
      <c r="A781" s="95" t="s">
        <v>555</v>
      </c>
      <c r="B781" s="264" t="s">
        <v>2535</v>
      </c>
      <c r="C781" s="292" t="s">
        <v>556</v>
      </c>
      <c r="D781" s="293" t="s">
        <v>75</v>
      </c>
      <c r="E781" s="214">
        <v>1.0</v>
      </c>
      <c r="F781" s="205">
        <v>2300.0</v>
      </c>
      <c r="G781" s="206">
        <f>E781*F781</f>
        <v>2300</v>
      </c>
      <c r="H781" s="294"/>
      <c r="I781" s="294"/>
      <c r="J781" s="295"/>
      <c r="K781" s="295"/>
      <c r="L781" s="295"/>
    </row>
    <row r="782" ht="12.75" customHeight="1" outlineLevel="2">
      <c r="B782" s="286"/>
      <c r="E782" s="79"/>
      <c r="F782" s="80"/>
      <c r="G782" s="80"/>
      <c r="H782" s="240"/>
      <c r="I782" s="240"/>
      <c r="J782" s="240"/>
      <c r="K782" s="240"/>
      <c r="L782" s="240"/>
    </row>
    <row r="783" ht="12.75" customHeight="1" outlineLevel="1">
      <c r="A783" s="89" t="s">
        <v>547</v>
      </c>
      <c r="B783" s="286"/>
      <c r="C783" s="184" t="s">
        <v>557</v>
      </c>
      <c r="E783" s="79"/>
      <c r="F783" s="917">
        <f>SUM(G785:G793)</f>
        <v>9720</v>
      </c>
      <c r="G783" s="80"/>
      <c r="H783" s="240"/>
      <c r="I783" s="240"/>
      <c r="J783" s="240"/>
      <c r="K783" s="240"/>
      <c r="L783" s="240"/>
    </row>
    <row r="784" ht="12.75" customHeight="1" outlineLevel="2">
      <c r="B784" s="286"/>
      <c r="E784" s="79"/>
      <c r="F784" s="80"/>
      <c r="G784" s="80"/>
      <c r="H784" s="240"/>
      <c r="I784" s="240"/>
      <c r="J784" s="240"/>
      <c r="K784" s="240"/>
      <c r="L784" s="240"/>
    </row>
    <row r="785" ht="12.75" customHeight="1" outlineLevel="2">
      <c r="A785" s="89" t="s">
        <v>549</v>
      </c>
      <c r="B785" s="198">
        <v>12.3</v>
      </c>
      <c r="C785" s="202" t="s">
        <v>558</v>
      </c>
      <c r="D785" s="203" t="s">
        <v>75</v>
      </c>
      <c r="E785" s="214">
        <v>7.0</v>
      </c>
      <c r="F785" s="205">
        <v>420.0</v>
      </c>
      <c r="G785" s="206">
        <f>E785*F785</f>
        <v>2940</v>
      </c>
      <c r="H785" s="219"/>
      <c r="I785" s="219"/>
      <c r="J785" s="240"/>
      <c r="K785" s="240"/>
      <c r="L785" s="240"/>
    </row>
    <row r="786" ht="12.75" customHeight="1" outlineLevel="2">
      <c r="B786" s="286"/>
      <c r="E786" s="79"/>
      <c r="F786" s="80"/>
      <c r="G786" s="80"/>
      <c r="H786" s="240"/>
      <c r="I786" s="240"/>
      <c r="J786" s="240"/>
      <c r="K786" s="240"/>
      <c r="L786" s="240"/>
    </row>
    <row r="787" ht="12.75" customHeight="1" outlineLevel="2">
      <c r="A787" s="89" t="s">
        <v>560</v>
      </c>
      <c r="B787" s="198" t="s">
        <v>2539</v>
      </c>
      <c r="C787" s="202" t="s">
        <v>561</v>
      </c>
      <c r="D787" s="203" t="s">
        <v>75</v>
      </c>
      <c r="E787" s="214">
        <v>1.0</v>
      </c>
      <c r="F787" s="205">
        <v>1600.0</v>
      </c>
      <c r="G787" s="206">
        <f>E787*F787</f>
        <v>1600</v>
      </c>
      <c r="H787" s="219"/>
      <c r="I787" s="219"/>
      <c r="J787" s="240"/>
      <c r="K787" s="240"/>
      <c r="L787" s="240"/>
    </row>
    <row r="788" ht="12.75" customHeight="1" outlineLevel="2">
      <c r="B788" s="286"/>
      <c r="E788" s="79"/>
      <c r="F788" s="80"/>
      <c r="G788" s="80"/>
      <c r="H788" s="240"/>
      <c r="I788" s="240"/>
      <c r="J788" s="240"/>
      <c r="K788" s="240"/>
      <c r="L788" s="240"/>
    </row>
    <row r="789" ht="12.75" customHeight="1" outlineLevel="2">
      <c r="A789" s="89" t="s">
        <v>562</v>
      </c>
      <c r="B789" s="198" t="s">
        <v>2541</v>
      </c>
      <c r="C789" s="202" t="s">
        <v>563</v>
      </c>
      <c r="D789" s="203" t="s">
        <v>75</v>
      </c>
      <c r="E789" s="214">
        <v>6.0</v>
      </c>
      <c r="F789" s="205">
        <v>670.0</v>
      </c>
      <c r="G789" s="206">
        <f>E789*F789</f>
        <v>4020</v>
      </c>
      <c r="H789" s="219"/>
      <c r="I789" s="219"/>
      <c r="J789" s="240"/>
      <c r="K789" s="240"/>
      <c r="L789" s="240"/>
    </row>
    <row r="790" ht="12.75" customHeight="1" outlineLevel="2">
      <c r="B790" s="286"/>
      <c r="E790" s="79"/>
      <c r="F790" s="80"/>
      <c r="G790" s="80"/>
      <c r="H790" s="240"/>
      <c r="I790" s="240"/>
      <c r="J790" s="240"/>
      <c r="K790" s="240"/>
      <c r="L790" s="240"/>
    </row>
    <row r="791" ht="12.75" customHeight="1" outlineLevel="2">
      <c r="A791" s="89" t="s">
        <v>564</v>
      </c>
      <c r="B791" s="198" t="s">
        <v>2543</v>
      </c>
      <c r="C791" s="202" t="s">
        <v>565</v>
      </c>
      <c r="D791" s="203" t="s">
        <v>75</v>
      </c>
      <c r="E791" s="214">
        <v>2.0</v>
      </c>
      <c r="F791" s="205">
        <v>220.0</v>
      </c>
      <c r="G791" s="206">
        <f>E791*F791</f>
        <v>440</v>
      </c>
      <c r="H791" s="219"/>
      <c r="I791" s="219"/>
      <c r="J791" s="240"/>
      <c r="K791" s="240"/>
      <c r="L791" s="240"/>
    </row>
    <row r="792" ht="12.75" customHeight="1" outlineLevel="2">
      <c r="B792" s="286"/>
      <c r="E792" s="79"/>
      <c r="F792" s="80"/>
      <c r="G792" s="80"/>
      <c r="H792" s="240"/>
      <c r="I792" s="240"/>
      <c r="J792" s="240"/>
      <c r="K792" s="240"/>
      <c r="L792" s="240"/>
    </row>
    <row r="793" ht="12.75" customHeight="1" outlineLevel="2">
      <c r="A793" s="89" t="s">
        <v>566</v>
      </c>
      <c r="B793" s="198" t="s">
        <v>2545</v>
      </c>
      <c r="C793" s="202" t="s">
        <v>567</v>
      </c>
      <c r="D793" s="203" t="s">
        <v>75</v>
      </c>
      <c r="E793" s="214">
        <v>4.0</v>
      </c>
      <c r="F793" s="205">
        <v>180.0</v>
      </c>
      <c r="G793" s="206">
        <f>E793*F793</f>
        <v>720</v>
      </c>
      <c r="H793" s="219"/>
      <c r="I793" s="219"/>
      <c r="J793" s="240"/>
      <c r="K793" s="240"/>
      <c r="L793" s="240"/>
    </row>
    <row r="794" ht="12.75" customHeight="1" outlineLevel="2">
      <c r="B794" s="286"/>
      <c r="E794" s="79"/>
      <c r="F794" s="80"/>
      <c r="G794" s="80"/>
      <c r="H794" s="240"/>
      <c r="I794" s="240"/>
      <c r="J794" s="240"/>
      <c r="K794" s="240"/>
      <c r="L794" s="240"/>
    </row>
    <row r="795" ht="12.75" customHeight="1" outlineLevel="1">
      <c r="A795" s="89" t="s">
        <v>569</v>
      </c>
      <c r="B795" s="286"/>
      <c r="C795" s="184" t="s">
        <v>570</v>
      </c>
      <c r="E795" s="79"/>
      <c r="F795" s="917">
        <f>SUM(G797:G811)</f>
        <v>11100</v>
      </c>
      <c r="G795" s="80"/>
      <c r="H795" s="240"/>
      <c r="I795" s="240"/>
      <c r="J795" s="240"/>
      <c r="K795" s="240"/>
      <c r="L795" s="240"/>
    </row>
    <row r="796" ht="12.75" customHeight="1" outlineLevel="2">
      <c r="B796" s="286"/>
      <c r="E796" s="79"/>
      <c r="F796" s="80"/>
      <c r="G796" s="80"/>
      <c r="H796" s="240"/>
      <c r="I796" s="240"/>
      <c r="J796" s="240"/>
      <c r="K796" s="240"/>
      <c r="L796" s="240"/>
    </row>
    <row r="797" ht="12.75" customHeight="1" outlineLevel="2">
      <c r="A797" s="89" t="s">
        <v>571</v>
      </c>
      <c r="B797" s="198">
        <v>12.4</v>
      </c>
      <c r="C797" s="202" t="s">
        <v>572</v>
      </c>
      <c r="D797" s="203" t="s">
        <v>75</v>
      </c>
      <c r="E797" s="214">
        <v>14.0</v>
      </c>
      <c r="F797" s="205">
        <v>60.0</v>
      </c>
      <c r="G797" s="206">
        <f>E797*F797</f>
        <v>840</v>
      </c>
      <c r="H797" s="219"/>
      <c r="I797" s="219"/>
      <c r="J797" s="240"/>
      <c r="K797" s="240"/>
      <c r="L797" s="240"/>
    </row>
    <row r="798" ht="12.75" customHeight="1" outlineLevel="2">
      <c r="B798" s="286"/>
      <c r="E798" s="79"/>
      <c r="F798" s="80"/>
      <c r="G798" s="80"/>
      <c r="H798" s="240"/>
      <c r="I798" s="240"/>
      <c r="J798" s="240"/>
      <c r="K798" s="240"/>
      <c r="L798" s="240"/>
    </row>
    <row r="799" ht="12.75" customHeight="1" outlineLevel="2">
      <c r="A799" s="89" t="s">
        <v>574</v>
      </c>
      <c r="B799" s="198" t="s">
        <v>2549</v>
      </c>
      <c r="C799" s="202" t="s">
        <v>575</v>
      </c>
      <c r="D799" s="203" t="s">
        <v>75</v>
      </c>
      <c r="E799" s="214">
        <v>6.0</v>
      </c>
      <c r="F799" s="205">
        <v>50.0</v>
      </c>
      <c r="G799" s="206">
        <f>E799*F799</f>
        <v>300</v>
      </c>
      <c r="H799" s="219"/>
      <c r="I799" s="219"/>
      <c r="J799" s="240"/>
      <c r="K799" s="240"/>
      <c r="L799" s="240"/>
    </row>
    <row r="800" ht="12.75" customHeight="1" outlineLevel="2">
      <c r="B800" s="286"/>
      <c r="E800" s="79"/>
      <c r="F800" s="80"/>
      <c r="G800" s="80"/>
      <c r="H800" s="240"/>
      <c r="I800" s="240"/>
      <c r="J800" s="240"/>
      <c r="K800" s="240"/>
      <c r="L800" s="240"/>
    </row>
    <row r="801" ht="12.75" customHeight="1" outlineLevel="2">
      <c r="A801" s="89" t="s">
        <v>576</v>
      </c>
      <c r="B801" s="198" t="s">
        <v>2551</v>
      </c>
      <c r="C801" s="202" t="s">
        <v>577</v>
      </c>
      <c r="D801" s="203" t="s">
        <v>75</v>
      </c>
      <c r="E801" s="214">
        <v>1.0</v>
      </c>
      <c r="F801" s="205">
        <v>360.0</v>
      </c>
      <c r="G801" s="206">
        <f>E801*F801</f>
        <v>360</v>
      </c>
      <c r="H801" s="219"/>
      <c r="I801" s="219"/>
      <c r="J801" s="240"/>
      <c r="K801" s="240"/>
      <c r="L801" s="240"/>
    </row>
    <row r="802" ht="12.75" customHeight="1" outlineLevel="2">
      <c r="B802" s="286"/>
      <c r="E802" s="79"/>
      <c r="F802" s="80"/>
      <c r="G802" s="80"/>
      <c r="H802" s="240"/>
      <c r="I802" s="240"/>
      <c r="J802" s="240"/>
      <c r="K802" s="240"/>
      <c r="L802" s="240"/>
    </row>
    <row r="803" ht="12.75" customHeight="1" outlineLevel="2">
      <c r="A803" s="89" t="s">
        <v>578</v>
      </c>
      <c r="B803" s="198" t="s">
        <v>2553</v>
      </c>
      <c r="C803" s="202" t="s">
        <v>579</v>
      </c>
      <c r="D803" s="203" t="s">
        <v>75</v>
      </c>
      <c r="E803" s="214">
        <v>2.0</v>
      </c>
      <c r="F803" s="205">
        <v>370.0</v>
      </c>
      <c r="G803" s="206">
        <f>E803*F803</f>
        <v>740</v>
      </c>
      <c r="H803" s="219"/>
      <c r="I803" s="219"/>
      <c r="J803" s="240"/>
      <c r="K803" s="240"/>
      <c r="L803" s="240"/>
    </row>
    <row r="804" ht="12.75" customHeight="1" outlineLevel="2">
      <c r="B804" s="286"/>
      <c r="E804" s="79"/>
      <c r="F804" s="80"/>
      <c r="G804" s="80"/>
      <c r="H804" s="240"/>
      <c r="I804" s="240"/>
      <c r="J804" s="240"/>
      <c r="K804" s="240"/>
      <c r="L804" s="240"/>
    </row>
    <row r="805" ht="12.75" customHeight="1" outlineLevel="2">
      <c r="A805" s="89" t="s">
        <v>580</v>
      </c>
      <c r="B805" s="198" t="s">
        <v>2555</v>
      </c>
      <c r="C805" s="202" t="s">
        <v>581</v>
      </c>
      <c r="D805" s="203" t="s">
        <v>75</v>
      </c>
      <c r="E805" s="214">
        <v>1.0</v>
      </c>
      <c r="F805" s="205">
        <v>1100.0</v>
      </c>
      <c r="G805" s="206">
        <f>E805*F805</f>
        <v>1100</v>
      </c>
      <c r="H805" s="219"/>
      <c r="I805" s="219"/>
      <c r="J805" s="240"/>
      <c r="K805" s="240"/>
      <c r="L805" s="240"/>
    </row>
    <row r="806" ht="12.75" customHeight="1" outlineLevel="2">
      <c r="B806" s="286"/>
      <c r="E806" s="79"/>
      <c r="F806" s="80"/>
      <c r="G806" s="80"/>
      <c r="H806" s="240"/>
      <c r="I806" s="240"/>
      <c r="J806" s="240"/>
      <c r="K806" s="240"/>
      <c r="L806" s="240"/>
    </row>
    <row r="807" ht="12.75" customHeight="1" outlineLevel="2">
      <c r="A807" s="89" t="s">
        <v>584</v>
      </c>
      <c r="B807" s="198" t="s">
        <v>2557</v>
      </c>
      <c r="C807" s="202" t="s">
        <v>585</v>
      </c>
      <c r="D807" s="203" t="s">
        <v>75</v>
      </c>
      <c r="E807" s="214">
        <v>6.0</v>
      </c>
      <c r="F807" s="205">
        <v>280.0</v>
      </c>
      <c r="G807" s="206">
        <f>E807*F807</f>
        <v>1680</v>
      </c>
      <c r="H807" s="219"/>
      <c r="I807" s="219"/>
      <c r="J807" s="240"/>
      <c r="K807" s="240"/>
      <c r="L807" s="240"/>
    </row>
    <row r="808" ht="12.75" customHeight="1" outlineLevel="2">
      <c r="B808" s="286"/>
      <c r="E808" s="79"/>
      <c r="F808" s="80"/>
      <c r="G808" s="80"/>
      <c r="H808" s="240"/>
      <c r="I808" s="240"/>
      <c r="J808" s="240"/>
      <c r="K808" s="240"/>
      <c r="L808" s="240"/>
    </row>
    <row r="809" ht="12.75" customHeight="1" outlineLevel="2">
      <c r="A809" s="89" t="s">
        <v>587</v>
      </c>
      <c r="B809" s="198" t="s">
        <v>2559</v>
      </c>
      <c r="C809" s="202" t="s">
        <v>588</v>
      </c>
      <c r="D809" s="203" t="s">
        <v>75</v>
      </c>
      <c r="E809" s="214">
        <v>7.0</v>
      </c>
      <c r="F809" s="205">
        <v>740.0</v>
      </c>
      <c r="G809" s="206">
        <f>E809*F809</f>
        <v>5180</v>
      </c>
      <c r="H809" s="219"/>
      <c r="I809" s="219"/>
      <c r="J809" s="240"/>
      <c r="K809" s="240"/>
      <c r="L809" s="240"/>
    </row>
    <row r="810" ht="12.75" customHeight="1" outlineLevel="2">
      <c r="B810" s="286"/>
      <c r="E810" s="79"/>
      <c r="F810" s="80"/>
      <c r="G810" s="80"/>
      <c r="H810" s="240"/>
      <c r="I810" s="240"/>
      <c r="J810" s="240"/>
      <c r="K810" s="240"/>
      <c r="L810" s="240"/>
    </row>
    <row r="811" ht="12.75" customHeight="1" outlineLevel="2">
      <c r="A811" s="89" t="s">
        <v>589</v>
      </c>
      <c r="B811" s="198" t="s">
        <v>2561</v>
      </c>
      <c r="C811" s="202" t="s">
        <v>590</v>
      </c>
      <c r="D811" s="203" t="s">
        <v>75</v>
      </c>
      <c r="E811" s="214">
        <v>3.0</v>
      </c>
      <c r="F811" s="205">
        <v>300.0</v>
      </c>
      <c r="G811" s="206">
        <f>E811*F811</f>
        <v>900</v>
      </c>
      <c r="H811" s="219"/>
      <c r="I811" s="219"/>
      <c r="J811" s="240"/>
      <c r="K811" s="240"/>
      <c r="L811" s="240"/>
    </row>
    <row r="812" ht="12.75" customHeight="1" outlineLevel="2">
      <c r="B812" s="286"/>
      <c r="E812" s="79"/>
      <c r="F812" s="80"/>
      <c r="G812" s="80"/>
      <c r="H812" s="240"/>
      <c r="I812" s="240"/>
      <c r="J812" s="240"/>
      <c r="K812" s="240"/>
      <c r="L812" s="240"/>
    </row>
    <row r="813" ht="12.75" customHeight="1" outlineLevel="1">
      <c r="A813" s="89" t="s">
        <v>591</v>
      </c>
      <c r="B813" s="286"/>
      <c r="C813" s="184" t="s">
        <v>592</v>
      </c>
      <c r="E813" s="79"/>
      <c r="F813" s="917">
        <f>SUM(G815:G829)</f>
        <v>13522.25</v>
      </c>
      <c r="G813" s="80"/>
      <c r="H813" s="240"/>
      <c r="I813" s="240"/>
      <c r="J813" s="240"/>
      <c r="K813" s="240"/>
      <c r="L813" s="240"/>
    </row>
    <row r="814" ht="12.75" customHeight="1" outlineLevel="2">
      <c r="B814" s="286"/>
      <c r="E814" s="79"/>
      <c r="F814" s="80"/>
      <c r="G814" s="80"/>
      <c r="H814" s="240"/>
      <c r="I814" s="240"/>
      <c r="J814" s="240"/>
      <c r="K814" s="240"/>
      <c r="L814" s="240"/>
    </row>
    <row r="815" ht="12.75" customHeight="1" outlineLevel="2">
      <c r="A815" s="89" t="s">
        <v>593</v>
      </c>
      <c r="B815" s="198">
        <v>12.5</v>
      </c>
      <c r="C815" s="202" t="s">
        <v>594</v>
      </c>
      <c r="D815" s="203" t="s">
        <v>75</v>
      </c>
      <c r="E815" s="214">
        <v>6.0</v>
      </c>
      <c r="F815" s="205">
        <v>42.0</v>
      </c>
      <c r="G815" s="206">
        <f>E815*F815</f>
        <v>252</v>
      </c>
      <c r="H815" s="219"/>
      <c r="I815" s="219"/>
      <c r="J815" s="240"/>
      <c r="K815" s="240"/>
      <c r="L815" s="240"/>
    </row>
    <row r="816" ht="12.75" customHeight="1" outlineLevel="2">
      <c r="B816" s="286"/>
      <c r="E816" s="79"/>
      <c r="F816" s="80"/>
      <c r="G816" s="80"/>
      <c r="H816" s="240"/>
      <c r="I816" s="240"/>
      <c r="J816" s="240"/>
      <c r="K816" s="240"/>
      <c r="L816" s="240"/>
    </row>
    <row r="817" ht="12.75" customHeight="1" outlineLevel="2">
      <c r="A817" s="89" t="s">
        <v>595</v>
      </c>
      <c r="B817" s="198" t="s">
        <v>2565</v>
      </c>
      <c r="C817" s="202" t="s">
        <v>596</v>
      </c>
      <c r="D817" s="203" t="s">
        <v>75</v>
      </c>
      <c r="E817" s="214">
        <v>11.0</v>
      </c>
      <c r="F817" s="205">
        <v>80.0</v>
      </c>
      <c r="G817" s="206">
        <f>E817*F817</f>
        <v>880</v>
      </c>
      <c r="H817" s="219"/>
      <c r="I817" s="219"/>
      <c r="J817" s="240"/>
      <c r="K817" s="240"/>
      <c r="L817" s="240"/>
    </row>
    <row r="818" ht="12.75" customHeight="1" outlineLevel="2">
      <c r="B818" s="286"/>
      <c r="E818" s="79"/>
      <c r="F818" s="80"/>
      <c r="G818" s="80"/>
      <c r="H818" s="240"/>
      <c r="I818" s="240"/>
      <c r="J818" s="240"/>
      <c r="K818" s="240"/>
      <c r="L818" s="240"/>
    </row>
    <row r="819" ht="12.75" customHeight="1" outlineLevel="2">
      <c r="A819" s="89" t="s">
        <v>597</v>
      </c>
      <c r="B819" s="198" t="s">
        <v>2567</v>
      </c>
      <c r="C819" s="202" t="s">
        <v>598</v>
      </c>
      <c r="D819" s="203" t="s">
        <v>75</v>
      </c>
      <c r="E819" s="214">
        <v>3.0</v>
      </c>
      <c r="F819" s="205">
        <v>110.0</v>
      </c>
      <c r="G819" s="206">
        <f>E819*F819</f>
        <v>330</v>
      </c>
      <c r="H819" s="219"/>
      <c r="I819" s="219"/>
      <c r="J819" s="240"/>
      <c r="K819" s="240"/>
      <c r="L819" s="240"/>
    </row>
    <row r="820" ht="12.75" customHeight="1" outlineLevel="2">
      <c r="B820" s="296"/>
      <c r="E820" s="79"/>
      <c r="F820" s="80"/>
      <c r="G820" s="80"/>
      <c r="H820" s="240"/>
      <c r="I820" s="240"/>
      <c r="J820" s="240"/>
      <c r="K820" s="240"/>
      <c r="L820" s="240"/>
    </row>
    <row r="821" ht="12.75" customHeight="1" outlineLevel="2">
      <c r="A821" s="89" t="s">
        <v>599</v>
      </c>
      <c r="B821" s="198" t="s">
        <v>2569</v>
      </c>
      <c r="C821" s="202" t="s">
        <v>600</v>
      </c>
      <c r="D821" s="203" t="s">
        <v>75</v>
      </c>
      <c r="E821" s="214">
        <v>3.0</v>
      </c>
      <c r="F821" s="205">
        <v>65.0</v>
      </c>
      <c r="G821" s="206">
        <f>E821*F821</f>
        <v>195</v>
      </c>
      <c r="H821" s="219"/>
      <c r="I821" s="219"/>
      <c r="J821" s="240"/>
      <c r="K821" s="240"/>
      <c r="L821" s="240"/>
    </row>
    <row r="822" ht="12.75" customHeight="1" outlineLevel="2">
      <c r="B822" s="296"/>
      <c r="E822" s="79"/>
      <c r="F822" s="80"/>
      <c r="G822" s="80"/>
      <c r="H822" s="240"/>
      <c r="I822" s="240"/>
      <c r="J822" s="240"/>
      <c r="K822" s="240"/>
      <c r="L822" s="240"/>
    </row>
    <row r="823" ht="12.75" customHeight="1" outlineLevel="2">
      <c r="A823" s="89" t="s">
        <v>601</v>
      </c>
      <c r="B823" s="198" t="s">
        <v>2571</v>
      </c>
      <c r="C823" s="202" t="s">
        <v>602</v>
      </c>
      <c r="D823" s="203" t="s">
        <v>75</v>
      </c>
      <c r="E823" s="214">
        <v>1.0</v>
      </c>
      <c r="F823" s="205">
        <v>1200.0</v>
      </c>
      <c r="G823" s="206">
        <f>E823*F823</f>
        <v>1200</v>
      </c>
      <c r="H823" s="219"/>
      <c r="I823" s="219"/>
      <c r="J823" s="240"/>
      <c r="K823" s="240"/>
      <c r="L823" s="240"/>
    </row>
    <row r="824" ht="12.75" customHeight="1" outlineLevel="2">
      <c r="B824" s="296"/>
      <c r="E824" s="79"/>
      <c r="F824" s="80"/>
      <c r="G824" s="80"/>
      <c r="H824" s="240"/>
      <c r="I824" s="240"/>
      <c r="J824" s="240"/>
      <c r="K824" s="240"/>
      <c r="L824" s="240"/>
    </row>
    <row r="825" ht="12.75" customHeight="1" outlineLevel="2">
      <c r="A825" s="89" t="s">
        <v>603</v>
      </c>
      <c r="B825" s="198" t="s">
        <v>2573</v>
      </c>
      <c r="C825" s="202" t="s">
        <v>604</v>
      </c>
      <c r="D825" s="203" t="s">
        <v>40</v>
      </c>
      <c r="E825" s="214">
        <v>21.85</v>
      </c>
      <c r="F825" s="205">
        <v>325.0</v>
      </c>
      <c r="G825" s="206">
        <f>E825*F825</f>
        <v>7101.25</v>
      </c>
      <c r="H825" s="219"/>
      <c r="I825" s="219"/>
      <c r="J825" s="240"/>
      <c r="K825" s="240"/>
      <c r="L825" s="240"/>
    </row>
    <row r="826" ht="12.75" customHeight="1" outlineLevel="2">
      <c r="B826" s="296"/>
      <c r="E826" s="79"/>
      <c r="F826" s="80"/>
      <c r="G826" s="80"/>
      <c r="H826" s="240"/>
      <c r="I826" s="240"/>
      <c r="J826" s="240"/>
      <c r="K826" s="240"/>
      <c r="L826" s="240"/>
    </row>
    <row r="827" ht="12.75" customHeight="1" outlineLevel="2">
      <c r="A827" s="89" t="s">
        <v>605</v>
      </c>
      <c r="B827" s="198" t="s">
        <v>2575</v>
      </c>
      <c r="C827" s="202" t="s">
        <v>606</v>
      </c>
      <c r="D827" s="203" t="s">
        <v>75</v>
      </c>
      <c r="E827" s="214">
        <v>2.0</v>
      </c>
      <c r="F827" s="205">
        <v>200.0</v>
      </c>
      <c r="G827" s="206">
        <f>E827*F827</f>
        <v>400</v>
      </c>
      <c r="H827" s="219"/>
      <c r="I827" s="219"/>
      <c r="J827" s="240"/>
      <c r="K827" s="240"/>
      <c r="L827" s="240"/>
    </row>
    <row r="828" ht="12.75" customHeight="1" outlineLevel="2">
      <c r="B828" s="296"/>
      <c r="E828" s="79"/>
      <c r="F828" s="80"/>
      <c r="G828" s="80"/>
      <c r="H828" s="240"/>
      <c r="I828" s="240"/>
      <c r="J828" s="240"/>
      <c r="K828" s="240"/>
      <c r="L828" s="240"/>
    </row>
    <row r="829" ht="12.75" customHeight="1" outlineLevel="2">
      <c r="A829" s="89" t="s">
        <v>607</v>
      </c>
      <c r="B829" s="198" t="s">
        <v>2577</v>
      </c>
      <c r="C829" s="202" t="s">
        <v>608</v>
      </c>
      <c r="D829" s="203" t="s">
        <v>40</v>
      </c>
      <c r="E829" s="214">
        <v>22.6</v>
      </c>
      <c r="F829" s="205">
        <v>140.0</v>
      </c>
      <c r="G829" s="206">
        <f>E829*F829</f>
        <v>3164</v>
      </c>
      <c r="H829" s="219"/>
      <c r="I829" s="219"/>
      <c r="J829" s="240"/>
      <c r="K829" s="240"/>
      <c r="L829" s="240"/>
    </row>
    <row r="830" ht="12.75" customHeight="1" outlineLevel="2">
      <c r="A830" s="89"/>
      <c r="B830" s="288"/>
      <c r="C830" s="285"/>
      <c r="D830" s="274"/>
      <c r="E830" s="275"/>
      <c r="F830" s="239"/>
      <c r="G830" s="239"/>
      <c r="H830" s="240"/>
      <c r="I830" s="240"/>
      <c r="J830" s="240"/>
      <c r="K830" s="240"/>
      <c r="L830" s="240"/>
    </row>
    <row r="831" ht="12.75" customHeight="1" outlineLevel="1">
      <c r="A831" s="89"/>
      <c r="B831" s="288"/>
      <c r="C831" s="285"/>
      <c r="D831" s="274"/>
      <c r="E831" s="275"/>
      <c r="F831" s="239"/>
      <c r="G831" s="239"/>
      <c r="H831" s="240"/>
      <c r="I831" s="240"/>
      <c r="J831" s="240"/>
      <c r="K831" s="240"/>
      <c r="L831" s="240"/>
    </row>
    <row r="832" ht="12.75" customHeight="1">
      <c r="A832" s="192"/>
      <c r="B832" s="83">
        <v>13.0</v>
      </c>
      <c r="C832" s="184" t="s">
        <v>609</v>
      </c>
      <c r="D832" s="193"/>
      <c r="E832" s="194"/>
      <c r="F832" s="195"/>
      <c r="G832" s="196">
        <f>SUM(G838:G876)</f>
        <v>19443</v>
      </c>
      <c r="H832" s="197">
        <f>G832-'Orcamento RU'!C590</f>
        <v>82</v>
      </c>
      <c r="I832" s="197">
        <f>H832-'Orcamento RU'!D590</f>
        <v>82</v>
      </c>
      <c r="J832" s="919"/>
      <c r="K832" s="169"/>
      <c r="L832" s="169"/>
    </row>
    <row r="833" ht="12.75" customHeight="1" outlineLevel="1">
      <c r="A833" s="89"/>
      <c r="B833" s="289"/>
      <c r="C833" s="285"/>
      <c r="D833" s="274"/>
      <c r="E833" s="275"/>
      <c r="F833" s="239"/>
      <c r="G833" s="239"/>
      <c r="H833" s="240"/>
      <c r="I833" s="240"/>
      <c r="J833" s="240"/>
      <c r="K833" s="240"/>
      <c r="L833" s="240"/>
    </row>
    <row r="834" ht="12.75" customHeight="1" outlineLevel="1">
      <c r="A834" s="89" t="s">
        <v>610</v>
      </c>
      <c r="B834" s="189"/>
      <c r="C834" s="184" t="s">
        <v>611</v>
      </c>
      <c r="E834" s="79"/>
      <c r="F834" s="917">
        <f>SUM(G838:G870)</f>
        <v>18043</v>
      </c>
      <c r="G834" s="80"/>
      <c r="H834" s="240"/>
      <c r="I834" s="240"/>
      <c r="J834" s="240"/>
      <c r="K834" s="240"/>
      <c r="L834" s="240"/>
    </row>
    <row r="835" ht="12.75" customHeight="1" outlineLevel="2">
      <c r="B835" s="189"/>
      <c r="E835" s="79"/>
      <c r="G835" s="80"/>
      <c r="H835" s="240"/>
      <c r="I835" s="240"/>
      <c r="J835" s="240"/>
      <c r="K835" s="240"/>
      <c r="L835" s="240"/>
    </row>
    <row r="836" ht="12.75" customHeight="1" outlineLevel="2">
      <c r="A836" s="95" t="s">
        <v>612</v>
      </c>
      <c r="B836" s="297">
        <v>13.1</v>
      </c>
      <c r="C836" s="298" t="s">
        <v>613</v>
      </c>
      <c r="D836" s="130"/>
      <c r="E836" s="170"/>
      <c r="F836" s="239"/>
      <c r="G836" s="239"/>
      <c r="H836" s="240"/>
      <c r="I836" s="240"/>
      <c r="J836" s="240"/>
      <c r="K836" s="240"/>
      <c r="L836" s="240"/>
    </row>
    <row r="837" ht="12.75" customHeight="1" outlineLevel="2">
      <c r="A837" s="89"/>
      <c r="B837" s="299"/>
      <c r="C837" s="202"/>
      <c r="D837" s="130"/>
      <c r="E837" s="170"/>
      <c r="F837" s="239"/>
      <c r="G837" s="239"/>
      <c r="H837" s="240"/>
      <c r="I837" s="240"/>
      <c r="J837" s="240"/>
      <c r="K837" s="240"/>
      <c r="L837" s="240"/>
    </row>
    <row r="838" ht="12.75" customHeight="1" outlineLevel="2">
      <c r="A838" s="89" t="s">
        <v>615</v>
      </c>
      <c r="B838" s="300" t="s">
        <v>2582</v>
      </c>
      <c r="C838" s="202" t="s">
        <v>616</v>
      </c>
      <c r="D838" s="203" t="s">
        <v>227</v>
      </c>
      <c r="E838" s="214">
        <v>1.0</v>
      </c>
      <c r="F838" s="205">
        <v>1600.0</v>
      </c>
      <c r="G838" s="206">
        <f t="shared" ref="G838:G839" si="34">F838*E838</f>
        <v>1600</v>
      </c>
      <c r="H838" s="219"/>
      <c r="I838" s="219"/>
      <c r="J838" s="240"/>
      <c r="K838" s="240"/>
      <c r="L838" s="240"/>
    </row>
    <row r="839" ht="12.75" customHeight="1" outlineLevel="2">
      <c r="A839" s="89" t="s">
        <v>617</v>
      </c>
      <c r="B839" s="198" t="s">
        <v>2584</v>
      </c>
      <c r="C839" s="202" t="s">
        <v>618</v>
      </c>
      <c r="D839" s="203" t="s">
        <v>227</v>
      </c>
      <c r="E839" s="214">
        <v>1.0</v>
      </c>
      <c r="F839" s="205">
        <v>6100.0</v>
      </c>
      <c r="G839" s="206">
        <f t="shared" si="34"/>
        <v>6100</v>
      </c>
      <c r="H839" s="219"/>
      <c r="I839" s="219"/>
      <c r="J839" s="240"/>
      <c r="K839" s="240"/>
      <c r="L839" s="240"/>
    </row>
    <row r="840" ht="12.75" customHeight="1" outlineLevel="2">
      <c r="A840" s="89"/>
      <c r="B840" s="230"/>
      <c r="C840" s="246"/>
      <c r="D840" s="130"/>
      <c r="E840" s="170"/>
      <c r="F840" s="239"/>
      <c r="G840" s="239"/>
      <c r="H840" s="240"/>
      <c r="I840" s="240"/>
      <c r="J840" s="240"/>
      <c r="K840" s="240"/>
      <c r="L840" s="240"/>
    </row>
    <row r="841" ht="12.75" customHeight="1" outlineLevel="2">
      <c r="A841" s="89" t="s">
        <v>620</v>
      </c>
      <c r="B841" s="297">
        <v>13.2</v>
      </c>
      <c r="C841" s="202" t="s">
        <v>621</v>
      </c>
      <c r="D841" s="238"/>
      <c r="E841" s="170"/>
      <c r="F841" s="239"/>
      <c r="G841" s="239"/>
      <c r="H841" s="240"/>
      <c r="I841" s="240"/>
      <c r="J841" s="240"/>
      <c r="K841" s="240"/>
      <c r="L841" s="240"/>
    </row>
    <row r="842" ht="12.75" customHeight="1" outlineLevel="2">
      <c r="A842" s="89"/>
      <c r="B842" s="299"/>
      <c r="C842" s="202"/>
      <c r="D842" s="130"/>
      <c r="E842" s="170"/>
      <c r="F842" s="239"/>
      <c r="G842" s="239"/>
      <c r="H842" s="240"/>
      <c r="I842" s="240"/>
      <c r="J842" s="240"/>
      <c r="K842" s="240"/>
      <c r="L842" s="240"/>
    </row>
    <row r="843" ht="12.75" customHeight="1" outlineLevel="2">
      <c r="A843" s="89" t="s">
        <v>622</v>
      </c>
      <c r="B843" s="300" t="s">
        <v>2587</v>
      </c>
      <c r="C843" s="202" t="s">
        <v>623</v>
      </c>
      <c r="D843" s="203" t="s">
        <v>227</v>
      </c>
      <c r="E843" s="214">
        <v>1.0</v>
      </c>
      <c r="F843" s="205">
        <v>1100.0</v>
      </c>
      <c r="G843" s="206">
        <f t="shared" ref="G843:G844" si="35">F843*E843</f>
        <v>1100</v>
      </c>
      <c r="H843" s="219"/>
      <c r="I843" s="219"/>
      <c r="J843" s="240"/>
      <c r="K843" s="240"/>
      <c r="L843" s="240"/>
    </row>
    <row r="844" ht="12.75" customHeight="1" outlineLevel="2">
      <c r="A844" s="89" t="s">
        <v>624</v>
      </c>
      <c r="B844" s="198" t="s">
        <v>2589</v>
      </c>
      <c r="C844" s="202" t="s">
        <v>625</v>
      </c>
      <c r="D844" s="203" t="s">
        <v>227</v>
      </c>
      <c r="E844" s="214">
        <v>1.0</v>
      </c>
      <c r="F844" s="205">
        <v>500.0</v>
      </c>
      <c r="G844" s="206">
        <f t="shared" si="35"/>
        <v>500</v>
      </c>
      <c r="H844" s="219"/>
      <c r="I844" s="219"/>
      <c r="J844" s="240"/>
      <c r="K844" s="240"/>
      <c r="L844" s="240"/>
    </row>
    <row r="845" ht="12.75" customHeight="1" outlineLevel="2">
      <c r="B845" s="189"/>
      <c r="E845" s="79"/>
      <c r="F845" s="80"/>
      <c r="G845" s="80"/>
      <c r="H845" s="240"/>
      <c r="I845" s="240"/>
      <c r="J845" s="240"/>
      <c r="K845" s="240"/>
      <c r="L845" s="240"/>
    </row>
    <row r="846" ht="12.75" customHeight="1" outlineLevel="2">
      <c r="A846" s="89" t="s">
        <v>626</v>
      </c>
      <c r="B846" s="198">
        <v>13.3</v>
      </c>
      <c r="C846" s="202" t="s">
        <v>627</v>
      </c>
      <c r="D846" s="203" t="s">
        <v>75</v>
      </c>
      <c r="E846" s="214">
        <v>1.0</v>
      </c>
      <c r="F846" s="205">
        <v>298.0</v>
      </c>
      <c r="G846" s="206">
        <f>F846*E846</f>
        <v>298</v>
      </c>
      <c r="H846" s="219"/>
      <c r="I846" s="219"/>
      <c r="J846" s="240"/>
      <c r="K846" s="240"/>
      <c r="L846" s="240"/>
    </row>
    <row r="847" ht="12.75" customHeight="1" outlineLevel="2">
      <c r="B847" s="189"/>
      <c r="E847" s="79"/>
      <c r="F847" s="80"/>
      <c r="G847" s="80"/>
      <c r="H847" s="240"/>
      <c r="I847" s="240"/>
      <c r="J847" s="240"/>
      <c r="K847" s="240"/>
      <c r="L847" s="240"/>
    </row>
    <row r="848" ht="12.75" customHeight="1" outlineLevel="2">
      <c r="A848" s="89" t="s">
        <v>628</v>
      </c>
      <c r="B848" s="198">
        <v>13.4</v>
      </c>
      <c r="C848" s="202" t="s">
        <v>629</v>
      </c>
      <c r="D848" s="203" t="s">
        <v>75</v>
      </c>
      <c r="E848" s="214">
        <v>1.0</v>
      </c>
      <c r="F848" s="205">
        <v>400.0</v>
      </c>
      <c r="G848" s="206">
        <f>F848*E848</f>
        <v>400</v>
      </c>
      <c r="H848" s="219"/>
      <c r="I848" s="219"/>
      <c r="J848" s="240"/>
      <c r="K848" s="240"/>
      <c r="L848" s="240"/>
    </row>
    <row r="849" ht="12.75" customHeight="1" outlineLevel="2">
      <c r="B849" s="189"/>
      <c r="E849" s="79"/>
      <c r="F849" s="80"/>
      <c r="G849" s="80"/>
      <c r="H849" s="240"/>
      <c r="I849" s="240"/>
      <c r="J849" s="240"/>
      <c r="K849" s="240"/>
      <c r="L849" s="240"/>
    </row>
    <row r="850" ht="12.75" customHeight="1" outlineLevel="2">
      <c r="A850" s="89" t="s">
        <v>630</v>
      </c>
      <c r="B850" s="198">
        <v>13.5</v>
      </c>
      <c r="C850" s="202" t="s">
        <v>631</v>
      </c>
      <c r="D850" s="203" t="s">
        <v>75</v>
      </c>
      <c r="E850" s="214">
        <v>1.0</v>
      </c>
      <c r="F850" s="205">
        <v>210.0</v>
      </c>
      <c r="G850" s="206">
        <f>F850*E850</f>
        <v>210</v>
      </c>
      <c r="H850" s="219"/>
      <c r="I850" s="219"/>
      <c r="J850" s="240"/>
      <c r="K850" s="240"/>
      <c r="L850" s="240"/>
    </row>
    <row r="851" ht="12.75" customHeight="1" outlineLevel="2">
      <c r="B851" s="189"/>
      <c r="E851" s="79"/>
      <c r="F851" s="80"/>
      <c r="G851" s="80"/>
      <c r="H851" s="240"/>
      <c r="I851" s="240"/>
      <c r="J851" s="240"/>
      <c r="K851" s="240"/>
      <c r="L851" s="240"/>
    </row>
    <row r="852" ht="12.75" customHeight="1" outlineLevel="2">
      <c r="A852" s="89" t="s">
        <v>632</v>
      </c>
      <c r="B852" s="198">
        <v>13.6</v>
      </c>
      <c r="C852" s="202" t="s">
        <v>633</v>
      </c>
      <c r="D852" s="203" t="s">
        <v>75</v>
      </c>
      <c r="E852" s="214">
        <v>1.0</v>
      </c>
      <c r="F852" s="205">
        <v>1600.0</v>
      </c>
      <c r="G852" s="206">
        <f>F852*E852</f>
        <v>1600</v>
      </c>
      <c r="H852" s="219"/>
      <c r="I852" s="219"/>
      <c r="J852" s="240"/>
      <c r="K852" s="240"/>
      <c r="L852" s="240"/>
    </row>
    <row r="853" ht="12.75" customHeight="1" outlineLevel="2">
      <c r="B853" s="189"/>
      <c r="E853" s="79"/>
      <c r="F853" s="80"/>
      <c r="G853" s="80"/>
      <c r="H853" s="240"/>
      <c r="I853" s="240"/>
      <c r="J853" s="240"/>
      <c r="K853" s="240"/>
      <c r="L853" s="240"/>
    </row>
    <row r="854" ht="12.75" customHeight="1" outlineLevel="2">
      <c r="A854" s="89" t="s">
        <v>635</v>
      </c>
      <c r="B854" s="198">
        <v>13.7</v>
      </c>
      <c r="C854" s="202" t="s">
        <v>636</v>
      </c>
      <c r="D854" s="203" t="s">
        <v>75</v>
      </c>
      <c r="E854" s="214">
        <v>1.0</v>
      </c>
      <c r="F854" s="205">
        <v>915.0</v>
      </c>
      <c r="G854" s="206">
        <f>F854*E854</f>
        <v>915</v>
      </c>
      <c r="H854" s="219"/>
      <c r="I854" s="219"/>
      <c r="J854" s="240"/>
      <c r="K854" s="240"/>
      <c r="L854" s="240"/>
    </row>
    <row r="855" ht="12.75" customHeight="1" outlineLevel="2">
      <c r="B855" s="189"/>
      <c r="E855" s="79"/>
      <c r="F855" s="80"/>
      <c r="G855" s="80"/>
      <c r="H855" s="240"/>
      <c r="I855" s="240"/>
      <c r="J855" s="240"/>
      <c r="K855" s="240"/>
      <c r="L855" s="240"/>
    </row>
    <row r="856" ht="12.75" customHeight="1" outlineLevel="2">
      <c r="A856" s="89" t="s">
        <v>638</v>
      </c>
      <c r="B856" s="198">
        <v>13.8</v>
      </c>
      <c r="C856" s="202" t="s">
        <v>639</v>
      </c>
      <c r="D856" s="203" t="s">
        <v>75</v>
      </c>
      <c r="E856" s="214">
        <v>1.0</v>
      </c>
      <c r="F856" s="205">
        <v>1100.0</v>
      </c>
      <c r="G856" s="206">
        <f>F856*E856</f>
        <v>1100</v>
      </c>
      <c r="H856" s="219"/>
      <c r="I856" s="219"/>
      <c r="J856" s="240"/>
      <c r="K856" s="240"/>
      <c r="L856" s="240"/>
    </row>
    <row r="857" ht="12.75" customHeight="1" outlineLevel="2">
      <c r="B857" s="189"/>
      <c r="E857" s="79"/>
      <c r="F857" s="80"/>
      <c r="G857" s="80"/>
      <c r="H857" s="240"/>
      <c r="I857" s="240"/>
      <c r="J857" s="240"/>
      <c r="K857" s="240"/>
      <c r="L857" s="240"/>
    </row>
    <row r="858" ht="12.75" customHeight="1" outlineLevel="2">
      <c r="A858" s="89" t="s">
        <v>641</v>
      </c>
      <c r="B858" s="198">
        <v>13.9</v>
      </c>
      <c r="C858" s="202" t="s">
        <v>642</v>
      </c>
      <c r="D858" s="203" t="s">
        <v>75</v>
      </c>
      <c r="E858" s="214">
        <v>1.0</v>
      </c>
      <c r="F858" s="205">
        <v>285.0</v>
      </c>
      <c r="G858" s="206">
        <f>F858*E858</f>
        <v>285</v>
      </c>
      <c r="H858" s="219"/>
      <c r="I858" s="219"/>
      <c r="J858" s="240"/>
      <c r="K858" s="240"/>
      <c r="L858" s="240"/>
    </row>
    <row r="859" ht="12.75" customHeight="1" outlineLevel="2">
      <c r="B859" s="189"/>
      <c r="E859" s="79"/>
      <c r="F859" s="80"/>
      <c r="G859" s="80"/>
      <c r="H859" s="240"/>
      <c r="I859" s="240"/>
      <c r="J859" s="240"/>
      <c r="K859" s="240"/>
      <c r="L859" s="240"/>
    </row>
    <row r="860" ht="12.75" customHeight="1" outlineLevel="2">
      <c r="A860" s="89" t="s">
        <v>644</v>
      </c>
      <c r="B860" s="301" t="s">
        <v>2598</v>
      </c>
      <c r="C860" s="202" t="s">
        <v>645</v>
      </c>
      <c r="D860" s="203" t="s">
        <v>75</v>
      </c>
      <c r="E860" s="214">
        <v>1.0</v>
      </c>
      <c r="F860" s="205">
        <v>1010.0</v>
      </c>
      <c r="G860" s="206">
        <f>F860*E860</f>
        <v>1010</v>
      </c>
      <c r="H860" s="219"/>
      <c r="I860" s="219"/>
      <c r="J860" s="240"/>
      <c r="K860" s="240"/>
      <c r="L860" s="240"/>
    </row>
    <row r="861" ht="12.75" customHeight="1" outlineLevel="2">
      <c r="B861" s="189"/>
      <c r="E861" s="79"/>
      <c r="F861" s="80"/>
      <c r="G861" s="80"/>
      <c r="H861" s="240"/>
      <c r="I861" s="240"/>
      <c r="J861" s="240"/>
      <c r="K861" s="240"/>
      <c r="L861" s="240"/>
    </row>
    <row r="862" ht="12.75" customHeight="1" outlineLevel="2">
      <c r="A862" s="89" t="s">
        <v>647</v>
      </c>
      <c r="B862" s="198">
        <v>13.11</v>
      </c>
      <c r="C862" s="202" t="s">
        <v>648</v>
      </c>
      <c r="D862" s="203" t="s">
        <v>75</v>
      </c>
      <c r="E862" s="214">
        <v>1.0</v>
      </c>
      <c r="F862" s="205">
        <v>1400.0</v>
      </c>
      <c r="G862" s="206">
        <f>F862*E862</f>
        <v>1400</v>
      </c>
      <c r="H862" s="219"/>
      <c r="I862" s="219"/>
      <c r="J862" s="240"/>
      <c r="K862" s="240"/>
      <c r="L862" s="240"/>
    </row>
    <row r="863" ht="12.75" customHeight="1" outlineLevel="2">
      <c r="B863" s="189"/>
      <c r="E863" s="79"/>
      <c r="F863" s="80"/>
      <c r="G863" s="80"/>
      <c r="H863" s="240"/>
      <c r="I863" s="240"/>
      <c r="J863" s="240"/>
      <c r="K863" s="240"/>
      <c r="L863" s="240"/>
    </row>
    <row r="864" ht="12.75" customHeight="1" outlineLevel="2">
      <c r="A864" s="89" t="s">
        <v>649</v>
      </c>
      <c r="B864" s="198">
        <v>13.12</v>
      </c>
      <c r="C864" s="202" t="s">
        <v>650</v>
      </c>
      <c r="D864" s="203" t="s">
        <v>75</v>
      </c>
      <c r="E864" s="214">
        <v>1.0</v>
      </c>
      <c r="F864" s="205">
        <v>650.0</v>
      </c>
      <c r="G864" s="206">
        <f>F864*E864</f>
        <v>650</v>
      </c>
      <c r="H864" s="219"/>
      <c r="I864" s="219"/>
      <c r="J864" s="240"/>
      <c r="K864" s="240"/>
      <c r="L864" s="240"/>
    </row>
    <row r="865" ht="12.75" customHeight="1" outlineLevel="2">
      <c r="B865" s="189"/>
      <c r="E865" s="79"/>
      <c r="F865" s="80"/>
      <c r="G865" s="80"/>
      <c r="H865" s="240"/>
      <c r="I865" s="240"/>
      <c r="J865" s="240"/>
      <c r="K865" s="240"/>
      <c r="L865" s="240"/>
    </row>
    <row r="866" ht="12.75" customHeight="1" outlineLevel="2">
      <c r="A866" s="89" t="s">
        <v>651</v>
      </c>
      <c r="B866" s="198">
        <v>13.13</v>
      </c>
      <c r="C866" s="202" t="s">
        <v>652</v>
      </c>
      <c r="D866" s="203" t="s">
        <v>75</v>
      </c>
      <c r="E866" s="214">
        <v>1.0</v>
      </c>
      <c r="F866" s="205">
        <v>20.0</v>
      </c>
      <c r="G866" s="206">
        <f>F866*E866</f>
        <v>20</v>
      </c>
      <c r="H866" s="219"/>
      <c r="I866" s="219"/>
      <c r="J866" s="240"/>
      <c r="K866" s="240"/>
      <c r="L866" s="240"/>
    </row>
    <row r="867" ht="12.75" customHeight="1" outlineLevel="2">
      <c r="B867" s="189"/>
      <c r="E867" s="79"/>
      <c r="F867" s="80"/>
      <c r="G867" s="80"/>
      <c r="H867" s="240"/>
      <c r="I867" s="240"/>
      <c r="J867" s="240"/>
      <c r="K867" s="240"/>
      <c r="L867" s="240"/>
    </row>
    <row r="868" ht="12.75" customHeight="1" outlineLevel="2">
      <c r="A868" s="89" t="s">
        <v>653</v>
      </c>
      <c r="B868" s="198">
        <v>13.14</v>
      </c>
      <c r="C868" s="202" t="s">
        <v>654</v>
      </c>
      <c r="D868" s="203" t="s">
        <v>75</v>
      </c>
      <c r="E868" s="214">
        <v>1.0</v>
      </c>
      <c r="F868" s="205">
        <v>25.0</v>
      </c>
      <c r="G868" s="206">
        <f>F868*E868</f>
        <v>25</v>
      </c>
      <c r="H868" s="219"/>
      <c r="I868" s="219"/>
      <c r="J868" s="240"/>
      <c r="K868" s="240"/>
      <c r="L868" s="240"/>
    </row>
    <row r="869" ht="12.75" customHeight="1" outlineLevel="2">
      <c r="B869" s="189"/>
      <c r="E869" s="79"/>
      <c r="F869" s="80"/>
      <c r="G869" s="80"/>
      <c r="H869" s="240"/>
      <c r="I869" s="240"/>
      <c r="J869" s="240"/>
      <c r="K869" s="240"/>
      <c r="L869" s="240"/>
    </row>
    <row r="870" ht="12.75" customHeight="1" outlineLevel="2">
      <c r="A870" s="89" t="s">
        <v>655</v>
      </c>
      <c r="B870" s="198">
        <v>13.15</v>
      </c>
      <c r="C870" s="202" t="s">
        <v>656</v>
      </c>
      <c r="D870" s="203" t="s">
        <v>75</v>
      </c>
      <c r="E870" s="214">
        <v>1.0</v>
      </c>
      <c r="F870" s="205">
        <v>830.0</v>
      </c>
      <c r="G870" s="206">
        <f>F870*E870</f>
        <v>830</v>
      </c>
      <c r="H870" s="219"/>
      <c r="I870" s="219"/>
      <c r="J870" s="240"/>
      <c r="K870" s="240"/>
      <c r="L870" s="240"/>
    </row>
    <row r="871" ht="12.75" customHeight="1" outlineLevel="2">
      <c r="B871" s="189"/>
      <c r="E871" s="79"/>
      <c r="F871" s="80"/>
      <c r="G871" s="80"/>
      <c r="H871" s="240"/>
      <c r="I871" s="240"/>
      <c r="J871" s="240"/>
      <c r="K871" s="240"/>
      <c r="L871" s="240"/>
    </row>
    <row r="872" ht="12.75" customHeight="1" outlineLevel="1">
      <c r="A872" s="89" t="s">
        <v>657</v>
      </c>
      <c r="B872" s="189"/>
      <c r="C872" s="184" t="s">
        <v>658</v>
      </c>
      <c r="E872" s="79"/>
      <c r="F872" s="917">
        <f>SUM(G874:G876)</f>
        <v>1400</v>
      </c>
      <c r="G872" s="80"/>
      <c r="H872" s="240"/>
      <c r="I872" s="240"/>
      <c r="J872" s="240"/>
      <c r="K872" s="240"/>
      <c r="L872" s="240"/>
    </row>
    <row r="873" ht="12.75" customHeight="1" outlineLevel="2">
      <c r="B873" s="189"/>
      <c r="E873" s="79"/>
      <c r="F873" s="80"/>
      <c r="G873" s="80"/>
      <c r="H873" s="240"/>
      <c r="I873" s="240"/>
      <c r="J873" s="240"/>
      <c r="K873" s="240"/>
      <c r="L873" s="240"/>
    </row>
    <row r="874" ht="12.75" customHeight="1" outlineLevel="2">
      <c r="A874" s="89" t="s">
        <v>659</v>
      </c>
      <c r="B874" s="198">
        <v>13.16</v>
      </c>
      <c r="C874" s="202" t="s">
        <v>660</v>
      </c>
      <c r="D874" s="203" t="s">
        <v>75</v>
      </c>
      <c r="E874" s="214">
        <v>1.0</v>
      </c>
      <c r="F874" s="205">
        <v>750.0</v>
      </c>
      <c r="G874" s="206">
        <f>F874*E874</f>
        <v>750</v>
      </c>
      <c r="H874" s="219"/>
      <c r="I874" s="219"/>
      <c r="J874" s="240"/>
      <c r="K874" s="240"/>
      <c r="L874" s="240"/>
    </row>
    <row r="875" ht="12.75" customHeight="1" outlineLevel="2">
      <c r="B875" s="189"/>
      <c r="E875" s="79"/>
      <c r="F875" s="80"/>
      <c r="G875" s="80"/>
      <c r="H875" s="240"/>
      <c r="I875" s="240"/>
      <c r="J875" s="240"/>
      <c r="K875" s="240"/>
      <c r="L875" s="240"/>
    </row>
    <row r="876" ht="12.75" customHeight="1" outlineLevel="2">
      <c r="A876" s="89" t="s">
        <v>662</v>
      </c>
      <c r="B876" s="198">
        <v>13.17</v>
      </c>
      <c r="C876" s="202" t="s">
        <v>663</v>
      </c>
      <c r="D876" s="203" t="s">
        <v>75</v>
      </c>
      <c r="E876" s="214">
        <v>1.0</v>
      </c>
      <c r="F876" s="205">
        <v>650.0</v>
      </c>
      <c r="G876" s="206">
        <f>F876*E876</f>
        <v>650</v>
      </c>
      <c r="H876" s="219"/>
      <c r="I876" s="219"/>
      <c r="J876" s="240"/>
      <c r="K876" s="240"/>
      <c r="L876" s="240"/>
    </row>
    <row r="877" ht="12.75" customHeight="1" outlineLevel="2">
      <c r="A877" s="89"/>
      <c r="B877" s="289"/>
      <c r="C877" s="285"/>
      <c r="D877" s="274"/>
      <c r="E877" s="275"/>
      <c r="F877" s="239"/>
      <c r="G877" s="239"/>
      <c r="H877" s="240"/>
      <c r="I877" s="240"/>
      <c r="J877" s="240"/>
      <c r="K877" s="240"/>
      <c r="L877" s="240"/>
    </row>
    <row r="878" ht="12.75" customHeight="1" outlineLevel="1">
      <c r="A878" s="89"/>
      <c r="B878" s="289"/>
      <c r="C878" s="285"/>
      <c r="D878" s="274"/>
      <c r="E878" s="275"/>
      <c r="F878" s="239"/>
      <c r="G878" s="239"/>
      <c r="H878" s="240"/>
      <c r="I878" s="240"/>
      <c r="J878" s="240"/>
      <c r="K878" s="240"/>
      <c r="L878" s="240"/>
    </row>
    <row r="879" ht="12.75" customHeight="1">
      <c r="A879" s="192"/>
      <c r="B879" s="84">
        <v>14.0</v>
      </c>
      <c r="C879" s="184" t="s">
        <v>5619</v>
      </c>
      <c r="D879" s="193"/>
      <c r="E879" s="194"/>
      <c r="F879" s="195"/>
      <c r="G879" s="196">
        <f>SUM(G883:G972)</f>
        <v>37904.148</v>
      </c>
      <c r="H879" s="197">
        <f>G879-Resumo!J41</f>
        <v>-2434.452</v>
      </c>
      <c r="I879" s="197">
        <f>H879-Resumo!K41</f>
        <v>-2434.452</v>
      </c>
      <c r="J879" s="919"/>
      <c r="K879" s="169"/>
      <c r="L879" s="169"/>
    </row>
    <row r="880" ht="12.75" customHeight="1" outlineLevel="1">
      <c r="A880" s="89"/>
      <c r="B880" s="289"/>
      <c r="C880" s="285"/>
      <c r="D880" s="274"/>
      <c r="E880" s="275"/>
      <c r="F880" s="239"/>
      <c r="G880" s="239"/>
      <c r="H880" s="240"/>
      <c r="I880" s="240"/>
      <c r="J880" s="240"/>
      <c r="K880" s="240"/>
      <c r="L880" s="240"/>
    </row>
    <row r="881" ht="12.75" customHeight="1" outlineLevel="1">
      <c r="A881" s="89"/>
      <c r="B881" s="189"/>
      <c r="C881" s="184" t="s">
        <v>938</v>
      </c>
      <c r="E881" s="79"/>
      <c r="F881" s="917">
        <f>SUM(G887:G931)</f>
        <v>21771.786</v>
      </c>
      <c r="G881" s="239"/>
      <c r="H881" s="240"/>
      <c r="I881" s="240"/>
      <c r="J881" s="240"/>
      <c r="K881" s="240"/>
      <c r="L881" s="240"/>
    </row>
    <row r="882" ht="12.75" customHeight="1" outlineLevel="2">
      <c r="B882" s="189"/>
      <c r="E882" s="79"/>
      <c r="F882" s="80"/>
      <c r="G882" s="239"/>
      <c r="H882" s="240"/>
      <c r="I882" s="240"/>
      <c r="J882" s="240"/>
      <c r="K882" s="240"/>
      <c r="L882" s="240"/>
    </row>
    <row r="883" ht="12.75" customHeight="1" outlineLevel="2">
      <c r="A883" s="89">
        <v>3.1</v>
      </c>
      <c r="B883" s="244">
        <v>14.1</v>
      </c>
      <c r="C883" s="245" t="s">
        <v>939</v>
      </c>
      <c r="D883" s="130"/>
      <c r="E883" s="170"/>
      <c r="F883" s="239"/>
      <c r="G883" s="239"/>
      <c r="H883" s="240"/>
      <c r="I883" s="240"/>
      <c r="J883" s="240"/>
      <c r="K883" s="240"/>
      <c r="L883" s="240"/>
    </row>
    <row r="884" ht="12.75" customHeight="1" outlineLevel="2">
      <c r="B884" s="189"/>
      <c r="E884" s="79"/>
      <c r="F884" s="80"/>
      <c r="G884" s="239"/>
      <c r="H884" s="240"/>
      <c r="I884" s="240"/>
      <c r="J884" s="240"/>
      <c r="K884" s="240"/>
      <c r="L884" s="240"/>
    </row>
    <row r="885" ht="12.75" customHeight="1" outlineLevel="2">
      <c r="A885" s="89" t="s">
        <v>940</v>
      </c>
      <c r="B885" s="244">
        <v>14.2</v>
      </c>
      <c r="C885" s="245" t="s">
        <v>941</v>
      </c>
      <c r="D885" s="130"/>
      <c r="E885" s="170"/>
      <c r="F885" s="239"/>
      <c r="G885" s="239"/>
      <c r="H885" s="240"/>
      <c r="I885" s="240"/>
      <c r="J885" s="240"/>
      <c r="K885" s="240"/>
      <c r="L885" s="240"/>
    </row>
    <row r="886" ht="12.75" customHeight="1" outlineLevel="2">
      <c r="A886" s="89"/>
      <c r="B886" s="230"/>
      <c r="C886" s="246"/>
      <c r="D886" s="130"/>
      <c r="E886" s="170"/>
      <c r="F886" s="239"/>
      <c r="G886" s="239"/>
      <c r="H886" s="240"/>
      <c r="I886" s="240"/>
      <c r="J886" s="240"/>
      <c r="K886" s="240"/>
      <c r="L886" s="240"/>
    </row>
    <row r="887" ht="12.75" customHeight="1" outlineLevel="2">
      <c r="A887" s="89" t="s">
        <v>942</v>
      </c>
      <c r="B887" s="244" t="s">
        <v>2612</v>
      </c>
      <c r="C887" s="245" t="s">
        <v>943</v>
      </c>
      <c r="D887" s="203" t="s">
        <v>161</v>
      </c>
      <c r="E887" s="214">
        <v>111.35</v>
      </c>
      <c r="F887" s="205">
        <v>4.54</v>
      </c>
      <c r="G887" s="206">
        <f t="shared" ref="G887:G889" si="36">F887*E887</f>
        <v>505.529</v>
      </c>
      <c r="H887" s="219"/>
      <c r="I887" s="219"/>
      <c r="J887" s="240"/>
      <c r="K887" s="240"/>
      <c r="L887" s="240"/>
    </row>
    <row r="888" ht="12.75" customHeight="1" outlineLevel="2">
      <c r="A888" s="89" t="s">
        <v>944</v>
      </c>
      <c r="B888" s="198" t="s">
        <v>2614</v>
      </c>
      <c r="C888" s="202" t="s">
        <v>945</v>
      </c>
      <c r="D888" s="203" t="s">
        <v>161</v>
      </c>
      <c r="E888" s="214">
        <v>1.7</v>
      </c>
      <c r="F888" s="205">
        <v>6.23</v>
      </c>
      <c r="G888" s="206">
        <f t="shared" si="36"/>
        <v>10.591</v>
      </c>
      <c r="H888" s="219"/>
      <c r="I888" s="219"/>
      <c r="J888" s="240"/>
      <c r="K888" s="240"/>
      <c r="L888" s="240"/>
    </row>
    <row r="889" ht="12.75" customHeight="1" outlineLevel="2">
      <c r="A889" s="89" t="s">
        <v>946</v>
      </c>
      <c r="B889" s="198" t="s">
        <v>2616</v>
      </c>
      <c r="C889" s="202" t="s">
        <v>947</v>
      </c>
      <c r="D889" s="203" t="s">
        <v>161</v>
      </c>
      <c r="E889" s="214">
        <v>42.4</v>
      </c>
      <c r="F889" s="205">
        <v>8.74</v>
      </c>
      <c r="G889" s="206">
        <f t="shared" si="36"/>
        <v>370.576</v>
      </c>
      <c r="H889" s="219"/>
      <c r="I889" s="219"/>
      <c r="J889" s="240"/>
      <c r="K889" s="240"/>
      <c r="L889" s="240"/>
    </row>
    <row r="890" ht="12.75" customHeight="1" outlineLevel="2">
      <c r="B890" s="189"/>
      <c r="E890" s="79"/>
      <c r="F890" s="80"/>
      <c r="G890" s="239"/>
      <c r="H890" s="240"/>
      <c r="I890" s="240"/>
      <c r="J890" s="240"/>
      <c r="K890" s="240"/>
      <c r="L890" s="240"/>
    </row>
    <row r="891" ht="12.75" customHeight="1" outlineLevel="2">
      <c r="A891" s="89" t="s">
        <v>948</v>
      </c>
      <c r="B891" s="244">
        <v>14.3</v>
      </c>
      <c r="C891" s="245" t="s">
        <v>949</v>
      </c>
      <c r="D891" s="130"/>
      <c r="E891" s="170"/>
      <c r="F891" s="239"/>
      <c r="G891" s="239"/>
      <c r="H891" s="240"/>
      <c r="I891" s="240"/>
      <c r="J891" s="240"/>
      <c r="K891" s="240"/>
      <c r="L891" s="240"/>
    </row>
    <row r="892" ht="12.75" customHeight="1" outlineLevel="2">
      <c r="A892" s="89"/>
      <c r="B892" s="230"/>
      <c r="C892" s="246"/>
      <c r="D892" s="130"/>
      <c r="E892" s="170"/>
      <c r="F892" s="239"/>
      <c r="G892" s="239"/>
      <c r="H892" s="240"/>
      <c r="I892" s="240"/>
      <c r="J892" s="240"/>
      <c r="K892" s="240"/>
      <c r="L892" s="240"/>
    </row>
    <row r="893" ht="12.75" customHeight="1" outlineLevel="2">
      <c r="A893" s="89" t="s">
        <v>950</v>
      </c>
      <c r="B893" s="244" t="s">
        <v>2619</v>
      </c>
      <c r="C893" s="245" t="s">
        <v>951</v>
      </c>
      <c r="D893" s="302" t="s">
        <v>161</v>
      </c>
      <c r="E893" s="303">
        <v>64.54</v>
      </c>
      <c r="F893" s="304">
        <v>11.0</v>
      </c>
      <c r="G893" s="304">
        <f t="shared" ref="G893:G897" si="37">F893*E893</f>
        <v>709.94</v>
      </c>
      <c r="H893" s="219"/>
      <c r="I893" s="219"/>
      <c r="J893" s="240"/>
      <c r="K893" s="240"/>
      <c r="L893" s="240"/>
    </row>
    <row r="894" ht="12.75" customHeight="1" outlineLevel="2">
      <c r="A894" s="89" t="s">
        <v>952</v>
      </c>
      <c r="B894" s="198" t="s">
        <v>2621</v>
      </c>
      <c r="C894" s="202" t="s">
        <v>953</v>
      </c>
      <c r="D894" s="203" t="s">
        <v>161</v>
      </c>
      <c r="E894" s="214">
        <v>82.73</v>
      </c>
      <c r="F894" s="205">
        <v>13.0</v>
      </c>
      <c r="G894" s="206">
        <f t="shared" si="37"/>
        <v>1075.49</v>
      </c>
      <c r="H894" s="219"/>
      <c r="I894" s="219"/>
      <c r="J894" s="240"/>
      <c r="K894" s="240"/>
      <c r="L894" s="240"/>
    </row>
    <row r="895" ht="12.75" customHeight="1" outlineLevel="2">
      <c r="A895" s="89" t="s">
        <v>954</v>
      </c>
      <c r="B895" s="198" t="s">
        <v>2623</v>
      </c>
      <c r="C895" s="202" t="s">
        <v>955</v>
      </c>
      <c r="D895" s="203" t="s">
        <v>161</v>
      </c>
      <c r="E895" s="214">
        <v>39.6</v>
      </c>
      <c r="F895" s="205">
        <v>14.0</v>
      </c>
      <c r="G895" s="206">
        <f t="shared" si="37"/>
        <v>554.4</v>
      </c>
      <c r="H895" s="219"/>
      <c r="I895" s="219"/>
      <c r="J895" s="240"/>
      <c r="K895" s="240"/>
      <c r="L895" s="240"/>
    </row>
    <row r="896" ht="12.75" customHeight="1" outlineLevel="2">
      <c r="A896" s="89" t="s">
        <v>956</v>
      </c>
      <c r="B896" s="198" t="s">
        <v>2625</v>
      </c>
      <c r="C896" s="202" t="s">
        <v>957</v>
      </c>
      <c r="D896" s="203" t="s">
        <v>161</v>
      </c>
      <c r="E896" s="214">
        <v>27.8</v>
      </c>
      <c r="F896" s="205">
        <v>15.0</v>
      </c>
      <c r="G896" s="206">
        <f t="shared" si="37"/>
        <v>417</v>
      </c>
      <c r="H896" s="219"/>
      <c r="I896" s="219"/>
      <c r="J896" s="240"/>
      <c r="K896" s="240"/>
      <c r="L896" s="240"/>
    </row>
    <row r="897" ht="12.75" customHeight="1" outlineLevel="2">
      <c r="A897" s="89" t="s">
        <v>958</v>
      </c>
      <c r="B897" s="198" t="s">
        <v>2627</v>
      </c>
      <c r="C897" s="202" t="s">
        <v>959</v>
      </c>
      <c r="D897" s="203" t="s">
        <v>161</v>
      </c>
      <c r="E897" s="214">
        <v>17.28</v>
      </c>
      <c r="F897" s="205">
        <v>17.0</v>
      </c>
      <c r="G897" s="206">
        <f t="shared" si="37"/>
        <v>293.76</v>
      </c>
      <c r="H897" s="219"/>
      <c r="I897" s="219"/>
      <c r="J897" s="240"/>
      <c r="K897" s="240"/>
      <c r="L897" s="240"/>
    </row>
    <row r="898" ht="12.75" customHeight="1" outlineLevel="2">
      <c r="B898" s="189"/>
      <c r="E898" s="79"/>
      <c r="F898" s="80"/>
      <c r="G898" s="239"/>
      <c r="H898" s="240"/>
      <c r="I898" s="240"/>
      <c r="J898" s="240"/>
      <c r="K898" s="240"/>
      <c r="L898" s="240"/>
    </row>
    <row r="899" ht="12.75" customHeight="1" outlineLevel="2">
      <c r="A899" s="89">
        <v>3.2</v>
      </c>
      <c r="B899" s="244">
        <v>14.4</v>
      </c>
      <c r="C899" s="245" t="s">
        <v>960</v>
      </c>
      <c r="D899" s="130"/>
      <c r="E899" s="170"/>
      <c r="F899" s="239"/>
      <c r="G899" s="239"/>
      <c r="H899" s="240"/>
      <c r="I899" s="240"/>
      <c r="J899" s="240"/>
      <c r="K899" s="240"/>
      <c r="L899" s="240"/>
    </row>
    <row r="900" ht="12.75" customHeight="1" outlineLevel="2">
      <c r="B900" s="189"/>
      <c r="E900" s="79"/>
      <c r="F900" s="80"/>
      <c r="G900" s="239"/>
      <c r="H900" s="240"/>
      <c r="I900" s="240"/>
      <c r="J900" s="240"/>
      <c r="K900" s="240"/>
      <c r="L900" s="240"/>
    </row>
    <row r="901" ht="12.75" customHeight="1" outlineLevel="2">
      <c r="A901" s="89" t="s">
        <v>961</v>
      </c>
      <c r="B901" s="244">
        <v>14.5</v>
      </c>
      <c r="C901" s="245" t="s">
        <v>962</v>
      </c>
      <c r="D901" s="130"/>
      <c r="E901" s="170"/>
      <c r="F901" s="239"/>
      <c r="G901" s="239"/>
      <c r="H901" s="240"/>
      <c r="I901" s="240"/>
      <c r="J901" s="240"/>
      <c r="K901" s="240"/>
      <c r="L901" s="240"/>
    </row>
    <row r="902" ht="12.75" customHeight="1" outlineLevel="2">
      <c r="A902" s="89"/>
      <c r="B902" s="230"/>
      <c r="C902" s="246"/>
      <c r="D902" s="130"/>
      <c r="E902" s="170"/>
      <c r="F902" s="239"/>
      <c r="G902" s="239"/>
      <c r="H902" s="240"/>
      <c r="I902" s="240"/>
      <c r="J902" s="240"/>
      <c r="K902" s="240"/>
      <c r="L902" s="240"/>
    </row>
    <row r="903" ht="12.75" customHeight="1" outlineLevel="2">
      <c r="A903" s="89" t="s">
        <v>963</v>
      </c>
      <c r="B903" s="244" t="s">
        <v>2631</v>
      </c>
      <c r="C903" s="245" t="s">
        <v>951</v>
      </c>
      <c r="D903" s="302" t="s">
        <v>161</v>
      </c>
      <c r="E903" s="303">
        <v>33.18</v>
      </c>
      <c r="F903" s="304">
        <v>11.0</v>
      </c>
      <c r="G903" s="206">
        <f t="shared" ref="G903:G906" si="38">F903*E903</f>
        <v>364.98</v>
      </c>
      <c r="H903" s="219"/>
      <c r="I903" s="219"/>
      <c r="J903" s="240"/>
      <c r="K903" s="240"/>
      <c r="L903" s="240"/>
    </row>
    <row r="904" ht="12.75" customHeight="1" outlineLevel="2">
      <c r="A904" s="89" t="s">
        <v>964</v>
      </c>
      <c r="B904" s="244" t="s">
        <v>2632</v>
      </c>
      <c r="C904" s="202" t="s">
        <v>953</v>
      </c>
      <c r="D904" s="203" t="s">
        <v>161</v>
      </c>
      <c r="E904" s="214">
        <v>87.49</v>
      </c>
      <c r="F904" s="205">
        <v>13.0</v>
      </c>
      <c r="G904" s="206">
        <f t="shared" si="38"/>
        <v>1137.37</v>
      </c>
      <c r="H904" s="219"/>
      <c r="I904" s="219"/>
      <c r="J904" s="240"/>
      <c r="K904" s="240"/>
      <c r="L904" s="240"/>
    </row>
    <row r="905" ht="12.75" customHeight="1" outlineLevel="2">
      <c r="A905" s="89" t="s">
        <v>965</v>
      </c>
      <c r="B905" s="244" t="s">
        <v>2633</v>
      </c>
      <c r="C905" s="202" t="s">
        <v>955</v>
      </c>
      <c r="D905" s="203" t="s">
        <v>161</v>
      </c>
      <c r="E905" s="214">
        <v>45.63</v>
      </c>
      <c r="F905" s="205">
        <v>14.0</v>
      </c>
      <c r="G905" s="206">
        <f t="shared" si="38"/>
        <v>638.82</v>
      </c>
      <c r="H905" s="219"/>
      <c r="I905" s="219"/>
      <c r="J905" s="240"/>
      <c r="K905" s="240"/>
      <c r="L905" s="240"/>
    </row>
    <row r="906" ht="12.75" customHeight="1" outlineLevel="2">
      <c r="A906" s="89" t="s">
        <v>966</v>
      </c>
      <c r="B906" s="244" t="s">
        <v>2634</v>
      </c>
      <c r="C906" s="202" t="s">
        <v>957</v>
      </c>
      <c r="D906" s="203" t="s">
        <v>161</v>
      </c>
      <c r="E906" s="214">
        <v>13.94</v>
      </c>
      <c r="F906" s="205">
        <v>15.0</v>
      </c>
      <c r="G906" s="206">
        <f t="shared" si="38"/>
        <v>209.1</v>
      </c>
      <c r="H906" s="219"/>
      <c r="I906" s="219"/>
      <c r="J906" s="240"/>
      <c r="K906" s="240"/>
      <c r="L906" s="240"/>
    </row>
    <row r="907" ht="12.75" customHeight="1" outlineLevel="2">
      <c r="B907" s="189"/>
      <c r="E907" s="79"/>
      <c r="F907" s="80"/>
      <c r="G907" s="239"/>
      <c r="H907" s="240"/>
      <c r="I907" s="240"/>
      <c r="J907" s="240"/>
      <c r="K907" s="240"/>
      <c r="L907" s="240"/>
    </row>
    <row r="908" ht="12.75" customHeight="1" outlineLevel="2">
      <c r="A908" s="89">
        <v>3.3</v>
      </c>
      <c r="B908" s="244">
        <v>14.6</v>
      </c>
      <c r="C908" s="245" t="s">
        <v>967</v>
      </c>
      <c r="D908" s="130"/>
      <c r="E908" s="170"/>
      <c r="F908" s="239"/>
      <c r="G908" s="239"/>
      <c r="H908" s="240"/>
      <c r="I908" s="240"/>
      <c r="J908" s="240"/>
      <c r="K908" s="240"/>
      <c r="L908" s="240"/>
    </row>
    <row r="909" ht="12.75" customHeight="1" outlineLevel="2">
      <c r="B909" s="189"/>
      <c r="E909" s="79"/>
      <c r="F909" s="80"/>
      <c r="G909" s="239"/>
      <c r="H909" s="240"/>
      <c r="I909" s="240"/>
      <c r="J909" s="240"/>
      <c r="K909" s="240"/>
      <c r="L909" s="240"/>
    </row>
    <row r="910" ht="12.75" customHeight="1" outlineLevel="2">
      <c r="A910" s="89" t="s">
        <v>968</v>
      </c>
      <c r="B910" s="244">
        <v>14.7</v>
      </c>
      <c r="C910" s="245" t="s">
        <v>969</v>
      </c>
      <c r="D910" s="130"/>
      <c r="E910" s="170"/>
      <c r="F910" s="239"/>
      <c r="G910" s="239"/>
      <c r="H910" s="240"/>
      <c r="I910" s="240"/>
      <c r="J910" s="240"/>
      <c r="K910" s="240"/>
      <c r="L910" s="240"/>
    </row>
    <row r="911" ht="12.75" customHeight="1" outlineLevel="2">
      <c r="A911" s="89"/>
      <c r="B911" s="230"/>
      <c r="C911" s="246"/>
      <c r="D911" s="130"/>
      <c r="E911" s="170"/>
      <c r="F911" s="239"/>
      <c r="G911" s="239"/>
      <c r="H911" s="240"/>
      <c r="I911" s="240"/>
      <c r="J911" s="240"/>
      <c r="K911" s="240"/>
      <c r="L911" s="240"/>
    </row>
    <row r="912" ht="12.75" customHeight="1" outlineLevel="2">
      <c r="A912" s="89" t="s">
        <v>970</v>
      </c>
      <c r="B912" s="244" t="s">
        <v>2637</v>
      </c>
      <c r="C912" s="245" t="s">
        <v>951</v>
      </c>
      <c r="D912" s="302" t="s">
        <v>161</v>
      </c>
      <c r="E912" s="303">
        <v>121.86</v>
      </c>
      <c r="F912" s="304">
        <v>11.0</v>
      </c>
      <c r="G912" s="206">
        <f t="shared" ref="G912:G913" si="39">F912*E912</f>
        <v>1340.46</v>
      </c>
      <c r="H912" s="219"/>
      <c r="I912" s="219"/>
      <c r="J912" s="240"/>
      <c r="K912" s="240"/>
      <c r="L912" s="240"/>
    </row>
    <row r="913" ht="12.75" customHeight="1" outlineLevel="2">
      <c r="A913" s="89" t="s">
        <v>971</v>
      </c>
      <c r="B913" s="198" t="s">
        <v>2638</v>
      </c>
      <c r="C913" s="202" t="s">
        <v>953</v>
      </c>
      <c r="D913" s="203" t="s">
        <v>161</v>
      </c>
      <c r="E913" s="214">
        <v>22.29</v>
      </c>
      <c r="F913" s="205">
        <v>13.0</v>
      </c>
      <c r="G913" s="206">
        <f t="shared" si="39"/>
        <v>289.77</v>
      </c>
      <c r="H913" s="219"/>
      <c r="I913" s="219"/>
      <c r="J913" s="240"/>
      <c r="K913" s="240"/>
      <c r="L913" s="240"/>
    </row>
    <row r="914" ht="12.75" customHeight="1" outlineLevel="2">
      <c r="B914" s="189"/>
      <c r="E914" s="79"/>
      <c r="F914" s="80"/>
      <c r="G914" s="239"/>
      <c r="H914" s="240"/>
      <c r="I914" s="240"/>
      <c r="J914" s="240"/>
      <c r="K914" s="240"/>
      <c r="L914" s="240"/>
    </row>
    <row r="915" ht="12.75" customHeight="1" outlineLevel="2">
      <c r="A915" s="89">
        <v>3.4</v>
      </c>
      <c r="B915" s="198">
        <v>14.8</v>
      </c>
      <c r="C915" s="202" t="s">
        <v>972</v>
      </c>
      <c r="D915" s="203" t="s">
        <v>75</v>
      </c>
      <c r="E915" s="214">
        <v>1.0</v>
      </c>
      <c r="F915" s="205">
        <v>1000.0</v>
      </c>
      <c r="G915" s="206">
        <f>F915*E915</f>
        <v>1000</v>
      </c>
      <c r="H915" s="219"/>
      <c r="I915" s="219"/>
      <c r="J915" s="240"/>
      <c r="K915" s="240"/>
      <c r="L915" s="240"/>
    </row>
    <row r="916" ht="12.75" customHeight="1" outlineLevel="2">
      <c r="B916" s="189"/>
      <c r="E916" s="79"/>
      <c r="F916" s="80"/>
      <c r="G916" s="239"/>
      <c r="H916" s="240"/>
      <c r="I916" s="240"/>
      <c r="J916" s="240"/>
      <c r="K916" s="240"/>
      <c r="L916" s="240"/>
    </row>
    <row r="917" ht="12.75" customHeight="1" outlineLevel="2">
      <c r="A917" s="89">
        <v>3.5</v>
      </c>
      <c r="B917" s="198">
        <v>14.9</v>
      </c>
      <c r="C917" s="202" t="s">
        <v>973</v>
      </c>
      <c r="D917" s="203" t="s">
        <v>75</v>
      </c>
      <c r="E917" s="214">
        <v>1.0</v>
      </c>
      <c r="F917" s="205">
        <v>7500.0</v>
      </c>
      <c r="G917" s="206">
        <f>F917*E917</f>
        <v>7500</v>
      </c>
      <c r="H917" s="219"/>
      <c r="I917" s="219"/>
      <c r="J917" s="240"/>
      <c r="K917" s="240"/>
      <c r="L917" s="240"/>
    </row>
    <row r="918" ht="12.75" customHeight="1" outlineLevel="2">
      <c r="B918" s="189"/>
      <c r="E918" s="79"/>
      <c r="F918" s="80"/>
      <c r="G918" s="239"/>
      <c r="H918" s="240"/>
      <c r="I918" s="240"/>
      <c r="J918" s="240"/>
      <c r="K918" s="240"/>
      <c r="L918" s="240"/>
    </row>
    <row r="919" ht="12.75" customHeight="1" outlineLevel="2">
      <c r="A919" s="89">
        <v>3.6</v>
      </c>
      <c r="B919" s="301" t="s">
        <v>2641</v>
      </c>
      <c r="C919" s="202" t="s">
        <v>974</v>
      </c>
      <c r="D919" s="203" t="s">
        <v>75</v>
      </c>
      <c r="E919" s="214">
        <v>3.0</v>
      </c>
      <c r="F919" s="205">
        <v>30.0</v>
      </c>
      <c r="G919" s="206">
        <f>F919*E919</f>
        <v>90</v>
      </c>
      <c r="H919" s="219"/>
      <c r="I919" s="219"/>
      <c r="J919" s="240"/>
      <c r="K919" s="240"/>
      <c r="L919" s="240"/>
    </row>
    <row r="920" ht="12.75" customHeight="1" outlineLevel="2">
      <c r="B920" s="305"/>
      <c r="E920" s="79"/>
      <c r="F920" s="80"/>
      <c r="G920" s="239"/>
      <c r="H920" s="240"/>
      <c r="I920" s="240"/>
      <c r="J920" s="240"/>
      <c r="K920" s="240"/>
      <c r="L920" s="240"/>
    </row>
    <row r="921" ht="12.75" customHeight="1" outlineLevel="2">
      <c r="A921" s="89">
        <v>3.7</v>
      </c>
      <c r="B921" s="301" t="s">
        <v>2643</v>
      </c>
      <c r="C921" s="202" t="s">
        <v>975</v>
      </c>
      <c r="D921" s="203" t="s">
        <v>75</v>
      </c>
      <c r="E921" s="214">
        <v>1.0</v>
      </c>
      <c r="F921" s="205">
        <v>30.0</v>
      </c>
      <c r="G921" s="206">
        <f>F921*E921</f>
        <v>30</v>
      </c>
      <c r="H921" s="219"/>
      <c r="I921" s="219"/>
      <c r="J921" s="240"/>
      <c r="K921" s="240"/>
      <c r="L921" s="240"/>
    </row>
    <row r="922" ht="12.75" customHeight="1" outlineLevel="2">
      <c r="B922" s="305"/>
      <c r="E922" s="79"/>
      <c r="F922" s="80"/>
      <c r="G922" s="239"/>
      <c r="H922" s="240"/>
      <c r="I922" s="240"/>
      <c r="J922" s="240"/>
      <c r="K922" s="240"/>
      <c r="L922" s="240"/>
    </row>
    <row r="923" ht="12.75" customHeight="1" outlineLevel="2">
      <c r="A923" s="89">
        <v>3.8</v>
      </c>
      <c r="B923" s="301" t="s">
        <v>2645</v>
      </c>
      <c r="C923" s="202" t="s">
        <v>976</v>
      </c>
      <c r="D923" s="203" t="s">
        <v>75</v>
      </c>
      <c r="E923" s="214">
        <v>19.0</v>
      </c>
      <c r="F923" s="205">
        <v>30.0</v>
      </c>
      <c r="G923" s="206">
        <f>F923*E923</f>
        <v>570</v>
      </c>
      <c r="H923" s="219"/>
      <c r="I923" s="219"/>
      <c r="J923" s="240"/>
      <c r="K923" s="240"/>
      <c r="L923" s="240"/>
    </row>
    <row r="924" ht="12.75" customHeight="1" outlineLevel="2">
      <c r="B924" s="305"/>
      <c r="E924" s="79"/>
      <c r="F924" s="80"/>
      <c r="G924" s="239"/>
      <c r="H924" s="240"/>
      <c r="I924" s="240"/>
      <c r="J924" s="240"/>
      <c r="K924" s="240"/>
      <c r="L924" s="240"/>
    </row>
    <row r="925" ht="12.75" customHeight="1" outlineLevel="2">
      <c r="A925" s="89">
        <v>3.9</v>
      </c>
      <c r="B925" s="301" t="s">
        <v>2647</v>
      </c>
      <c r="C925" s="202" t="s">
        <v>977</v>
      </c>
      <c r="D925" s="203" t="s">
        <v>75</v>
      </c>
      <c r="E925" s="214">
        <v>4.0</v>
      </c>
      <c r="F925" s="205">
        <v>216.0</v>
      </c>
      <c r="G925" s="206">
        <f>F925*E925</f>
        <v>864</v>
      </c>
      <c r="H925" s="219"/>
      <c r="I925" s="219"/>
      <c r="J925" s="240"/>
      <c r="K925" s="240"/>
      <c r="L925" s="240"/>
    </row>
    <row r="926" ht="12.75" customHeight="1" outlineLevel="2">
      <c r="B926" s="305"/>
      <c r="E926" s="79"/>
      <c r="F926" s="80"/>
      <c r="G926" s="239"/>
      <c r="H926" s="240"/>
      <c r="I926" s="240"/>
      <c r="J926" s="240"/>
      <c r="K926" s="240"/>
      <c r="L926" s="240"/>
    </row>
    <row r="927" ht="12.75" customHeight="1" outlineLevel="2">
      <c r="A927" s="89">
        <v>3.1</v>
      </c>
      <c r="B927" s="301" t="s">
        <v>2649</v>
      </c>
      <c r="C927" s="202" t="s">
        <v>978</v>
      </c>
      <c r="D927" s="203" t="s">
        <v>75</v>
      </c>
      <c r="E927" s="214">
        <v>1.0</v>
      </c>
      <c r="F927" s="205">
        <v>800.0</v>
      </c>
      <c r="G927" s="206">
        <f>F927*E927</f>
        <v>800</v>
      </c>
      <c r="H927" s="219"/>
      <c r="I927" s="219"/>
      <c r="J927" s="240"/>
      <c r="K927" s="240"/>
      <c r="L927" s="240"/>
    </row>
    <row r="928" ht="12.75" customHeight="1" outlineLevel="2">
      <c r="B928" s="305"/>
      <c r="E928" s="79"/>
      <c r="F928" s="80"/>
      <c r="G928" s="239"/>
      <c r="H928" s="240"/>
      <c r="I928" s="240"/>
      <c r="J928" s="240"/>
      <c r="K928" s="240"/>
      <c r="L928" s="240"/>
    </row>
    <row r="929" ht="12.75" customHeight="1" outlineLevel="2">
      <c r="A929" s="89">
        <v>3.11</v>
      </c>
      <c r="B929" s="301" t="s">
        <v>2651</v>
      </c>
      <c r="C929" s="202" t="s">
        <v>979</v>
      </c>
      <c r="D929" s="203" t="s">
        <v>33</v>
      </c>
      <c r="E929" s="214">
        <v>1.0</v>
      </c>
      <c r="F929" s="205">
        <v>2000.0</v>
      </c>
      <c r="G929" s="206">
        <f>F929*E929</f>
        <v>2000</v>
      </c>
      <c r="H929" s="219"/>
      <c r="I929" s="219"/>
      <c r="J929" s="240"/>
      <c r="K929" s="240"/>
      <c r="L929" s="240"/>
    </row>
    <row r="930" ht="12.75" customHeight="1" outlineLevel="2">
      <c r="B930" s="305"/>
      <c r="E930" s="79"/>
      <c r="F930" s="80"/>
      <c r="G930" s="239"/>
      <c r="H930" s="240"/>
      <c r="I930" s="240"/>
      <c r="J930" s="240"/>
      <c r="K930" s="240"/>
      <c r="L930" s="240"/>
    </row>
    <row r="931" ht="12.75" customHeight="1" outlineLevel="2">
      <c r="A931" s="89">
        <v>3.12</v>
      </c>
      <c r="B931" s="301" t="s">
        <v>2653</v>
      </c>
      <c r="C931" s="202" t="s">
        <v>980</v>
      </c>
      <c r="D931" s="203" t="s">
        <v>75</v>
      </c>
      <c r="E931" s="214">
        <v>1.0</v>
      </c>
      <c r="F931" s="205">
        <v>1000.0</v>
      </c>
      <c r="G931" s="206">
        <f>F931*E931</f>
        <v>1000</v>
      </c>
      <c r="H931" s="219"/>
      <c r="I931" s="219"/>
      <c r="J931" s="240"/>
      <c r="K931" s="240"/>
      <c r="L931" s="240"/>
    </row>
    <row r="932" ht="12.75" customHeight="1" outlineLevel="2">
      <c r="B932" s="189"/>
      <c r="E932" s="79"/>
      <c r="F932" s="80"/>
      <c r="G932" s="239"/>
      <c r="H932" s="240"/>
      <c r="I932" s="240"/>
      <c r="J932" s="240"/>
      <c r="K932" s="240"/>
      <c r="L932" s="240"/>
    </row>
    <row r="933" ht="12.75" customHeight="1" outlineLevel="1">
      <c r="A933" s="89">
        <v>3.13</v>
      </c>
      <c r="B933" s="189"/>
      <c r="C933" s="306" t="s">
        <v>5620</v>
      </c>
      <c r="E933" s="79"/>
      <c r="F933" s="917">
        <f>SUM(G937:G955)</f>
        <v>10568.6964</v>
      </c>
      <c r="G933" s="239"/>
      <c r="H933" s="240"/>
      <c r="I933" s="240"/>
      <c r="J933" s="240"/>
      <c r="K933" s="240"/>
      <c r="L933" s="240"/>
    </row>
    <row r="934" ht="12.75" customHeight="1" outlineLevel="2">
      <c r="B934" s="189"/>
      <c r="E934" s="79"/>
      <c r="F934" s="80"/>
      <c r="G934" s="239"/>
      <c r="H934" s="240"/>
      <c r="I934" s="240"/>
      <c r="J934" s="240"/>
      <c r="K934" s="240"/>
      <c r="L934" s="240"/>
    </row>
    <row r="935" ht="12.75" customHeight="1" outlineLevel="2">
      <c r="A935" s="89" t="s">
        <v>982</v>
      </c>
      <c r="B935" s="307" t="s">
        <v>2656</v>
      </c>
      <c r="C935" s="308" t="s">
        <v>983</v>
      </c>
      <c r="D935" s="309"/>
      <c r="E935" s="310"/>
      <c r="F935" s="311"/>
      <c r="G935" s="311"/>
      <c r="H935" s="240"/>
      <c r="I935" s="240"/>
      <c r="J935" s="240"/>
      <c r="K935" s="240"/>
      <c r="L935" s="240"/>
    </row>
    <row r="936" ht="12.75" customHeight="1" outlineLevel="2">
      <c r="B936" s="189"/>
      <c r="E936" s="79"/>
      <c r="F936" s="80"/>
      <c r="G936" s="239"/>
      <c r="H936" s="240"/>
      <c r="I936" s="240"/>
      <c r="J936" s="240"/>
      <c r="K936" s="240"/>
      <c r="L936" s="240"/>
    </row>
    <row r="937" ht="12.75" customHeight="1" outlineLevel="2">
      <c r="A937" s="89" t="s">
        <v>984</v>
      </c>
      <c r="B937" s="301" t="s">
        <v>2658</v>
      </c>
      <c r="C937" s="202" t="s">
        <v>985</v>
      </c>
      <c r="D937" s="203" t="s">
        <v>161</v>
      </c>
      <c r="E937" s="214">
        <v>52.18</v>
      </c>
      <c r="F937" s="205">
        <v>11.59</v>
      </c>
      <c r="G937" s="206">
        <f>F937*E937</f>
        <v>604.7662</v>
      </c>
      <c r="H937" s="219"/>
      <c r="I937" s="219"/>
      <c r="J937" s="240"/>
      <c r="K937" s="240"/>
      <c r="L937" s="240"/>
    </row>
    <row r="938" ht="12.75" customHeight="1" outlineLevel="2">
      <c r="B938" s="189"/>
      <c r="E938" s="79"/>
      <c r="F938" s="80"/>
      <c r="G938" s="239"/>
      <c r="H938" s="240"/>
      <c r="I938" s="240"/>
      <c r="J938" s="240"/>
      <c r="K938" s="240"/>
      <c r="L938" s="240"/>
    </row>
    <row r="939" ht="12.75" customHeight="1" outlineLevel="2">
      <c r="A939" s="89" t="s">
        <v>986</v>
      </c>
      <c r="B939" s="307" t="s">
        <v>2660</v>
      </c>
      <c r="C939" s="308" t="s">
        <v>987</v>
      </c>
      <c r="D939" s="309"/>
      <c r="E939" s="310"/>
      <c r="F939" s="311"/>
      <c r="G939" s="311"/>
      <c r="H939" s="240"/>
      <c r="I939" s="240"/>
      <c r="J939" s="240"/>
      <c r="K939" s="240"/>
      <c r="L939" s="240"/>
    </row>
    <row r="940" ht="12.75" customHeight="1" outlineLevel="2">
      <c r="B940" s="189"/>
      <c r="E940" s="79"/>
      <c r="F940" s="80"/>
      <c r="G940" s="239"/>
      <c r="H940" s="240"/>
      <c r="I940" s="240"/>
      <c r="J940" s="240"/>
      <c r="K940" s="240"/>
      <c r="L940" s="240"/>
    </row>
    <row r="941" ht="12.75" customHeight="1" outlineLevel="2">
      <c r="A941" s="89" t="s">
        <v>988</v>
      </c>
      <c r="B941" s="301" t="s">
        <v>2662</v>
      </c>
      <c r="C941" s="202" t="s">
        <v>989</v>
      </c>
      <c r="D941" s="203" t="s">
        <v>161</v>
      </c>
      <c r="E941" s="214">
        <v>30.19</v>
      </c>
      <c r="F941" s="205">
        <v>21.58</v>
      </c>
      <c r="G941" s="206">
        <f>F941*E941</f>
        <v>651.5002</v>
      </c>
      <c r="H941" s="219"/>
      <c r="I941" s="219"/>
      <c r="J941" s="240"/>
      <c r="K941" s="240"/>
      <c r="L941" s="240"/>
    </row>
    <row r="942" ht="12.75" customHeight="1" outlineLevel="2">
      <c r="B942" s="189"/>
      <c r="E942" s="79"/>
      <c r="F942" s="80"/>
      <c r="G942" s="239"/>
      <c r="H942" s="240"/>
      <c r="I942" s="240"/>
      <c r="J942" s="240"/>
      <c r="K942" s="240"/>
      <c r="L942" s="240"/>
    </row>
    <row r="943" ht="12.75" customHeight="1" outlineLevel="2">
      <c r="A943" s="89" t="s">
        <v>990</v>
      </c>
      <c r="B943" s="307" t="s">
        <v>2664</v>
      </c>
      <c r="C943" s="308" t="s">
        <v>991</v>
      </c>
      <c r="D943" s="309"/>
      <c r="E943" s="310"/>
      <c r="F943" s="311"/>
      <c r="G943" s="311"/>
      <c r="H943" s="240"/>
      <c r="I943" s="240"/>
      <c r="J943" s="240"/>
      <c r="K943" s="240"/>
      <c r="L943" s="240"/>
    </row>
    <row r="944" ht="12.75" customHeight="1" outlineLevel="2">
      <c r="B944" s="189"/>
      <c r="E944" s="79"/>
      <c r="F944" s="80"/>
      <c r="G944" s="239"/>
      <c r="H944" s="240"/>
      <c r="I944" s="240"/>
      <c r="J944" s="240"/>
      <c r="K944" s="240"/>
      <c r="L944" s="240"/>
    </row>
    <row r="945" ht="12.75" customHeight="1" outlineLevel="2">
      <c r="A945" s="89" t="s">
        <v>992</v>
      </c>
      <c r="B945" s="301" t="str">
        <f t="shared" ref="B945:B955" si="40">CONCATENATE("14.19",RIGHT(A945,LEN(A945) - (FIND(CHAR(160),SUBSTITUTE(A945,".",CHAR(160),2)) + 1)))</f>
        <v>14.19.1</v>
      </c>
      <c r="C945" s="202" t="s">
        <v>993</v>
      </c>
      <c r="D945" s="203" t="s">
        <v>75</v>
      </c>
      <c r="E945" s="214">
        <v>1.0</v>
      </c>
      <c r="F945" s="205">
        <v>4411.7</v>
      </c>
      <c r="G945" s="206">
        <f>F945*E945</f>
        <v>4411.7</v>
      </c>
      <c r="H945" s="219"/>
      <c r="I945" s="219"/>
      <c r="J945" s="240"/>
      <c r="K945" s="240"/>
      <c r="L945" s="240"/>
    </row>
    <row r="946" ht="12.75" customHeight="1" outlineLevel="2">
      <c r="A946" s="89" t="s">
        <v>994</v>
      </c>
      <c r="B946" s="301" t="str">
        <f t="shared" si="40"/>
        <v>14.19.2</v>
      </c>
      <c r="C946" s="202" t="s">
        <v>7884</v>
      </c>
      <c r="D946" s="203"/>
      <c r="E946" s="214"/>
      <c r="F946" s="205"/>
      <c r="G946" s="206"/>
      <c r="H946" s="219"/>
      <c r="I946" s="219"/>
      <c r="J946" s="240"/>
      <c r="K946" s="240"/>
      <c r="L946" s="240"/>
    </row>
    <row r="947" ht="12.75" customHeight="1" outlineLevel="2">
      <c r="A947" s="89" t="s">
        <v>996</v>
      </c>
      <c r="B947" s="301" t="str">
        <f t="shared" si="40"/>
        <v>14.19.3</v>
      </c>
      <c r="C947" s="202" t="s">
        <v>997</v>
      </c>
      <c r="D947" s="203" t="s">
        <v>75</v>
      </c>
      <c r="E947" s="214">
        <v>1.0</v>
      </c>
      <c r="F947" s="205">
        <v>2797.12</v>
      </c>
      <c r="G947" s="206">
        <f t="shared" ref="G947:G955" si="41">F947*E947</f>
        <v>2797.12</v>
      </c>
      <c r="H947" s="219"/>
      <c r="I947" s="219"/>
      <c r="J947" s="240"/>
      <c r="K947" s="240"/>
      <c r="L947" s="240"/>
    </row>
    <row r="948" ht="12.75" customHeight="1" outlineLevel="2">
      <c r="A948" s="89" t="s">
        <v>998</v>
      </c>
      <c r="B948" s="301" t="str">
        <f t="shared" si="40"/>
        <v>14.19.4</v>
      </c>
      <c r="C948" s="202" t="s">
        <v>999</v>
      </c>
      <c r="D948" s="203" t="s">
        <v>75</v>
      </c>
      <c r="E948" s="214">
        <v>1.0</v>
      </c>
      <c r="F948" s="205">
        <v>149.43</v>
      </c>
      <c r="G948" s="206">
        <f t="shared" si="41"/>
        <v>149.43</v>
      </c>
      <c r="H948" s="219"/>
      <c r="I948" s="219"/>
      <c r="J948" s="240"/>
      <c r="K948" s="240"/>
      <c r="L948" s="240"/>
    </row>
    <row r="949" ht="12.75" customHeight="1" outlineLevel="2">
      <c r="A949" s="89" t="s">
        <v>1000</v>
      </c>
      <c r="B949" s="301" t="str">
        <f t="shared" si="40"/>
        <v>14.19.5</v>
      </c>
      <c r="C949" s="202" t="s">
        <v>1001</v>
      </c>
      <c r="D949" s="203" t="s">
        <v>75</v>
      </c>
      <c r="E949" s="214">
        <v>5.0</v>
      </c>
      <c r="F949" s="205">
        <v>94.18</v>
      </c>
      <c r="G949" s="206">
        <f t="shared" si="41"/>
        <v>470.9</v>
      </c>
      <c r="H949" s="219"/>
      <c r="I949" s="219"/>
      <c r="J949" s="240"/>
      <c r="K949" s="240"/>
      <c r="L949" s="240"/>
    </row>
    <row r="950" ht="12.75" customHeight="1" outlineLevel="2">
      <c r="A950" s="89" t="s">
        <v>1004</v>
      </c>
      <c r="B950" s="301" t="str">
        <f t="shared" si="40"/>
        <v>14.19.7</v>
      </c>
      <c r="C950" s="202" t="s">
        <v>1005</v>
      </c>
      <c r="D950" s="203" t="s">
        <v>75</v>
      </c>
      <c r="E950" s="214">
        <v>1.0</v>
      </c>
      <c r="F950" s="205">
        <v>44.17</v>
      </c>
      <c r="G950" s="206">
        <f t="shared" si="41"/>
        <v>44.17</v>
      </c>
      <c r="H950" s="219"/>
      <c r="I950" s="219"/>
      <c r="J950" s="240"/>
      <c r="K950" s="240"/>
      <c r="L950" s="240"/>
    </row>
    <row r="951" ht="12.75" customHeight="1" outlineLevel="2">
      <c r="A951" s="89" t="s">
        <v>1006</v>
      </c>
      <c r="B951" s="301" t="str">
        <f t="shared" si="40"/>
        <v>14.19.8</v>
      </c>
      <c r="C951" s="202" t="s">
        <v>1007</v>
      </c>
      <c r="D951" s="203" t="s">
        <v>75</v>
      </c>
      <c r="E951" s="214">
        <v>5.0</v>
      </c>
      <c r="F951" s="205">
        <v>53.77</v>
      </c>
      <c r="G951" s="206">
        <f t="shared" si="41"/>
        <v>268.85</v>
      </c>
      <c r="H951" s="219"/>
      <c r="I951" s="219"/>
      <c r="J951" s="240"/>
      <c r="K951" s="240"/>
      <c r="L951" s="240"/>
    </row>
    <row r="952" ht="12.75" customHeight="1" outlineLevel="2">
      <c r="A952" s="89" t="s">
        <v>1008</v>
      </c>
      <c r="B952" s="301" t="str">
        <f t="shared" si="40"/>
        <v>14.19.9</v>
      </c>
      <c r="C952" s="202" t="s">
        <v>1009</v>
      </c>
      <c r="D952" s="203" t="s">
        <v>75</v>
      </c>
      <c r="E952" s="214">
        <v>1.0</v>
      </c>
      <c r="F952" s="205">
        <v>107.09</v>
      </c>
      <c r="G952" s="206">
        <f t="shared" si="41"/>
        <v>107.09</v>
      </c>
      <c r="H952" s="219"/>
      <c r="I952" s="219"/>
      <c r="J952" s="240"/>
      <c r="K952" s="240"/>
      <c r="L952" s="240"/>
    </row>
    <row r="953" ht="12.75" customHeight="1" outlineLevel="2">
      <c r="A953" s="89" t="s">
        <v>1010</v>
      </c>
      <c r="B953" s="301" t="str">
        <f t="shared" si="40"/>
        <v>14.19.10</v>
      </c>
      <c r="C953" s="202" t="s">
        <v>1011</v>
      </c>
      <c r="D953" s="203" t="s">
        <v>75</v>
      </c>
      <c r="E953" s="214">
        <v>1.0</v>
      </c>
      <c r="F953" s="205">
        <v>764.0</v>
      </c>
      <c r="G953" s="206">
        <f t="shared" si="41"/>
        <v>764</v>
      </c>
      <c r="H953" s="219"/>
      <c r="I953" s="219"/>
      <c r="J953" s="240"/>
      <c r="K953" s="240"/>
      <c r="L953" s="240"/>
    </row>
    <row r="954" ht="12.75" customHeight="1" outlineLevel="2">
      <c r="A954" s="89" t="s">
        <v>1012</v>
      </c>
      <c r="B954" s="301" t="str">
        <f t="shared" si="40"/>
        <v>14.19.11</v>
      </c>
      <c r="C954" s="202" t="s">
        <v>1013</v>
      </c>
      <c r="D954" s="203" t="s">
        <v>75</v>
      </c>
      <c r="E954" s="214">
        <v>15.0</v>
      </c>
      <c r="F954" s="205">
        <v>18.03</v>
      </c>
      <c r="G954" s="206">
        <f t="shared" si="41"/>
        <v>270.45</v>
      </c>
      <c r="H954" s="219"/>
      <c r="I954" s="219"/>
      <c r="J954" s="240"/>
      <c r="K954" s="240"/>
      <c r="L954" s="240"/>
    </row>
    <row r="955" ht="12.75" customHeight="1" outlineLevel="2">
      <c r="A955" s="89" t="s">
        <v>1014</v>
      </c>
      <c r="B955" s="301" t="str">
        <f t="shared" si="40"/>
        <v>14.19.12</v>
      </c>
      <c r="C955" s="202" t="s">
        <v>1015</v>
      </c>
      <c r="D955" s="203" t="s">
        <v>75</v>
      </c>
      <c r="E955" s="214">
        <v>1.0</v>
      </c>
      <c r="F955" s="205">
        <v>28.72</v>
      </c>
      <c r="G955" s="206">
        <f t="shared" si="41"/>
        <v>28.72</v>
      </c>
      <c r="H955" s="219"/>
      <c r="I955" s="219"/>
      <c r="J955" s="240"/>
      <c r="K955" s="240"/>
      <c r="L955" s="240"/>
    </row>
    <row r="956" ht="12.75" customHeight="1" outlineLevel="2">
      <c r="B956" s="189"/>
      <c r="E956" s="79"/>
      <c r="F956" s="80"/>
      <c r="G956" s="239"/>
      <c r="H956" s="240"/>
      <c r="I956" s="240"/>
      <c r="J956" s="240"/>
      <c r="K956" s="240"/>
      <c r="L956" s="240"/>
    </row>
    <row r="957" ht="12.75" customHeight="1" outlineLevel="1">
      <c r="A957" s="89">
        <v>3.14</v>
      </c>
      <c r="B957" s="189"/>
      <c r="C957" s="158" t="s">
        <v>5622</v>
      </c>
      <c r="E957" s="79"/>
      <c r="F957" s="917">
        <f>SUM(G961:G972)</f>
        <v>5563.6656</v>
      </c>
      <c r="G957" s="239"/>
      <c r="H957" s="240"/>
      <c r="I957" s="240"/>
      <c r="J957" s="240"/>
      <c r="K957" s="240"/>
      <c r="L957" s="240"/>
    </row>
    <row r="958" ht="12.75" customHeight="1" outlineLevel="2">
      <c r="B958" s="189"/>
      <c r="E958" s="79"/>
      <c r="F958" s="80"/>
      <c r="G958" s="239"/>
      <c r="H958" s="240"/>
      <c r="I958" s="240"/>
      <c r="J958" s="240"/>
      <c r="K958" s="240"/>
      <c r="L958" s="240"/>
    </row>
    <row r="959" ht="12.75" customHeight="1" outlineLevel="2">
      <c r="A959" s="89" t="s">
        <v>1017</v>
      </c>
      <c r="B959" s="307" t="s">
        <v>2678</v>
      </c>
      <c r="C959" s="308" t="s">
        <v>1018</v>
      </c>
      <c r="D959" s="309"/>
      <c r="E959" s="310"/>
      <c r="F959" s="311"/>
      <c r="G959" s="311"/>
      <c r="H959" s="240"/>
      <c r="I959" s="240"/>
      <c r="J959" s="240"/>
      <c r="K959" s="240"/>
      <c r="L959" s="240"/>
    </row>
    <row r="960" ht="12.75" customHeight="1" outlineLevel="2">
      <c r="B960" s="189"/>
      <c r="E960" s="79"/>
      <c r="F960" s="80"/>
      <c r="G960" s="239"/>
      <c r="H960" s="240"/>
      <c r="I960" s="240"/>
      <c r="J960" s="240"/>
      <c r="K960" s="240"/>
      <c r="L960" s="240"/>
    </row>
    <row r="961" ht="12.75" customHeight="1" outlineLevel="2">
      <c r="A961" s="89" t="s">
        <v>1019</v>
      </c>
      <c r="B961" s="301" t="s">
        <v>2680</v>
      </c>
      <c r="C961" s="202" t="s">
        <v>985</v>
      </c>
      <c r="D961" s="203" t="s">
        <v>161</v>
      </c>
      <c r="E961" s="214">
        <v>34.84</v>
      </c>
      <c r="F961" s="205">
        <v>11.59</v>
      </c>
      <c r="G961" s="206">
        <f>F961*E961</f>
        <v>403.7956</v>
      </c>
      <c r="H961" s="219"/>
      <c r="I961" s="219"/>
      <c r="J961" s="240"/>
      <c r="K961" s="240"/>
      <c r="L961" s="240"/>
    </row>
    <row r="962" ht="12.75" customHeight="1" outlineLevel="2">
      <c r="B962" s="189"/>
      <c r="E962" s="79"/>
      <c r="F962" s="80"/>
      <c r="G962" s="239"/>
      <c r="H962" s="240"/>
      <c r="I962" s="240"/>
      <c r="J962" s="240"/>
      <c r="K962" s="240"/>
      <c r="L962" s="240"/>
    </row>
    <row r="963" ht="12.75" customHeight="1" outlineLevel="2">
      <c r="A963" s="89" t="s">
        <v>1020</v>
      </c>
      <c r="B963" s="307" t="s">
        <v>2681</v>
      </c>
      <c r="C963" s="308" t="s">
        <v>1021</v>
      </c>
      <c r="D963" s="309"/>
      <c r="E963" s="310"/>
      <c r="F963" s="311"/>
      <c r="G963" s="311"/>
      <c r="H963" s="240"/>
      <c r="I963" s="240"/>
      <c r="J963" s="240"/>
      <c r="K963" s="240"/>
      <c r="L963" s="240"/>
    </row>
    <row r="964" ht="12.75" customHeight="1" outlineLevel="2">
      <c r="B964" s="189"/>
      <c r="E964" s="79"/>
      <c r="F964" s="80"/>
      <c r="G964" s="239"/>
      <c r="H964" s="240"/>
      <c r="I964" s="240"/>
      <c r="J964" s="240"/>
      <c r="K964" s="240"/>
      <c r="L964" s="240"/>
    </row>
    <row r="965" ht="12.75" customHeight="1" outlineLevel="2">
      <c r="A965" s="89" t="s">
        <v>1022</v>
      </c>
      <c r="B965" s="301" t="s">
        <v>2683</v>
      </c>
      <c r="C965" s="202" t="s">
        <v>1023</v>
      </c>
      <c r="D965" s="203" t="s">
        <v>75</v>
      </c>
      <c r="E965" s="214">
        <v>1.0</v>
      </c>
      <c r="F965" s="205">
        <v>1657.88</v>
      </c>
      <c r="G965" s="206">
        <f t="shared" ref="G965:G970" si="42">F965*E965</f>
        <v>1657.88</v>
      </c>
      <c r="H965" s="219"/>
      <c r="I965" s="219"/>
      <c r="J965" s="240"/>
      <c r="K965" s="240"/>
      <c r="L965" s="240"/>
    </row>
    <row r="966" ht="12.75" customHeight="1" outlineLevel="2">
      <c r="A966" s="89" t="s">
        <v>1024</v>
      </c>
      <c r="B966" s="301" t="s">
        <v>2685</v>
      </c>
      <c r="C966" s="202" t="s">
        <v>1025</v>
      </c>
      <c r="D966" s="203" t="s">
        <v>75</v>
      </c>
      <c r="E966" s="214">
        <v>1.0</v>
      </c>
      <c r="F966" s="205">
        <v>301.74</v>
      </c>
      <c r="G966" s="206">
        <f t="shared" si="42"/>
        <v>301.74</v>
      </c>
      <c r="H966" s="219"/>
      <c r="I966" s="219"/>
      <c r="J966" s="240"/>
      <c r="K966" s="240"/>
      <c r="L966" s="240"/>
    </row>
    <row r="967" ht="12.75" customHeight="1" outlineLevel="2">
      <c r="A967" s="89" t="s">
        <v>1026</v>
      </c>
      <c r="B967" s="301" t="s">
        <v>2687</v>
      </c>
      <c r="C967" s="202" t="s">
        <v>1027</v>
      </c>
      <c r="D967" s="203" t="s">
        <v>75</v>
      </c>
      <c r="E967" s="214">
        <v>4.0</v>
      </c>
      <c r="F967" s="205">
        <v>70.62</v>
      </c>
      <c r="G967" s="206">
        <f t="shared" si="42"/>
        <v>282.48</v>
      </c>
      <c r="H967" s="219"/>
      <c r="I967" s="219"/>
      <c r="J967" s="240"/>
      <c r="K967" s="240"/>
      <c r="L967" s="240"/>
    </row>
    <row r="968" ht="12.75" customHeight="1" outlineLevel="2">
      <c r="A968" s="89" t="s">
        <v>1028</v>
      </c>
      <c r="B968" s="301" t="s">
        <v>2689</v>
      </c>
      <c r="C968" s="202" t="s">
        <v>1029</v>
      </c>
      <c r="D968" s="203" t="s">
        <v>75</v>
      </c>
      <c r="E968" s="214">
        <v>1.0</v>
      </c>
      <c r="F968" s="205">
        <v>109.63</v>
      </c>
      <c r="G968" s="206">
        <f t="shared" si="42"/>
        <v>109.63</v>
      </c>
      <c r="H968" s="219"/>
      <c r="I968" s="219"/>
      <c r="J968" s="240"/>
      <c r="K968" s="240"/>
      <c r="L968" s="240"/>
    </row>
    <row r="969" ht="12.75" customHeight="1" outlineLevel="2">
      <c r="A969" s="89" t="s">
        <v>1030</v>
      </c>
      <c r="B969" s="301" t="s">
        <v>2691</v>
      </c>
      <c r="C969" s="202" t="s">
        <v>1031</v>
      </c>
      <c r="D969" s="203" t="s">
        <v>75</v>
      </c>
      <c r="E969" s="214">
        <v>1.0</v>
      </c>
      <c r="F969" s="205">
        <v>685.01</v>
      </c>
      <c r="G969" s="206">
        <f t="shared" si="42"/>
        <v>685.01</v>
      </c>
      <c r="H969" s="219"/>
      <c r="I969" s="219"/>
      <c r="J969" s="240"/>
      <c r="K969" s="240"/>
      <c r="L969" s="240"/>
    </row>
    <row r="970" ht="12.75" customHeight="1" outlineLevel="2">
      <c r="A970" s="89" t="s">
        <v>1032</v>
      </c>
      <c r="B970" s="301" t="s">
        <v>2693</v>
      </c>
      <c r="C970" s="202" t="s">
        <v>1033</v>
      </c>
      <c r="D970" s="203" t="s">
        <v>75</v>
      </c>
      <c r="E970" s="214">
        <v>1.0</v>
      </c>
      <c r="F970" s="205">
        <v>183.48</v>
      </c>
      <c r="G970" s="206">
        <f t="shared" si="42"/>
        <v>183.48</v>
      </c>
      <c r="H970" s="219"/>
      <c r="I970" s="219"/>
      <c r="J970" s="240"/>
      <c r="K970" s="240"/>
      <c r="L970" s="240"/>
    </row>
    <row r="971" ht="12.75" customHeight="1" outlineLevel="2">
      <c r="B971" s="189"/>
      <c r="E971" s="79"/>
      <c r="F971" s="80"/>
      <c r="G971" s="239"/>
      <c r="H971" s="240"/>
      <c r="I971" s="240"/>
      <c r="J971" s="240"/>
      <c r="K971" s="240"/>
      <c r="L971" s="240"/>
    </row>
    <row r="972" ht="12.75" customHeight="1" outlineLevel="2">
      <c r="A972" s="89" t="s">
        <v>1034</v>
      </c>
      <c r="B972" s="301" t="s">
        <v>2695</v>
      </c>
      <c r="C972" s="202" t="s">
        <v>979</v>
      </c>
      <c r="D972" s="203" t="s">
        <v>33</v>
      </c>
      <c r="E972" s="214">
        <v>1.0</v>
      </c>
      <c r="F972" s="205">
        <v>1939.65</v>
      </c>
      <c r="G972" s="206">
        <f>F972*E972</f>
        <v>1939.65</v>
      </c>
      <c r="H972" s="219"/>
      <c r="I972" s="219"/>
      <c r="J972" s="240"/>
      <c r="K972" s="240"/>
      <c r="L972" s="240"/>
    </row>
    <row r="973" ht="12.75" customHeight="1" outlineLevel="1">
      <c r="A973" s="89"/>
      <c r="B973" s="189"/>
      <c r="C973" s="90"/>
      <c r="D973" s="89"/>
      <c r="E973" s="91"/>
      <c r="F973" s="92"/>
      <c r="G973" s="239"/>
      <c r="H973" s="240"/>
      <c r="I973" s="240"/>
      <c r="J973" s="240"/>
      <c r="K973" s="240"/>
      <c r="L973" s="240"/>
    </row>
    <row r="974" ht="12.75" customHeight="1" outlineLevel="1">
      <c r="A974" s="89"/>
      <c r="B974" s="189"/>
      <c r="C974" s="90"/>
      <c r="D974" s="89"/>
      <c r="E974" s="91"/>
      <c r="F974" s="92"/>
      <c r="G974" s="239"/>
      <c r="H974" s="240"/>
      <c r="I974" s="240"/>
      <c r="J974" s="240"/>
      <c r="K974" s="240"/>
      <c r="L974" s="240"/>
    </row>
    <row r="975" ht="12.75" customHeight="1">
      <c r="A975" s="192"/>
      <c r="B975" s="84">
        <v>15.0</v>
      </c>
      <c r="C975" s="184" t="s">
        <v>1122</v>
      </c>
      <c r="D975" s="193"/>
      <c r="E975" s="194"/>
      <c r="F975" s="195"/>
      <c r="G975" s="196">
        <f>SUM(G979:G993)</f>
        <v>2505.13</v>
      </c>
      <c r="H975" s="197">
        <f>G975-Resumo!J43</f>
        <v>-263.05</v>
      </c>
      <c r="I975" s="197">
        <f>H975-Resumo!K43</f>
        <v>-263.05</v>
      </c>
      <c r="J975" s="919"/>
      <c r="K975" s="169"/>
      <c r="L975" s="169"/>
    </row>
    <row r="976" ht="12.75" customHeight="1" outlineLevel="1">
      <c r="A976" s="89"/>
      <c r="B976" s="189"/>
      <c r="C976" s="90"/>
      <c r="D976" s="89"/>
      <c r="E976" s="91"/>
      <c r="F976" s="92"/>
      <c r="G976" s="239"/>
      <c r="H976" s="240"/>
      <c r="I976" s="240"/>
      <c r="J976" s="240"/>
      <c r="K976" s="240"/>
      <c r="L976" s="240"/>
    </row>
    <row r="977" ht="12.75" customHeight="1" outlineLevel="1">
      <c r="A977" s="89"/>
      <c r="B977" s="312"/>
      <c r="C977" s="184" t="s">
        <v>1123</v>
      </c>
      <c r="E977" s="79"/>
      <c r="F977" s="917">
        <f>SUM(G979:G981)</f>
        <v>505.13</v>
      </c>
      <c r="G977" s="239"/>
      <c r="H977" s="240"/>
      <c r="I977" s="240"/>
      <c r="J977" s="240"/>
      <c r="K977" s="240"/>
      <c r="L977" s="240"/>
    </row>
    <row r="978" ht="12.75" customHeight="1" outlineLevel="2">
      <c r="A978" s="89"/>
      <c r="B978" s="189"/>
      <c r="E978" s="79"/>
      <c r="F978" s="80"/>
      <c r="G978" s="239"/>
      <c r="H978" s="240"/>
      <c r="I978" s="240"/>
      <c r="J978" s="240"/>
      <c r="K978" s="240"/>
      <c r="L978" s="240"/>
    </row>
    <row r="979" ht="12.75" customHeight="1" outlineLevel="2">
      <c r="A979" s="89"/>
      <c r="B979" s="301" t="s">
        <v>2698</v>
      </c>
      <c r="C979" s="202" t="s">
        <v>1125</v>
      </c>
      <c r="D979" s="203" t="s">
        <v>161</v>
      </c>
      <c r="E979" s="214">
        <v>19.19</v>
      </c>
      <c r="F979" s="205">
        <v>14.0</v>
      </c>
      <c r="G979" s="206">
        <f>F979*E979</f>
        <v>268.66</v>
      </c>
      <c r="H979" s="219"/>
      <c r="I979" s="219"/>
      <c r="J979" s="240"/>
      <c r="K979" s="240"/>
      <c r="L979" s="240"/>
    </row>
    <row r="980" ht="12.75" customHeight="1" outlineLevel="2">
      <c r="A980" s="89"/>
      <c r="B980" s="189"/>
      <c r="E980" s="79"/>
      <c r="F980" s="80"/>
      <c r="G980" s="239"/>
      <c r="H980" s="240"/>
      <c r="I980" s="240"/>
      <c r="J980" s="240"/>
      <c r="K980" s="240"/>
      <c r="L980" s="240"/>
    </row>
    <row r="981" ht="12.75" customHeight="1" outlineLevel="2">
      <c r="A981" s="89"/>
      <c r="B981" s="301" t="s">
        <v>2700</v>
      </c>
      <c r="C981" s="202" t="s">
        <v>1127</v>
      </c>
      <c r="D981" s="203" t="s">
        <v>161</v>
      </c>
      <c r="E981" s="214">
        <v>13.91</v>
      </c>
      <c r="F981" s="205">
        <v>17.0</v>
      </c>
      <c r="G981" s="206">
        <f>F981*E981</f>
        <v>236.47</v>
      </c>
      <c r="H981" s="219"/>
      <c r="I981" s="219"/>
      <c r="J981" s="240"/>
      <c r="K981" s="240"/>
      <c r="L981" s="240"/>
    </row>
    <row r="982" ht="12.75" customHeight="1" outlineLevel="2">
      <c r="A982" s="89"/>
      <c r="B982" s="189"/>
      <c r="E982" s="79"/>
      <c r="F982" s="80"/>
      <c r="G982" s="239"/>
      <c r="H982" s="240"/>
      <c r="I982" s="240"/>
      <c r="J982" s="240"/>
      <c r="K982" s="240"/>
      <c r="L982" s="240"/>
    </row>
    <row r="983" ht="12.75" customHeight="1" outlineLevel="1">
      <c r="A983" s="89"/>
      <c r="B983" s="312"/>
      <c r="C983" s="184" t="s">
        <v>1128</v>
      </c>
      <c r="E983" s="79"/>
      <c r="F983" s="917">
        <f>SUM(G985:G987)</f>
        <v>900</v>
      </c>
      <c r="G983" s="239"/>
      <c r="H983" s="240"/>
      <c r="I983" s="240"/>
      <c r="J983" s="240"/>
      <c r="K983" s="240"/>
      <c r="L983" s="240"/>
    </row>
    <row r="984" ht="12.75" customHeight="1" outlineLevel="2">
      <c r="A984" s="89"/>
      <c r="B984" s="189"/>
      <c r="E984" s="79"/>
      <c r="F984" s="80"/>
      <c r="G984" s="239"/>
      <c r="H984" s="240"/>
      <c r="I984" s="240"/>
      <c r="J984" s="240"/>
      <c r="K984" s="240"/>
      <c r="L984" s="240"/>
    </row>
    <row r="985" ht="12.75" customHeight="1" outlineLevel="2">
      <c r="A985" s="89"/>
      <c r="B985" s="301" t="s">
        <v>2703</v>
      </c>
      <c r="C985" s="202" t="s">
        <v>1130</v>
      </c>
      <c r="D985" s="203" t="s">
        <v>33</v>
      </c>
      <c r="E985" s="214">
        <v>1.0</v>
      </c>
      <c r="F985" s="205">
        <v>400.0</v>
      </c>
      <c r="G985" s="206">
        <f>F985*E985</f>
        <v>400</v>
      </c>
      <c r="H985" s="219"/>
      <c r="I985" s="219"/>
      <c r="J985" s="240"/>
      <c r="K985" s="240"/>
      <c r="L985" s="240"/>
    </row>
    <row r="986" ht="12.75" customHeight="1" outlineLevel="2">
      <c r="A986" s="89"/>
      <c r="B986" s="189"/>
      <c r="E986" s="79"/>
      <c r="F986" s="80"/>
      <c r="G986" s="239"/>
      <c r="H986" s="240"/>
      <c r="I986" s="240"/>
      <c r="J986" s="240"/>
      <c r="K986" s="240"/>
      <c r="L986" s="240"/>
    </row>
    <row r="987" ht="12.75" customHeight="1" outlineLevel="2">
      <c r="A987" s="89"/>
      <c r="B987" s="301" t="s">
        <v>2705</v>
      </c>
      <c r="C987" s="202" t="s">
        <v>1132</v>
      </c>
      <c r="D987" s="203" t="s">
        <v>33</v>
      </c>
      <c r="E987" s="214">
        <v>1.0</v>
      </c>
      <c r="F987" s="205">
        <v>500.0</v>
      </c>
      <c r="G987" s="206">
        <f>F987*E987</f>
        <v>500</v>
      </c>
      <c r="H987" s="219"/>
      <c r="I987" s="219"/>
      <c r="J987" s="240"/>
      <c r="K987" s="240"/>
      <c r="L987" s="240"/>
    </row>
    <row r="988" ht="12.75" customHeight="1" outlineLevel="2">
      <c r="A988" s="89"/>
      <c r="B988" s="189"/>
      <c r="E988" s="79"/>
      <c r="F988" s="80"/>
      <c r="G988" s="239"/>
      <c r="H988" s="240"/>
      <c r="I988" s="240"/>
      <c r="J988" s="240"/>
      <c r="K988" s="240"/>
      <c r="L988" s="240"/>
    </row>
    <row r="989" ht="12.75" customHeight="1" outlineLevel="1">
      <c r="A989" s="89"/>
      <c r="B989" s="312"/>
      <c r="C989" s="184" t="s">
        <v>928</v>
      </c>
      <c r="E989" s="79"/>
      <c r="F989" s="917">
        <f>SUM(G991:G993)</f>
        <v>1100</v>
      </c>
      <c r="G989" s="239"/>
      <c r="H989" s="240"/>
      <c r="I989" s="240"/>
      <c r="J989" s="240"/>
      <c r="K989" s="240"/>
      <c r="L989" s="240"/>
    </row>
    <row r="990" ht="12.75" customHeight="1" outlineLevel="2">
      <c r="A990" s="89"/>
      <c r="B990" s="189"/>
      <c r="E990" s="79"/>
      <c r="F990" s="80"/>
      <c r="G990" s="239"/>
      <c r="H990" s="240"/>
      <c r="I990" s="240"/>
      <c r="J990" s="240"/>
      <c r="K990" s="240"/>
      <c r="L990" s="240"/>
    </row>
    <row r="991" ht="12.75" customHeight="1" outlineLevel="2">
      <c r="A991" s="89"/>
      <c r="B991" s="301" t="s">
        <v>2707</v>
      </c>
      <c r="C991" s="202" t="s">
        <v>979</v>
      </c>
      <c r="D991" s="203" t="s">
        <v>33</v>
      </c>
      <c r="E991" s="214">
        <v>1.0</v>
      </c>
      <c r="F991" s="205">
        <v>1000.0</v>
      </c>
      <c r="G991" s="206">
        <f>F991*E991</f>
        <v>1000</v>
      </c>
      <c r="H991" s="219"/>
      <c r="I991" s="219"/>
      <c r="J991" s="240"/>
      <c r="K991" s="240"/>
      <c r="L991" s="240"/>
    </row>
    <row r="992" ht="12.75" customHeight="1" outlineLevel="2">
      <c r="A992" s="89"/>
      <c r="B992" s="189"/>
      <c r="E992" s="79"/>
      <c r="F992" s="80"/>
      <c r="G992" s="239"/>
      <c r="H992" s="240"/>
      <c r="I992" s="240"/>
      <c r="J992" s="240"/>
      <c r="K992" s="240"/>
      <c r="L992" s="240"/>
    </row>
    <row r="993" ht="12.75" customHeight="1" outlineLevel="2">
      <c r="A993" s="89"/>
      <c r="B993" s="301" t="s">
        <v>2708</v>
      </c>
      <c r="C993" s="202" t="s">
        <v>1135</v>
      </c>
      <c r="D993" s="203" t="s">
        <v>33</v>
      </c>
      <c r="E993" s="214">
        <v>1.0</v>
      </c>
      <c r="F993" s="205">
        <v>100.0</v>
      </c>
      <c r="G993" s="206">
        <f>F993*E993</f>
        <v>100</v>
      </c>
      <c r="H993" s="219"/>
      <c r="I993" s="219"/>
      <c r="J993" s="240"/>
      <c r="K993" s="240"/>
      <c r="L993" s="240"/>
    </row>
    <row r="994" ht="12.75" customHeight="1" outlineLevel="2">
      <c r="A994" s="89"/>
      <c r="B994" s="189"/>
      <c r="C994" s="90"/>
      <c r="D994" s="89"/>
      <c r="E994" s="91"/>
      <c r="F994" s="92"/>
      <c r="G994" s="239"/>
      <c r="H994" s="240"/>
      <c r="I994" s="240"/>
      <c r="J994" s="240"/>
      <c r="K994" s="240"/>
      <c r="L994" s="240"/>
    </row>
    <row r="995" ht="12.75" customHeight="1" outlineLevel="1">
      <c r="A995" s="89"/>
      <c r="B995" s="189"/>
      <c r="C995" s="90"/>
      <c r="D995" s="89"/>
      <c r="E995" s="91"/>
      <c r="F995" s="92"/>
      <c r="G995" s="239"/>
      <c r="H995" s="240"/>
      <c r="I995" s="240"/>
      <c r="J995" s="240"/>
      <c r="K995" s="240"/>
      <c r="L995" s="240"/>
    </row>
    <row r="996" ht="12.75" customHeight="1">
      <c r="A996" s="192"/>
      <c r="B996" s="84">
        <v>16.0</v>
      </c>
      <c r="C996" s="306" t="s">
        <v>1136</v>
      </c>
      <c r="D996" s="193"/>
      <c r="E996" s="194"/>
      <c r="F996" s="195"/>
      <c r="G996" s="196">
        <f>SUM(G1000:G1157)</f>
        <v>168999.44</v>
      </c>
      <c r="H996" s="197">
        <f>G996-Resumo!J44</f>
        <v>-12241.56</v>
      </c>
      <c r="I996" s="197">
        <f>H996-Resumo!K44</f>
        <v>-12241.56</v>
      </c>
      <c r="J996" s="919"/>
      <c r="K996" s="169"/>
      <c r="L996" s="169"/>
    </row>
    <row r="997" ht="15.75" customHeight="1" outlineLevel="1">
      <c r="A997" s="89"/>
      <c r="B997" s="189"/>
      <c r="C997" s="90"/>
      <c r="D997" s="89"/>
      <c r="E997" s="91"/>
      <c r="F997" s="92"/>
      <c r="G997" s="239"/>
      <c r="H997" s="240"/>
      <c r="I997" s="240"/>
      <c r="J997" s="240"/>
      <c r="K997" s="240"/>
      <c r="L997" s="240"/>
    </row>
    <row r="998" ht="12.75" customHeight="1" outlineLevel="1">
      <c r="A998" s="89"/>
      <c r="B998" s="189"/>
      <c r="C998" s="184" t="s">
        <v>5625</v>
      </c>
      <c r="D998" s="89"/>
      <c r="E998" s="91"/>
      <c r="F998" s="586">
        <f>SUM(G1000:G1036)</f>
        <v>48693</v>
      </c>
      <c r="K998" s="436">
        <v>35000.0</v>
      </c>
      <c r="L998" s="240">
        <f>F998-K998</f>
        <v>13693</v>
      </c>
    </row>
    <row r="999" ht="12.75" customHeight="1" outlineLevel="2">
      <c r="A999" s="89"/>
      <c r="B999" s="189"/>
      <c r="C999" s="90"/>
      <c r="D999" s="89"/>
      <c r="E999" s="91"/>
      <c r="F999" s="92"/>
      <c r="G999" s="92"/>
      <c r="H999" s="240"/>
      <c r="I999" s="240"/>
      <c r="J999" s="240"/>
      <c r="K999" s="240"/>
      <c r="L999" s="240"/>
    </row>
    <row r="1000" ht="12.75" customHeight="1" outlineLevel="2">
      <c r="A1000" s="89" t="s">
        <v>1137</v>
      </c>
      <c r="B1000" s="301" t="s">
        <v>2712</v>
      </c>
      <c r="C1000" s="313" t="s">
        <v>1138</v>
      </c>
      <c r="D1000" s="203" t="s">
        <v>75</v>
      </c>
      <c r="E1000" s="214">
        <v>1.0</v>
      </c>
      <c r="F1000" s="205">
        <v>10000.0</v>
      </c>
      <c r="G1000" s="206">
        <f>F1000*E1000</f>
        <v>10000</v>
      </c>
      <c r="H1000" s="219" t="s">
        <v>5626</v>
      </c>
      <c r="I1000" s="219" t="s">
        <v>5626</v>
      </c>
      <c r="J1000" s="240"/>
      <c r="K1000" s="240"/>
      <c r="L1000" s="240"/>
    </row>
    <row r="1001" ht="12.75" customHeight="1" outlineLevel="2">
      <c r="B1001" s="189"/>
      <c r="E1001" s="79"/>
      <c r="F1001" s="80"/>
      <c r="G1001" s="80"/>
      <c r="H1001" s="240"/>
      <c r="I1001" s="240"/>
      <c r="J1001" s="240"/>
      <c r="K1001" s="240"/>
      <c r="L1001" s="240"/>
    </row>
    <row r="1002" ht="12.75" customHeight="1" outlineLevel="2">
      <c r="A1002" s="89" t="s">
        <v>1139</v>
      </c>
      <c r="B1002" s="301" t="s">
        <v>2715</v>
      </c>
      <c r="C1002" s="314" t="s">
        <v>1140</v>
      </c>
      <c r="D1002" s="130"/>
      <c r="E1002" s="170"/>
      <c r="F1002" s="239"/>
      <c r="G1002" s="239"/>
      <c r="H1002" s="240"/>
      <c r="I1002" s="240"/>
      <c r="J1002" s="240"/>
      <c r="K1002" s="240"/>
      <c r="L1002" s="240"/>
    </row>
    <row r="1003" ht="12.75" customHeight="1" outlineLevel="2">
      <c r="B1003" s="189"/>
      <c r="E1003" s="79"/>
      <c r="F1003" s="80"/>
      <c r="G1003" s="80"/>
      <c r="H1003" s="240"/>
      <c r="I1003" s="240"/>
      <c r="J1003" s="240"/>
      <c r="K1003" s="240"/>
      <c r="L1003" s="240"/>
    </row>
    <row r="1004" ht="12.75" customHeight="1" outlineLevel="2">
      <c r="B1004" s="301" t="s">
        <v>2717</v>
      </c>
      <c r="C1004" s="315" t="s">
        <v>1141</v>
      </c>
      <c r="D1004" s="203" t="s">
        <v>75</v>
      </c>
      <c r="E1004" s="214">
        <v>2.0</v>
      </c>
      <c r="F1004" s="205">
        <v>1500.0</v>
      </c>
      <c r="G1004" s="206">
        <f t="shared" ref="G1004:G1006" si="43">F1004*E1004</f>
        <v>3000</v>
      </c>
      <c r="H1004" s="219"/>
      <c r="I1004" s="219"/>
      <c r="J1004" s="240"/>
      <c r="K1004" s="240"/>
      <c r="L1004" s="240"/>
    </row>
    <row r="1005" ht="12.75" customHeight="1" outlineLevel="2">
      <c r="B1005" s="301" t="s">
        <v>2718</v>
      </c>
      <c r="C1005" s="315" t="s">
        <v>1142</v>
      </c>
      <c r="D1005" s="203" t="s">
        <v>75</v>
      </c>
      <c r="E1005" s="214">
        <v>4.0</v>
      </c>
      <c r="F1005" s="205">
        <v>1600.0</v>
      </c>
      <c r="G1005" s="206">
        <f t="shared" si="43"/>
        <v>6400</v>
      </c>
      <c r="H1005" s="219"/>
      <c r="I1005" s="219"/>
      <c r="J1005" s="240"/>
      <c r="K1005" s="240"/>
      <c r="L1005" s="240"/>
    </row>
    <row r="1006" ht="12.75" customHeight="1" outlineLevel="2">
      <c r="B1006" s="301" t="s">
        <v>2719</v>
      </c>
      <c r="C1006" s="315" t="s">
        <v>1143</v>
      </c>
      <c r="D1006" s="203" t="s">
        <v>75</v>
      </c>
      <c r="E1006" s="214">
        <v>1.0</v>
      </c>
      <c r="F1006" s="205">
        <v>2800.0</v>
      </c>
      <c r="G1006" s="206">
        <f t="shared" si="43"/>
        <v>2800</v>
      </c>
      <c r="H1006" s="219"/>
      <c r="I1006" s="219"/>
      <c r="J1006" s="240"/>
      <c r="K1006" s="240"/>
      <c r="L1006" s="240"/>
    </row>
    <row r="1007" ht="12.75" customHeight="1" outlineLevel="2">
      <c r="B1007" s="189"/>
      <c r="E1007" s="79"/>
      <c r="F1007" s="80"/>
      <c r="G1007" s="80"/>
      <c r="H1007" s="240"/>
      <c r="I1007" s="240"/>
      <c r="J1007" s="240"/>
      <c r="K1007" s="240"/>
      <c r="L1007" s="240"/>
    </row>
    <row r="1008" ht="12.75" customHeight="1" outlineLevel="2">
      <c r="A1008" s="89" t="s">
        <v>1144</v>
      </c>
      <c r="B1008" s="301" t="s">
        <v>2720</v>
      </c>
      <c r="C1008" s="316" t="s">
        <v>1145</v>
      </c>
      <c r="D1008" s="130"/>
      <c r="E1008" s="170"/>
      <c r="F1008" s="239"/>
      <c r="G1008" s="239"/>
      <c r="H1008" s="240"/>
      <c r="I1008" s="240"/>
      <c r="J1008" s="240"/>
      <c r="K1008" s="240"/>
      <c r="L1008" s="240"/>
    </row>
    <row r="1009" ht="12.75" customHeight="1" outlineLevel="2">
      <c r="B1009" s="189"/>
      <c r="E1009" s="79"/>
      <c r="F1009" s="80"/>
      <c r="G1009" s="80"/>
      <c r="H1009" s="240"/>
      <c r="I1009" s="240"/>
      <c r="J1009" s="240"/>
      <c r="K1009" s="240"/>
      <c r="L1009" s="240"/>
    </row>
    <row r="1010" ht="12.75" customHeight="1" outlineLevel="2">
      <c r="B1010" s="301" t="s">
        <v>2722</v>
      </c>
      <c r="C1010" s="315" t="s">
        <v>1146</v>
      </c>
      <c r="D1010" s="203" t="s">
        <v>75</v>
      </c>
      <c r="E1010" s="214">
        <v>7.0</v>
      </c>
      <c r="F1010" s="205">
        <v>40.0</v>
      </c>
      <c r="G1010" s="206">
        <f>F1010*E1010</f>
        <v>280</v>
      </c>
      <c r="H1010" s="219"/>
      <c r="I1010" s="219"/>
      <c r="J1010" s="240"/>
      <c r="K1010" s="240"/>
      <c r="L1010" s="240"/>
    </row>
    <row r="1011" ht="12.75" customHeight="1" outlineLevel="2">
      <c r="B1011" s="189"/>
      <c r="E1011" s="79"/>
      <c r="F1011" s="80"/>
      <c r="G1011" s="80"/>
      <c r="H1011" s="240"/>
      <c r="I1011" s="240"/>
      <c r="J1011" s="240"/>
      <c r="K1011" s="240"/>
      <c r="L1011" s="240"/>
    </row>
    <row r="1012" ht="12.75" customHeight="1" outlineLevel="2">
      <c r="A1012" s="89" t="s">
        <v>1147</v>
      </c>
      <c r="B1012" s="301" t="s">
        <v>2724</v>
      </c>
      <c r="C1012" s="316" t="s">
        <v>1148</v>
      </c>
      <c r="D1012" s="130"/>
      <c r="E1012" s="170"/>
      <c r="F1012" s="239"/>
      <c r="G1012" s="239"/>
      <c r="H1012" s="240"/>
      <c r="I1012" s="240"/>
      <c r="J1012" s="240"/>
      <c r="K1012" s="240"/>
      <c r="L1012" s="240"/>
    </row>
    <row r="1013" ht="12.75" customHeight="1" outlineLevel="2">
      <c r="B1013" s="189"/>
      <c r="E1013" s="79"/>
      <c r="F1013" s="80"/>
      <c r="G1013" s="80"/>
      <c r="H1013" s="240"/>
      <c r="I1013" s="240"/>
      <c r="J1013" s="240"/>
      <c r="K1013" s="240"/>
      <c r="L1013" s="240"/>
    </row>
    <row r="1014" ht="12.75" customHeight="1" outlineLevel="2">
      <c r="B1014" s="301" t="s">
        <v>2726</v>
      </c>
      <c r="C1014" s="315" t="s">
        <v>1149</v>
      </c>
      <c r="D1014" s="203" t="s">
        <v>75</v>
      </c>
      <c r="E1014" s="214">
        <v>6.0</v>
      </c>
      <c r="F1014" s="205">
        <v>215.0</v>
      </c>
      <c r="G1014" s="206">
        <f>F1014*E1014</f>
        <v>1290</v>
      </c>
      <c r="H1014" s="219"/>
      <c r="I1014" s="219"/>
      <c r="J1014" s="240"/>
      <c r="K1014" s="240"/>
      <c r="L1014" s="240"/>
    </row>
    <row r="1015" ht="12.75" customHeight="1" outlineLevel="2">
      <c r="B1015" s="189"/>
      <c r="E1015" s="79"/>
      <c r="F1015" s="80"/>
      <c r="G1015" s="80"/>
      <c r="H1015" s="240"/>
      <c r="I1015" s="240"/>
      <c r="J1015" s="240"/>
      <c r="K1015" s="240"/>
      <c r="L1015" s="240"/>
    </row>
    <row r="1016" ht="12.75" customHeight="1" outlineLevel="2">
      <c r="A1016" s="89" t="s">
        <v>1150</v>
      </c>
      <c r="B1016" s="301" t="s">
        <v>2727</v>
      </c>
      <c r="C1016" s="316" t="s">
        <v>1151</v>
      </c>
      <c r="D1016" s="130"/>
      <c r="E1016" s="170"/>
      <c r="F1016" s="239"/>
      <c r="G1016" s="239"/>
      <c r="H1016" s="240"/>
      <c r="I1016" s="240"/>
      <c r="J1016" s="240"/>
      <c r="K1016" s="240"/>
      <c r="L1016" s="240"/>
    </row>
    <row r="1017" ht="12.75" customHeight="1" outlineLevel="2">
      <c r="B1017" s="189"/>
      <c r="E1017" s="79"/>
      <c r="F1017" s="80"/>
      <c r="G1017" s="80"/>
      <c r="H1017" s="240"/>
      <c r="I1017" s="240"/>
      <c r="J1017" s="240"/>
      <c r="K1017" s="240"/>
      <c r="L1017" s="240"/>
    </row>
    <row r="1018" ht="12.75" customHeight="1" outlineLevel="2">
      <c r="B1018" s="301" t="s">
        <v>2729</v>
      </c>
      <c r="C1018" s="315" t="s">
        <v>1152</v>
      </c>
      <c r="D1018" s="203" t="s">
        <v>75</v>
      </c>
      <c r="E1018" s="214">
        <v>1.0</v>
      </c>
      <c r="F1018" s="205">
        <v>15000.0</v>
      </c>
      <c r="G1018" s="206">
        <f>F1018*E1018</f>
        <v>15000</v>
      </c>
      <c r="H1018" s="219"/>
      <c r="I1018" s="219"/>
      <c r="J1018" s="240"/>
      <c r="K1018" s="240"/>
      <c r="L1018" s="240"/>
    </row>
    <row r="1019" ht="12.75" customHeight="1" outlineLevel="2">
      <c r="B1019" s="189"/>
      <c r="E1019" s="79"/>
      <c r="F1019" s="80"/>
      <c r="G1019" s="80"/>
      <c r="H1019" s="240"/>
      <c r="I1019" s="240"/>
      <c r="J1019" s="240"/>
      <c r="K1019" s="240"/>
      <c r="L1019" s="240"/>
    </row>
    <row r="1020" ht="12.75" customHeight="1" outlineLevel="2">
      <c r="A1020" s="89" t="s">
        <v>1153</v>
      </c>
      <c r="B1020" s="301" t="s">
        <v>2730</v>
      </c>
      <c r="C1020" s="315" t="s">
        <v>1154</v>
      </c>
      <c r="D1020" s="203" t="s">
        <v>75</v>
      </c>
      <c r="E1020" s="214">
        <v>1.0</v>
      </c>
      <c r="F1020" s="205">
        <v>4000.0</v>
      </c>
      <c r="G1020" s="206">
        <f>F1020*E1020</f>
        <v>4000</v>
      </c>
      <c r="H1020" s="219"/>
      <c r="I1020" s="219"/>
      <c r="J1020" s="240"/>
      <c r="K1020" s="240"/>
      <c r="L1020" s="240"/>
    </row>
    <row r="1021" ht="12.75" customHeight="1" outlineLevel="2">
      <c r="B1021" s="189"/>
      <c r="E1021" s="79"/>
      <c r="F1021" s="80"/>
      <c r="G1021" s="80"/>
      <c r="H1021" s="240"/>
      <c r="I1021" s="240"/>
      <c r="J1021" s="240"/>
      <c r="K1021" s="240"/>
      <c r="L1021" s="240"/>
    </row>
    <row r="1022" ht="12.75" customHeight="1" outlineLevel="2">
      <c r="A1022" s="89" t="s">
        <v>1155</v>
      </c>
      <c r="B1022" s="301" t="s">
        <v>2732</v>
      </c>
      <c r="C1022" s="315" t="s">
        <v>1156</v>
      </c>
      <c r="D1022" s="203" t="s">
        <v>75</v>
      </c>
      <c r="E1022" s="214">
        <v>7.0</v>
      </c>
      <c r="F1022" s="205">
        <v>140.0</v>
      </c>
      <c r="G1022" s="206">
        <f>F1022*E1022</f>
        <v>980</v>
      </c>
      <c r="H1022" s="219"/>
      <c r="I1022" s="219"/>
      <c r="J1022" s="240"/>
      <c r="K1022" s="240"/>
      <c r="L1022" s="240"/>
    </row>
    <row r="1023" ht="12.75" customHeight="1" outlineLevel="2">
      <c r="B1023" s="189"/>
      <c r="E1023" s="79"/>
      <c r="F1023" s="80"/>
      <c r="G1023" s="80"/>
      <c r="H1023" s="240"/>
      <c r="I1023" s="240"/>
      <c r="J1023" s="240"/>
      <c r="K1023" s="240"/>
      <c r="L1023" s="240"/>
    </row>
    <row r="1024" ht="12.75" customHeight="1" outlineLevel="2">
      <c r="A1024" s="89" t="s">
        <v>1157</v>
      </c>
      <c r="B1024" s="251">
        <v>16.8</v>
      </c>
      <c r="C1024" s="249" t="s">
        <v>1158</v>
      </c>
      <c r="D1024" s="317"/>
      <c r="E1024" s="310"/>
      <c r="F1024" s="311"/>
      <c r="G1024" s="311"/>
      <c r="H1024" s="240"/>
      <c r="I1024" s="240"/>
      <c r="J1024" s="240"/>
      <c r="K1024" s="240"/>
      <c r="L1024" s="240"/>
    </row>
    <row r="1025" ht="12.75" customHeight="1" outlineLevel="2">
      <c r="B1025" s="189"/>
      <c r="E1025" s="79"/>
      <c r="F1025" s="80"/>
      <c r="G1025" s="80"/>
      <c r="H1025" s="240"/>
      <c r="I1025" s="240"/>
      <c r="J1025" s="240"/>
      <c r="K1025" s="240"/>
      <c r="L1025" s="240"/>
    </row>
    <row r="1026" ht="12.75" customHeight="1" outlineLevel="2">
      <c r="B1026" s="301" t="s">
        <v>2735</v>
      </c>
      <c r="C1026" s="315" t="s">
        <v>1159</v>
      </c>
      <c r="D1026" s="203" t="s">
        <v>877</v>
      </c>
      <c r="E1026" s="214">
        <v>54.0</v>
      </c>
      <c r="F1026" s="205">
        <v>11.0</v>
      </c>
      <c r="G1026" s="206">
        <f t="shared" ref="G1026:G1032" si="44">F1026*E1026</f>
        <v>594</v>
      </c>
      <c r="H1026" s="219"/>
      <c r="I1026" s="219"/>
      <c r="J1026" s="240"/>
      <c r="K1026" s="240"/>
      <c r="L1026" s="240"/>
    </row>
    <row r="1027" ht="12.75" customHeight="1" outlineLevel="2">
      <c r="B1027" s="301" t="s">
        <v>2736</v>
      </c>
      <c r="C1027" s="315" t="s">
        <v>1160</v>
      </c>
      <c r="D1027" s="203" t="s">
        <v>877</v>
      </c>
      <c r="E1027" s="214">
        <v>22.0</v>
      </c>
      <c r="F1027" s="205">
        <v>13.5</v>
      </c>
      <c r="G1027" s="206">
        <f t="shared" si="44"/>
        <v>297</v>
      </c>
      <c r="H1027" s="219"/>
      <c r="I1027" s="219"/>
      <c r="J1027" s="240"/>
      <c r="K1027" s="240"/>
      <c r="L1027" s="240"/>
    </row>
    <row r="1028" ht="12.75" customHeight="1" outlineLevel="2">
      <c r="B1028" s="301" t="s">
        <v>2737</v>
      </c>
      <c r="C1028" s="315" t="s">
        <v>1161</v>
      </c>
      <c r="D1028" s="203" t="s">
        <v>877</v>
      </c>
      <c r="E1028" s="214">
        <v>72.0</v>
      </c>
      <c r="F1028" s="205">
        <v>15.0</v>
      </c>
      <c r="G1028" s="206">
        <f t="shared" si="44"/>
        <v>1080</v>
      </c>
      <c r="H1028" s="219"/>
      <c r="I1028" s="219"/>
      <c r="J1028" s="240"/>
      <c r="K1028" s="240"/>
      <c r="L1028" s="240"/>
    </row>
    <row r="1029" ht="12.75" customHeight="1" outlineLevel="2">
      <c r="B1029" s="301" t="s">
        <v>2738</v>
      </c>
      <c r="C1029" s="315" t="s">
        <v>1162</v>
      </c>
      <c r="D1029" s="203" t="s">
        <v>877</v>
      </c>
      <c r="E1029" s="214">
        <v>56.0</v>
      </c>
      <c r="F1029" s="205">
        <v>19.0</v>
      </c>
      <c r="G1029" s="206">
        <f t="shared" si="44"/>
        <v>1064</v>
      </c>
      <c r="H1029" s="219"/>
      <c r="I1029" s="219"/>
      <c r="J1029" s="240"/>
      <c r="K1029" s="240"/>
      <c r="L1029" s="240"/>
    </row>
    <row r="1030" ht="12.75" customHeight="1" outlineLevel="2">
      <c r="B1030" s="301" t="s">
        <v>2739</v>
      </c>
      <c r="C1030" s="315" t="s">
        <v>1163</v>
      </c>
      <c r="D1030" s="203" t="s">
        <v>877</v>
      </c>
      <c r="E1030" s="214">
        <v>10.0</v>
      </c>
      <c r="F1030" s="205">
        <v>21.0</v>
      </c>
      <c r="G1030" s="206">
        <f t="shared" si="44"/>
        <v>210</v>
      </c>
      <c r="H1030" s="219"/>
      <c r="I1030" s="219"/>
      <c r="J1030" s="240"/>
      <c r="K1030" s="240"/>
      <c r="L1030" s="240"/>
    </row>
    <row r="1031" ht="12.75" customHeight="1" outlineLevel="2">
      <c r="B1031" s="301" t="s">
        <v>2740</v>
      </c>
      <c r="C1031" s="315" t="s">
        <v>1164</v>
      </c>
      <c r="D1031" s="203" t="s">
        <v>877</v>
      </c>
      <c r="E1031" s="214">
        <v>8.0</v>
      </c>
      <c r="F1031" s="205">
        <v>22.0</v>
      </c>
      <c r="G1031" s="206">
        <f t="shared" si="44"/>
        <v>176</v>
      </c>
      <c r="H1031" s="219"/>
      <c r="I1031" s="219"/>
      <c r="J1031" s="240"/>
      <c r="K1031" s="240"/>
      <c r="L1031" s="240"/>
    </row>
    <row r="1032" ht="12.75" customHeight="1" outlineLevel="2">
      <c r="B1032" s="301" t="s">
        <v>2741</v>
      </c>
      <c r="C1032" s="315" t="s">
        <v>1165</v>
      </c>
      <c r="D1032" s="203" t="s">
        <v>877</v>
      </c>
      <c r="E1032" s="214">
        <v>34.0</v>
      </c>
      <c r="F1032" s="205">
        <v>25.0</v>
      </c>
      <c r="G1032" s="206">
        <f t="shared" si="44"/>
        <v>850</v>
      </c>
      <c r="H1032" s="219"/>
      <c r="I1032" s="219"/>
      <c r="J1032" s="240"/>
      <c r="K1032" s="240"/>
      <c r="L1032" s="240"/>
    </row>
    <row r="1033" ht="12.75" customHeight="1" outlineLevel="2">
      <c r="B1033" s="189"/>
      <c r="E1033" s="79"/>
      <c r="F1033" s="80"/>
      <c r="G1033" s="80"/>
      <c r="H1033" s="240"/>
      <c r="I1033" s="240"/>
      <c r="J1033" s="240"/>
      <c r="K1033" s="240"/>
      <c r="L1033" s="240"/>
    </row>
    <row r="1034" ht="12.75" customHeight="1" outlineLevel="2">
      <c r="A1034" s="89">
        <v>6.9</v>
      </c>
      <c r="B1034" s="318" t="s">
        <v>2742</v>
      </c>
      <c r="C1034" s="308" t="s">
        <v>1166</v>
      </c>
      <c r="D1034" s="309"/>
      <c r="E1034" s="310"/>
      <c r="F1034" s="311"/>
      <c r="G1034" s="311"/>
      <c r="H1034" s="240"/>
      <c r="I1034" s="240"/>
      <c r="J1034" s="240"/>
      <c r="K1034" s="240"/>
      <c r="L1034" s="240"/>
    </row>
    <row r="1035" ht="12.75" customHeight="1" outlineLevel="2">
      <c r="B1035" s="189"/>
      <c r="E1035" s="79"/>
      <c r="F1035" s="80"/>
      <c r="G1035" s="80"/>
      <c r="H1035" s="240"/>
      <c r="I1035" s="240"/>
      <c r="J1035" s="240"/>
      <c r="K1035" s="240"/>
      <c r="L1035" s="240"/>
    </row>
    <row r="1036" ht="12.75" customHeight="1" outlineLevel="2">
      <c r="B1036" s="301" t="s">
        <v>2744</v>
      </c>
      <c r="C1036" s="315" t="s">
        <v>1167</v>
      </c>
      <c r="D1036" s="203" t="s">
        <v>877</v>
      </c>
      <c r="E1036" s="214">
        <v>56.0</v>
      </c>
      <c r="F1036" s="205">
        <v>12.0</v>
      </c>
      <c r="G1036" s="206">
        <f>F1036*E1036</f>
        <v>672</v>
      </c>
      <c r="H1036" s="219"/>
      <c r="I1036" s="219"/>
      <c r="J1036" s="240"/>
      <c r="K1036" s="240"/>
      <c r="L1036" s="240"/>
    </row>
    <row r="1037" ht="12.75" customHeight="1" outlineLevel="2">
      <c r="B1037" s="189"/>
      <c r="E1037" s="79"/>
      <c r="F1037" s="80"/>
      <c r="G1037" s="80"/>
      <c r="H1037" s="240"/>
      <c r="I1037" s="240"/>
      <c r="J1037" s="240"/>
      <c r="K1037" s="240"/>
      <c r="L1037" s="240"/>
    </row>
    <row r="1038" ht="12.75" customHeight="1" outlineLevel="1">
      <c r="A1038" s="89"/>
      <c r="B1038" s="189"/>
      <c r="C1038" s="184" t="s">
        <v>5627</v>
      </c>
      <c r="E1038" s="79"/>
      <c r="F1038" s="586">
        <f>SUM(G1042:G1099)</f>
        <v>66213</v>
      </c>
      <c r="K1038" s="436">
        <v>33000.0</v>
      </c>
      <c r="L1038" s="240">
        <f>F1038-K1038</f>
        <v>33213</v>
      </c>
    </row>
    <row r="1039" ht="12.75" customHeight="1" outlineLevel="2">
      <c r="A1039" s="89"/>
      <c r="B1039" s="189"/>
      <c r="C1039" s="90"/>
      <c r="E1039" s="79"/>
      <c r="F1039" s="80"/>
      <c r="G1039" s="80"/>
      <c r="H1039" s="240"/>
      <c r="I1039" s="240"/>
      <c r="J1039" s="240"/>
      <c r="K1039" s="240"/>
      <c r="L1039" s="240"/>
    </row>
    <row r="1040" ht="12.75" customHeight="1" outlineLevel="2">
      <c r="A1040" s="89">
        <v>6.1</v>
      </c>
      <c r="B1040" s="318" t="s">
        <v>2746</v>
      </c>
      <c r="C1040" s="308" t="s">
        <v>1168</v>
      </c>
      <c r="D1040" s="309"/>
      <c r="E1040" s="310"/>
      <c r="F1040" s="311"/>
      <c r="G1040" s="311"/>
      <c r="H1040" s="219" t="s">
        <v>5628</v>
      </c>
      <c r="I1040" s="219" t="s">
        <v>5628</v>
      </c>
      <c r="J1040" s="240"/>
      <c r="K1040" s="240"/>
      <c r="L1040" s="240"/>
    </row>
    <row r="1041" ht="12.75" customHeight="1" outlineLevel="2">
      <c r="B1041" s="189"/>
      <c r="E1041" s="79"/>
      <c r="F1041" s="80"/>
      <c r="G1041" s="80"/>
      <c r="H1041" s="240"/>
      <c r="I1041" s="240"/>
      <c r="J1041" s="240"/>
      <c r="K1041" s="240"/>
      <c r="L1041" s="240"/>
    </row>
    <row r="1042" ht="12.75" customHeight="1" outlineLevel="2">
      <c r="B1042" s="301" t="s">
        <v>2749</v>
      </c>
      <c r="C1042" s="315" t="s">
        <v>1169</v>
      </c>
      <c r="D1042" s="203" t="s">
        <v>877</v>
      </c>
      <c r="E1042" s="214">
        <v>28.0</v>
      </c>
      <c r="F1042" s="205">
        <v>13.0</v>
      </c>
      <c r="G1042" s="206">
        <f t="shared" ref="G1042:G1045" si="45">F1042*E1042</f>
        <v>364</v>
      </c>
      <c r="H1042" s="219"/>
      <c r="I1042" s="219"/>
      <c r="J1042" s="240"/>
      <c r="K1042" s="240"/>
      <c r="L1042" s="240"/>
    </row>
    <row r="1043" ht="12.75" customHeight="1" outlineLevel="2">
      <c r="B1043" s="301" t="s">
        <v>2750</v>
      </c>
      <c r="C1043" s="315" t="s">
        <v>1170</v>
      </c>
      <c r="D1043" s="203" t="s">
        <v>877</v>
      </c>
      <c r="E1043" s="214">
        <v>52.0</v>
      </c>
      <c r="F1043" s="205">
        <v>16.0</v>
      </c>
      <c r="G1043" s="206">
        <f t="shared" si="45"/>
        <v>832</v>
      </c>
      <c r="H1043" s="219"/>
      <c r="I1043" s="219"/>
      <c r="J1043" s="240"/>
      <c r="K1043" s="240"/>
      <c r="L1043" s="240"/>
    </row>
    <row r="1044" ht="12.75" customHeight="1" outlineLevel="2">
      <c r="B1044" s="301" t="s">
        <v>2751</v>
      </c>
      <c r="C1044" s="315" t="s">
        <v>1167</v>
      </c>
      <c r="D1044" s="203" t="s">
        <v>877</v>
      </c>
      <c r="E1044" s="214">
        <v>76.0</v>
      </c>
      <c r="F1044" s="205">
        <v>18.5</v>
      </c>
      <c r="G1044" s="206">
        <f t="shared" si="45"/>
        <v>1406</v>
      </c>
      <c r="H1044" s="219"/>
      <c r="I1044" s="219"/>
      <c r="J1044" s="240"/>
      <c r="K1044" s="240"/>
      <c r="L1044" s="240"/>
    </row>
    <row r="1045" ht="12.75" customHeight="1" outlineLevel="2">
      <c r="B1045" s="301" t="s">
        <v>2752</v>
      </c>
      <c r="C1045" s="315" t="s">
        <v>1171</v>
      </c>
      <c r="D1045" s="203" t="s">
        <v>877</v>
      </c>
      <c r="E1045" s="214">
        <v>20.0</v>
      </c>
      <c r="F1045" s="205">
        <v>27.0</v>
      </c>
      <c r="G1045" s="206">
        <f t="shared" si="45"/>
        <v>540</v>
      </c>
      <c r="H1045" s="219"/>
      <c r="I1045" s="219"/>
      <c r="J1045" s="240"/>
      <c r="K1045" s="240"/>
      <c r="L1045" s="240"/>
    </row>
    <row r="1046" ht="12.75" customHeight="1" outlineLevel="2">
      <c r="B1046" s="189"/>
      <c r="E1046" s="79"/>
      <c r="F1046" s="80"/>
      <c r="G1046" s="80"/>
      <c r="H1046" s="240"/>
      <c r="I1046" s="240"/>
      <c r="J1046" s="240"/>
      <c r="K1046" s="240"/>
      <c r="L1046" s="240"/>
    </row>
    <row r="1047" ht="12.75" customHeight="1" outlineLevel="2">
      <c r="A1047" s="89" t="s">
        <v>1172</v>
      </c>
      <c r="B1047" s="307" t="s">
        <v>2753</v>
      </c>
      <c r="C1047" s="308" t="s">
        <v>1173</v>
      </c>
      <c r="D1047" s="309"/>
      <c r="E1047" s="310"/>
      <c r="F1047" s="311"/>
      <c r="G1047" s="311"/>
      <c r="H1047" s="240"/>
      <c r="I1047" s="240"/>
      <c r="J1047" s="240"/>
      <c r="K1047" s="240"/>
      <c r="L1047" s="240"/>
    </row>
    <row r="1048" ht="12.75" customHeight="1" outlineLevel="2">
      <c r="B1048" s="189"/>
      <c r="E1048" s="79"/>
      <c r="F1048" s="80"/>
      <c r="G1048" s="80"/>
      <c r="H1048" s="240"/>
      <c r="I1048" s="240"/>
      <c r="J1048" s="240"/>
      <c r="K1048" s="240"/>
      <c r="L1048" s="240"/>
    </row>
    <row r="1049" ht="12.75" customHeight="1" outlineLevel="2">
      <c r="B1049" s="301" t="s">
        <v>2755</v>
      </c>
      <c r="C1049" s="315" t="s">
        <v>1174</v>
      </c>
      <c r="D1049" s="203" t="s">
        <v>877</v>
      </c>
      <c r="E1049" s="214">
        <v>2200.0</v>
      </c>
      <c r="F1049" s="205">
        <v>3.0</v>
      </c>
      <c r="G1049" s="206">
        <f t="shared" ref="G1049:G1064" si="46">F1049*E1049</f>
        <v>6600</v>
      </c>
      <c r="H1049" s="219"/>
      <c r="I1049" s="219"/>
      <c r="J1049" s="240"/>
      <c r="K1049" s="240"/>
      <c r="L1049" s="240"/>
    </row>
    <row r="1050" ht="12.75" customHeight="1" outlineLevel="2">
      <c r="B1050" s="301" t="s">
        <v>2756</v>
      </c>
      <c r="C1050" s="315" t="s">
        <v>1175</v>
      </c>
      <c r="D1050" s="203" t="s">
        <v>40</v>
      </c>
      <c r="E1050" s="214">
        <v>300.0</v>
      </c>
      <c r="F1050" s="205">
        <v>29.0</v>
      </c>
      <c r="G1050" s="206">
        <f t="shared" si="46"/>
        <v>8700</v>
      </c>
      <c r="H1050" s="219"/>
      <c r="I1050" s="219"/>
      <c r="J1050" s="240"/>
      <c r="K1050" s="240"/>
      <c r="L1050" s="240"/>
    </row>
    <row r="1051" ht="12.75" customHeight="1" outlineLevel="2">
      <c r="B1051" s="301" t="s">
        <v>2758</v>
      </c>
      <c r="C1051" s="315" t="s">
        <v>1176</v>
      </c>
      <c r="D1051" s="203" t="s">
        <v>877</v>
      </c>
      <c r="E1051" s="214">
        <v>270.0</v>
      </c>
      <c r="F1051" s="205">
        <v>1.5</v>
      </c>
      <c r="G1051" s="206">
        <f t="shared" si="46"/>
        <v>405</v>
      </c>
      <c r="H1051" s="219"/>
      <c r="I1051" s="219"/>
      <c r="J1051" s="240"/>
      <c r="K1051" s="240"/>
      <c r="L1051" s="240"/>
    </row>
    <row r="1052" ht="12.75" customHeight="1" outlineLevel="2">
      <c r="B1052" s="301" t="s">
        <v>2760</v>
      </c>
      <c r="C1052" s="315" t="s">
        <v>1177</v>
      </c>
      <c r="D1052" s="203" t="s">
        <v>75</v>
      </c>
      <c r="E1052" s="214">
        <v>3.0</v>
      </c>
      <c r="F1052" s="205">
        <v>230.0</v>
      </c>
      <c r="G1052" s="206">
        <f t="shared" si="46"/>
        <v>690</v>
      </c>
      <c r="H1052" s="219"/>
      <c r="I1052" s="219"/>
      <c r="J1052" s="240"/>
      <c r="K1052" s="240"/>
      <c r="L1052" s="240"/>
    </row>
    <row r="1053" ht="12.75" customHeight="1" outlineLevel="2">
      <c r="B1053" s="301" t="s">
        <v>2762</v>
      </c>
      <c r="C1053" s="315" t="s">
        <v>1178</v>
      </c>
      <c r="D1053" s="203" t="s">
        <v>75</v>
      </c>
      <c r="E1053" s="214">
        <v>300.0</v>
      </c>
      <c r="F1053" s="205">
        <v>1.25</v>
      </c>
      <c r="G1053" s="206">
        <f t="shared" si="46"/>
        <v>375</v>
      </c>
      <c r="H1053" s="219"/>
      <c r="I1053" s="219"/>
      <c r="J1053" s="240"/>
      <c r="K1053" s="240"/>
      <c r="L1053" s="240"/>
    </row>
    <row r="1054" ht="12.75" customHeight="1" outlineLevel="2">
      <c r="B1054" s="301" t="s">
        <v>2764</v>
      </c>
      <c r="C1054" s="315" t="s">
        <v>1179</v>
      </c>
      <c r="D1054" s="203" t="s">
        <v>1180</v>
      </c>
      <c r="E1054" s="214">
        <v>4.0</v>
      </c>
      <c r="F1054" s="205">
        <v>73.0</v>
      </c>
      <c r="G1054" s="206">
        <f t="shared" si="46"/>
        <v>292</v>
      </c>
      <c r="H1054" s="219"/>
      <c r="I1054" s="219"/>
      <c r="J1054" s="240"/>
      <c r="K1054" s="240"/>
      <c r="L1054" s="240"/>
    </row>
    <row r="1055" ht="12.75" customHeight="1" outlineLevel="2">
      <c r="B1055" s="301" t="s">
        <v>2766</v>
      </c>
      <c r="C1055" s="315" t="s">
        <v>1181</v>
      </c>
      <c r="D1055" s="203" t="s">
        <v>75</v>
      </c>
      <c r="E1055" s="214">
        <v>1.0</v>
      </c>
      <c r="F1055" s="205">
        <v>340.0</v>
      </c>
      <c r="G1055" s="206">
        <f t="shared" si="46"/>
        <v>340</v>
      </c>
      <c r="H1055" s="219"/>
      <c r="I1055" s="219"/>
      <c r="J1055" s="240"/>
      <c r="K1055" s="240"/>
      <c r="L1055" s="240"/>
    </row>
    <row r="1056" ht="12.75" customHeight="1" outlineLevel="2">
      <c r="B1056" s="301" t="s">
        <v>2768</v>
      </c>
      <c r="C1056" s="315" t="s">
        <v>1182</v>
      </c>
      <c r="D1056" s="203" t="s">
        <v>75</v>
      </c>
      <c r="E1056" s="214">
        <v>2.0</v>
      </c>
      <c r="F1056" s="205">
        <v>380.0</v>
      </c>
      <c r="G1056" s="206">
        <f t="shared" si="46"/>
        <v>760</v>
      </c>
      <c r="H1056" s="219"/>
      <c r="I1056" s="219"/>
      <c r="J1056" s="240"/>
      <c r="K1056" s="240"/>
      <c r="L1056" s="240"/>
    </row>
    <row r="1057" ht="12.75" customHeight="1" outlineLevel="2">
      <c r="B1057" s="301" t="s">
        <v>2770</v>
      </c>
      <c r="C1057" s="315" t="s">
        <v>1183</v>
      </c>
      <c r="D1057" s="203" t="s">
        <v>75</v>
      </c>
      <c r="E1057" s="214">
        <v>1.0</v>
      </c>
      <c r="F1057" s="205">
        <v>410.0</v>
      </c>
      <c r="G1057" s="206">
        <f t="shared" si="46"/>
        <v>410</v>
      </c>
      <c r="H1057" s="219"/>
      <c r="I1057" s="219"/>
      <c r="J1057" s="240"/>
      <c r="K1057" s="240"/>
      <c r="L1057" s="240"/>
    </row>
    <row r="1058" ht="12.75" customHeight="1" outlineLevel="2">
      <c r="B1058" s="301" t="s">
        <v>2772</v>
      </c>
      <c r="C1058" s="315" t="s">
        <v>1184</v>
      </c>
      <c r="D1058" s="203" t="s">
        <v>75</v>
      </c>
      <c r="E1058" s="214">
        <v>1.0</v>
      </c>
      <c r="F1058" s="205">
        <v>260.0</v>
      </c>
      <c r="G1058" s="206">
        <f t="shared" si="46"/>
        <v>260</v>
      </c>
      <c r="H1058" s="219"/>
      <c r="I1058" s="219"/>
      <c r="J1058" s="240"/>
      <c r="K1058" s="240"/>
      <c r="L1058" s="240"/>
    </row>
    <row r="1059" ht="12.75" customHeight="1" outlineLevel="2">
      <c r="B1059" s="301" t="s">
        <v>2774</v>
      </c>
      <c r="C1059" s="315" t="s">
        <v>1185</v>
      </c>
      <c r="D1059" s="203" t="s">
        <v>75</v>
      </c>
      <c r="E1059" s="214">
        <v>3.0</v>
      </c>
      <c r="F1059" s="205">
        <v>290.0</v>
      </c>
      <c r="G1059" s="206">
        <f t="shared" si="46"/>
        <v>870</v>
      </c>
      <c r="H1059" s="219"/>
      <c r="I1059" s="219"/>
      <c r="J1059" s="240"/>
      <c r="K1059" s="240"/>
      <c r="L1059" s="240"/>
    </row>
    <row r="1060" ht="12.75" customHeight="1" outlineLevel="2">
      <c r="B1060" s="301" t="s">
        <v>2776</v>
      </c>
      <c r="C1060" s="315" t="s">
        <v>1186</v>
      </c>
      <c r="D1060" s="203" t="s">
        <v>75</v>
      </c>
      <c r="E1060" s="214">
        <v>8.0</v>
      </c>
      <c r="F1060" s="205">
        <v>100.0</v>
      </c>
      <c r="G1060" s="206">
        <f t="shared" si="46"/>
        <v>800</v>
      </c>
      <c r="H1060" s="219"/>
      <c r="I1060" s="219"/>
      <c r="J1060" s="240"/>
      <c r="K1060" s="240"/>
      <c r="L1060" s="240"/>
    </row>
    <row r="1061" ht="12.75" customHeight="1" outlineLevel="2">
      <c r="B1061" s="301" t="s">
        <v>2778</v>
      </c>
      <c r="C1061" s="315" t="s">
        <v>1187</v>
      </c>
      <c r="D1061" s="203" t="s">
        <v>75</v>
      </c>
      <c r="E1061" s="214">
        <v>48.0</v>
      </c>
      <c r="F1061" s="205">
        <v>10.0</v>
      </c>
      <c r="G1061" s="206">
        <f t="shared" si="46"/>
        <v>480</v>
      </c>
      <c r="H1061" s="219"/>
      <c r="I1061" s="219"/>
      <c r="J1061" s="240"/>
      <c r="K1061" s="240"/>
      <c r="L1061" s="240"/>
    </row>
    <row r="1062" ht="12.75" customHeight="1" outlineLevel="2">
      <c r="B1062" s="301" t="s">
        <v>2780</v>
      </c>
      <c r="C1062" s="315" t="s">
        <v>1188</v>
      </c>
      <c r="D1062" s="203" t="s">
        <v>75</v>
      </c>
      <c r="E1062" s="214">
        <v>1.0</v>
      </c>
      <c r="F1062" s="205">
        <v>1450.0</v>
      </c>
      <c r="G1062" s="206">
        <f t="shared" si="46"/>
        <v>1450</v>
      </c>
      <c r="H1062" s="219"/>
      <c r="I1062" s="219"/>
      <c r="J1062" s="240"/>
      <c r="K1062" s="240"/>
      <c r="L1062" s="240"/>
    </row>
    <row r="1063" ht="12.75" customHeight="1" outlineLevel="2">
      <c r="B1063" s="301" t="s">
        <v>2782</v>
      </c>
      <c r="C1063" s="315" t="s">
        <v>1189</v>
      </c>
      <c r="D1063" s="203" t="s">
        <v>75</v>
      </c>
      <c r="E1063" s="214">
        <v>1.0</v>
      </c>
      <c r="F1063" s="205">
        <v>150.0</v>
      </c>
      <c r="G1063" s="206">
        <f t="shared" si="46"/>
        <v>150</v>
      </c>
      <c r="H1063" s="219"/>
      <c r="I1063" s="219"/>
      <c r="J1063" s="240"/>
      <c r="K1063" s="240"/>
      <c r="L1063" s="240"/>
    </row>
    <row r="1064" ht="12.75" customHeight="1" outlineLevel="2">
      <c r="B1064" s="301" t="s">
        <v>2784</v>
      </c>
      <c r="C1064" s="315" t="s">
        <v>1190</v>
      </c>
      <c r="D1064" s="203" t="s">
        <v>75</v>
      </c>
      <c r="E1064" s="214">
        <v>1.0</v>
      </c>
      <c r="F1064" s="205">
        <v>320.0</v>
      </c>
      <c r="G1064" s="206">
        <f t="shared" si="46"/>
        <v>320</v>
      </c>
      <c r="H1064" s="219"/>
      <c r="I1064" s="219"/>
      <c r="J1064" s="240"/>
      <c r="K1064" s="240"/>
      <c r="L1064" s="240"/>
    </row>
    <row r="1065" ht="12.75" customHeight="1" outlineLevel="2">
      <c r="B1065" s="301" t="s">
        <v>2786</v>
      </c>
      <c r="C1065" s="315" t="s">
        <v>1191</v>
      </c>
      <c r="D1065" s="203" t="s">
        <v>75</v>
      </c>
      <c r="E1065" s="214">
        <v>0.0</v>
      </c>
      <c r="F1065" s="205"/>
      <c r="G1065" s="206" t="s">
        <v>619</v>
      </c>
      <c r="H1065" s="219"/>
      <c r="I1065" s="219"/>
      <c r="J1065" s="240"/>
      <c r="K1065" s="240"/>
      <c r="L1065" s="240"/>
    </row>
    <row r="1066" ht="12.75" customHeight="1" outlineLevel="2">
      <c r="B1066" s="301" t="s">
        <v>2788</v>
      </c>
      <c r="C1066" s="315" t="s">
        <v>1192</v>
      </c>
      <c r="D1066" s="203" t="s">
        <v>75</v>
      </c>
      <c r="E1066" s="214">
        <v>24.0</v>
      </c>
      <c r="F1066" s="205">
        <v>50.0</v>
      </c>
      <c r="G1066" s="206">
        <f t="shared" ref="G1066:G1067" si="47">F1066*E1066</f>
        <v>1200</v>
      </c>
      <c r="H1066" s="219"/>
      <c r="I1066" s="219"/>
      <c r="J1066" s="240"/>
      <c r="K1066" s="240"/>
      <c r="L1066" s="240"/>
    </row>
    <row r="1067" ht="12.75" customHeight="1" outlineLevel="2">
      <c r="B1067" s="301" t="s">
        <v>2790</v>
      </c>
      <c r="C1067" s="315" t="s">
        <v>1193</v>
      </c>
      <c r="D1067" s="203" t="s">
        <v>75</v>
      </c>
      <c r="E1067" s="214">
        <v>2.0</v>
      </c>
      <c r="F1067" s="205">
        <v>1500.0</v>
      </c>
      <c r="G1067" s="206">
        <f t="shared" si="47"/>
        <v>3000</v>
      </c>
      <c r="H1067" s="219"/>
      <c r="I1067" s="219"/>
      <c r="J1067" s="240"/>
      <c r="K1067" s="240"/>
      <c r="L1067" s="240"/>
    </row>
    <row r="1068" ht="12.75" customHeight="1" outlineLevel="2">
      <c r="B1068" s="301" t="s">
        <v>2792</v>
      </c>
      <c r="C1068" s="315" t="s">
        <v>1194</v>
      </c>
      <c r="D1068" s="203" t="s">
        <v>75</v>
      </c>
      <c r="E1068" s="214">
        <v>2.0</v>
      </c>
      <c r="F1068" s="205"/>
      <c r="G1068" s="206" t="s">
        <v>619</v>
      </c>
      <c r="H1068" s="219"/>
      <c r="I1068" s="219"/>
      <c r="J1068" s="240"/>
      <c r="K1068" s="240"/>
      <c r="L1068" s="240"/>
    </row>
    <row r="1069" ht="12.75" customHeight="1" outlineLevel="2">
      <c r="B1069" s="301" t="s">
        <v>2794</v>
      </c>
      <c r="C1069" s="315" t="s">
        <v>1195</v>
      </c>
      <c r="D1069" s="203" t="s">
        <v>75</v>
      </c>
      <c r="E1069" s="214">
        <v>2.0</v>
      </c>
      <c r="F1069" s="205">
        <v>280.0</v>
      </c>
      <c r="G1069" s="206">
        <f>F1069*E1069</f>
        <v>560</v>
      </c>
      <c r="H1069" s="219"/>
      <c r="I1069" s="219"/>
      <c r="J1069" s="240"/>
      <c r="K1069" s="240"/>
      <c r="L1069" s="240"/>
    </row>
    <row r="1070" ht="12.75" customHeight="1" outlineLevel="2">
      <c r="B1070" s="301" t="s">
        <v>2796</v>
      </c>
      <c r="C1070" s="315" t="s">
        <v>1196</v>
      </c>
      <c r="D1070" s="203" t="s">
        <v>75</v>
      </c>
      <c r="E1070" s="214">
        <v>4.0</v>
      </c>
      <c r="F1070" s="205"/>
      <c r="G1070" s="206" t="s">
        <v>619</v>
      </c>
      <c r="H1070" s="219"/>
      <c r="I1070" s="219"/>
      <c r="J1070" s="240"/>
      <c r="K1070" s="240"/>
      <c r="L1070" s="240"/>
    </row>
    <row r="1071" ht="12.75" customHeight="1" outlineLevel="2">
      <c r="B1071" s="301" t="s">
        <v>2798</v>
      </c>
      <c r="C1071" s="315" t="s">
        <v>1197</v>
      </c>
      <c r="D1071" s="203" t="s">
        <v>75</v>
      </c>
      <c r="E1071" s="214">
        <v>4.0</v>
      </c>
      <c r="F1071" s="205"/>
      <c r="G1071" s="206" t="s">
        <v>619</v>
      </c>
      <c r="H1071" s="219"/>
      <c r="I1071" s="219"/>
      <c r="J1071" s="240"/>
      <c r="K1071" s="240"/>
      <c r="L1071" s="240"/>
    </row>
    <row r="1072" ht="12.75" customHeight="1" outlineLevel="2">
      <c r="B1072" s="301" t="s">
        <v>2800</v>
      </c>
      <c r="C1072" s="315" t="s">
        <v>1198</v>
      </c>
      <c r="D1072" s="203" t="s">
        <v>33</v>
      </c>
      <c r="E1072" s="214">
        <v>1.0</v>
      </c>
      <c r="F1072" s="205">
        <v>2400.0</v>
      </c>
      <c r="G1072" s="206">
        <f>F1072*E1072</f>
        <v>2400</v>
      </c>
      <c r="H1072" s="219"/>
      <c r="I1072" s="219"/>
      <c r="J1072" s="240"/>
      <c r="K1072" s="240"/>
      <c r="L1072" s="240"/>
    </row>
    <row r="1073" ht="12.75" customHeight="1" outlineLevel="2">
      <c r="B1073" s="189"/>
      <c r="E1073" s="79"/>
      <c r="F1073" s="80"/>
      <c r="G1073" s="80"/>
      <c r="H1073" s="240"/>
      <c r="I1073" s="240"/>
      <c r="J1073" s="240"/>
      <c r="K1073" s="240"/>
      <c r="L1073" s="240"/>
    </row>
    <row r="1074" ht="12.75" customHeight="1" outlineLevel="2">
      <c r="A1074" s="89" t="s">
        <v>1199</v>
      </c>
      <c r="B1074" s="301" t="s">
        <v>2802</v>
      </c>
      <c r="C1074" s="315" t="s">
        <v>1200</v>
      </c>
      <c r="D1074" s="238"/>
      <c r="E1074" s="170"/>
      <c r="F1074" s="239"/>
      <c r="G1074" s="239"/>
      <c r="H1074" s="240"/>
      <c r="I1074" s="240"/>
      <c r="J1074" s="240"/>
      <c r="K1074" s="240"/>
      <c r="L1074" s="240"/>
    </row>
    <row r="1075" ht="12.75" customHeight="1" outlineLevel="2">
      <c r="B1075" s="189"/>
      <c r="E1075" s="79"/>
      <c r="F1075" s="80"/>
      <c r="G1075" s="80"/>
      <c r="H1075" s="240"/>
      <c r="I1075" s="240"/>
      <c r="J1075" s="240"/>
      <c r="K1075" s="240"/>
      <c r="L1075" s="240"/>
    </row>
    <row r="1076" ht="12.75" customHeight="1" outlineLevel="2">
      <c r="B1076" s="301" t="s">
        <v>2804</v>
      </c>
      <c r="C1076" s="315" t="s">
        <v>1201</v>
      </c>
      <c r="D1076" s="203" t="s">
        <v>1202</v>
      </c>
      <c r="E1076" s="214">
        <v>3.0</v>
      </c>
      <c r="F1076" s="205">
        <v>800.0</v>
      </c>
      <c r="G1076" s="206">
        <f t="shared" ref="G1076:G1086" si="48">F1076*E1076</f>
        <v>2400</v>
      </c>
      <c r="H1076" s="219"/>
      <c r="I1076" s="219"/>
      <c r="J1076" s="240"/>
      <c r="K1076" s="240"/>
      <c r="L1076" s="240"/>
    </row>
    <row r="1077" ht="12.75" customHeight="1" outlineLevel="2">
      <c r="B1077" s="301" t="s">
        <v>2806</v>
      </c>
      <c r="C1077" s="315" t="s">
        <v>1203</v>
      </c>
      <c r="D1077" s="203" t="s">
        <v>1202</v>
      </c>
      <c r="E1077" s="214">
        <v>3.0</v>
      </c>
      <c r="F1077" s="205">
        <v>1000.0</v>
      </c>
      <c r="G1077" s="206">
        <f t="shared" si="48"/>
        <v>3000</v>
      </c>
      <c r="H1077" s="219"/>
      <c r="I1077" s="219"/>
      <c r="J1077" s="240"/>
      <c r="K1077" s="240"/>
      <c r="L1077" s="240"/>
    </row>
    <row r="1078" ht="12.75" customHeight="1" outlineLevel="2">
      <c r="B1078" s="301" t="s">
        <v>2808</v>
      </c>
      <c r="C1078" s="315" t="s">
        <v>1204</v>
      </c>
      <c r="D1078" s="203" t="s">
        <v>75</v>
      </c>
      <c r="E1078" s="214">
        <v>1.0</v>
      </c>
      <c r="F1078" s="205">
        <v>5400.0</v>
      </c>
      <c r="G1078" s="206">
        <f t="shared" si="48"/>
        <v>5400</v>
      </c>
      <c r="H1078" s="219"/>
      <c r="I1078" s="219"/>
      <c r="J1078" s="240"/>
      <c r="K1078" s="240"/>
      <c r="L1078" s="240"/>
    </row>
    <row r="1079" ht="12.75" customHeight="1" outlineLevel="2">
      <c r="B1079" s="301" t="s">
        <v>2810</v>
      </c>
      <c r="C1079" s="315" t="s">
        <v>1205</v>
      </c>
      <c r="D1079" s="203" t="s">
        <v>75</v>
      </c>
      <c r="E1079" s="214">
        <v>1.0</v>
      </c>
      <c r="F1079" s="205">
        <v>1100.0</v>
      </c>
      <c r="G1079" s="206">
        <f t="shared" si="48"/>
        <v>1100</v>
      </c>
      <c r="H1079" s="219"/>
      <c r="I1079" s="219"/>
      <c r="J1079" s="240"/>
      <c r="K1079" s="240"/>
      <c r="L1079" s="240"/>
    </row>
    <row r="1080" ht="12.75" customHeight="1" outlineLevel="2">
      <c r="B1080" s="301" t="s">
        <v>2812</v>
      </c>
      <c r="C1080" s="315" t="s">
        <v>1206</v>
      </c>
      <c r="D1080" s="203" t="s">
        <v>75</v>
      </c>
      <c r="E1080" s="214">
        <v>1.0</v>
      </c>
      <c r="F1080" s="205">
        <v>1200.0</v>
      </c>
      <c r="G1080" s="206">
        <f t="shared" si="48"/>
        <v>1200</v>
      </c>
      <c r="H1080" s="219"/>
      <c r="I1080" s="219"/>
      <c r="J1080" s="240"/>
      <c r="K1080" s="240"/>
      <c r="L1080" s="240"/>
    </row>
    <row r="1081" ht="12.75" customHeight="1" outlineLevel="2">
      <c r="B1081" s="301" t="s">
        <v>2814</v>
      </c>
      <c r="C1081" s="315" t="s">
        <v>1207</v>
      </c>
      <c r="D1081" s="203" t="s">
        <v>1180</v>
      </c>
      <c r="E1081" s="214">
        <v>3.0</v>
      </c>
      <c r="F1081" s="205">
        <v>43.0</v>
      </c>
      <c r="G1081" s="206">
        <f t="shared" si="48"/>
        <v>129</v>
      </c>
      <c r="H1081" s="219"/>
      <c r="I1081" s="219"/>
      <c r="J1081" s="240"/>
      <c r="K1081" s="240"/>
      <c r="L1081" s="240"/>
    </row>
    <row r="1082" ht="12.75" customHeight="1" outlineLevel="2">
      <c r="B1082" s="301" t="s">
        <v>2816</v>
      </c>
      <c r="C1082" s="315" t="s">
        <v>1208</v>
      </c>
      <c r="D1082" s="203" t="s">
        <v>75</v>
      </c>
      <c r="E1082" s="214">
        <v>1.0</v>
      </c>
      <c r="F1082" s="205">
        <v>300.0</v>
      </c>
      <c r="G1082" s="206">
        <f t="shared" si="48"/>
        <v>300</v>
      </c>
      <c r="H1082" s="219"/>
      <c r="I1082" s="219"/>
      <c r="J1082" s="240"/>
      <c r="K1082" s="240"/>
      <c r="L1082" s="240"/>
    </row>
    <row r="1083" ht="12.75" customHeight="1" outlineLevel="2">
      <c r="B1083" s="301" t="s">
        <v>2818</v>
      </c>
      <c r="C1083" s="315" t="s">
        <v>1209</v>
      </c>
      <c r="D1083" s="203" t="s">
        <v>75</v>
      </c>
      <c r="E1083" s="214">
        <v>1.0</v>
      </c>
      <c r="F1083" s="205">
        <v>230.0</v>
      </c>
      <c r="G1083" s="206">
        <f t="shared" si="48"/>
        <v>230</v>
      </c>
      <c r="H1083" s="219"/>
      <c r="I1083" s="219"/>
      <c r="J1083" s="240"/>
      <c r="K1083" s="240"/>
      <c r="L1083" s="240"/>
    </row>
    <row r="1084" ht="12.75" customHeight="1" outlineLevel="2">
      <c r="B1084" s="301" t="s">
        <v>2820</v>
      </c>
      <c r="C1084" s="315" t="s">
        <v>1210</v>
      </c>
      <c r="D1084" s="203" t="s">
        <v>75</v>
      </c>
      <c r="E1084" s="214">
        <v>1.0</v>
      </c>
      <c r="F1084" s="205">
        <v>200.0</v>
      </c>
      <c r="G1084" s="206">
        <f t="shared" si="48"/>
        <v>200</v>
      </c>
      <c r="H1084" s="219"/>
      <c r="I1084" s="219"/>
      <c r="J1084" s="240"/>
      <c r="K1084" s="240"/>
      <c r="L1084" s="240"/>
    </row>
    <row r="1085" ht="12.75" customHeight="1" outlineLevel="2">
      <c r="B1085" s="301" t="s">
        <v>2822</v>
      </c>
      <c r="C1085" s="315" t="s">
        <v>1211</v>
      </c>
      <c r="D1085" s="203" t="s">
        <v>877</v>
      </c>
      <c r="E1085" s="214">
        <v>40.0</v>
      </c>
      <c r="F1085" s="205">
        <v>20.0</v>
      </c>
      <c r="G1085" s="206">
        <f t="shared" si="48"/>
        <v>800</v>
      </c>
      <c r="H1085" s="219"/>
      <c r="I1085" s="219"/>
      <c r="J1085" s="240"/>
      <c r="K1085" s="240"/>
      <c r="L1085" s="240"/>
    </row>
    <row r="1086" ht="12.75" customHeight="1" outlineLevel="2">
      <c r="B1086" s="301" t="s">
        <v>2823</v>
      </c>
      <c r="C1086" s="315" t="s">
        <v>1212</v>
      </c>
      <c r="D1086" s="203" t="s">
        <v>75</v>
      </c>
      <c r="E1086" s="214">
        <v>1.0</v>
      </c>
      <c r="F1086" s="205">
        <v>100.0</v>
      </c>
      <c r="G1086" s="206">
        <f t="shared" si="48"/>
        <v>100</v>
      </c>
      <c r="H1086" s="219"/>
      <c r="I1086" s="219"/>
      <c r="J1086" s="240"/>
      <c r="K1086" s="240"/>
      <c r="L1086" s="240"/>
    </row>
    <row r="1087" ht="12.75" customHeight="1" outlineLevel="2">
      <c r="B1087" s="301" t="s">
        <v>2825</v>
      </c>
      <c r="C1087" s="315" t="s">
        <v>1213</v>
      </c>
      <c r="D1087" s="203" t="s">
        <v>75</v>
      </c>
      <c r="E1087" s="214">
        <v>1.0</v>
      </c>
      <c r="F1087" s="205"/>
      <c r="G1087" s="206" t="s">
        <v>619</v>
      </c>
      <c r="H1087" s="219"/>
      <c r="I1087" s="219"/>
      <c r="J1087" s="240"/>
      <c r="K1087" s="240"/>
      <c r="L1087" s="240"/>
    </row>
    <row r="1088" ht="12.75" customHeight="1" outlineLevel="2">
      <c r="B1088" s="301" t="s">
        <v>2827</v>
      </c>
      <c r="C1088" s="315" t="s">
        <v>1214</v>
      </c>
      <c r="D1088" s="203" t="s">
        <v>75</v>
      </c>
      <c r="E1088" s="214">
        <v>1.0</v>
      </c>
      <c r="F1088" s="205">
        <v>550.0</v>
      </c>
      <c r="G1088" s="206">
        <f t="shared" ref="G1088:G1095" si="49">F1088*E1088</f>
        <v>550</v>
      </c>
      <c r="H1088" s="219"/>
      <c r="I1088" s="219"/>
      <c r="J1088" s="240"/>
      <c r="K1088" s="240"/>
      <c r="L1088" s="240"/>
    </row>
    <row r="1089" ht="12.75" customHeight="1" outlineLevel="2">
      <c r="B1089" s="301" t="s">
        <v>2829</v>
      </c>
      <c r="C1089" s="315" t="s">
        <v>1215</v>
      </c>
      <c r="D1089" s="203" t="s">
        <v>75</v>
      </c>
      <c r="E1089" s="214">
        <v>1.0</v>
      </c>
      <c r="F1089" s="205">
        <v>1400.0</v>
      </c>
      <c r="G1089" s="206">
        <f t="shared" si="49"/>
        <v>1400</v>
      </c>
      <c r="H1089" s="219"/>
      <c r="I1089" s="219"/>
      <c r="J1089" s="240"/>
      <c r="K1089" s="240"/>
      <c r="L1089" s="240"/>
    </row>
    <row r="1090" ht="12.75" customHeight="1" outlineLevel="2">
      <c r="B1090" s="301" t="s">
        <v>2831</v>
      </c>
      <c r="C1090" s="315" t="s">
        <v>1216</v>
      </c>
      <c r="D1090" s="203" t="s">
        <v>75</v>
      </c>
      <c r="E1090" s="214">
        <v>1.0</v>
      </c>
      <c r="F1090" s="205">
        <v>1400.0</v>
      </c>
      <c r="G1090" s="206">
        <f t="shared" si="49"/>
        <v>1400</v>
      </c>
      <c r="H1090" s="219"/>
      <c r="I1090" s="219"/>
      <c r="J1090" s="240"/>
      <c r="K1090" s="240"/>
      <c r="L1090" s="240"/>
    </row>
    <row r="1091" ht="12.75" customHeight="1" outlineLevel="2">
      <c r="B1091" s="301" t="s">
        <v>2833</v>
      </c>
      <c r="C1091" s="315" t="s">
        <v>1217</v>
      </c>
      <c r="D1091" s="203" t="s">
        <v>75</v>
      </c>
      <c r="E1091" s="214">
        <v>1.0</v>
      </c>
      <c r="F1091" s="205">
        <v>1400.0</v>
      </c>
      <c r="G1091" s="206">
        <f t="shared" si="49"/>
        <v>1400</v>
      </c>
      <c r="H1091" s="219"/>
      <c r="I1091" s="219"/>
      <c r="J1091" s="240"/>
      <c r="K1091" s="240"/>
      <c r="L1091" s="240"/>
    </row>
    <row r="1092" ht="12.75" customHeight="1" outlineLevel="2">
      <c r="B1092" s="301" t="s">
        <v>2835</v>
      </c>
      <c r="C1092" s="315" t="s">
        <v>1218</v>
      </c>
      <c r="D1092" s="203" t="s">
        <v>75</v>
      </c>
      <c r="E1092" s="214">
        <v>1.0</v>
      </c>
      <c r="F1092" s="205">
        <v>2300.0</v>
      </c>
      <c r="G1092" s="206">
        <f t="shared" si="49"/>
        <v>2300</v>
      </c>
      <c r="H1092" s="219"/>
      <c r="I1092" s="219"/>
      <c r="J1092" s="240"/>
      <c r="K1092" s="240"/>
      <c r="L1092" s="240"/>
    </row>
    <row r="1093" ht="12.75" customHeight="1" outlineLevel="2">
      <c r="B1093" s="301" t="s">
        <v>2837</v>
      </c>
      <c r="C1093" s="315" t="s">
        <v>1219</v>
      </c>
      <c r="D1093" s="203" t="s">
        <v>75</v>
      </c>
      <c r="E1093" s="214">
        <v>1.0</v>
      </c>
      <c r="F1093" s="205">
        <v>300.0</v>
      </c>
      <c r="G1093" s="206">
        <f t="shared" si="49"/>
        <v>300</v>
      </c>
      <c r="H1093" s="219"/>
      <c r="I1093" s="219"/>
      <c r="J1093" s="240"/>
      <c r="K1093" s="240"/>
      <c r="L1093" s="240"/>
    </row>
    <row r="1094" ht="12.75" customHeight="1" outlineLevel="2">
      <c r="B1094" s="301" t="s">
        <v>2839</v>
      </c>
      <c r="C1094" s="315" t="s">
        <v>1220</v>
      </c>
      <c r="D1094" s="203" t="s">
        <v>75</v>
      </c>
      <c r="E1094" s="214">
        <v>1.0</v>
      </c>
      <c r="F1094" s="205">
        <v>300.0</v>
      </c>
      <c r="G1094" s="206">
        <f t="shared" si="49"/>
        <v>300</v>
      </c>
      <c r="H1094" s="219"/>
      <c r="I1094" s="219"/>
      <c r="J1094" s="240"/>
      <c r="K1094" s="240"/>
      <c r="L1094" s="240"/>
    </row>
    <row r="1095" ht="12.75" customHeight="1" outlineLevel="2">
      <c r="B1095" s="301" t="s">
        <v>2841</v>
      </c>
      <c r="C1095" s="315" t="s">
        <v>1198</v>
      </c>
      <c r="D1095" s="203" t="s">
        <v>33</v>
      </c>
      <c r="E1095" s="214">
        <v>1.0</v>
      </c>
      <c r="F1095" s="205">
        <v>2000.0</v>
      </c>
      <c r="G1095" s="206">
        <f t="shared" si="49"/>
        <v>2000</v>
      </c>
      <c r="H1095" s="219"/>
      <c r="I1095" s="219"/>
      <c r="J1095" s="240"/>
      <c r="K1095" s="240"/>
      <c r="L1095" s="240"/>
    </row>
    <row r="1096" ht="12.75" customHeight="1" outlineLevel="2">
      <c r="B1096" s="189"/>
      <c r="E1096" s="79"/>
      <c r="F1096" s="80"/>
      <c r="G1096" s="80"/>
      <c r="H1096" s="240"/>
      <c r="I1096" s="240"/>
      <c r="J1096" s="240"/>
      <c r="K1096" s="240"/>
      <c r="L1096" s="240"/>
    </row>
    <row r="1097" ht="12.75" customHeight="1" outlineLevel="2">
      <c r="A1097" s="89">
        <v>6.13</v>
      </c>
      <c r="B1097" s="307" t="s">
        <v>2842</v>
      </c>
      <c r="C1097" s="308" t="s">
        <v>1221</v>
      </c>
      <c r="D1097" s="309"/>
      <c r="E1097" s="310"/>
      <c r="F1097" s="311"/>
      <c r="G1097" s="311"/>
      <c r="H1097" s="240"/>
      <c r="I1097" s="240"/>
      <c r="J1097" s="240"/>
      <c r="K1097" s="240"/>
      <c r="L1097" s="240"/>
    </row>
    <row r="1098" ht="12.75" customHeight="1" outlineLevel="2">
      <c r="B1098" s="189"/>
      <c r="E1098" s="79"/>
      <c r="F1098" s="80"/>
      <c r="G1098" s="80"/>
      <c r="H1098" s="240"/>
      <c r="I1098" s="240"/>
      <c r="J1098" s="240"/>
      <c r="K1098" s="240"/>
      <c r="L1098" s="240"/>
    </row>
    <row r="1099" ht="12.75" customHeight="1" outlineLevel="2">
      <c r="B1099" s="301" t="s">
        <v>2844</v>
      </c>
      <c r="C1099" s="315" t="s">
        <v>1222</v>
      </c>
      <c r="D1099" s="203" t="s">
        <v>75</v>
      </c>
      <c r="E1099" s="214">
        <v>1.0</v>
      </c>
      <c r="F1099" s="205">
        <v>8500.0</v>
      </c>
      <c r="G1099" s="206">
        <f>F1099*E1099</f>
        <v>8500</v>
      </c>
      <c r="H1099" s="219"/>
      <c r="I1099" s="219"/>
      <c r="J1099" s="240"/>
      <c r="K1099" s="240"/>
      <c r="L1099" s="240"/>
    </row>
    <row r="1100" ht="12.75" customHeight="1" outlineLevel="2">
      <c r="B1100" s="189"/>
      <c r="E1100" s="79"/>
      <c r="F1100" s="80"/>
      <c r="G1100" s="80"/>
      <c r="H1100" s="240"/>
      <c r="I1100" s="240"/>
      <c r="J1100" s="240"/>
      <c r="K1100" s="240"/>
      <c r="L1100" s="240"/>
    </row>
    <row r="1101" ht="12.75" customHeight="1" outlineLevel="1">
      <c r="A1101" s="89"/>
      <c r="B1101" s="189"/>
      <c r="C1101" s="184" t="s">
        <v>5630</v>
      </c>
      <c r="E1101" s="79"/>
      <c r="F1101" s="586">
        <f>SUM(G1105:G1145)</f>
        <v>54093.44</v>
      </c>
      <c r="K1101" s="436">
        <v>30000.0</v>
      </c>
      <c r="L1101" s="240">
        <f>F1101-K1101</f>
        <v>24093.44</v>
      </c>
    </row>
    <row r="1102" ht="12.75" customHeight="1" outlineLevel="2">
      <c r="A1102" s="89"/>
      <c r="B1102" s="189"/>
      <c r="C1102" s="90"/>
      <c r="E1102" s="79"/>
      <c r="F1102" s="80"/>
      <c r="G1102" s="80"/>
      <c r="H1102" s="240"/>
      <c r="I1102" s="240"/>
      <c r="J1102" s="240"/>
      <c r="K1102" s="240"/>
      <c r="L1102" s="240"/>
    </row>
    <row r="1103" ht="12.75" customHeight="1" outlineLevel="2">
      <c r="A1103" s="89" t="s">
        <v>1223</v>
      </c>
      <c r="B1103" s="307" t="s">
        <v>2846</v>
      </c>
      <c r="C1103" s="308" t="s">
        <v>1224</v>
      </c>
      <c r="D1103" s="309"/>
      <c r="E1103" s="310"/>
      <c r="F1103" s="311"/>
      <c r="G1103" s="311"/>
      <c r="H1103" s="240"/>
      <c r="I1103" s="240"/>
      <c r="J1103" s="240"/>
      <c r="K1103" s="240"/>
      <c r="L1103" s="240"/>
    </row>
    <row r="1104" ht="12.75" customHeight="1" outlineLevel="2">
      <c r="B1104" s="189"/>
      <c r="E1104" s="79"/>
      <c r="F1104" s="80"/>
      <c r="G1104" s="80"/>
      <c r="H1104" s="240"/>
      <c r="I1104" s="240"/>
      <c r="J1104" s="240"/>
      <c r="K1104" s="240"/>
      <c r="L1104" s="240"/>
    </row>
    <row r="1105" ht="12.75" customHeight="1" outlineLevel="2">
      <c r="B1105" s="301" t="s">
        <v>2848</v>
      </c>
      <c r="C1105" s="315" t="s">
        <v>1225</v>
      </c>
      <c r="D1105" s="203" t="s">
        <v>877</v>
      </c>
      <c r="E1105" s="214">
        <v>20.0</v>
      </c>
      <c r="F1105" s="205">
        <v>33.0</v>
      </c>
      <c r="G1105" s="206">
        <f t="shared" ref="G1105:G1106" si="50">F1105*E1105</f>
        <v>660</v>
      </c>
      <c r="H1105" s="219"/>
      <c r="I1105" s="219"/>
      <c r="J1105" s="240"/>
      <c r="K1105" s="240"/>
      <c r="L1105" s="240"/>
    </row>
    <row r="1106" ht="12.75" customHeight="1" outlineLevel="2">
      <c r="B1106" s="301" t="s">
        <v>2849</v>
      </c>
      <c r="C1106" s="315" t="s">
        <v>1226</v>
      </c>
      <c r="D1106" s="203" t="s">
        <v>877</v>
      </c>
      <c r="E1106" s="214">
        <v>22.0</v>
      </c>
      <c r="F1106" s="205">
        <v>50.0</v>
      </c>
      <c r="G1106" s="206">
        <f t="shared" si="50"/>
        <v>1100</v>
      </c>
      <c r="H1106" s="219"/>
      <c r="I1106" s="219"/>
      <c r="J1106" s="240"/>
      <c r="K1106" s="240"/>
      <c r="L1106" s="240"/>
    </row>
    <row r="1107" ht="12.75" customHeight="1" outlineLevel="2">
      <c r="B1107" s="189"/>
      <c r="E1107" s="79"/>
      <c r="F1107" s="80"/>
      <c r="G1107" s="80"/>
      <c r="H1107" s="240"/>
      <c r="I1107" s="240"/>
      <c r="J1107" s="240"/>
      <c r="K1107" s="240"/>
      <c r="L1107" s="240"/>
    </row>
    <row r="1108" ht="12.75" customHeight="1" outlineLevel="2">
      <c r="A1108" s="89" t="s">
        <v>1227</v>
      </c>
      <c r="B1108" s="307" t="s">
        <v>2850</v>
      </c>
      <c r="C1108" s="308" t="s">
        <v>1228</v>
      </c>
      <c r="D1108" s="309"/>
      <c r="E1108" s="310"/>
      <c r="F1108" s="311"/>
      <c r="G1108" s="311"/>
      <c r="H1108" s="240"/>
      <c r="I1108" s="240"/>
      <c r="J1108" s="240"/>
      <c r="K1108" s="240"/>
      <c r="L1108" s="240"/>
    </row>
    <row r="1109" ht="12.75" customHeight="1" outlineLevel="2">
      <c r="B1109" s="189"/>
      <c r="E1109" s="79"/>
      <c r="F1109" s="80"/>
      <c r="G1109" s="80"/>
      <c r="H1109" s="240"/>
      <c r="I1109" s="240"/>
      <c r="J1109" s="240"/>
      <c r="K1109" s="240"/>
      <c r="L1109" s="240"/>
    </row>
    <row r="1110" ht="12.75" customHeight="1" outlineLevel="2">
      <c r="B1110" s="301" t="s">
        <v>2852</v>
      </c>
      <c r="C1110" s="315" t="s">
        <v>1229</v>
      </c>
      <c r="D1110" s="203" t="s">
        <v>877</v>
      </c>
      <c r="E1110" s="214">
        <v>236.0</v>
      </c>
      <c r="F1110" s="205">
        <v>26.0</v>
      </c>
      <c r="G1110" s="206">
        <f>F1110*E1110</f>
        <v>6136</v>
      </c>
      <c r="H1110" s="219"/>
      <c r="I1110" s="219"/>
      <c r="J1110" s="240"/>
      <c r="K1110" s="240"/>
      <c r="L1110" s="240"/>
    </row>
    <row r="1111" ht="12.75" customHeight="1" outlineLevel="2">
      <c r="B1111" s="189"/>
      <c r="E1111" s="79"/>
      <c r="F1111" s="80"/>
      <c r="G1111" s="80"/>
      <c r="H1111" s="240"/>
      <c r="I1111" s="240"/>
      <c r="J1111" s="240"/>
      <c r="K1111" s="240"/>
      <c r="L1111" s="240"/>
    </row>
    <row r="1112" ht="12.75" customHeight="1" outlineLevel="2">
      <c r="A1112" s="89" t="s">
        <v>1230</v>
      </c>
      <c r="B1112" s="307" t="s">
        <v>2853</v>
      </c>
      <c r="C1112" s="308" t="s">
        <v>1231</v>
      </c>
      <c r="D1112" s="309"/>
      <c r="E1112" s="310"/>
      <c r="F1112" s="311"/>
      <c r="G1112" s="311"/>
      <c r="H1112" s="240"/>
      <c r="I1112" s="240"/>
      <c r="J1112" s="240"/>
      <c r="K1112" s="240"/>
      <c r="L1112" s="240"/>
    </row>
    <row r="1113" ht="12.75" customHeight="1" outlineLevel="2">
      <c r="B1113" s="189"/>
      <c r="E1113" s="79"/>
      <c r="F1113" s="80"/>
      <c r="G1113" s="80"/>
      <c r="H1113" s="240"/>
      <c r="I1113" s="240"/>
      <c r="J1113" s="240"/>
      <c r="K1113" s="240"/>
      <c r="L1113" s="240"/>
    </row>
    <row r="1114" ht="12.75" customHeight="1" outlineLevel="2">
      <c r="B1114" s="301" t="s">
        <v>2855</v>
      </c>
      <c r="C1114" s="315" t="s">
        <v>1232</v>
      </c>
      <c r="D1114" s="203" t="s">
        <v>877</v>
      </c>
      <c r="E1114" s="214">
        <v>8.0</v>
      </c>
      <c r="F1114" s="205">
        <v>20.0</v>
      </c>
      <c r="G1114" s="206">
        <f t="shared" ref="G1114:G1115" si="51">F1114*E1114</f>
        <v>160</v>
      </c>
      <c r="H1114" s="219"/>
      <c r="I1114" s="219"/>
      <c r="J1114" s="240"/>
      <c r="K1114" s="240"/>
      <c r="L1114" s="240"/>
    </row>
    <row r="1115" ht="12.75" customHeight="1" outlineLevel="2">
      <c r="B1115" s="301" t="s">
        <v>2856</v>
      </c>
      <c r="C1115" s="315" t="s">
        <v>1233</v>
      </c>
      <c r="D1115" s="203" t="s">
        <v>877</v>
      </c>
      <c r="E1115" s="214">
        <v>4.0</v>
      </c>
      <c r="F1115" s="205">
        <v>26.0</v>
      </c>
      <c r="G1115" s="206">
        <f t="shared" si="51"/>
        <v>104</v>
      </c>
      <c r="H1115" s="219"/>
      <c r="I1115" s="219"/>
      <c r="J1115" s="240"/>
      <c r="K1115" s="240"/>
      <c r="L1115" s="240"/>
    </row>
    <row r="1116" ht="12.75" customHeight="1" outlineLevel="2">
      <c r="B1116" s="189"/>
      <c r="E1116" s="79"/>
      <c r="F1116" s="80"/>
      <c r="G1116" s="80"/>
      <c r="H1116" s="240"/>
      <c r="I1116" s="240"/>
      <c r="J1116" s="240"/>
      <c r="K1116" s="240"/>
      <c r="L1116" s="240"/>
    </row>
    <row r="1117" ht="12.75" customHeight="1" outlineLevel="2">
      <c r="A1117" s="89" t="s">
        <v>1234</v>
      </c>
      <c r="B1117" s="301" t="s">
        <v>2857</v>
      </c>
      <c r="C1117" s="315" t="s">
        <v>1235</v>
      </c>
      <c r="D1117" s="203" t="s">
        <v>1236</v>
      </c>
      <c r="E1117" s="214">
        <v>110.0</v>
      </c>
      <c r="F1117" s="205">
        <v>83.09</v>
      </c>
      <c r="G1117" s="206">
        <f>F1117*E1117</f>
        <v>9139.9</v>
      </c>
      <c r="H1117" s="219"/>
      <c r="I1117" s="219"/>
      <c r="J1117" s="240"/>
      <c r="K1117" s="240"/>
      <c r="L1117" s="240"/>
    </row>
    <row r="1118" ht="12.75" customHeight="1" outlineLevel="2">
      <c r="B1118" s="189"/>
      <c r="E1118" s="79"/>
      <c r="F1118" s="80"/>
      <c r="G1118" s="80"/>
      <c r="H1118" s="240"/>
      <c r="I1118" s="240"/>
      <c r="J1118" s="240"/>
      <c r="K1118" s="240"/>
      <c r="L1118" s="240"/>
    </row>
    <row r="1119" ht="12.75" customHeight="1" outlineLevel="2">
      <c r="A1119" s="89" t="s">
        <v>1237</v>
      </c>
      <c r="B1119" s="319" t="s">
        <v>2859</v>
      </c>
      <c r="C1119" s="316" t="s">
        <v>1238</v>
      </c>
      <c r="D1119" s="130"/>
      <c r="E1119" s="170"/>
      <c r="F1119" s="239"/>
      <c r="G1119" s="239"/>
      <c r="H1119" s="240"/>
      <c r="I1119" s="240"/>
      <c r="J1119" s="240"/>
      <c r="K1119" s="240"/>
      <c r="L1119" s="240"/>
    </row>
    <row r="1120" ht="12.75" customHeight="1" outlineLevel="2">
      <c r="B1120" s="189"/>
      <c r="E1120" s="79"/>
      <c r="F1120" s="80"/>
      <c r="G1120" s="80"/>
      <c r="H1120" s="240"/>
      <c r="I1120" s="240"/>
      <c r="J1120" s="240"/>
      <c r="K1120" s="240"/>
      <c r="L1120" s="240"/>
    </row>
    <row r="1121" ht="12.75" customHeight="1" outlineLevel="2">
      <c r="B1121" s="301" t="s">
        <v>2861</v>
      </c>
      <c r="C1121" s="315" t="s">
        <v>1239</v>
      </c>
      <c r="D1121" s="203" t="s">
        <v>75</v>
      </c>
      <c r="E1121" s="214">
        <v>1.0</v>
      </c>
      <c r="F1121" s="205">
        <v>7400.0</v>
      </c>
      <c r="G1121" s="206">
        <f>F1121*E1121</f>
        <v>7400</v>
      </c>
      <c r="H1121" s="219"/>
      <c r="I1121" s="219"/>
      <c r="J1121" s="240"/>
      <c r="K1121" s="240"/>
      <c r="L1121" s="240"/>
    </row>
    <row r="1122" ht="12.75" customHeight="1" outlineLevel="2">
      <c r="B1122" s="189"/>
      <c r="E1122" s="79"/>
      <c r="F1122" s="80"/>
      <c r="G1122" s="80"/>
      <c r="H1122" s="240"/>
      <c r="I1122" s="240"/>
      <c r="J1122" s="240"/>
      <c r="K1122" s="240"/>
      <c r="L1122" s="240"/>
    </row>
    <row r="1123" ht="12.75" customHeight="1" outlineLevel="2">
      <c r="A1123" s="89" t="s">
        <v>1240</v>
      </c>
      <c r="B1123" s="307" t="s">
        <v>2862</v>
      </c>
      <c r="C1123" s="308" t="s">
        <v>1241</v>
      </c>
      <c r="D1123" s="309"/>
      <c r="E1123" s="310"/>
      <c r="F1123" s="311"/>
      <c r="G1123" s="311"/>
      <c r="H1123" s="240"/>
      <c r="I1123" s="240"/>
      <c r="J1123" s="240"/>
      <c r="K1123" s="240"/>
      <c r="L1123" s="240"/>
    </row>
    <row r="1124" ht="12.75" customHeight="1" outlineLevel="2">
      <c r="B1124" s="189"/>
      <c r="E1124" s="79"/>
      <c r="F1124" s="80"/>
      <c r="G1124" s="80"/>
      <c r="H1124" s="240"/>
      <c r="I1124" s="240"/>
      <c r="J1124" s="240"/>
      <c r="K1124" s="240"/>
      <c r="L1124" s="240"/>
    </row>
    <row r="1125" ht="12.75" customHeight="1" outlineLevel="2">
      <c r="B1125" s="301" t="s">
        <v>2864</v>
      </c>
      <c r="C1125" s="315" t="s">
        <v>1242</v>
      </c>
      <c r="D1125" s="203" t="s">
        <v>75</v>
      </c>
      <c r="E1125" s="214">
        <v>1.0</v>
      </c>
      <c r="F1125" s="205">
        <v>500.0</v>
      </c>
      <c r="G1125" s="206">
        <f>F1125*E1125</f>
        <v>500</v>
      </c>
      <c r="H1125" s="219"/>
      <c r="I1125" s="219"/>
      <c r="J1125" s="240"/>
      <c r="K1125" s="240"/>
      <c r="L1125" s="240"/>
    </row>
    <row r="1126" ht="12.75" customHeight="1" outlineLevel="2">
      <c r="B1126" s="189"/>
      <c r="E1126" s="79"/>
      <c r="F1126" s="80"/>
      <c r="G1126" s="80"/>
      <c r="H1126" s="240"/>
      <c r="I1126" s="240"/>
      <c r="J1126" s="240"/>
      <c r="K1126" s="240"/>
      <c r="L1126" s="240"/>
    </row>
    <row r="1127" ht="12.75" customHeight="1" outlineLevel="2">
      <c r="A1127" s="89">
        <v>6.2</v>
      </c>
      <c r="B1127" s="301" t="s">
        <v>2865</v>
      </c>
      <c r="C1127" s="315" t="s">
        <v>1243</v>
      </c>
      <c r="D1127" s="203" t="s">
        <v>227</v>
      </c>
      <c r="E1127" s="214">
        <v>1.0</v>
      </c>
      <c r="F1127" s="205">
        <v>2623.54</v>
      </c>
      <c r="G1127" s="206">
        <f>F1127*E1127</f>
        <v>2623.54</v>
      </c>
      <c r="H1127" s="219"/>
      <c r="I1127" s="219"/>
      <c r="J1127" s="240"/>
      <c r="K1127" s="240"/>
      <c r="L1127" s="240"/>
    </row>
    <row r="1128" ht="12.75" customHeight="1" outlineLevel="2">
      <c r="B1128" s="189"/>
      <c r="E1128" s="79"/>
      <c r="F1128" s="80"/>
      <c r="G1128" s="80"/>
      <c r="H1128" s="240"/>
      <c r="I1128" s="240"/>
      <c r="J1128" s="240"/>
      <c r="K1128" s="240"/>
      <c r="L1128" s="240"/>
    </row>
    <row r="1129" ht="12.75" customHeight="1" outlineLevel="2">
      <c r="A1129" s="89" t="s">
        <v>1244</v>
      </c>
      <c r="B1129" s="319" t="s">
        <v>2867</v>
      </c>
      <c r="C1129" s="316" t="s">
        <v>1245</v>
      </c>
      <c r="D1129" s="130"/>
      <c r="E1129" s="170"/>
      <c r="F1129" s="239"/>
      <c r="G1129" s="239"/>
      <c r="H1129" s="240"/>
      <c r="I1129" s="240"/>
      <c r="J1129" s="240"/>
      <c r="K1129" s="240"/>
      <c r="L1129" s="240"/>
    </row>
    <row r="1130" ht="12.75" customHeight="1" outlineLevel="2">
      <c r="B1130" s="189"/>
      <c r="E1130" s="79"/>
      <c r="F1130" s="80"/>
      <c r="G1130" s="80"/>
      <c r="H1130" s="240"/>
      <c r="I1130" s="240"/>
      <c r="J1130" s="240"/>
      <c r="K1130" s="240"/>
      <c r="L1130" s="240"/>
    </row>
    <row r="1131" ht="12.75" customHeight="1" outlineLevel="2">
      <c r="B1131" s="301" t="s">
        <v>2869</v>
      </c>
      <c r="C1131" s="315" t="s">
        <v>1246</v>
      </c>
      <c r="D1131" s="203" t="s">
        <v>75</v>
      </c>
      <c r="E1131" s="214">
        <v>10.0</v>
      </c>
      <c r="F1131" s="205">
        <v>33.0</v>
      </c>
      <c r="G1131" s="206">
        <f>F1131*E1131</f>
        <v>330</v>
      </c>
      <c r="H1131" s="219"/>
      <c r="I1131" s="219"/>
      <c r="J1131" s="240"/>
      <c r="K1131" s="240"/>
      <c r="L1131" s="240"/>
    </row>
    <row r="1132" ht="12.75" customHeight="1" outlineLevel="2">
      <c r="B1132" s="189"/>
      <c r="E1132" s="79"/>
      <c r="F1132" s="80"/>
      <c r="G1132" s="80"/>
      <c r="H1132" s="240"/>
      <c r="I1132" s="240"/>
      <c r="J1132" s="240"/>
      <c r="K1132" s="240"/>
      <c r="L1132" s="240"/>
    </row>
    <row r="1133" ht="12.75" customHeight="1" outlineLevel="2">
      <c r="A1133" s="89" t="s">
        <v>1247</v>
      </c>
      <c r="B1133" s="307" t="s">
        <v>2870</v>
      </c>
      <c r="C1133" s="308" t="s">
        <v>1248</v>
      </c>
      <c r="D1133" s="309"/>
      <c r="E1133" s="310"/>
      <c r="F1133" s="311"/>
      <c r="G1133" s="311"/>
      <c r="H1133" s="240"/>
      <c r="I1133" s="240"/>
      <c r="J1133" s="240"/>
      <c r="K1133" s="240"/>
      <c r="L1133" s="240"/>
    </row>
    <row r="1134" ht="12.75" customHeight="1" outlineLevel="2">
      <c r="B1134" s="189"/>
      <c r="E1134" s="79"/>
      <c r="F1134" s="80"/>
      <c r="G1134" s="80"/>
      <c r="H1134" s="240"/>
      <c r="I1134" s="240"/>
      <c r="J1134" s="240"/>
      <c r="K1134" s="240"/>
      <c r="L1134" s="240"/>
    </row>
    <row r="1135" ht="12.75" customHeight="1" outlineLevel="2">
      <c r="B1135" s="301" t="s">
        <v>2872</v>
      </c>
      <c r="C1135" s="315" t="s">
        <v>1249</v>
      </c>
      <c r="D1135" s="203" t="s">
        <v>75</v>
      </c>
      <c r="E1135" s="214">
        <v>1.0</v>
      </c>
      <c r="F1135" s="205">
        <v>2300.0</v>
      </c>
      <c r="G1135" s="206">
        <f t="shared" ref="G1135:G1145" si="52">F1135*E1135</f>
        <v>2300</v>
      </c>
      <c r="H1135" s="219"/>
      <c r="I1135" s="219"/>
      <c r="J1135" s="240"/>
      <c r="K1135" s="240"/>
      <c r="L1135" s="240"/>
    </row>
    <row r="1136" ht="12.75" customHeight="1" outlineLevel="2">
      <c r="B1136" s="301" t="s">
        <v>2873</v>
      </c>
      <c r="C1136" s="315" t="s">
        <v>1250</v>
      </c>
      <c r="D1136" s="203" t="s">
        <v>75</v>
      </c>
      <c r="E1136" s="214">
        <v>1.0</v>
      </c>
      <c r="F1136" s="205">
        <v>4500.0</v>
      </c>
      <c r="G1136" s="206">
        <f t="shared" si="52"/>
        <v>4500</v>
      </c>
      <c r="H1136" s="219"/>
      <c r="I1136" s="219"/>
      <c r="J1136" s="240"/>
      <c r="K1136" s="240"/>
      <c r="L1136" s="240"/>
    </row>
    <row r="1137" ht="12.75" customHeight="1" outlineLevel="2">
      <c r="B1137" s="301" t="s">
        <v>2874</v>
      </c>
      <c r="C1137" s="315" t="s">
        <v>1251</v>
      </c>
      <c r="D1137" s="203" t="s">
        <v>75</v>
      </c>
      <c r="E1137" s="214">
        <v>1.0</v>
      </c>
      <c r="F1137" s="205">
        <v>3400.0</v>
      </c>
      <c r="G1137" s="206">
        <f t="shared" si="52"/>
        <v>3400</v>
      </c>
      <c r="H1137" s="219"/>
      <c r="I1137" s="219"/>
      <c r="J1137" s="240"/>
      <c r="K1137" s="240"/>
      <c r="L1137" s="240"/>
    </row>
    <row r="1138" ht="12.75" customHeight="1" outlineLevel="2">
      <c r="B1138" s="301" t="s">
        <v>2875</v>
      </c>
      <c r="C1138" s="315" t="s">
        <v>1252</v>
      </c>
      <c r="D1138" s="203" t="s">
        <v>75</v>
      </c>
      <c r="E1138" s="214">
        <v>3.0</v>
      </c>
      <c r="F1138" s="205">
        <v>2500.0</v>
      </c>
      <c r="G1138" s="206">
        <f t="shared" si="52"/>
        <v>7500</v>
      </c>
      <c r="H1138" s="219"/>
      <c r="I1138" s="219"/>
      <c r="J1138" s="240"/>
      <c r="K1138" s="240"/>
      <c r="L1138" s="240"/>
    </row>
    <row r="1139" ht="12.75" customHeight="1" outlineLevel="2">
      <c r="B1139" s="301" t="s">
        <v>2876</v>
      </c>
      <c r="C1139" s="315" t="s">
        <v>1253</v>
      </c>
      <c r="D1139" s="203" t="s">
        <v>75</v>
      </c>
      <c r="E1139" s="214">
        <v>6.0</v>
      </c>
      <c r="F1139" s="205">
        <v>1000.0</v>
      </c>
      <c r="G1139" s="206">
        <f t="shared" si="52"/>
        <v>6000</v>
      </c>
      <c r="H1139" s="219"/>
      <c r="I1139" s="219"/>
      <c r="J1139" s="240"/>
      <c r="K1139" s="240"/>
      <c r="L1139" s="240"/>
    </row>
    <row r="1140" ht="12.75" customHeight="1" outlineLevel="2">
      <c r="B1140" s="301" t="s">
        <v>2877</v>
      </c>
      <c r="C1140" s="315" t="s">
        <v>1254</v>
      </c>
      <c r="D1140" s="203" t="s">
        <v>75</v>
      </c>
      <c r="E1140" s="214">
        <v>2.0</v>
      </c>
      <c r="F1140" s="205">
        <v>200.0</v>
      </c>
      <c r="G1140" s="206">
        <f t="shared" si="52"/>
        <v>400</v>
      </c>
      <c r="H1140" s="219"/>
      <c r="I1140" s="219"/>
      <c r="J1140" s="240"/>
      <c r="K1140" s="240"/>
      <c r="L1140" s="240"/>
    </row>
    <row r="1141" ht="12.75" customHeight="1" outlineLevel="2">
      <c r="B1141" s="301" t="s">
        <v>2878</v>
      </c>
      <c r="C1141" s="315" t="s">
        <v>1255</v>
      </c>
      <c r="D1141" s="203" t="s">
        <v>75</v>
      </c>
      <c r="E1141" s="214">
        <v>2.0</v>
      </c>
      <c r="F1141" s="205">
        <v>200.0</v>
      </c>
      <c r="G1141" s="206">
        <f t="shared" si="52"/>
        <v>400</v>
      </c>
      <c r="H1141" s="219"/>
      <c r="I1141" s="219"/>
      <c r="J1141" s="240"/>
      <c r="K1141" s="240"/>
      <c r="L1141" s="240"/>
    </row>
    <row r="1142" ht="12.75" customHeight="1" outlineLevel="2">
      <c r="B1142" s="301" t="s">
        <v>2879</v>
      </c>
      <c r="C1142" s="315" t="s">
        <v>1256</v>
      </c>
      <c r="D1142" s="203" t="s">
        <v>75</v>
      </c>
      <c r="E1142" s="214">
        <v>1.0</v>
      </c>
      <c r="F1142" s="205">
        <v>300.0</v>
      </c>
      <c r="G1142" s="206">
        <f t="shared" si="52"/>
        <v>300</v>
      </c>
      <c r="H1142" s="219"/>
      <c r="I1142" s="219"/>
      <c r="J1142" s="240"/>
      <c r="K1142" s="240"/>
      <c r="L1142" s="240"/>
    </row>
    <row r="1143" ht="12.75" customHeight="1" outlineLevel="2">
      <c r="B1143" s="301" t="s">
        <v>2880</v>
      </c>
      <c r="C1143" s="315" t="s">
        <v>1257</v>
      </c>
      <c r="D1143" s="203" t="s">
        <v>75</v>
      </c>
      <c r="E1143" s="214">
        <v>1.0</v>
      </c>
      <c r="F1143" s="205">
        <v>300.0</v>
      </c>
      <c r="G1143" s="206">
        <f t="shared" si="52"/>
        <v>300</v>
      </c>
      <c r="H1143" s="219"/>
      <c r="I1143" s="219"/>
      <c r="J1143" s="240"/>
      <c r="K1143" s="240"/>
      <c r="L1143" s="240"/>
    </row>
    <row r="1144" ht="12.75" customHeight="1" outlineLevel="2">
      <c r="B1144" s="301" t="s">
        <v>2881</v>
      </c>
      <c r="C1144" s="315" t="s">
        <v>1258</v>
      </c>
      <c r="D1144" s="203" t="s">
        <v>75</v>
      </c>
      <c r="E1144" s="214">
        <v>3.0</v>
      </c>
      <c r="F1144" s="205">
        <v>235.0</v>
      </c>
      <c r="G1144" s="206">
        <f t="shared" si="52"/>
        <v>705</v>
      </c>
      <c r="H1144" s="219"/>
      <c r="I1144" s="219"/>
      <c r="J1144" s="240"/>
      <c r="K1144" s="240"/>
      <c r="L1144" s="240"/>
    </row>
    <row r="1145" ht="12.75" customHeight="1" outlineLevel="2">
      <c r="B1145" s="301" t="s">
        <v>2882</v>
      </c>
      <c r="C1145" s="315" t="s">
        <v>1259</v>
      </c>
      <c r="D1145" s="203" t="s">
        <v>75</v>
      </c>
      <c r="E1145" s="214">
        <v>1.0</v>
      </c>
      <c r="F1145" s="205">
        <v>135.0</v>
      </c>
      <c r="G1145" s="206">
        <f t="shared" si="52"/>
        <v>135</v>
      </c>
      <c r="H1145" s="219"/>
      <c r="I1145" s="219"/>
      <c r="J1145" s="240"/>
      <c r="K1145" s="240"/>
      <c r="L1145" s="240"/>
    </row>
    <row r="1146" ht="12.75" customHeight="1" outlineLevel="2">
      <c r="B1146" s="189"/>
      <c r="E1146" s="79"/>
      <c r="F1146" s="80"/>
      <c r="G1146" s="80"/>
      <c r="H1146" s="240"/>
      <c r="I1146" s="240"/>
      <c r="J1146" s="240"/>
      <c r="K1146" s="240"/>
      <c r="L1146" s="240"/>
    </row>
    <row r="1147" ht="12.75" customHeight="1" outlineLevel="1">
      <c r="A1147" s="89"/>
      <c r="B1147" s="189"/>
      <c r="C1147" s="184" t="s">
        <v>665</v>
      </c>
      <c r="D1147" s="89"/>
      <c r="E1147" s="91"/>
      <c r="F1147" s="917">
        <f>SUM(G1149:G1157)</f>
        <v>0</v>
      </c>
      <c r="G1147" s="92"/>
      <c r="H1147" s="240"/>
      <c r="I1147" s="240"/>
      <c r="J1147" s="240"/>
      <c r="K1147" s="240"/>
      <c r="L1147" s="240"/>
    </row>
    <row r="1148" ht="12.75" customHeight="1" outlineLevel="2">
      <c r="A1148" s="89"/>
      <c r="B1148" s="189"/>
      <c r="C1148" s="90"/>
      <c r="D1148" s="89"/>
      <c r="E1148" s="91"/>
      <c r="F1148" s="92"/>
      <c r="G1148" s="92"/>
      <c r="H1148" s="240"/>
      <c r="I1148" s="240"/>
      <c r="J1148" s="240"/>
      <c r="K1148" s="240"/>
      <c r="L1148" s="240"/>
    </row>
    <row r="1149" ht="12.75" customHeight="1" outlineLevel="2">
      <c r="A1149" s="89" t="s">
        <v>1260</v>
      </c>
      <c r="B1149" s="301" t="s">
        <v>2885</v>
      </c>
      <c r="C1149" s="315" t="s">
        <v>1261</v>
      </c>
      <c r="D1149" s="203" t="s">
        <v>33</v>
      </c>
      <c r="E1149" s="214">
        <v>1.0</v>
      </c>
      <c r="F1149" s="205">
        <v>0.0</v>
      </c>
      <c r="G1149" s="206">
        <f>F1149*E1149</f>
        <v>0</v>
      </c>
      <c r="H1149" s="219" t="s">
        <v>5637</v>
      </c>
      <c r="I1149" s="219" t="s">
        <v>5637</v>
      </c>
      <c r="J1149" s="240"/>
      <c r="K1149" s="240"/>
      <c r="L1149" s="240"/>
    </row>
    <row r="1150" ht="12.75" customHeight="1" outlineLevel="2">
      <c r="B1150" s="189"/>
      <c r="E1150" s="79"/>
      <c r="F1150" s="80"/>
      <c r="G1150" s="80"/>
      <c r="H1150" s="240"/>
      <c r="I1150" s="240"/>
      <c r="J1150" s="240"/>
      <c r="K1150" s="240"/>
      <c r="L1150" s="240"/>
    </row>
    <row r="1151" ht="12.75" customHeight="1" outlineLevel="2">
      <c r="A1151" s="89" t="s">
        <v>1262</v>
      </c>
      <c r="B1151" s="301" t="s">
        <v>2888</v>
      </c>
      <c r="C1151" s="315" t="s">
        <v>1263</v>
      </c>
      <c r="D1151" s="203" t="s">
        <v>227</v>
      </c>
      <c r="E1151" s="214">
        <v>1.0</v>
      </c>
      <c r="F1151" s="205">
        <v>0.0</v>
      </c>
      <c r="G1151" s="206">
        <f>F1151*E1151</f>
        <v>0</v>
      </c>
      <c r="H1151" s="219" t="s">
        <v>5637</v>
      </c>
      <c r="I1151" s="219" t="s">
        <v>5637</v>
      </c>
      <c r="J1151" s="240"/>
      <c r="K1151" s="240"/>
      <c r="L1151" s="240"/>
    </row>
    <row r="1152" ht="12.75" customHeight="1" outlineLevel="2">
      <c r="B1152" s="189"/>
      <c r="E1152" s="79"/>
      <c r="F1152" s="80"/>
      <c r="G1152" s="80"/>
      <c r="H1152" s="240"/>
      <c r="I1152" s="240"/>
      <c r="J1152" s="240"/>
      <c r="K1152" s="240"/>
      <c r="L1152" s="240"/>
    </row>
    <row r="1153" ht="12.75" customHeight="1" outlineLevel="2">
      <c r="B1153" s="301" t="s">
        <v>2890</v>
      </c>
      <c r="C1153" s="315" t="s">
        <v>1264</v>
      </c>
      <c r="D1153" s="203" t="s">
        <v>227</v>
      </c>
      <c r="E1153" s="214">
        <v>1.0</v>
      </c>
      <c r="F1153" s="205">
        <v>0.0</v>
      </c>
      <c r="G1153" s="206">
        <f>F1153*E1153</f>
        <v>0</v>
      </c>
      <c r="H1153" s="219" t="s">
        <v>5637</v>
      </c>
      <c r="I1153" s="219" t="s">
        <v>5637</v>
      </c>
      <c r="J1153" s="240"/>
      <c r="K1153" s="240"/>
      <c r="L1153" s="240"/>
    </row>
    <row r="1154" ht="12.75" customHeight="1" outlineLevel="2">
      <c r="B1154" s="189"/>
      <c r="E1154" s="79"/>
      <c r="F1154" s="80"/>
      <c r="G1154" s="80"/>
      <c r="H1154" s="240"/>
      <c r="I1154" s="240"/>
      <c r="J1154" s="240"/>
      <c r="K1154" s="240"/>
      <c r="L1154" s="240"/>
    </row>
    <row r="1155" ht="12.75" customHeight="1" outlineLevel="2">
      <c r="B1155" s="301" t="s">
        <v>2892</v>
      </c>
      <c r="C1155" s="315" t="s">
        <v>1265</v>
      </c>
      <c r="D1155" s="203" t="s">
        <v>227</v>
      </c>
      <c r="E1155" s="214">
        <v>1.0</v>
      </c>
      <c r="F1155" s="205">
        <v>0.0</v>
      </c>
      <c r="G1155" s="206">
        <f>F1155*E1155</f>
        <v>0</v>
      </c>
      <c r="H1155" s="219" t="s">
        <v>5637</v>
      </c>
      <c r="I1155" s="219" t="s">
        <v>5637</v>
      </c>
      <c r="J1155" s="240"/>
      <c r="K1155" s="240"/>
      <c r="L1155" s="240"/>
    </row>
    <row r="1156" ht="12.75" customHeight="1" outlineLevel="2">
      <c r="B1156" s="189"/>
      <c r="E1156" s="79"/>
      <c r="F1156" s="80"/>
      <c r="G1156" s="80"/>
      <c r="H1156" s="240"/>
      <c r="I1156" s="240"/>
      <c r="J1156" s="240"/>
      <c r="K1156" s="240"/>
      <c r="L1156" s="240"/>
    </row>
    <row r="1157" ht="12.75" customHeight="1" outlineLevel="2">
      <c r="B1157" s="301" t="s">
        <v>2894</v>
      </c>
      <c r="C1157" s="315" t="s">
        <v>1266</v>
      </c>
      <c r="D1157" s="203" t="s">
        <v>227</v>
      </c>
      <c r="E1157" s="214">
        <v>1.0</v>
      </c>
      <c r="F1157" s="205">
        <v>0.0</v>
      </c>
      <c r="G1157" s="206">
        <f>F1157*E1157</f>
        <v>0</v>
      </c>
      <c r="H1157" s="219" t="s">
        <v>5637</v>
      </c>
      <c r="I1157" s="219" t="s">
        <v>5637</v>
      </c>
      <c r="J1157" s="240"/>
      <c r="K1157" s="240"/>
      <c r="L1157" s="240"/>
    </row>
    <row r="1158" ht="12.75" customHeight="1" outlineLevel="2">
      <c r="A1158" s="89"/>
      <c r="B1158" s="189"/>
      <c r="E1158" s="79"/>
      <c r="F1158" s="80"/>
      <c r="G1158" s="80"/>
      <c r="H1158" s="240"/>
      <c r="I1158" s="240"/>
      <c r="J1158" s="240"/>
      <c r="K1158" s="240"/>
      <c r="L1158" s="240"/>
    </row>
    <row r="1159" ht="12.75" customHeight="1" outlineLevel="1">
      <c r="A1159" s="89"/>
      <c r="B1159" s="189"/>
      <c r="E1159" s="79"/>
      <c r="F1159" s="80"/>
      <c r="G1159" s="80"/>
      <c r="H1159" s="240"/>
      <c r="I1159" s="240"/>
      <c r="J1159" s="240"/>
      <c r="K1159" s="240"/>
      <c r="L1159" s="240"/>
    </row>
    <row r="1160" ht="12.75" customHeight="1">
      <c r="A1160" s="192"/>
      <c r="B1160" s="84">
        <v>17.0</v>
      </c>
      <c r="C1160" s="306" t="s">
        <v>1267</v>
      </c>
      <c r="D1160" s="193"/>
      <c r="E1160" s="194"/>
      <c r="F1160" s="195"/>
      <c r="G1160" s="196">
        <f>SUM(G1166:G1528)</f>
        <v>211533.09</v>
      </c>
      <c r="H1160" s="197">
        <f>G1160-Resumo!J45</f>
        <v>-2134.55</v>
      </c>
      <c r="I1160" s="197">
        <f>H1160-Resumo!K45</f>
        <v>-2134.55</v>
      </c>
      <c r="J1160" s="919"/>
      <c r="K1160" s="169"/>
      <c r="L1160" s="169"/>
    </row>
    <row r="1161" ht="12.75" customHeight="1" outlineLevel="1">
      <c r="A1161" s="89"/>
      <c r="B1161" s="189"/>
      <c r="C1161" s="90"/>
      <c r="D1161" s="89"/>
      <c r="E1161" s="91"/>
      <c r="F1161" s="92"/>
      <c r="G1161" s="239"/>
      <c r="H1161" s="240"/>
      <c r="I1161" s="240"/>
      <c r="J1161" s="240"/>
      <c r="K1161" s="240"/>
      <c r="L1161" s="240"/>
    </row>
    <row r="1162" ht="12.75" customHeight="1" outlineLevel="1">
      <c r="A1162" s="89"/>
      <c r="B1162" s="312"/>
      <c r="C1162" s="184" t="s">
        <v>5638</v>
      </c>
      <c r="E1162" s="79"/>
      <c r="F1162" s="586">
        <f>SUM(G1166:G1240)</f>
        <v>34099.4</v>
      </c>
      <c r="K1162" s="436">
        <v>30000.0</v>
      </c>
      <c r="L1162" s="240">
        <f>F1162-K1162</f>
        <v>4099.4</v>
      </c>
    </row>
    <row r="1163" ht="12.75" customHeight="1" outlineLevel="2">
      <c r="A1163" s="89"/>
      <c r="B1163" s="312"/>
      <c r="C1163" s="320"/>
      <c r="E1163" s="79"/>
      <c r="F1163" s="80"/>
      <c r="G1163" s="80"/>
      <c r="H1163" s="240"/>
      <c r="I1163" s="240"/>
      <c r="J1163" s="240"/>
      <c r="K1163" s="240"/>
      <c r="L1163" s="240"/>
    </row>
    <row r="1164" ht="12.75" customHeight="1" outlineLevel="2">
      <c r="A1164" s="89" t="s">
        <v>1268</v>
      </c>
      <c r="B1164" s="307" t="s">
        <v>2898</v>
      </c>
      <c r="C1164" s="321" t="s">
        <v>1269</v>
      </c>
      <c r="D1164" s="309"/>
      <c r="E1164" s="310"/>
      <c r="F1164" s="311"/>
      <c r="G1164" s="311"/>
      <c r="H1164" s="240"/>
      <c r="I1164" s="240"/>
      <c r="J1164" s="240"/>
      <c r="K1164" s="240"/>
      <c r="L1164" s="240"/>
    </row>
    <row r="1165" ht="12.75" customHeight="1" outlineLevel="2">
      <c r="B1165" s="189"/>
      <c r="C1165" s="208"/>
      <c r="E1165" s="79"/>
      <c r="F1165" s="80"/>
      <c r="G1165" s="80"/>
      <c r="H1165" s="240"/>
      <c r="I1165" s="240"/>
      <c r="J1165" s="240"/>
      <c r="K1165" s="240"/>
      <c r="L1165" s="240"/>
    </row>
    <row r="1166" ht="12.75" customHeight="1" outlineLevel="2">
      <c r="B1166" s="301" t="s">
        <v>2900</v>
      </c>
      <c r="C1166" s="315" t="s">
        <v>1270</v>
      </c>
      <c r="D1166" s="203" t="s">
        <v>33</v>
      </c>
      <c r="E1166" s="214">
        <v>1.0</v>
      </c>
      <c r="F1166" s="205">
        <v>280.0</v>
      </c>
      <c r="G1166" s="206">
        <f>F1166*E1166</f>
        <v>280</v>
      </c>
      <c r="H1166" s="219"/>
      <c r="I1166" s="219"/>
      <c r="J1166" s="240"/>
      <c r="K1166" s="240"/>
      <c r="L1166" s="240"/>
    </row>
    <row r="1167" ht="12.75" customHeight="1" outlineLevel="2">
      <c r="B1167" s="189"/>
      <c r="C1167" s="208"/>
      <c r="E1167" s="79"/>
      <c r="F1167" s="80"/>
      <c r="G1167" s="80"/>
      <c r="H1167" s="240"/>
      <c r="I1167" s="240"/>
      <c r="J1167" s="240"/>
      <c r="K1167" s="240"/>
      <c r="L1167" s="240"/>
    </row>
    <row r="1168" ht="12.75" customHeight="1" outlineLevel="2">
      <c r="B1168" s="301" t="s">
        <v>2902</v>
      </c>
      <c r="C1168" s="315" t="s">
        <v>1271</v>
      </c>
      <c r="D1168" s="203" t="s">
        <v>75</v>
      </c>
      <c r="E1168" s="214">
        <v>1.0</v>
      </c>
      <c r="F1168" s="205">
        <v>120.0</v>
      </c>
      <c r="G1168" s="206">
        <f>F1168*E1168</f>
        <v>120</v>
      </c>
      <c r="H1168" s="219"/>
      <c r="I1168" s="219"/>
      <c r="J1168" s="240"/>
      <c r="K1168" s="240"/>
      <c r="L1168" s="240"/>
    </row>
    <row r="1169" ht="12.75" customHeight="1" outlineLevel="2">
      <c r="B1169" s="189"/>
      <c r="C1169" s="208"/>
      <c r="E1169" s="79"/>
      <c r="F1169" s="80"/>
      <c r="G1169" s="80"/>
      <c r="H1169" s="240"/>
      <c r="I1169" s="240"/>
      <c r="J1169" s="240"/>
      <c r="K1169" s="240"/>
      <c r="L1169" s="240"/>
    </row>
    <row r="1170" ht="12.75" customHeight="1" outlineLevel="2">
      <c r="A1170" s="89" t="s">
        <v>1272</v>
      </c>
      <c r="B1170" s="319">
        <v>17.4</v>
      </c>
      <c r="C1170" s="316" t="s">
        <v>1273</v>
      </c>
      <c r="D1170" s="130"/>
      <c r="E1170" s="170"/>
      <c r="F1170" s="239"/>
      <c r="G1170" s="239"/>
      <c r="H1170" s="240"/>
      <c r="I1170" s="240"/>
      <c r="J1170" s="240"/>
      <c r="K1170" s="240"/>
      <c r="L1170" s="240"/>
    </row>
    <row r="1171" ht="12.75" customHeight="1" outlineLevel="2">
      <c r="B1171" s="189"/>
      <c r="C1171" s="208"/>
      <c r="E1171" s="79"/>
      <c r="F1171" s="80"/>
      <c r="G1171" s="80"/>
      <c r="H1171" s="240"/>
      <c r="I1171" s="240"/>
      <c r="J1171" s="240"/>
      <c r="K1171" s="240"/>
      <c r="L1171" s="240"/>
    </row>
    <row r="1172" ht="12.75" customHeight="1" outlineLevel="2">
      <c r="B1172" s="301" t="s">
        <v>2905</v>
      </c>
      <c r="C1172" s="315" t="s">
        <v>1274</v>
      </c>
      <c r="D1172" s="203" t="s">
        <v>33</v>
      </c>
      <c r="E1172" s="214">
        <v>1.0</v>
      </c>
      <c r="F1172" s="205">
        <v>7000.0</v>
      </c>
      <c r="G1172" s="206">
        <f t="shared" ref="G1172:G1181" si="53">F1172*E1172</f>
        <v>7000</v>
      </c>
      <c r="H1172" s="219"/>
      <c r="I1172" s="219"/>
      <c r="J1172" s="240"/>
      <c r="K1172" s="240"/>
      <c r="L1172" s="240"/>
    </row>
    <row r="1173" ht="12.75" customHeight="1" outlineLevel="2">
      <c r="B1173" s="301" t="s">
        <v>2907</v>
      </c>
      <c r="C1173" s="315" t="s">
        <v>1275</v>
      </c>
      <c r="D1173" s="203" t="s">
        <v>33</v>
      </c>
      <c r="E1173" s="214">
        <v>1.0</v>
      </c>
      <c r="F1173" s="205">
        <v>5000.0</v>
      </c>
      <c r="G1173" s="206">
        <f t="shared" si="53"/>
        <v>5000</v>
      </c>
      <c r="H1173" s="219"/>
      <c r="I1173" s="219"/>
      <c r="J1173" s="240"/>
      <c r="K1173" s="240"/>
      <c r="L1173" s="240"/>
    </row>
    <row r="1174" ht="12.75" customHeight="1" outlineLevel="2">
      <c r="B1174" s="301" t="s">
        <v>2909</v>
      </c>
      <c r="C1174" s="315" t="s">
        <v>1276</v>
      </c>
      <c r="D1174" s="203" t="s">
        <v>33</v>
      </c>
      <c r="E1174" s="214">
        <v>1.0</v>
      </c>
      <c r="F1174" s="205">
        <v>6400.0</v>
      </c>
      <c r="G1174" s="206">
        <f t="shared" si="53"/>
        <v>6400</v>
      </c>
      <c r="H1174" s="219"/>
      <c r="I1174" s="219"/>
      <c r="J1174" s="240"/>
      <c r="K1174" s="240"/>
      <c r="L1174" s="240"/>
    </row>
    <row r="1175" ht="12.75" customHeight="1" outlineLevel="2">
      <c r="B1175" s="301" t="s">
        <v>2911</v>
      </c>
      <c r="C1175" s="315" t="s">
        <v>1277</v>
      </c>
      <c r="D1175" s="203" t="s">
        <v>33</v>
      </c>
      <c r="E1175" s="214">
        <v>1.0</v>
      </c>
      <c r="F1175" s="205">
        <v>2200.0</v>
      </c>
      <c r="G1175" s="206">
        <f t="shared" si="53"/>
        <v>2200</v>
      </c>
      <c r="H1175" s="219"/>
      <c r="I1175" s="219"/>
      <c r="J1175" s="240"/>
      <c r="K1175" s="240"/>
      <c r="L1175" s="240"/>
    </row>
    <row r="1176" ht="12.75" customHeight="1" outlineLevel="2">
      <c r="B1176" s="301" t="s">
        <v>2913</v>
      </c>
      <c r="C1176" s="315" t="s">
        <v>1278</v>
      </c>
      <c r="D1176" s="203" t="s">
        <v>33</v>
      </c>
      <c r="E1176" s="214">
        <v>1.0</v>
      </c>
      <c r="F1176" s="205">
        <v>1300.0</v>
      </c>
      <c r="G1176" s="206">
        <f t="shared" si="53"/>
        <v>1300</v>
      </c>
      <c r="H1176" s="219"/>
      <c r="I1176" s="219"/>
      <c r="J1176" s="240"/>
      <c r="K1176" s="240"/>
      <c r="L1176" s="240"/>
    </row>
    <row r="1177" ht="12.75" customHeight="1" outlineLevel="2">
      <c r="B1177" s="301" t="s">
        <v>2915</v>
      </c>
      <c r="C1177" s="315" t="s">
        <v>1279</v>
      </c>
      <c r="D1177" s="203" t="s">
        <v>33</v>
      </c>
      <c r="E1177" s="214">
        <v>1.0</v>
      </c>
      <c r="F1177" s="205">
        <v>1300.0</v>
      </c>
      <c r="G1177" s="206">
        <f t="shared" si="53"/>
        <v>1300</v>
      </c>
      <c r="H1177" s="219"/>
      <c r="I1177" s="219"/>
      <c r="J1177" s="240"/>
      <c r="K1177" s="240"/>
      <c r="L1177" s="240"/>
    </row>
    <row r="1178" ht="12.75" customHeight="1" outlineLevel="2">
      <c r="B1178" s="301" t="s">
        <v>2917</v>
      </c>
      <c r="C1178" s="315" t="s">
        <v>1280</v>
      </c>
      <c r="D1178" s="203" t="s">
        <v>33</v>
      </c>
      <c r="E1178" s="214">
        <v>1.0</v>
      </c>
      <c r="F1178" s="205"/>
      <c r="G1178" s="206">
        <f t="shared" si="53"/>
        <v>0</v>
      </c>
      <c r="H1178" s="219"/>
      <c r="I1178" s="219"/>
      <c r="J1178" s="240"/>
      <c r="K1178" s="240"/>
      <c r="L1178" s="240"/>
    </row>
    <row r="1179" ht="12.75" customHeight="1" outlineLevel="2">
      <c r="B1179" s="301" t="s">
        <v>2919</v>
      </c>
      <c r="C1179" s="315" t="s">
        <v>1281</v>
      </c>
      <c r="D1179" s="203" t="s">
        <v>33</v>
      </c>
      <c r="E1179" s="214">
        <v>1.0</v>
      </c>
      <c r="F1179" s="205"/>
      <c r="G1179" s="206">
        <f t="shared" si="53"/>
        <v>0</v>
      </c>
      <c r="H1179" s="219"/>
      <c r="I1179" s="219"/>
      <c r="J1179" s="240"/>
      <c r="K1179" s="240"/>
      <c r="L1179" s="240"/>
    </row>
    <row r="1180" ht="12.75" customHeight="1" outlineLevel="2">
      <c r="B1180" s="301" t="s">
        <v>2921</v>
      </c>
      <c r="C1180" s="315" t="s">
        <v>1282</v>
      </c>
      <c r="D1180" s="203" t="s">
        <v>33</v>
      </c>
      <c r="E1180" s="214">
        <v>1.0</v>
      </c>
      <c r="F1180" s="205"/>
      <c r="G1180" s="206">
        <f t="shared" si="53"/>
        <v>0</v>
      </c>
      <c r="H1180" s="219"/>
      <c r="I1180" s="219"/>
      <c r="J1180" s="240"/>
      <c r="K1180" s="240"/>
      <c r="L1180" s="240"/>
    </row>
    <row r="1181" ht="12.75" customHeight="1" outlineLevel="2">
      <c r="B1181" s="301" t="s">
        <v>2923</v>
      </c>
      <c r="C1181" s="315" t="s">
        <v>1283</v>
      </c>
      <c r="D1181" s="203" t="s">
        <v>33</v>
      </c>
      <c r="E1181" s="214">
        <v>1.0</v>
      </c>
      <c r="F1181" s="205"/>
      <c r="G1181" s="206">
        <f t="shared" si="53"/>
        <v>0</v>
      </c>
      <c r="H1181" s="219"/>
      <c r="I1181" s="219"/>
      <c r="J1181" s="240"/>
      <c r="K1181" s="240"/>
      <c r="L1181" s="240"/>
    </row>
    <row r="1182" ht="12.75" customHeight="1" outlineLevel="2">
      <c r="B1182" s="189"/>
      <c r="C1182" s="208"/>
      <c r="E1182" s="79"/>
      <c r="F1182" s="80"/>
      <c r="G1182" s="80"/>
      <c r="H1182" s="240"/>
      <c r="I1182" s="240"/>
      <c r="J1182" s="240"/>
      <c r="K1182" s="240"/>
      <c r="L1182" s="240"/>
    </row>
    <row r="1183" ht="12.75" customHeight="1" outlineLevel="2">
      <c r="A1183" s="89" t="s">
        <v>1284</v>
      </c>
      <c r="B1183" s="189"/>
      <c r="C1183" s="184" t="s">
        <v>1285</v>
      </c>
      <c r="E1183" s="79"/>
      <c r="F1183" s="80"/>
      <c r="G1183" s="80"/>
      <c r="H1183" s="240"/>
      <c r="I1183" s="240"/>
      <c r="J1183" s="240"/>
      <c r="K1183" s="240"/>
      <c r="L1183" s="240"/>
    </row>
    <row r="1184" ht="12.75" customHeight="1" outlineLevel="2">
      <c r="B1184" s="189"/>
      <c r="C1184" s="208"/>
      <c r="E1184" s="79"/>
      <c r="F1184" s="80"/>
      <c r="G1184" s="80"/>
      <c r="H1184" s="240"/>
      <c r="I1184" s="240"/>
      <c r="J1184" s="240"/>
      <c r="K1184" s="240"/>
      <c r="L1184" s="240"/>
    </row>
    <row r="1185" ht="12.75" customHeight="1" outlineLevel="2">
      <c r="B1185" s="322">
        <v>17.5</v>
      </c>
      <c r="C1185" s="323" t="s">
        <v>5639</v>
      </c>
      <c r="E1185" s="79"/>
      <c r="F1185" s="80"/>
      <c r="G1185" s="80"/>
      <c r="H1185" s="240"/>
      <c r="I1185" s="240"/>
      <c r="J1185" s="240"/>
      <c r="K1185" s="240"/>
      <c r="L1185" s="240"/>
    </row>
    <row r="1186" ht="12.75" customHeight="1" outlineLevel="2">
      <c r="B1186" s="189"/>
      <c r="C1186" s="208"/>
      <c r="E1186" s="79"/>
      <c r="F1186" s="80"/>
      <c r="G1186" s="80"/>
      <c r="H1186" s="240"/>
      <c r="I1186" s="240"/>
      <c r="J1186" s="240"/>
      <c r="K1186" s="240"/>
      <c r="L1186" s="240"/>
    </row>
    <row r="1187" ht="12.75" customHeight="1" outlineLevel="2">
      <c r="B1187" s="301" t="s">
        <v>2927</v>
      </c>
      <c r="C1187" s="315" t="s">
        <v>5640</v>
      </c>
      <c r="D1187" s="203" t="s">
        <v>161</v>
      </c>
      <c r="E1187" s="214">
        <v>34.0</v>
      </c>
      <c r="F1187" s="205">
        <v>15.0</v>
      </c>
      <c r="G1187" s="206">
        <f t="shared" ref="G1187:G1206" si="54">F1187*E1187</f>
        <v>510</v>
      </c>
      <c r="H1187" s="219"/>
      <c r="I1187" s="219"/>
      <c r="J1187" s="240"/>
      <c r="K1187" s="240"/>
      <c r="L1187" s="240"/>
    </row>
    <row r="1188" ht="12.75" customHeight="1" outlineLevel="2">
      <c r="B1188" s="301" t="s">
        <v>2929</v>
      </c>
      <c r="C1188" s="315" t="s">
        <v>1288</v>
      </c>
      <c r="D1188" s="203" t="s">
        <v>161</v>
      </c>
      <c r="E1188" s="214">
        <v>12.0</v>
      </c>
      <c r="F1188" s="205">
        <v>9.0</v>
      </c>
      <c r="G1188" s="206">
        <f t="shared" si="54"/>
        <v>108</v>
      </c>
      <c r="H1188" s="219"/>
      <c r="I1188" s="219"/>
      <c r="J1188" s="240"/>
      <c r="K1188" s="240"/>
      <c r="L1188" s="240"/>
    </row>
    <row r="1189" ht="12.75" customHeight="1" outlineLevel="2">
      <c r="B1189" s="301" t="s">
        <v>2930</v>
      </c>
      <c r="C1189" s="315" t="s">
        <v>1289</v>
      </c>
      <c r="D1189" s="203" t="s">
        <v>161</v>
      </c>
      <c r="E1189" s="214">
        <v>33.0</v>
      </c>
      <c r="F1189" s="205">
        <v>7.0</v>
      </c>
      <c r="G1189" s="206">
        <f t="shared" si="54"/>
        <v>231</v>
      </c>
      <c r="H1189" s="219"/>
      <c r="I1189" s="219"/>
      <c r="J1189" s="240"/>
      <c r="K1189" s="240"/>
      <c r="L1189" s="240"/>
    </row>
    <row r="1190" ht="12.75" customHeight="1" outlineLevel="2">
      <c r="B1190" s="301" t="s">
        <v>2932</v>
      </c>
      <c r="C1190" s="315" t="s">
        <v>1290</v>
      </c>
      <c r="D1190" s="203" t="s">
        <v>161</v>
      </c>
      <c r="E1190" s="214">
        <v>9.0</v>
      </c>
      <c r="F1190" s="205">
        <v>20.0</v>
      </c>
      <c r="G1190" s="206">
        <f t="shared" si="54"/>
        <v>180</v>
      </c>
      <c r="H1190" s="219"/>
      <c r="I1190" s="219"/>
      <c r="J1190" s="240"/>
      <c r="K1190" s="240"/>
      <c r="L1190" s="240"/>
    </row>
    <row r="1191" ht="12.75" customHeight="1" outlineLevel="2">
      <c r="B1191" s="301" t="s">
        <v>2933</v>
      </c>
      <c r="C1191" s="315" t="s">
        <v>1291</v>
      </c>
      <c r="D1191" s="203" t="s">
        <v>161</v>
      </c>
      <c r="E1191" s="214">
        <v>59.0</v>
      </c>
      <c r="F1191" s="205">
        <v>8.0</v>
      </c>
      <c r="G1191" s="206">
        <f t="shared" si="54"/>
        <v>472</v>
      </c>
      <c r="H1191" s="219"/>
      <c r="I1191" s="219"/>
      <c r="J1191" s="240"/>
      <c r="K1191" s="240"/>
      <c r="L1191" s="240"/>
    </row>
    <row r="1192" ht="12.75" customHeight="1" outlineLevel="2">
      <c r="B1192" s="301" t="s">
        <v>2934</v>
      </c>
      <c r="C1192" s="315" t="s">
        <v>1292</v>
      </c>
      <c r="D1192" s="203" t="s">
        <v>161</v>
      </c>
      <c r="E1192" s="214">
        <v>33.0</v>
      </c>
      <c r="F1192" s="205">
        <v>8.0</v>
      </c>
      <c r="G1192" s="206">
        <f t="shared" si="54"/>
        <v>264</v>
      </c>
      <c r="H1192" s="219"/>
      <c r="I1192" s="219"/>
      <c r="J1192" s="240"/>
      <c r="K1192" s="240"/>
      <c r="L1192" s="240"/>
    </row>
    <row r="1193" ht="12.75" customHeight="1" outlineLevel="2">
      <c r="B1193" s="301" t="s">
        <v>2935</v>
      </c>
      <c r="C1193" s="315" t="s">
        <v>1293</v>
      </c>
      <c r="D1193" s="203" t="s">
        <v>161</v>
      </c>
      <c r="E1193" s="214">
        <v>30.0</v>
      </c>
      <c r="F1193" s="205">
        <v>8.0</v>
      </c>
      <c r="G1193" s="206">
        <f t="shared" si="54"/>
        <v>240</v>
      </c>
      <c r="H1193" s="219"/>
      <c r="I1193" s="219"/>
      <c r="J1193" s="240"/>
      <c r="K1193" s="240"/>
      <c r="L1193" s="240"/>
    </row>
    <row r="1194" ht="12.75" customHeight="1" outlineLevel="2">
      <c r="B1194" s="301" t="s">
        <v>2936</v>
      </c>
      <c r="C1194" s="315" t="s">
        <v>1294</v>
      </c>
      <c r="D1194" s="203" t="s">
        <v>161</v>
      </c>
      <c r="E1194" s="214">
        <v>13.0</v>
      </c>
      <c r="F1194" s="205">
        <v>8.0</v>
      </c>
      <c r="G1194" s="206">
        <f t="shared" si="54"/>
        <v>104</v>
      </c>
      <c r="H1194" s="219"/>
      <c r="I1194" s="219"/>
      <c r="J1194" s="240"/>
      <c r="K1194" s="240"/>
      <c r="L1194" s="240"/>
    </row>
    <row r="1195" ht="12.75" customHeight="1" outlineLevel="2">
      <c r="B1195" s="301" t="s">
        <v>2938</v>
      </c>
      <c r="C1195" s="315" t="s">
        <v>1295</v>
      </c>
      <c r="D1195" s="203" t="s">
        <v>161</v>
      </c>
      <c r="E1195" s="214">
        <v>35.0</v>
      </c>
      <c r="F1195" s="205">
        <v>8.0</v>
      </c>
      <c r="G1195" s="206">
        <f t="shared" si="54"/>
        <v>280</v>
      </c>
      <c r="H1195" s="219"/>
      <c r="I1195" s="219"/>
      <c r="J1195" s="240"/>
      <c r="K1195" s="240"/>
      <c r="L1195" s="240"/>
    </row>
    <row r="1196" ht="12.75" customHeight="1" outlineLevel="2">
      <c r="B1196" s="301" t="s">
        <v>2940</v>
      </c>
      <c r="C1196" s="315" t="s">
        <v>1296</v>
      </c>
      <c r="D1196" s="203" t="s">
        <v>161</v>
      </c>
      <c r="E1196" s="214">
        <v>30.0</v>
      </c>
      <c r="F1196" s="205">
        <v>8.0</v>
      </c>
      <c r="G1196" s="206">
        <f t="shared" si="54"/>
        <v>240</v>
      </c>
      <c r="H1196" s="219"/>
      <c r="I1196" s="219"/>
      <c r="J1196" s="240"/>
      <c r="K1196" s="240"/>
      <c r="L1196" s="240"/>
    </row>
    <row r="1197" ht="15.0" customHeight="1" outlineLevel="2">
      <c r="B1197" s="301" t="s">
        <v>2942</v>
      </c>
      <c r="C1197" s="315" t="s">
        <v>1297</v>
      </c>
      <c r="D1197" s="203" t="s">
        <v>161</v>
      </c>
      <c r="E1197" s="214">
        <v>10.0</v>
      </c>
      <c r="F1197" s="205">
        <v>0.0</v>
      </c>
      <c r="G1197" s="206">
        <f t="shared" si="54"/>
        <v>0</v>
      </c>
      <c r="H1197" s="206" t="s">
        <v>619</v>
      </c>
      <c r="I1197" s="206" t="s">
        <v>619</v>
      </c>
      <c r="J1197" s="239"/>
      <c r="K1197" s="239"/>
      <c r="L1197" s="239"/>
    </row>
    <row r="1198" ht="12.75" customHeight="1" outlineLevel="2">
      <c r="B1198" s="301" t="s">
        <v>2944</v>
      </c>
      <c r="C1198" s="315" t="s">
        <v>1298</v>
      </c>
      <c r="D1198" s="203" t="s">
        <v>161</v>
      </c>
      <c r="E1198" s="214">
        <v>10.0</v>
      </c>
      <c r="F1198" s="205">
        <v>0.0</v>
      </c>
      <c r="G1198" s="206">
        <f t="shared" si="54"/>
        <v>0</v>
      </c>
      <c r="H1198" s="206" t="s">
        <v>619</v>
      </c>
      <c r="I1198" s="206" t="s">
        <v>619</v>
      </c>
      <c r="J1198" s="239"/>
      <c r="K1198" s="239"/>
      <c r="L1198" s="239"/>
    </row>
    <row r="1199" ht="12.75" customHeight="1" outlineLevel="2">
      <c r="B1199" s="301" t="s">
        <v>2946</v>
      </c>
      <c r="C1199" s="315" t="s">
        <v>1299</v>
      </c>
      <c r="D1199" s="203" t="s">
        <v>161</v>
      </c>
      <c r="E1199" s="214">
        <v>10.0</v>
      </c>
      <c r="F1199" s="205">
        <v>0.0</v>
      </c>
      <c r="G1199" s="206">
        <f t="shared" si="54"/>
        <v>0</v>
      </c>
      <c r="H1199" s="206" t="s">
        <v>619</v>
      </c>
      <c r="I1199" s="206" t="s">
        <v>619</v>
      </c>
      <c r="J1199" s="239"/>
      <c r="K1199" s="239"/>
      <c r="L1199" s="239"/>
    </row>
    <row r="1200" ht="12.75" customHeight="1" outlineLevel="2">
      <c r="B1200" s="301" t="s">
        <v>2948</v>
      </c>
      <c r="C1200" s="315" t="s">
        <v>1300</v>
      </c>
      <c r="D1200" s="203" t="s">
        <v>161</v>
      </c>
      <c r="E1200" s="214">
        <v>10.0</v>
      </c>
      <c r="F1200" s="205">
        <v>0.0</v>
      </c>
      <c r="G1200" s="206">
        <f t="shared" si="54"/>
        <v>0</v>
      </c>
      <c r="H1200" s="206" t="s">
        <v>619</v>
      </c>
      <c r="I1200" s="206" t="s">
        <v>619</v>
      </c>
      <c r="J1200" s="239"/>
      <c r="K1200" s="239"/>
      <c r="L1200" s="239"/>
    </row>
    <row r="1201" ht="12.75" customHeight="1" outlineLevel="2">
      <c r="B1201" s="301" t="s">
        <v>2950</v>
      </c>
      <c r="C1201" s="315" t="s">
        <v>1301</v>
      </c>
      <c r="D1201" s="203" t="s">
        <v>161</v>
      </c>
      <c r="E1201" s="214">
        <v>13.0</v>
      </c>
      <c r="F1201" s="205">
        <v>6.0</v>
      </c>
      <c r="G1201" s="206">
        <f t="shared" si="54"/>
        <v>78</v>
      </c>
      <c r="H1201" s="219"/>
      <c r="I1201" s="219"/>
      <c r="J1201" s="240"/>
      <c r="K1201" s="240"/>
      <c r="L1201" s="240"/>
    </row>
    <row r="1202" ht="12.75" customHeight="1" outlineLevel="2">
      <c r="B1202" s="301" t="s">
        <v>2952</v>
      </c>
      <c r="C1202" s="315" t="s">
        <v>1302</v>
      </c>
      <c r="D1202" s="203" t="s">
        <v>161</v>
      </c>
      <c r="E1202" s="214">
        <v>10.0</v>
      </c>
      <c r="F1202" s="205">
        <v>0.0</v>
      </c>
      <c r="G1202" s="206">
        <f t="shared" si="54"/>
        <v>0</v>
      </c>
      <c r="H1202" s="206" t="s">
        <v>619</v>
      </c>
      <c r="I1202" s="206" t="s">
        <v>619</v>
      </c>
      <c r="J1202" s="239"/>
      <c r="K1202" s="239"/>
      <c r="L1202" s="239"/>
    </row>
    <row r="1203" ht="12.75" customHeight="1" outlineLevel="2">
      <c r="B1203" s="301" t="s">
        <v>2954</v>
      </c>
      <c r="C1203" s="315" t="s">
        <v>1303</v>
      </c>
      <c r="D1203" s="203" t="s">
        <v>161</v>
      </c>
      <c r="E1203" s="214">
        <v>13.0</v>
      </c>
      <c r="F1203" s="205">
        <v>0.0</v>
      </c>
      <c r="G1203" s="206">
        <f t="shared" si="54"/>
        <v>0</v>
      </c>
      <c r="H1203" s="206" t="s">
        <v>619</v>
      </c>
      <c r="I1203" s="206" t="s">
        <v>619</v>
      </c>
      <c r="J1203" s="239"/>
      <c r="K1203" s="239"/>
      <c r="L1203" s="239"/>
    </row>
    <row r="1204" ht="12.75" customHeight="1" outlineLevel="2">
      <c r="B1204" s="301" t="s">
        <v>2956</v>
      </c>
      <c r="C1204" s="315" t="s">
        <v>1304</v>
      </c>
      <c r="D1204" s="203" t="s">
        <v>161</v>
      </c>
      <c r="E1204" s="214">
        <v>13.0</v>
      </c>
      <c r="F1204" s="205">
        <v>0.0</v>
      </c>
      <c r="G1204" s="206">
        <f t="shared" si="54"/>
        <v>0</v>
      </c>
      <c r="H1204" s="206" t="s">
        <v>619</v>
      </c>
      <c r="I1204" s="206" t="s">
        <v>619</v>
      </c>
      <c r="J1204" s="239"/>
      <c r="K1204" s="239"/>
      <c r="L1204" s="239"/>
    </row>
    <row r="1205" ht="12.75" customHeight="1" outlineLevel="2">
      <c r="B1205" s="301" t="s">
        <v>2958</v>
      </c>
      <c r="C1205" s="315" t="s">
        <v>1305</v>
      </c>
      <c r="D1205" s="203" t="s">
        <v>161</v>
      </c>
      <c r="E1205" s="214">
        <v>13.0</v>
      </c>
      <c r="F1205" s="205">
        <v>0.0</v>
      </c>
      <c r="G1205" s="206">
        <f t="shared" si="54"/>
        <v>0</v>
      </c>
      <c r="H1205" s="206" t="s">
        <v>619</v>
      </c>
      <c r="I1205" s="206" t="s">
        <v>619</v>
      </c>
      <c r="J1205" s="239"/>
      <c r="K1205" s="239"/>
      <c r="L1205" s="239"/>
    </row>
    <row r="1206" ht="12.75" customHeight="1" outlineLevel="2">
      <c r="B1206" s="301" t="s">
        <v>2960</v>
      </c>
      <c r="C1206" s="315" t="s">
        <v>1306</v>
      </c>
      <c r="D1206" s="203" t="s">
        <v>161</v>
      </c>
      <c r="E1206" s="214">
        <v>13.0</v>
      </c>
      <c r="F1206" s="205">
        <v>0.0</v>
      </c>
      <c r="G1206" s="206">
        <f t="shared" si="54"/>
        <v>0</v>
      </c>
      <c r="H1206" s="206" t="s">
        <v>619</v>
      </c>
      <c r="I1206" s="206" t="s">
        <v>619</v>
      </c>
      <c r="J1206" s="239"/>
      <c r="K1206" s="239"/>
      <c r="L1206" s="239"/>
    </row>
    <row r="1207" ht="12.75" customHeight="1" outlineLevel="2">
      <c r="B1207" s="189"/>
      <c r="C1207" s="208"/>
      <c r="E1207" s="79"/>
      <c r="F1207" s="80"/>
      <c r="G1207" s="206"/>
      <c r="H1207" s="240"/>
      <c r="I1207" s="240"/>
      <c r="J1207" s="240"/>
      <c r="K1207" s="240"/>
      <c r="L1207" s="240"/>
    </row>
    <row r="1208" ht="12.75" customHeight="1" outlineLevel="2">
      <c r="B1208" s="301" t="s">
        <v>2962</v>
      </c>
      <c r="C1208" s="315" t="s">
        <v>1123</v>
      </c>
      <c r="D1208" s="203"/>
      <c r="E1208" s="214"/>
      <c r="F1208" s="205"/>
      <c r="G1208" s="206"/>
      <c r="H1208" s="219"/>
      <c r="I1208" s="219"/>
      <c r="J1208" s="240"/>
      <c r="K1208" s="240"/>
      <c r="L1208" s="240"/>
    </row>
    <row r="1209" ht="12.75" customHeight="1" outlineLevel="2">
      <c r="B1209" s="189"/>
      <c r="C1209" s="208"/>
      <c r="E1209" s="79"/>
      <c r="F1209" s="80"/>
      <c r="G1209" s="206"/>
      <c r="H1209" s="240"/>
      <c r="I1209" s="240"/>
      <c r="J1209" s="240"/>
      <c r="K1209" s="240"/>
      <c r="L1209" s="240"/>
    </row>
    <row r="1210" ht="12.75" customHeight="1" outlineLevel="2">
      <c r="B1210" s="301" t="s">
        <v>2964</v>
      </c>
      <c r="C1210" s="315" t="s">
        <v>1307</v>
      </c>
      <c r="D1210" s="203" t="s">
        <v>161</v>
      </c>
      <c r="E1210" s="214">
        <v>7.0</v>
      </c>
      <c r="F1210" s="205">
        <v>7.0</v>
      </c>
      <c r="G1210" s="206">
        <f t="shared" ref="G1210:G1216" si="55">F1210*E1210</f>
        <v>49</v>
      </c>
      <c r="H1210" s="219"/>
      <c r="I1210" s="219"/>
      <c r="J1210" s="240"/>
      <c r="K1210" s="240"/>
      <c r="L1210" s="240"/>
    </row>
    <row r="1211" ht="12.75" customHeight="1" outlineLevel="2">
      <c r="B1211" s="301" t="s">
        <v>2966</v>
      </c>
      <c r="C1211" s="315" t="s">
        <v>1308</v>
      </c>
      <c r="D1211" s="203" t="s">
        <v>161</v>
      </c>
      <c r="E1211" s="214">
        <v>550.0</v>
      </c>
      <c r="F1211" s="205">
        <v>4.0</v>
      </c>
      <c r="G1211" s="206">
        <f t="shared" si="55"/>
        <v>2200</v>
      </c>
      <c r="H1211" s="219"/>
      <c r="I1211" s="219"/>
      <c r="J1211" s="240"/>
      <c r="K1211" s="240"/>
      <c r="L1211" s="240"/>
    </row>
    <row r="1212" ht="12.75" customHeight="1" outlineLevel="2">
      <c r="B1212" s="301" t="s">
        <v>2968</v>
      </c>
      <c r="C1212" s="315" t="s">
        <v>1309</v>
      </c>
      <c r="D1212" s="203" t="s">
        <v>161</v>
      </c>
      <c r="E1212" s="214">
        <v>64.0</v>
      </c>
      <c r="F1212" s="205">
        <v>3.0</v>
      </c>
      <c r="G1212" s="206">
        <f t="shared" si="55"/>
        <v>192</v>
      </c>
      <c r="H1212" s="219"/>
      <c r="I1212" s="219"/>
      <c r="J1212" s="240"/>
      <c r="K1212" s="240"/>
      <c r="L1212" s="240"/>
    </row>
    <row r="1213" ht="12.75" customHeight="1" outlineLevel="2">
      <c r="B1213" s="301" t="s">
        <v>2970</v>
      </c>
      <c r="C1213" s="315" t="s">
        <v>1310</v>
      </c>
      <c r="D1213" s="203" t="s">
        <v>161</v>
      </c>
      <c r="E1213" s="214">
        <v>169.0</v>
      </c>
      <c r="F1213" s="205">
        <v>3.0</v>
      </c>
      <c r="G1213" s="206">
        <f t="shared" si="55"/>
        <v>507</v>
      </c>
      <c r="H1213" s="219"/>
      <c r="I1213" s="219"/>
      <c r="J1213" s="240"/>
      <c r="K1213" s="240"/>
      <c r="L1213" s="240"/>
    </row>
    <row r="1214" ht="12.75" customHeight="1" outlineLevel="2">
      <c r="B1214" s="301" t="s">
        <v>2972</v>
      </c>
      <c r="C1214" s="315" t="s">
        <v>1311</v>
      </c>
      <c r="D1214" s="203" t="s">
        <v>161</v>
      </c>
      <c r="E1214" s="214">
        <v>98.0</v>
      </c>
      <c r="F1214" s="205">
        <v>2.5</v>
      </c>
      <c r="G1214" s="206">
        <f t="shared" si="55"/>
        <v>245</v>
      </c>
      <c r="H1214" s="219"/>
      <c r="I1214" s="219"/>
      <c r="J1214" s="240"/>
      <c r="K1214" s="240"/>
      <c r="L1214" s="240"/>
    </row>
    <row r="1215" ht="12.75" customHeight="1" outlineLevel="2">
      <c r="B1215" s="301" t="s">
        <v>2974</v>
      </c>
      <c r="C1215" s="315" t="s">
        <v>1312</v>
      </c>
      <c r="D1215" s="203" t="s">
        <v>161</v>
      </c>
      <c r="E1215" s="214">
        <v>25.0</v>
      </c>
      <c r="F1215" s="205">
        <v>1.0</v>
      </c>
      <c r="G1215" s="206">
        <f t="shared" si="55"/>
        <v>25</v>
      </c>
      <c r="H1215" s="219"/>
      <c r="I1215" s="219"/>
      <c r="J1215" s="240"/>
      <c r="K1215" s="240"/>
      <c r="L1215" s="240"/>
    </row>
    <row r="1216" ht="12.75" customHeight="1" outlineLevel="2">
      <c r="B1216" s="301" t="s">
        <v>2976</v>
      </c>
      <c r="C1216" s="315" t="s">
        <v>1313</v>
      </c>
      <c r="D1216" s="203" t="s">
        <v>161</v>
      </c>
      <c r="E1216" s="214">
        <v>75.0</v>
      </c>
      <c r="F1216" s="205">
        <v>3.0</v>
      </c>
      <c r="G1216" s="206">
        <f t="shared" si="55"/>
        <v>225</v>
      </c>
      <c r="H1216" s="219"/>
      <c r="I1216" s="219"/>
      <c r="J1216" s="240"/>
      <c r="K1216" s="240"/>
      <c r="L1216" s="240"/>
    </row>
    <row r="1217" ht="12.75" customHeight="1" outlineLevel="2">
      <c r="B1217" s="189"/>
      <c r="C1217" s="208"/>
      <c r="E1217" s="79"/>
      <c r="F1217" s="80"/>
      <c r="G1217" s="80"/>
      <c r="H1217" s="240"/>
      <c r="I1217" s="240"/>
      <c r="J1217" s="240"/>
      <c r="K1217" s="240"/>
      <c r="L1217" s="240"/>
    </row>
    <row r="1218" ht="12.75" customHeight="1" outlineLevel="2">
      <c r="B1218" s="324">
        <v>17.7</v>
      </c>
      <c r="C1218" s="323" t="s">
        <v>1128</v>
      </c>
      <c r="E1218" s="79"/>
      <c r="F1218" s="80"/>
      <c r="G1218" s="80"/>
      <c r="H1218" s="240"/>
      <c r="I1218" s="240"/>
      <c r="J1218" s="240"/>
      <c r="K1218" s="240"/>
      <c r="L1218" s="240"/>
    </row>
    <row r="1219" ht="12.75" customHeight="1" outlineLevel="2">
      <c r="B1219" s="189"/>
      <c r="C1219" s="208"/>
      <c r="E1219" s="79"/>
      <c r="F1219" s="80"/>
      <c r="G1219" s="80"/>
      <c r="H1219" s="240"/>
      <c r="I1219" s="240"/>
      <c r="J1219" s="240"/>
      <c r="K1219" s="240"/>
      <c r="L1219" s="240"/>
    </row>
    <row r="1220" ht="12.75" customHeight="1" outlineLevel="2">
      <c r="B1220" s="301" t="s">
        <v>2978</v>
      </c>
      <c r="C1220" s="315" t="s">
        <v>1314</v>
      </c>
      <c r="D1220" s="203" t="s">
        <v>75</v>
      </c>
      <c r="E1220" s="214">
        <v>13.0</v>
      </c>
      <c r="F1220" s="205">
        <v>200.0</v>
      </c>
      <c r="G1220" s="206">
        <f>F1220*E1220</f>
        <v>2600</v>
      </c>
      <c r="H1220" s="219"/>
      <c r="I1220" s="219"/>
      <c r="J1220" s="240"/>
      <c r="K1220" s="240"/>
      <c r="L1220" s="240"/>
    </row>
    <row r="1221" ht="12.75" customHeight="1" outlineLevel="2">
      <c r="B1221" s="189"/>
      <c r="C1221" s="208"/>
      <c r="E1221" s="79"/>
      <c r="F1221" s="80"/>
      <c r="G1221" s="80"/>
      <c r="H1221" s="240"/>
      <c r="I1221" s="240"/>
      <c r="J1221" s="240"/>
      <c r="K1221" s="240"/>
      <c r="L1221" s="240"/>
    </row>
    <row r="1222" ht="12.75" customHeight="1" outlineLevel="2">
      <c r="A1222" s="89" t="s">
        <v>1315</v>
      </c>
      <c r="B1222" s="189"/>
      <c r="C1222" s="184" t="s">
        <v>1316</v>
      </c>
      <c r="E1222" s="79"/>
      <c r="F1222" s="80"/>
      <c r="G1222" s="80"/>
      <c r="H1222" s="240"/>
      <c r="I1222" s="240"/>
      <c r="J1222" s="240"/>
      <c r="K1222" s="240"/>
      <c r="L1222" s="240"/>
    </row>
    <row r="1223" ht="12.75" customHeight="1" outlineLevel="2">
      <c r="B1223" s="189"/>
      <c r="C1223" s="208"/>
      <c r="E1223" s="79"/>
      <c r="F1223" s="80"/>
      <c r="G1223" s="80"/>
      <c r="H1223" s="240"/>
      <c r="I1223" s="240"/>
      <c r="J1223" s="240"/>
      <c r="K1223" s="240"/>
      <c r="L1223" s="240"/>
    </row>
    <row r="1224" ht="12.75" customHeight="1" outlineLevel="2">
      <c r="B1224" s="324">
        <v>17.8</v>
      </c>
      <c r="C1224" s="323" t="s">
        <v>1317</v>
      </c>
      <c r="E1224" s="79"/>
      <c r="F1224" s="80"/>
      <c r="G1224" s="80"/>
      <c r="H1224" s="240"/>
      <c r="I1224" s="240"/>
      <c r="J1224" s="240"/>
      <c r="K1224" s="240"/>
      <c r="L1224" s="240"/>
    </row>
    <row r="1225" ht="12.75" customHeight="1" outlineLevel="2">
      <c r="B1225" s="189"/>
      <c r="C1225" s="208"/>
      <c r="E1225" s="79"/>
      <c r="F1225" s="80"/>
      <c r="G1225" s="80"/>
      <c r="H1225" s="240"/>
      <c r="I1225" s="240"/>
      <c r="J1225" s="240"/>
      <c r="K1225" s="240"/>
      <c r="L1225" s="240"/>
    </row>
    <row r="1226" ht="12.75" customHeight="1" outlineLevel="2">
      <c r="B1226" s="301" t="s">
        <v>2982</v>
      </c>
      <c r="C1226" s="315" t="s">
        <v>1318</v>
      </c>
      <c r="D1226" s="203" t="s">
        <v>75</v>
      </c>
      <c r="E1226" s="214">
        <v>1.0</v>
      </c>
      <c r="F1226" s="205">
        <v>100.0</v>
      </c>
      <c r="G1226" s="206">
        <f t="shared" ref="G1226:G1232" si="56">F1226*E1226</f>
        <v>100</v>
      </c>
      <c r="H1226" s="219"/>
      <c r="I1226" s="219"/>
      <c r="J1226" s="240"/>
      <c r="K1226" s="240"/>
      <c r="L1226" s="240"/>
    </row>
    <row r="1227" ht="12.75" customHeight="1" outlineLevel="2">
      <c r="B1227" s="301" t="s">
        <v>2984</v>
      </c>
      <c r="C1227" s="315" t="s">
        <v>1319</v>
      </c>
      <c r="D1227" s="203" t="s">
        <v>161</v>
      </c>
      <c r="E1227" s="214">
        <v>13.0</v>
      </c>
      <c r="F1227" s="205">
        <v>7.0</v>
      </c>
      <c r="G1227" s="206">
        <f t="shared" si="56"/>
        <v>91</v>
      </c>
      <c r="H1227" s="219"/>
      <c r="I1227" s="219"/>
      <c r="J1227" s="240"/>
      <c r="K1227" s="240"/>
      <c r="L1227" s="240"/>
    </row>
    <row r="1228" ht="12.75" customHeight="1" outlineLevel="2">
      <c r="B1228" s="301" t="s">
        <v>2986</v>
      </c>
      <c r="C1228" s="315" t="s">
        <v>1320</v>
      </c>
      <c r="D1228" s="203" t="s">
        <v>75</v>
      </c>
      <c r="E1228" s="214">
        <v>3.0</v>
      </c>
      <c r="F1228" s="205">
        <v>50.0</v>
      </c>
      <c r="G1228" s="206">
        <f t="shared" si="56"/>
        <v>150</v>
      </c>
      <c r="H1228" s="219"/>
      <c r="I1228" s="219"/>
      <c r="J1228" s="240"/>
      <c r="K1228" s="240"/>
      <c r="L1228" s="240"/>
    </row>
    <row r="1229" ht="12.75" customHeight="1" outlineLevel="2">
      <c r="B1229" s="301" t="s">
        <v>2988</v>
      </c>
      <c r="C1229" s="315" t="s">
        <v>1321</v>
      </c>
      <c r="D1229" s="203" t="s">
        <v>161</v>
      </c>
      <c r="E1229" s="214">
        <v>13.0</v>
      </c>
      <c r="F1229" s="205">
        <v>2.5</v>
      </c>
      <c r="G1229" s="206">
        <f t="shared" si="56"/>
        <v>32.5</v>
      </c>
      <c r="H1229" s="219"/>
      <c r="I1229" s="219"/>
      <c r="J1229" s="240"/>
      <c r="K1229" s="240"/>
      <c r="L1229" s="240"/>
    </row>
    <row r="1230" ht="12.75" customHeight="1" outlineLevel="2">
      <c r="B1230" s="301" t="s">
        <v>2990</v>
      </c>
      <c r="C1230" s="315" t="s">
        <v>1322</v>
      </c>
      <c r="D1230" s="203" t="s">
        <v>161</v>
      </c>
      <c r="E1230" s="214">
        <v>7.0</v>
      </c>
      <c r="F1230" s="205">
        <v>4.0</v>
      </c>
      <c r="G1230" s="206">
        <f t="shared" si="56"/>
        <v>28</v>
      </c>
      <c r="H1230" s="219"/>
      <c r="I1230" s="219"/>
      <c r="J1230" s="240"/>
      <c r="K1230" s="240"/>
      <c r="L1230" s="240"/>
    </row>
    <row r="1231" ht="12.75" customHeight="1" outlineLevel="2">
      <c r="B1231" s="301" t="s">
        <v>2992</v>
      </c>
      <c r="C1231" s="315" t="s">
        <v>1323</v>
      </c>
      <c r="D1231" s="203" t="s">
        <v>161</v>
      </c>
      <c r="E1231" s="214">
        <v>63.0</v>
      </c>
      <c r="F1231" s="205">
        <v>1.0</v>
      </c>
      <c r="G1231" s="206">
        <f t="shared" si="56"/>
        <v>63</v>
      </c>
      <c r="H1231" s="219"/>
      <c r="I1231" s="219"/>
      <c r="J1231" s="240"/>
      <c r="K1231" s="240"/>
      <c r="L1231" s="240"/>
    </row>
    <row r="1232" ht="12.75" customHeight="1" outlineLevel="2">
      <c r="B1232" s="301" t="s">
        <v>2994</v>
      </c>
      <c r="C1232" s="315" t="s">
        <v>1324</v>
      </c>
      <c r="D1232" s="203" t="s">
        <v>161</v>
      </c>
      <c r="E1232" s="214">
        <v>63.0</v>
      </c>
      <c r="F1232" s="205">
        <v>2.0</v>
      </c>
      <c r="G1232" s="206">
        <f t="shared" si="56"/>
        <v>126</v>
      </c>
      <c r="H1232" s="219"/>
      <c r="I1232" s="219"/>
      <c r="J1232" s="240"/>
      <c r="K1232" s="240"/>
      <c r="L1232" s="240"/>
    </row>
    <row r="1233" ht="12.75" customHeight="1" outlineLevel="2">
      <c r="B1233" s="189"/>
      <c r="C1233" s="208"/>
      <c r="E1233" s="79"/>
      <c r="F1233" s="80"/>
      <c r="G1233" s="80"/>
      <c r="H1233" s="240"/>
      <c r="I1233" s="240"/>
      <c r="J1233" s="240"/>
      <c r="K1233" s="240"/>
      <c r="L1233" s="240"/>
    </row>
    <row r="1234" ht="12.75" customHeight="1" outlineLevel="2">
      <c r="A1234" s="89" t="s">
        <v>1325</v>
      </c>
      <c r="B1234" s="324">
        <v>17.9</v>
      </c>
      <c r="C1234" s="323" t="s">
        <v>5644</v>
      </c>
      <c r="E1234" s="79"/>
      <c r="F1234" s="80"/>
      <c r="G1234" s="80"/>
      <c r="H1234" s="240"/>
      <c r="I1234" s="240"/>
      <c r="J1234" s="240"/>
      <c r="K1234" s="240"/>
      <c r="L1234" s="240"/>
    </row>
    <row r="1235" ht="12.75" customHeight="1" outlineLevel="2">
      <c r="B1235" s="189"/>
      <c r="C1235" s="208"/>
      <c r="E1235" s="79"/>
      <c r="F1235" s="80"/>
      <c r="G1235" s="80"/>
      <c r="H1235" s="240"/>
      <c r="I1235" s="240"/>
      <c r="J1235" s="240"/>
      <c r="K1235" s="240"/>
      <c r="L1235" s="240"/>
    </row>
    <row r="1236" ht="12.75" customHeight="1" outlineLevel="2">
      <c r="B1236" s="301" t="s">
        <v>2996</v>
      </c>
      <c r="C1236" s="315" t="s">
        <v>1327</v>
      </c>
      <c r="D1236" s="203" t="s">
        <v>161</v>
      </c>
      <c r="E1236" s="214">
        <v>290.0</v>
      </c>
      <c r="F1236" s="205">
        <v>2.0</v>
      </c>
      <c r="G1236" s="206">
        <f t="shared" ref="G1236:G1240" si="57">F1236*E1236</f>
        <v>580</v>
      </c>
      <c r="H1236" s="219"/>
      <c r="I1236" s="219"/>
      <c r="J1236" s="240"/>
      <c r="K1236" s="240"/>
      <c r="L1236" s="240"/>
    </row>
    <row r="1237" ht="12.75" customHeight="1" outlineLevel="2">
      <c r="B1237" s="301" t="s">
        <v>2998</v>
      </c>
      <c r="C1237" s="315" t="s">
        <v>1328</v>
      </c>
      <c r="D1237" s="203" t="s">
        <v>161</v>
      </c>
      <c r="E1237" s="214">
        <v>19.0</v>
      </c>
      <c r="F1237" s="205">
        <v>3.0</v>
      </c>
      <c r="G1237" s="206">
        <f t="shared" si="57"/>
        <v>57</v>
      </c>
      <c r="H1237" s="219"/>
      <c r="I1237" s="219"/>
      <c r="J1237" s="240"/>
      <c r="K1237" s="240"/>
      <c r="L1237" s="240"/>
    </row>
    <row r="1238" ht="12.75" customHeight="1" outlineLevel="2">
      <c r="B1238" s="301" t="s">
        <v>3000</v>
      </c>
      <c r="C1238" s="315" t="s">
        <v>1329</v>
      </c>
      <c r="D1238" s="203" t="s">
        <v>161</v>
      </c>
      <c r="E1238" s="214">
        <v>290.0</v>
      </c>
      <c r="F1238" s="205">
        <v>1.6</v>
      </c>
      <c r="G1238" s="206">
        <f t="shared" si="57"/>
        <v>464</v>
      </c>
      <c r="H1238" s="219"/>
      <c r="I1238" s="219"/>
      <c r="J1238" s="240"/>
      <c r="K1238" s="240"/>
      <c r="L1238" s="240"/>
    </row>
    <row r="1239" ht="12.75" customHeight="1" outlineLevel="2">
      <c r="B1239" s="301" t="s">
        <v>3002</v>
      </c>
      <c r="C1239" s="315" t="s">
        <v>1330</v>
      </c>
      <c r="D1239" s="203" t="s">
        <v>161</v>
      </c>
      <c r="E1239" s="214">
        <v>19.0</v>
      </c>
      <c r="F1239" s="205">
        <v>2.1</v>
      </c>
      <c r="G1239" s="206">
        <f t="shared" si="57"/>
        <v>39.9</v>
      </c>
      <c r="H1239" s="219"/>
      <c r="I1239" s="219"/>
      <c r="J1239" s="240"/>
      <c r="K1239" s="240"/>
      <c r="L1239" s="240"/>
    </row>
    <row r="1240" ht="12.75" customHeight="1" outlineLevel="2">
      <c r="B1240" s="301" t="s">
        <v>3004</v>
      </c>
      <c r="C1240" s="315" t="s">
        <v>1331</v>
      </c>
      <c r="D1240" s="203" t="s">
        <v>75</v>
      </c>
      <c r="E1240" s="214">
        <v>12.0</v>
      </c>
      <c r="F1240" s="205">
        <v>1.5</v>
      </c>
      <c r="G1240" s="206">
        <f t="shared" si="57"/>
        <v>18</v>
      </c>
      <c r="H1240" s="219"/>
      <c r="I1240" s="219"/>
      <c r="J1240" s="240"/>
      <c r="K1240" s="240"/>
      <c r="L1240" s="240"/>
    </row>
    <row r="1241" ht="12.75" customHeight="1" outlineLevel="2">
      <c r="B1241" s="189"/>
      <c r="C1241" s="208"/>
      <c r="E1241" s="79"/>
      <c r="F1241" s="80"/>
      <c r="G1241" s="80"/>
      <c r="H1241" s="240"/>
      <c r="I1241" s="240"/>
      <c r="J1241" s="240"/>
      <c r="K1241" s="240"/>
      <c r="L1241" s="240"/>
    </row>
    <row r="1242" ht="12.75" customHeight="1" outlineLevel="1">
      <c r="A1242" s="89" t="s">
        <v>1332</v>
      </c>
      <c r="B1242" s="305"/>
      <c r="C1242" s="184" t="s">
        <v>1333</v>
      </c>
      <c r="E1242" s="79"/>
      <c r="F1242" s="586">
        <f>SUM(G1246:G1270)</f>
        <v>29544.5</v>
      </c>
      <c r="K1242" s="436">
        <v>20000.0</v>
      </c>
      <c r="L1242" s="240">
        <f>F1242-K1242</f>
        <v>9544.5</v>
      </c>
    </row>
    <row r="1243" ht="12.75" customHeight="1" outlineLevel="2">
      <c r="B1243" s="189"/>
      <c r="C1243" s="208"/>
      <c r="E1243" s="79"/>
      <c r="F1243" s="80"/>
      <c r="G1243" s="80"/>
      <c r="H1243" s="240"/>
      <c r="I1243" s="240"/>
      <c r="J1243" s="240"/>
      <c r="K1243" s="240"/>
      <c r="L1243" s="240"/>
    </row>
    <row r="1244" ht="12.75" customHeight="1" outlineLevel="2">
      <c r="B1244" s="325" t="s">
        <v>3007</v>
      </c>
      <c r="C1244" s="323" t="s">
        <v>5645</v>
      </c>
      <c r="E1244" s="79"/>
      <c r="F1244" s="80"/>
      <c r="G1244" s="80"/>
      <c r="H1244" s="240"/>
      <c r="I1244" s="240"/>
      <c r="J1244" s="240"/>
      <c r="K1244" s="240"/>
      <c r="L1244" s="240"/>
    </row>
    <row r="1245" ht="12.75" customHeight="1" outlineLevel="2">
      <c r="B1245" s="189"/>
      <c r="C1245" s="208"/>
      <c r="E1245" s="79"/>
      <c r="F1245" s="80"/>
      <c r="G1245" s="80"/>
      <c r="H1245" s="240"/>
      <c r="I1245" s="240"/>
      <c r="J1245" s="240"/>
      <c r="K1245" s="240"/>
      <c r="L1245" s="240"/>
    </row>
    <row r="1246" ht="12.75" customHeight="1" outlineLevel="2">
      <c r="B1246" s="301" t="s">
        <v>3009</v>
      </c>
      <c r="C1246" s="315" t="s">
        <v>1334</v>
      </c>
      <c r="D1246" s="203" t="s">
        <v>161</v>
      </c>
      <c r="E1246" s="214">
        <v>732.0</v>
      </c>
      <c r="F1246" s="205">
        <v>3.0</v>
      </c>
      <c r="G1246" s="206">
        <f t="shared" ref="G1246:G1249" si="58">F1246*E1246</f>
        <v>2196</v>
      </c>
      <c r="H1246" s="219"/>
      <c r="I1246" s="219"/>
      <c r="J1246" s="240"/>
      <c r="K1246" s="240"/>
      <c r="L1246" s="240"/>
    </row>
    <row r="1247" ht="12.75" customHeight="1" outlineLevel="2">
      <c r="B1247" s="301" t="s">
        <v>3011</v>
      </c>
      <c r="C1247" s="315" t="s">
        <v>1335</v>
      </c>
      <c r="D1247" s="203" t="s">
        <v>161</v>
      </c>
      <c r="E1247" s="214">
        <v>780.0</v>
      </c>
      <c r="F1247" s="205">
        <v>3.0</v>
      </c>
      <c r="G1247" s="206">
        <f t="shared" si="58"/>
        <v>2340</v>
      </c>
      <c r="H1247" s="219"/>
      <c r="I1247" s="219"/>
      <c r="J1247" s="240"/>
      <c r="K1247" s="240"/>
      <c r="L1247" s="240"/>
    </row>
    <row r="1248" ht="12.75" customHeight="1" outlineLevel="2">
      <c r="B1248" s="301" t="s">
        <v>3013</v>
      </c>
      <c r="C1248" s="315" t="s">
        <v>1336</v>
      </c>
      <c r="D1248" s="203" t="s">
        <v>161</v>
      </c>
      <c r="E1248" s="214">
        <v>40.0</v>
      </c>
      <c r="F1248" s="205">
        <v>3.2</v>
      </c>
      <c r="G1248" s="206">
        <f t="shared" si="58"/>
        <v>128</v>
      </c>
      <c r="H1248" s="219"/>
      <c r="I1248" s="219"/>
      <c r="J1248" s="240"/>
      <c r="K1248" s="240"/>
      <c r="L1248" s="240"/>
    </row>
    <row r="1249" ht="12.75" customHeight="1" outlineLevel="2">
      <c r="B1249" s="301" t="s">
        <v>3015</v>
      </c>
      <c r="C1249" s="315" t="s">
        <v>1337</v>
      </c>
      <c r="D1249" s="203" t="s">
        <v>161</v>
      </c>
      <c r="E1249" s="214">
        <v>33.0</v>
      </c>
      <c r="F1249" s="205">
        <v>5.0</v>
      </c>
      <c r="G1249" s="206">
        <f t="shared" si="58"/>
        <v>165</v>
      </c>
      <c r="H1249" s="219"/>
      <c r="I1249" s="219"/>
      <c r="J1249" s="240"/>
      <c r="K1249" s="240"/>
      <c r="L1249" s="240"/>
    </row>
    <row r="1250" ht="12.75" customHeight="1" outlineLevel="2">
      <c r="B1250" s="189"/>
      <c r="C1250" s="208"/>
      <c r="E1250" s="79"/>
      <c r="F1250" s="80"/>
      <c r="G1250" s="80"/>
      <c r="H1250" s="240"/>
      <c r="I1250" s="240"/>
      <c r="J1250" s="240"/>
      <c r="K1250" s="240"/>
      <c r="L1250" s="240"/>
    </row>
    <row r="1251" ht="12.75" customHeight="1" outlineLevel="2">
      <c r="B1251" s="322">
        <v>17.11</v>
      </c>
      <c r="C1251" s="326" t="s">
        <v>5646</v>
      </c>
      <c r="E1251" s="79"/>
      <c r="F1251" s="80"/>
      <c r="G1251" s="80"/>
      <c r="H1251" s="240"/>
      <c r="I1251" s="240"/>
      <c r="J1251" s="240"/>
      <c r="K1251" s="240"/>
      <c r="L1251" s="240"/>
    </row>
    <row r="1252" ht="12.75" customHeight="1" outlineLevel="2">
      <c r="B1252" s="189"/>
      <c r="C1252" s="208"/>
      <c r="E1252" s="79"/>
      <c r="F1252" s="80"/>
      <c r="G1252" s="80"/>
      <c r="H1252" s="240"/>
      <c r="I1252" s="240"/>
      <c r="J1252" s="240"/>
      <c r="K1252" s="240"/>
      <c r="L1252" s="240"/>
    </row>
    <row r="1253" ht="12.75" customHeight="1" outlineLevel="2">
      <c r="B1253" s="301" t="s">
        <v>3018</v>
      </c>
      <c r="C1253" s="315" t="s">
        <v>1329</v>
      </c>
      <c r="D1253" s="203" t="s">
        <v>161</v>
      </c>
      <c r="E1253" s="214">
        <v>1552.0</v>
      </c>
      <c r="F1253" s="205">
        <v>1.6</v>
      </c>
      <c r="G1253" s="206">
        <f t="shared" ref="G1253:G1254" si="59">F1253*E1253</f>
        <v>2483.2</v>
      </c>
      <c r="H1253" s="219"/>
      <c r="I1253" s="219"/>
      <c r="J1253" s="240"/>
      <c r="K1253" s="240"/>
      <c r="L1253" s="240"/>
    </row>
    <row r="1254" ht="12.75" customHeight="1" outlineLevel="2">
      <c r="B1254" s="301" t="s">
        <v>3019</v>
      </c>
      <c r="C1254" s="315" t="s">
        <v>1330</v>
      </c>
      <c r="D1254" s="203" t="s">
        <v>161</v>
      </c>
      <c r="E1254" s="214">
        <v>33.0</v>
      </c>
      <c r="F1254" s="205">
        <v>2.1</v>
      </c>
      <c r="G1254" s="206">
        <f t="shared" si="59"/>
        <v>69.3</v>
      </c>
      <c r="H1254" s="219"/>
      <c r="I1254" s="219"/>
      <c r="J1254" s="240"/>
      <c r="K1254" s="240"/>
      <c r="L1254" s="240"/>
    </row>
    <row r="1255" ht="12.75" customHeight="1" outlineLevel="2">
      <c r="B1255" s="189"/>
      <c r="C1255" s="208"/>
      <c r="E1255" s="79"/>
      <c r="F1255" s="80"/>
      <c r="G1255" s="80"/>
      <c r="H1255" s="240"/>
      <c r="I1255" s="240"/>
      <c r="J1255" s="240"/>
      <c r="K1255" s="240"/>
      <c r="L1255" s="240"/>
    </row>
    <row r="1256" ht="12.75" customHeight="1" outlineLevel="2">
      <c r="B1256" s="324">
        <v>17.12</v>
      </c>
      <c r="C1256" s="323" t="s">
        <v>5647</v>
      </c>
      <c r="E1256" s="79"/>
      <c r="F1256" s="80"/>
      <c r="G1256" s="80"/>
      <c r="H1256" s="240"/>
      <c r="I1256" s="240"/>
      <c r="J1256" s="240"/>
      <c r="K1256" s="240"/>
      <c r="L1256" s="240"/>
    </row>
    <row r="1257" ht="12.75" customHeight="1" outlineLevel="2">
      <c r="B1257" s="189"/>
      <c r="C1257" s="208"/>
      <c r="E1257" s="79"/>
      <c r="F1257" s="80"/>
      <c r="G1257" s="80"/>
      <c r="H1257" s="240"/>
      <c r="I1257" s="240"/>
      <c r="J1257" s="240"/>
      <c r="K1257" s="240"/>
      <c r="L1257" s="240"/>
    </row>
    <row r="1258" ht="12.75" customHeight="1" outlineLevel="2">
      <c r="B1258" s="301" t="s">
        <v>3021</v>
      </c>
      <c r="C1258" s="315" t="s">
        <v>1338</v>
      </c>
      <c r="D1258" s="203" t="s">
        <v>75</v>
      </c>
      <c r="E1258" s="214">
        <v>160.0</v>
      </c>
      <c r="F1258" s="205">
        <v>2.3</v>
      </c>
      <c r="G1258" s="206">
        <f>F1258*E1258</f>
        <v>368</v>
      </c>
      <c r="H1258" s="219"/>
      <c r="I1258" s="219"/>
      <c r="J1258" s="240"/>
      <c r="K1258" s="240"/>
      <c r="L1258" s="240"/>
    </row>
    <row r="1259" ht="12.75" customHeight="1" outlineLevel="2">
      <c r="B1259" s="189"/>
      <c r="C1259" s="208"/>
      <c r="E1259" s="79"/>
      <c r="F1259" s="80"/>
      <c r="G1259" s="80"/>
      <c r="H1259" s="240"/>
      <c r="I1259" s="240"/>
      <c r="J1259" s="240"/>
      <c r="K1259" s="240"/>
      <c r="L1259" s="240"/>
    </row>
    <row r="1260" ht="12.75" customHeight="1" outlineLevel="2">
      <c r="B1260" s="324">
        <v>17.13</v>
      </c>
      <c r="C1260" s="323" t="s">
        <v>5648</v>
      </c>
      <c r="E1260" s="79"/>
      <c r="F1260" s="80"/>
      <c r="G1260" s="80"/>
      <c r="H1260" s="240"/>
      <c r="I1260" s="240"/>
      <c r="J1260" s="240"/>
      <c r="K1260" s="240"/>
      <c r="L1260" s="240"/>
    </row>
    <row r="1261" ht="12.75" customHeight="1" outlineLevel="2">
      <c r="B1261" s="189"/>
      <c r="C1261" s="208"/>
      <c r="E1261" s="79"/>
      <c r="F1261" s="80"/>
      <c r="G1261" s="80"/>
      <c r="H1261" s="240"/>
      <c r="I1261" s="240"/>
      <c r="J1261" s="240"/>
      <c r="K1261" s="240"/>
      <c r="L1261" s="240"/>
    </row>
    <row r="1262" ht="12.75" customHeight="1" outlineLevel="2">
      <c r="B1262" s="301" t="s">
        <v>3024</v>
      </c>
      <c r="C1262" s="315" t="s">
        <v>1340</v>
      </c>
      <c r="D1262" s="203" t="s">
        <v>75</v>
      </c>
      <c r="E1262" s="214">
        <v>21.0</v>
      </c>
      <c r="F1262" s="205">
        <v>30.0</v>
      </c>
      <c r="G1262" s="206">
        <f t="shared" ref="G1262:G1270" si="60">F1262*E1262</f>
        <v>630</v>
      </c>
      <c r="H1262" s="219"/>
      <c r="I1262" s="219"/>
      <c r="J1262" s="240"/>
      <c r="K1262" s="240"/>
      <c r="L1262" s="240"/>
    </row>
    <row r="1263" ht="12.75" customHeight="1" outlineLevel="2">
      <c r="B1263" s="301" t="s">
        <v>3026</v>
      </c>
      <c r="C1263" s="315" t="s">
        <v>1341</v>
      </c>
      <c r="D1263" s="203" t="s">
        <v>75</v>
      </c>
      <c r="E1263" s="214">
        <v>41.0</v>
      </c>
      <c r="F1263" s="205">
        <v>55.0</v>
      </c>
      <c r="G1263" s="206">
        <f t="shared" si="60"/>
        <v>2255</v>
      </c>
      <c r="H1263" s="219"/>
      <c r="I1263" s="219"/>
      <c r="J1263" s="240"/>
      <c r="K1263" s="240"/>
      <c r="L1263" s="240"/>
    </row>
    <row r="1264" ht="12.75" customHeight="1" outlineLevel="2">
      <c r="B1264" s="301" t="s">
        <v>3028</v>
      </c>
      <c r="C1264" s="315" t="s">
        <v>1342</v>
      </c>
      <c r="D1264" s="203" t="s">
        <v>75</v>
      </c>
      <c r="E1264" s="214">
        <v>8.0</v>
      </c>
      <c r="F1264" s="205">
        <v>150.0</v>
      </c>
      <c r="G1264" s="206">
        <f t="shared" si="60"/>
        <v>1200</v>
      </c>
      <c r="H1264" s="219"/>
      <c r="I1264" s="219"/>
      <c r="J1264" s="240"/>
      <c r="K1264" s="240"/>
      <c r="L1264" s="240"/>
    </row>
    <row r="1265" ht="12.75" customHeight="1" outlineLevel="2">
      <c r="B1265" s="301" t="s">
        <v>3030</v>
      </c>
      <c r="C1265" s="315" t="s">
        <v>1343</v>
      </c>
      <c r="D1265" s="203" t="s">
        <v>75</v>
      </c>
      <c r="E1265" s="214">
        <v>9.0</v>
      </c>
      <c r="F1265" s="205">
        <v>350.0</v>
      </c>
      <c r="G1265" s="206">
        <f t="shared" si="60"/>
        <v>3150</v>
      </c>
      <c r="H1265" s="219"/>
      <c r="I1265" s="219"/>
      <c r="J1265" s="240"/>
      <c r="K1265" s="240"/>
      <c r="L1265" s="240"/>
    </row>
    <row r="1266" ht="12.75" customHeight="1" outlineLevel="2">
      <c r="B1266" s="301" t="s">
        <v>3032</v>
      </c>
      <c r="C1266" s="315" t="s">
        <v>1344</v>
      </c>
      <c r="D1266" s="203" t="s">
        <v>75</v>
      </c>
      <c r="E1266" s="214">
        <v>6.0</v>
      </c>
      <c r="F1266" s="205">
        <v>430.0</v>
      </c>
      <c r="G1266" s="206">
        <f t="shared" si="60"/>
        <v>2580</v>
      </c>
      <c r="H1266" s="219"/>
      <c r="I1266" s="219"/>
      <c r="J1266" s="240"/>
      <c r="K1266" s="240"/>
      <c r="L1266" s="240"/>
    </row>
    <row r="1267" ht="12.75" customHeight="1" outlineLevel="2">
      <c r="B1267" s="301" t="s">
        <v>3034</v>
      </c>
      <c r="C1267" s="315" t="s">
        <v>1345</v>
      </c>
      <c r="D1267" s="203" t="s">
        <v>75</v>
      </c>
      <c r="E1267" s="214">
        <v>2.0</v>
      </c>
      <c r="F1267" s="205">
        <v>2000.0</v>
      </c>
      <c r="G1267" s="206">
        <f t="shared" si="60"/>
        <v>4000</v>
      </c>
      <c r="H1267" s="219"/>
      <c r="I1267" s="219"/>
      <c r="J1267" s="240"/>
      <c r="K1267" s="240"/>
      <c r="L1267" s="240"/>
    </row>
    <row r="1268" ht="12.75" customHeight="1" outlineLevel="2">
      <c r="B1268" s="301" t="s">
        <v>3036</v>
      </c>
      <c r="C1268" s="315" t="s">
        <v>1346</v>
      </c>
      <c r="D1268" s="203" t="s">
        <v>75</v>
      </c>
      <c r="E1268" s="214">
        <v>10.0</v>
      </c>
      <c r="F1268" s="205">
        <v>660.0</v>
      </c>
      <c r="G1268" s="206">
        <f t="shared" si="60"/>
        <v>6600</v>
      </c>
      <c r="H1268" s="219"/>
      <c r="I1268" s="219"/>
      <c r="J1268" s="240"/>
      <c r="K1268" s="240"/>
      <c r="L1268" s="240"/>
    </row>
    <row r="1269" ht="12.75" customHeight="1" outlineLevel="2">
      <c r="B1269" s="301" t="s">
        <v>3038</v>
      </c>
      <c r="C1269" s="315" t="s">
        <v>1347</v>
      </c>
      <c r="D1269" s="203" t="s">
        <v>75</v>
      </c>
      <c r="E1269" s="214">
        <v>2.0</v>
      </c>
      <c r="F1269" s="205">
        <v>200.0</v>
      </c>
      <c r="G1269" s="206">
        <f t="shared" si="60"/>
        <v>400</v>
      </c>
      <c r="H1269" s="219"/>
      <c r="I1269" s="219"/>
      <c r="J1269" s="240"/>
      <c r="K1269" s="240"/>
      <c r="L1269" s="240"/>
    </row>
    <row r="1270" ht="12.75" customHeight="1" outlineLevel="2">
      <c r="B1270" s="301" t="s">
        <v>3040</v>
      </c>
      <c r="C1270" s="315" t="s">
        <v>1348</v>
      </c>
      <c r="D1270" s="203" t="s">
        <v>75</v>
      </c>
      <c r="E1270" s="214">
        <v>14.0</v>
      </c>
      <c r="F1270" s="205">
        <v>70.0</v>
      </c>
      <c r="G1270" s="206">
        <f t="shared" si="60"/>
        <v>980</v>
      </c>
      <c r="H1270" s="219"/>
      <c r="I1270" s="219"/>
      <c r="J1270" s="240"/>
      <c r="K1270" s="240"/>
      <c r="L1270" s="240"/>
    </row>
    <row r="1271" ht="12.75" customHeight="1" outlineLevel="2">
      <c r="B1271" s="189"/>
      <c r="C1271" s="208"/>
      <c r="E1271" s="79"/>
      <c r="F1271" s="80"/>
      <c r="G1271" s="80"/>
      <c r="H1271" s="240"/>
      <c r="I1271" s="240"/>
      <c r="J1271" s="240"/>
      <c r="K1271" s="240"/>
      <c r="L1271" s="240"/>
    </row>
    <row r="1272" ht="12.75" customHeight="1" outlineLevel="1">
      <c r="A1272" s="89" t="s">
        <v>1349</v>
      </c>
      <c r="B1272" s="189"/>
      <c r="C1272" s="184" t="s">
        <v>1350</v>
      </c>
      <c r="E1272" s="79"/>
      <c r="F1272" s="917">
        <f>SUM(G1276:G1284)</f>
        <v>3839</v>
      </c>
      <c r="G1272" s="80"/>
      <c r="H1272" s="240"/>
      <c r="I1272" s="240"/>
      <c r="J1272" s="240"/>
      <c r="K1272" s="240"/>
      <c r="L1272" s="240"/>
    </row>
    <row r="1273" ht="12.75" customHeight="1" outlineLevel="2">
      <c r="B1273" s="189"/>
      <c r="C1273" s="208"/>
      <c r="E1273" s="79"/>
      <c r="F1273" s="80"/>
      <c r="G1273" s="80"/>
      <c r="H1273" s="240"/>
      <c r="I1273" s="240"/>
      <c r="J1273" s="240"/>
      <c r="K1273" s="240"/>
      <c r="L1273" s="240"/>
    </row>
    <row r="1274" ht="12.75" customHeight="1" outlineLevel="2">
      <c r="B1274" s="324">
        <v>17.14</v>
      </c>
      <c r="C1274" s="323" t="s">
        <v>5645</v>
      </c>
      <c r="E1274" s="79"/>
      <c r="F1274" s="80"/>
      <c r="G1274" s="80"/>
      <c r="H1274" s="240"/>
      <c r="I1274" s="240"/>
      <c r="J1274" s="240"/>
      <c r="K1274" s="240"/>
      <c r="L1274" s="240"/>
    </row>
    <row r="1275" ht="12.75" customHeight="1" outlineLevel="2">
      <c r="B1275" s="189"/>
      <c r="C1275" s="208"/>
      <c r="E1275" s="79"/>
      <c r="F1275" s="80"/>
      <c r="G1275" s="80"/>
      <c r="H1275" s="240"/>
      <c r="I1275" s="240"/>
      <c r="J1275" s="240"/>
      <c r="K1275" s="240"/>
      <c r="L1275" s="240"/>
    </row>
    <row r="1276" ht="12.75" customHeight="1" outlineLevel="2">
      <c r="B1276" s="301" t="s">
        <v>3043</v>
      </c>
      <c r="C1276" s="315" t="s">
        <v>1351</v>
      </c>
      <c r="D1276" s="203" t="s">
        <v>161</v>
      </c>
      <c r="E1276" s="214">
        <v>704.0</v>
      </c>
      <c r="F1276" s="205">
        <v>3.0</v>
      </c>
      <c r="G1276" s="206">
        <f>F1276*E1276</f>
        <v>2112</v>
      </c>
      <c r="H1276" s="219"/>
      <c r="I1276" s="219"/>
      <c r="J1276" s="240"/>
      <c r="K1276" s="240"/>
      <c r="L1276" s="240"/>
    </row>
    <row r="1277" ht="12.75" customHeight="1" outlineLevel="2">
      <c r="B1277" s="189"/>
      <c r="C1277" s="208"/>
      <c r="E1277" s="79"/>
      <c r="F1277" s="80"/>
      <c r="G1277" s="80"/>
      <c r="H1277" s="240"/>
      <c r="I1277" s="240"/>
      <c r="J1277" s="240"/>
      <c r="K1277" s="240"/>
      <c r="L1277" s="240"/>
    </row>
    <row r="1278" ht="12.75" customHeight="1" outlineLevel="2">
      <c r="B1278" s="324">
        <v>17.15</v>
      </c>
      <c r="C1278" s="323" t="s">
        <v>5646</v>
      </c>
      <c r="E1278" s="79"/>
      <c r="F1278" s="80"/>
      <c r="G1278" s="80"/>
      <c r="H1278" s="240"/>
      <c r="I1278" s="240"/>
      <c r="J1278" s="240"/>
      <c r="K1278" s="240"/>
      <c r="L1278" s="240"/>
    </row>
    <row r="1279" ht="12.75" customHeight="1" outlineLevel="2">
      <c r="B1279" s="189"/>
      <c r="C1279" s="208"/>
      <c r="E1279" s="79"/>
      <c r="F1279" s="80"/>
      <c r="G1279" s="80"/>
      <c r="H1279" s="240"/>
      <c r="I1279" s="240"/>
      <c r="J1279" s="240"/>
      <c r="K1279" s="240"/>
      <c r="L1279" s="240"/>
    </row>
    <row r="1280" ht="12.75" customHeight="1" outlineLevel="2">
      <c r="B1280" s="301" t="s">
        <v>3045</v>
      </c>
      <c r="C1280" s="315" t="s">
        <v>1352</v>
      </c>
      <c r="D1280" s="203" t="s">
        <v>161</v>
      </c>
      <c r="E1280" s="214">
        <v>704.0</v>
      </c>
      <c r="F1280" s="205">
        <v>2.0</v>
      </c>
      <c r="G1280" s="206">
        <f>F1280*E1280</f>
        <v>1408</v>
      </c>
      <c r="H1280" s="219"/>
      <c r="I1280" s="219"/>
      <c r="J1280" s="240"/>
      <c r="K1280" s="240"/>
      <c r="L1280" s="240"/>
    </row>
    <row r="1281" ht="12.75" customHeight="1" outlineLevel="2">
      <c r="B1281" s="189"/>
      <c r="C1281" s="208"/>
      <c r="E1281" s="79"/>
      <c r="F1281" s="80"/>
      <c r="G1281" s="80"/>
      <c r="H1281" s="240"/>
      <c r="I1281" s="240"/>
      <c r="J1281" s="240"/>
      <c r="K1281" s="240"/>
      <c r="L1281" s="240"/>
    </row>
    <row r="1282" ht="12.75" customHeight="1" outlineLevel="2">
      <c r="B1282" s="324">
        <v>17.16</v>
      </c>
      <c r="C1282" s="323" t="s">
        <v>5647</v>
      </c>
      <c r="E1282" s="79"/>
      <c r="F1282" s="80"/>
      <c r="G1282" s="80"/>
      <c r="H1282" s="240"/>
      <c r="I1282" s="240"/>
      <c r="J1282" s="240"/>
      <c r="K1282" s="240"/>
      <c r="L1282" s="240"/>
    </row>
    <row r="1283" ht="12.75" customHeight="1" outlineLevel="2">
      <c r="B1283" s="189"/>
      <c r="C1283" s="208"/>
      <c r="E1283" s="79"/>
      <c r="F1283" s="80"/>
      <c r="G1283" s="80"/>
      <c r="H1283" s="240"/>
      <c r="I1283" s="240"/>
      <c r="J1283" s="240"/>
      <c r="K1283" s="240"/>
      <c r="L1283" s="240"/>
    </row>
    <row r="1284" ht="12.75" customHeight="1" outlineLevel="2">
      <c r="B1284" s="301" t="s">
        <v>3047</v>
      </c>
      <c r="C1284" s="315" t="s">
        <v>1353</v>
      </c>
      <c r="D1284" s="203" t="s">
        <v>75</v>
      </c>
      <c r="E1284" s="214">
        <v>29.0</v>
      </c>
      <c r="F1284" s="205">
        <v>11.0</v>
      </c>
      <c r="G1284" s="206">
        <f>F1284*E1284</f>
        <v>319</v>
      </c>
      <c r="H1284" s="219"/>
      <c r="I1284" s="219"/>
      <c r="J1284" s="240"/>
      <c r="K1284" s="240"/>
      <c r="L1284" s="240"/>
    </row>
    <row r="1285" ht="12.75" customHeight="1" outlineLevel="2">
      <c r="B1285" s="189"/>
      <c r="C1285" s="208"/>
      <c r="E1285" s="79"/>
      <c r="F1285" s="80"/>
      <c r="G1285" s="80"/>
      <c r="H1285" s="240"/>
      <c r="I1285" s="240"/>
      <c r="J1285" s="240"/>
      <c r="K1285" s="240"/>
      <c r="L1285" s="240"/>
    </row>
    <row r="1286" ht="12.75" customHeight="1" outlineLevel="1">
      <c r="A1286" s="89" t="s">
        <v>1354</v>
      </c>
      <c r="B1286" s="189"/>
      <c r="C1286" s="184" t="s">
        <v>5649</v>
      </c>
      <c r="E1286" s="79"/>
      <c r="F1286" s="586">
        <f>SUM(G1290:G1391)</f>
        <v>44196.42</v>
      </c>
      <c r="K1286" s="436">
        <v>15000.0</v>
      </c>
      <c r="L1286" s="240">
        <f>F1286-K1286</f>
        <v>29196.42</v>
      </c>
    </row>
    <row r="1287" ht="12.75" customHeight="1" outlineLevel="2">
      <c r="B1287" s="189"/>
      <c r="C1287" s="208"/>
      <c r="E1287" s="79"/>
      <c r="F1287" s="80"/>
      <c r="G1287" s="80"/>
      <c r="H1287" s="240"/>
      <c r="I1287" s="240"/>
      <c r="J1287" s="240"/>
      <c r="K1287" s="240"/>
      <c r="L1287" s="240"/>
    </row>
    <row r="1288" ht="12.75" customHeight="1" outlineLevel="2">
      <c r="B1288" s="324">
        <v>17.17</v>
      </c>
      <c r="C1288" s="323" t="s">
        <v>5645</v>
      </c>
      <c r="E1288" s="79"/>
      <c r="F1288" s="80"/>
      <c r="G1288" s="80"/>
      <c r="H1288" s="240"/>
      <c r="I1288" s="240"/>
      <c r="J1288" s="240"/>
      <c r="K1288" s="240"/>
      <c r="L1288" s="240"/>
    </row>
    <row r="1289" ht="12.75" customHeight="1" outlineLevel="2">
      <c r="B1289" s="189"/>
      <c r="C1289" s="208"/>
      <c r="E1289" s="79"/>
      <c r="F1289" s="80"/>
      <c r="G1289" s="80"/>
      <c r="H1289" s="240"/>
      <c r="I1289" s="240"/>
      <c r="J1289" s="240"/>
      <c r="K1289" s="240"/>
      <c r="L1289" s="240"/>
    </row>
    <row r="1290" ht="12.75" customHeight="1" outlineLevel="2">
      <c r="B1290" s="301" t="s">
        <v>3050</v>
      </c>
      <c r="C1290" s="315" t="s">
        <v>1356</v>
      </c>
      <c r="D1290" s="203" t="s">
        <v>161</v>
      </c>
      <c r="E1290" s="214">
        <v>984.0</v>
      </c>
      <c r="F1290" s="205">
        <v>2.0</v>
      </c>
      <c r="G1290" s="206">
        <f t="shared" ref="G1290:G1292" si="61">F1290*E1290</f>
        <v>1968</v>
      </c>
      <c r="H1290" s="219"/>
      <c r="I1290" s="219"/>
      <c r="J1290" s="240"/>
      <c r="K1290" s="240"/>
      <c r="L1290" s="240"/>
    </row>
    <row r="1291" ht="12.75" customHeight="1" outlineLevel="2">
      <c r="B1291" s="301" t="s">
        <v>3052</v>
      </c>
      <c r="C1291" s="315" t="s">
        <v>1357</v>
      </c>
      <c r="D1291" s="203" t="s">
        <v>161</v>
      </c>
      <c r="E1291" s="214">
        <v>1527.0</v>
      </c>
      <c r="F1291" s="205">
        <v>2.0</v>
      </c>
      <c r="G1291" s="206">
        <f t="shared" si="61"/>
        <v>3054</v>
      </c>
      <c r="H1291" s="219"/>
      <c r="I1291" s="219"/>
      <c r="J1291" s="240"/>
      <c r="K1291" s="240"/>
      <c r="L1291" s="240"/>
    </row>
    <row r="1292" ht="12.75" customHeight="1" outlineLevel="2">
      <c r="B1292" s="301" t="s">
        <v>3054</v>
      </c>
      <c r="C1292" s="315" t="s">
        <v>1358</v>
      </c>
      <c r="D1292" s="203" t="s">
        <v>161</v>
      </c>
      <c r="E1292" s="214">
        <v>355.0</v>
      </c>
      <c r="F1292" s="205">
        <v>3.0</v>
      </c>
      <c r="G1292" s="206">
        <f t="shared" si="61"/>
        <v>1065</v>
      </c>
      <c r="H1292" s="219"/>
      <c r="I1292" s="219"/>
      <c r="J1292" s="240"/>
      <c r="K1292" s="240"/>
      <c r="L1292" s="240"/>
    </row>
    <row r="1293" ht="12.75" customHeight="1" outlineLevel="2">
      <c r="B1293" s="189"/>
      <c r="C1293" s="208"/>
      <c r="E1293" s="79"/>
      <c r="F1293" s="80"/>
      <c r="G1293" s="80"/>
      <c r="H1293" s="240"/>
      <c r="I1293" s="240"/>
      <c r="J1293" s="240"/>
      <c r="K1293" s="240"/>
      <c r="L1293" s="240"/>
    </row>
    <row r="1294" ht="12.75" customHeight="1" outlineLevel="2">
      <c r="B1294" s="324">
        <v>17.18</v>
      </c>
      <c r="C1294" s="323" t="s">
        <v>5646</v>
      </c>
      <c r="E1294" s="79"/>
      <c r="F1294" s="80"/>
      <c r="G1294" s="80"/>
      <c r="H1294" s="240"/>
      <c r="I1294" s="240"/>
      <c r="J1294" s="240"/>
      <c r="K1294" s="240"/>
      <c r="L1294" s="240"/>
    </row>
    <row r="1295" ht="12.75" customHeight="1" outlineLevel="2">
      <c r="B1295" s="189"/>
      <c r="C1295" s="208"/>
      <c r="E1295" s="79"/>
      <c r="F1295" s="80"/>
      <c r="G1295" s="80"/>
      <c r="H1295" s="240"/>
      <c r="I1295" s="240"/>
      <c r="J1295" s="240"/>
      <c r="K1295" s="240"/>
      <c r="L1295" s="240"/>
    </row>
    <row r="1296" ht="12.75" customHeight="1" outlineLevel="2">
      <c r="B1296" s="301" t="s">
        <v>3056</v>
      </c>
      <c r="C1296" s="315" t="s">
        <v>1359</v>
      </c>
      <c r="D1296" s="203" t="s">
        <v>161</v>
      </c>
      <c r="E1296" s="214">
        <v>2865.0</v>
      </c>
      <c r="F1296" s="205">
        <v>2.0</v>
      </c>
      <c r="G1296" s="206">
        <f>F1296*E1296</f>
        <v>5730</v>
      </c>
      <c r="H1296" s="219"/>
      <c r="I1296" s="219"/>
      <c r="J1296" s="240"/>
      <c r="K1296" s="240"/>
      <c r="L1296" s="240"/>
    </row>
    <row r="1297" ht="12.75" customHeight="1" outlineLevel="2">
      <c r="B1297" s="189"/>
      <c r="C1297" s="208"/>
      <c r="E1297" s="79"/>
      <c r="F1297" s="80"/>
      <c r="G1297" s="80"/>
      <c r="H1297" s="240"/>
      <c r="I1297" s="240"/>
      <c r="J1297" s="240"/>
      <c r="K1297" s="240"/>
      <c r="L1297" s="240"/>
    </row>
    <row r="1298" ht="12.75" customHeight="1" outlineLevel="2">
      <c r="B1298" s="322">
        <v>17.19</v>
      </c>
      <c r="C1298" s="323" t="s">
        <v>5647</v>
      </c>
      <c r="E1298" s="79"/>
      <c r="F1298" s="80"/>
      <c r="G1298" s="80"/>
      <c r="H1298" s="240"/>
      <c r="I1298" s="240"/>
      <c r="J1298" s="240"/>
      <c r="K1298" s="240"/>
      <c r="L1298" s="240"/>
    </row>
    <row r="1299" ht="12.75" customHeight="1" outlineLevel="2">
      <c r="B1299" s="189"/>
      <c r="C1299" s="208"/>
      <c r="E1299" s="79"/>
      <c r="F1299" s="80"/>
      <c r="G1299" s="80"/>
      <c r="H1299" s="240"/>
      <c r="I1299" s="240"/>
      <c r="J1299" s="240"/>
      <c r="K1299" s="240"/>
      <c r="L1299" s="240"/>
    </row>
    <row r="1300" ht="12.75" customHeight="1" outlineLevel="2">
      <c r="B1300" s="301" t="s">
        <v>3058</v>
      </c>
      <c r="C1300" s="315" t="s">
        <v>1360</v>
      </c>
      <c r="D1300" s="203" t="s">
        <v>75</v>
      </c>
      <c r="E1300" s="214">
        <v>199.0</v>
      </c>
      <c r="F1300" s="205">
        <v>14.0</v>
      </c>
      <c r="G1300" s="206">
        <f t="shared" ref="G1300:G1303" si="62">F1300*E1300</f>
        <v>2786</v>
      </c>
      <c r="H1300" s="219"/>
      <c r="I1300" s="219"/>
      <c r="J1300" s="240"/>
      <c r="K1300" s="240"/>
      <c r="L1300" s="240"/>
    </row>
    <row r="1301" ht="12.75" customHeight="1" outlineLevel="2">
      <c r="B1301" s="301" t="s">
        <v>3060</v>
      </c>
      <c r="C1301" s="315" t="s">
        <v>1361</v>
      </c>
      <c r="D1301" s="203" t="s">
        <v>75</v>
      </c>
      <c r="E1301" s="214">
        <v>15.0</v>
      </c>
      <c r="F1301" s="205">
        <v>85.0</v>
      </c>
      <c r="G1301" s="206">
        <f t="shared" si="62"/>
        <v>1275</v>
      </c>
      <c r="H1301" s="219"/>
      <c r="I1301" s="219"/>
      <c r="J1301" s="240"/>
      <c r="K1301" s="240"/>
      <c r="L1301" s="240"/>
    </row>
    <row r="1302" ht="12.75" customHeight="1" outlineLevel="2">
      <c r="B1302" s="301" t="s">
        <v>3062</v>
      </c>
      <c r="C1302" s="315" t="s">
        <v>1362</v>
      </c>
      <c r="D1302" s="203" t="s">
        <v>75</v>
      </c>
      <c r="E1302" s="214">
        <v>16.0</v>
      </c>
      <c r="F1302" s="205">
        <v>1.0</v>
      </c>
      <c r="G1302" s="206">
        <f t="shared" si="62"/>
        <v>16</v>
      </c>
      <c r="H1302" s="219"/>
      <c r="I1302" s="219"/>
      <c r="J1302" s="240"/>
      <c r="K1302" s="240"/>
      <c r="L1302" s="240"/>
    </row>
    <row r="1303" ht="12.75" customHeight="1" outlineLevel="2">
      <c r="B1303" s="301" t="s">
        <v>3064</v>
      </c>
      <c r="C1303" s="315" t="s">
        <v>1363</v>
      </c>
      <c r="D1303" s="203" t="s">
        <v>75</v>
      </c>
      <c r="E1303" s="214">
        <v>10.0</v>
      </c>
      <c r="F1303" s="205">
        <v>62.0</v>
      </c>
      <c r="G1303" s="206">
        <f t="shared" si="62"/>
        <v>620</v>
      </c>
      <c r="H1303" s="219"/>
      <c r="I1303" s="219"/>
      <c r="J1303" s="240"/>
      <c r="K1303" s="240"/>
      <c r="L1303" s="240"/>
    </row>
    <row r="1304" ht="12.75" customHeight="1" outlineLevel="2">
      <c r="B1304" s="189"/>
      <c r="C1304" s="208"/>
      <c r="E1304" s="79"/>
      <c r="F1304" s="80"/>
      <c r="G1304" s="80"/>
      <c r="H1304" s="240"/>
      <c r="I1304" s="240"/>
      <c r="J1304" s="240"/>
      <c r="K1304" s="240"/>
      <c r="L1304" s="240"/>
    </row>
    <row r="1305" ht="12.75" customHeight="1" outlineLevel="2">
      <c r="B1305" s="327" t="s">
        <v>3066</v>
      </c>
      <c r="C1305" s="323" t="s">
        <v>5650</v>
      </c>
      <c r="E1305" s="79"/>
      <c r="F1305" s="80"/>
      <c r="G1305" s="80"/>
      <c r="H1305" s="320" t="s">
        <v>1366</v>
      </c>
      <c r="I1305" s="320" t="s">
        <v>1366</v>
      </c>
      <c r="J1305" s="320"/>
      <c r="K1305" s="320"/>
      <c r="L1305" s="320"/>
    </row>
    <row r="1306" ht="12.75" customHeight="1" outlineLevel="2">
      <c r="B1306" s="189"/>
      <c r="C1306" s="208"/>
      <c r="E1306" s="79"/>
      <c r="F1306" s="80"/>
      <c r="G1306" s="80"/>
      <c r="H1306" s="240"/>
      <c r="I1306" s="240"/>
      <c r="J1306" s="240"/>
      <c r="K1306" s="240"/>
      <c r="L1306" s="240"/>
    </row>
    <row r="1307" ht="12.75" customHeight="1" outlineLevel="2">
      <c r="B1307" s="322" t="s">
        <v>3069</v>
      </c>
      <c r="C1307" s="323" t="s">
        <v>1367</v>
      </c>
      <c r="E1307" s="79"/>
      <c r="F1307" s="80"/>
      <c r="G1307" s="80"/>
      <c r="H1307" s="240"/>
      <c r="I1307" s="240"/>
      <c r="J1307" s="240"/>
      <c r="K1307" s="240"/>
      <c r="L1307" s="240"/>
    </row>
    <row r="1308" ht="12.75" customHeight="1" outlineLevel="2">
      <c r="B1308" s="189"/>
      <c r="C1308" s="208"/>
      <c r="E1308" s="79"/>
      <c r="F1308" s="80"/>
      <c r="G1308" s="80"/>
      <c r="H1308" s="240"/>
      <c r="I1308" s="240"/>
      <c r="J1308" s="240"/>
      <c r="K1308" s="240"/>
      <c r="L1308" s="240"/>
    </row>
    <row r="1309" ht="12.75" customHeight="1" outlineLevel="2">
      <c r="B1309" s="301" t="s">
        <v>3071</v>
      </c>
      <c r="C1309" s="315" t="s">
        <v>1368</v>
      </c>
      <c r="D1309" s="203" t="s">
        <v>75</v>
      </c>
      <c r="E1309" s="214">
        <v>9.0</v>
      </c>
      <c r="F1309" s="205">
        <v>10.0</v>
      </c>
      <c r="G1309" s="206">
        <f t="shared" ref="G1309:G1323" si="63">F1309*E1309</f>
        <v>90</v>
      </c>
      <c r="H1309" s="219"/>
      <c r="I1309" s="219"/>
      <c r="J1309" s="240"/>
      <c r="K1309" s="240"/>
      <c r="L1309" s="240"/>
    </row>
    <row r="1310" ht="12.75" customHeight="1" outlineLevel="2">
      <c r="B1310" s="301" t="s">
        <v>3073</v>
      </c>
      <c r="C1310" s="315" t="s">
        <v>1369</v>
      </c>
      <c r="D1310" s="203" t="s">
        <v>75</v>
      </c>
      <c r="E1310" s="214">
        <v>11.0</v>
      </c>
      <c r="F1310" s="205">
        <v>10.0</v>
      </c>
      <c r="G1310" s="206">
        <f t="shared" si="63"/>
        <v>110</v>
      </c>
      <c r="H1310" s="219"/>
      <c r="I1310" s="219"/>
      <c r="J1310" s="240"/>
      <c r="K1310" s="240"/>
      <c r="L1310" s="240"/>
    </row>
    <row r="1311" ht="12.75" customHeight="1" outlineLevel="2">
      <c r="B1311" s="301" t="s">
        <v>3075</v>
      </c>
      <c r="C1311" s="315" t="s">
        <v>1370</v>
      </c>
      <c r="D1311" s="203" t="s">
        <v>75</v>
      </c>
      <c r="E1311" s="214">
        <v>7.0</v>
      </c>
      <c r="F1311" s="205">
        <v>10.0</v>
      </c>
      <c r="G1311" s="206">
        <f t="shared" si="63"/>
        <v>70</v>
      </c>
      <c r="H1311" s="219"/>
      <c r="I1311" s="219"/>
      <c r="J1311" s="240"/>
      <c r="K1311" s="240"/>
      <c r="L1311" s="240"/>
    </row>
    <row r="1312" ht="12.75" customHeight="1" outlineLevel="2">
      <c r="B1312" s="301" t="s">
        <v>3077</v>
      </c>
      <c r="C1312" s="315" t="s">
        <v>1371</v>
      </c>
      <c r="D1312" s="203" t="s">
        <v>75</v>
      </c>
      <c r="E1312" s="214">
        <v>2.0</v>
      </c>
      <c r="F1312" s="205">
        <v>10.0</v>
      </c>
      <c r="G1312" s="206">
        <f t="shared" si="63"/>
        <v>20</v>
      </c>
      <c r="H1312" s="219"/>
      <c r="I1312" s="219"/>
      <c r="J1312" s="240"/>
      <c r="K1312" s="240"/>
      <c r="L1312" s="240"/>
    </row>
    <row r="1313" ht="12.75" customHeight="1" outlineLevel="2">
      <c r="B1313" s="301" t="s">
        <v>3079</v>
      </c>
      <c r="C1313" s="315" t="s">
        <v>1372</v>
      </c>
      <c r="D1313" s="203" t="s">
        <v>75</v>
      </c>
      <c r="E1313" s="214">
        <v>8.0</v>
      </c>
      <c r="F1313" s="205">
        <v>10.0</v>
      </c>
      <c r="G1313" s="206">
        <f t="shared" si="63"/>
        <v>80</v>
      </c>
      <c r="H1313" s="219"/>
      <c r="I1313" s="219"/>
      <c r="J1313" s="240"/>
      <c r="K1313" s="240"/>
      <c r="L1313" s="240"/>
    </row>
    <row r="1314" ht="12.75" customHeight="1" outlineLevel="2">
      <c r="B1314" s="301" t="s">
        <v>3081</v>
      </c>
      <c r="C1314" s="315" t="s">
        <v>1373</v>
      </c>
      <c r="D1314" s="203" t="s">
        <v>1374</v>
      </c>
      <c r="E1314" s="214">
        <v>2.0</v>
      </c>
      <c r="F1314" s="205">
        <v>10.0</v>
      </c>
      <c r="G1314" s="206">
        <f t="shared" si="63"/>
        <v>20</v>
      </c>
      <c r="H1314" s="219"/>
      <c r="I1314" s="219"/>
      <c r="J1314" s="240"/>
      <c r="K1314" s="240"/>
      <c r="L1314" s="240"/>
    </row>
    <row r="1315" ht="12.75" customHeight="1" outlineLevel="2">
      <c r="B1315" s="301" t="s">
        <v>3083</v>
      </c>
      <c r="C1315" s="315" t="s">
        <v>1375</v>
      </c>
      <c r="D1315" s="203" t="s">
        <v>75</v>
      </c>
      <c r="E1315" s="214">
        <v>1.0</v>
      </c>
      <c r="F1315" s="205">
        <v>10.0</v>
      </c>
      <c r="G1315" s="206">
        <f t="shared" si="63"/>
        <v>10</v>
      </c>
      <c r="H1315" s="219"/>
      <c r="I1315" s="219"/>
      <c r="J1315" s="240"/>
      <c r="K1315" s="240"/>
      <c r="L1315" s="240"/>
    </row>
    <row r="1316" ht="12.75" customHeight="1" outlineLevel="2">
      <c r="B1316" s="301" t="s">
        <v>3085</v>
      </c>
      <c r="C1316" s="315" t="s">
        <v>1376</v>
      </c>
      <c r="D1316" s="203" t="s">
        <v>75</v>
      </c>
      <c r="E1316" s="214">
        <v>3.0</v>
      </c>
      <c r="F1316" s="205">
        <v>10.0</v>
      </c>
      <c r="G1316" s="206">
        <f t="shared" si="63"/>
        <v>30</v>
      </c>
      <c r="H1316" s="219"/>
      <c r="I1316" s="219"/>
      <c r="J1316" s="240"/>
      <c r="K1316" s="240"/>
      <c r="L1316" s="240"/>
    </row>
    <row r="1317" ht="12.75" customHeight="1" outlineLevel="2">
      <c r="B1317" s="301" t="s">
        <v>3087</v>
      </c>
      <c r="C1317" s="315" t="s">
        <v>1377</v>
      </c>
      <c r="D1317" s="203" t="s">
        <v>75</v>
      </c>
      <c r="E1317" s="214">
        <v>2.0</v>
      </c>
      <c r="F1317" s="205">
        <v>10.0</v>
      </c>
      <c r="G1317" s="206">
        <f t="shared" si="63"/>
        <v>20</v>
      </c>
      <c r="H1317" s="219"/>
      <c r="I1317" s="219"/>
      <c r="J1317" s="240"/>
      <c r="K1317" s="240"/>
      <c r="L1317" s="240"/>
    </row>
    <row r="1318" ht="12.75" customHeight="1" outlineLevel="2">
      <c r="B1318" s="301" t="s">
        <v>3089</v>
      </c>
      <c r="C1318" s="315" t="s">
        <v>1378</v>
      </c>
      <c r="D1318" s="203" t="s">
        <v>75</v>
      </c>
      <c r="E1318" s="214">
        <v>1.0</v>
      </c>
      <c r="F1318" s="205">
        <v>10.0</v>
      </c>
      <c r="G1318" s="206">
        <f t="shared" si="63"/>
        <v>10</v>
      </c>
      <c r="H1318" s="219"/>
      <c r="I1318" s="219"/>
      <c r="J1318" s="240"/>
      <c r="K1318" s="240"/>
      <c r="L1318" s="240"/>
    </row>
    <row r="1319" ht="12.75" customHeight="1" outlineLevel="2">
      <c r="B1319" s="301" t="s">
        <v>3091</v>
      </c>
      <c r="C1319" s="315" t="s">
        <v>1379</v>
      </c>
      <c r="D1319" s="203" t="s">
        <v>75</v>
      </c>
      <c r="E1319" s="214">
        <v>1.0</v>
      </c>
      <c r="F1319" s="205">
        <v>10.0</v>
      </c>
      <c r="G1319" s="206">
        <f t="shared" si="63"/>
        <v>10</v>
      </c>
      <c r="H1319" s="219"/>
      <c r="I1319" s="219"/>
      <c r="J1319" s="240"/>
      <c r="K1319" s="240"/>
      <c r="L1319" s="240"/>
    </row>
    <row r="1320" ht="12.75" customHeight="1" outlineLevel="2">
      <c r="B1320" s="301" t="s">
        <v>3093</v>
      </c>
      <c r="C1320" s="315" t="s">
        <v>1380</v>
      </c>
      <c r="D1320" s="203" t="s">
        <v>75</v>
      </c>
      <c r="E1320" s="214">
        <v>1.0</v>
      </c>
      <c r="F1320" s="205">
        <v>10.0</v>
      </c>
      <c r="G1320" s="206">
        <f t="shared" si="63"/>
        <v>10</v>
      </c>
      <c r="H1320" s="219"/>
      <c r="I1320" s="219"/>
      <c r="J1320" s="240"/>
      <c r="K1320" s="240"/>
      <c r="L1320" s="240"/>
    </row>
    <row r="1321" ht="12.75" customHeight="1" outlineLevel="2">
      <c r="B1321" s="301" t="s">
        <v>3095</v>
      </c>
      <c r="C1321" s="315" t="s">
        <v>1381</v>
      </c>
      <c r="D1321" s="203" t="s">
        <v>75</v>
      </c>
      <c r="E1321" s="214">
        <v>1.0</v>
      </c>
      <c r="F1321" s="205">
        <v>70.0</v>
      </c>
      <c r="G1321" s="206">
        <f t="shared" si="63"/>
        <v>70</v>
      </c>
      <c r="H1321" s="219"/>
      <c r="I1321" s="219"/>
      <c r="J1321" s="240"/>
      <c r="K1321" s="240"/>
      <c r="L1321" s="240"/>
    </row>
    <row r="1322" ht="12.75" customHeight="1" outlineLevel="2">
      <c r="B1322" s="301" t="s">
        <v>3097</v>
      </c>
      <c r="C1322" s="315" t="s">
        <v>1382</v>
      </c>
      <c r="D1322" s="203" t="s">
        <v>75</v>
      </c>
      <c r="E1322" s="214">
        <v>3.0</v>
      </c>
      <c r="F1322" s="205">
        <v>23.0</v>
      </c>
      <c r="G1322" s="206">
        <f t="shared" si="63"/>
        <v>69</v>
      </c>
      <c r="H1322" s="219"/>
      <c r="I1322" s="219"/>
      <c r="J1322" s="240"/>
      <c r="K1322" s="240"/>
      <c r="L1322" s="240"/>
    </row>
    <row r="1323" ht="12.75" customHeight="1" outlineLevel="2">
      <c r="B1323" s="301" t="s">
        <v>3099</v>
      </c>
      <c r="C1323" s="315" t="s">
        <v>1383</v>
      </c>
      <c r="D1323" s="203" t="s">
        <v>75</v>
      </c>
      <c r="E1323" s="214">
        <v>6.0</v>
      </c>
      <c r="F1323" s="205">
        <v>115.0</v>
      </c>
      <c r="G1323" s="206">
        <f t="shared" si="63"/>
        <v>690</v>
      </c>
      <c r="H1323" s="219"/>
      <c r="I1323" s="219"/>
      <c r="J1323" s="240"/>
      <c r="K1323" s="240"/>
      <c r="L1323" s="240"/>
    </row>
    <row r="1324" ht="12.75" customHeight="1" outlineLevel="2">
      <c r="B1324" s="189"/>
      <c r="C1324" s="208"/>
      <c r="E1324" s="79"/>
      <c r="F1324" s="80"/>
      <c r="G1324" s="80"/>
      <c r="H1324" s="240"/>
      <c r="I1324" s="240"/>
      <c r="J1324" s="240"/>
      <c r="K1324" s="240"/>
      <c r="L1324" s="240"/>
    </row>
    <row r="1325" ht="12.75" customHeight="1" outlineLevel="2">
      <c r="B1325" s="322" t="s">
        <v>3101</v>
      </c>
      <c r="C1325" s="323" t="s">
        <v>1384</v>
      </c>
      <c r="E1325" s="79"/>
      <c r="F1325" s="80"/>
      <c r="G1325" s="80"/>
      <c r="H1325" s="240"/>
      <c r="I1325" s="240"/>
      <c r="J1325" s="240"/>
      <c r="K1325" s="240"/>
      <c r="L1325" s="240"/>
    </row>
    <row r="1326" ht="12.75" customHeight="1" outlineLevel="2">
      <c r="B1326" s="189"/>
      <c r="C1326" s="208"/>
      <c r="E1326" s="79"/>
      <c r="F1326" s="80"/>
      <c r="G1326" s="80"/>
      <c r="H1326" s="240"/>
      <c r="I1326" s="240"/>
      <c r="J1326" s="240"/>
      <c r="K1326" s="240"/>
      <c r="L1326" s="240"/>
    </row>
    <row r="1327" ht="12.75" customHeight="1" outlineLevel="2">
      <c r="B1327" s="322" t="s">
        <v>3103</v>
      </c>
      <c r="C1327" s="315" t="s">
        <v>1369</v>
      </c>
      <c r="D1327" s="203" t="s">
        <v>75</v>
      </c>
      <c r="E1327" s="214">
        <v>27.0</v>
      </c>
      <c r="F1327" s="205">
        <v>10.0</v>
      </c>
      <c r="G1327" s="206">
        <f t="shared" ref="G1327:G1362" si="64">F1327*E1327</f>
        <v>270</v>
      </c>
      <c r="H1327" s="219"/>
      <c r="I1327" s="219"/>
      <c r="J1327" s="240"/>
      <c r="K1327" s="240"/>
      <c r="L1327" s="240"/>
    </row>
    <row r="1328" ht="12.75" customHeight="1" outlineLevel="2">
      <c r="B1328" s="322" t="s">
        <v>3104</v>
      </c>
      <c r="C1328" s="315" t="s">
        <v>1372</v>
      </c>
      <c r="D1328" s="203" t="s">
        <v>75</v>
      </c>
      <c r="E1328" s="214">
        <v>40.0</v>
      </c>
      <c r="F1328" s="205">
        <v>10.0</v>
      </c>
      <c r="G1328" s="206">
        <f t="shared" si="64"/>
        <v>400</v>
      </c>
      <c r="H1328" s="219"/>
      <c r="I1328" s="219"/>
      <c r="J1328" s="240"/>
      <c r="K1328" s="240"/>
      <c r="L1328" s="240"/>
    </row>
    <row r="1329" ht="12.75" customHeight="1" outlineLevel="2">
      <c r="B1329" s="322" t="s">
        <v>3105</v>
      </c>
      <c r="C1329" s="315" t="s">
        <v>1385</v>
      </c>
      <c r="D1329" s="203" t="s">
        <v>75</v>
      </c>
      <c r="E1329" s="214">
        <v>5.0</v>
      </c>
      <c r="F1329" s="205">
        <v>10.0</v>
      </c>
      <c r="G1329" s="206">
        <f t="shared" si="64"/>
        <v>50</v>
      </c>
      <c r="H1329" s="219"/>
      <c r="I1329" s="219"/>
      <c r="J1329" s="240"/>
      <c r="K1329" s="240"/>
      <c r="L1329" s="240"/>
    </row>
    <row r="1330" ht="12.75" customHeight="1" outlineLevel="2">
      <c r="B1330" s="322" t="s">
        <v>3107</v>
      </c>
      <c r="C1330" s="315" t="s">
        <v>1375</v>
      </c>
      <c r="D1330" s="203" t="s">
        <v>75</v>
      </c>
      <c r="E1330" s="214">
        <v>14.0</v>
      </c>
      <c r="F1330" s="205">
        <v>10.0</v>
      </c>
      <c r="G1330" s="206">
        <f t="shared" si="64"/>
        <v>140</v>
      </c>
      <c r="H1330" s="219"/>
      <c r="I1330" s="219"/>
      <c r="J1330" s="240"/>
      <c r="K1330" s="240"/>
      <c r="L1330" s="240"/>
    </row>
    <row r="1331" ht="12.75" customHeight="1" outlineLevel="2">
      <c r="B1331" s="322" t="s">
        <v>3108</v>
      </c>
      <c r="C1331" s="315" t="s">
        <v>1386</v>
      </c>
      <c r="D1331" s="203" t="s">
        <v>75</v>
      </c>
      <c r="E1331" s="214">
        <v>52.0</v>
      </c>
      <c r="F1331" s="205">
        <v>10.0</v>
      </c>
      <c r="G1331" s="206">
        <f t="shared" si="64"/>
        <v>520</v>
      </c>
      <c r="H1331" s="219"/>
      <c r="I1331" s="219"/>
      <c r="J1331" s="240"/>
      <c r="K1331" s="240"/>
      <c r="L1331" s="240"/>
    </row>
    <row r="1332" ht="12.75" customHeight="1" outlineLevel="2">
      <c r="B1332" s="322" t="s">
        <v>3110</v>
      </c>
      <c r="C1332" s="315" t="s">
        <v>1387</v>
      </c>
      <c r="D1332" s="203" t="s">
        <v>75</v>
      </c>
      <c r="E1332" s="214">
        <v>3.0</v>
      </c>
      <c r="F1332" s="205">
        <v>10.0</v>
      </c>
      <c r="G1332" s="206">
        <f t="shared" si="64"/>
        <v>30</v>
      </c>
      <c r="H1332" s="219"/>
      <c r="I1332" s="219"/>
      <c r="J1332" s="240"/>
      <c r="K1332" s="240"/>
      <c r="L1332" s="240"/>
    </row>
    <row r="1333" ht="12.75" customHeight="1" outlineLevel="2">
      <c r="B1333" s="322" t="s">
        <v>3112</v>
      </c>
      <c r="C1333" s="315" t="s">
        <v>1373</v>
      </c>
      <c r="D1333" s="203" t="s">
        <v>1374</v>
      </c>
      <c r="E1333" s="214">
        <v>1.0</v>
      </c>
      <c r="F1333" s="205">
        <v>10.0</v>
      </c>
      <c r="G1333" s="206">
        <f t="shared" si="64"/>
        <v>10</v>
      </c>
      <c r="H1333" s="219"/>
      <c r="I1333" s="219"/>
      <c r="J1333" s="240"/>
      <c r="K1333" s="240"/>
      <c r="L1333" s="240"/>
    </row>
    <row r="1334" ht="12.75" customHeight="1" outlineLevel="2">
      <c r="B1334" s="322" t="s">
        <v>3113</v>
      </c>
      <c r="C1334" s="315" t="s">
        <v>1388</v>
      </c>
      <c r="D1334" s="203" t="s">
        <v>75</v>
      </c>
      <c r="E1334" s="214">
        <v>4.0</v>
      </c>
      <c r="F1334" s="205">
        <v>10.0</v>
      </c>
      <c r="G1334" s="206">
        <f t="shared" si="64"/>
        <v>40</v>
      </c>
      <c r="H1334" s="219"/>
      <c r="I1334" s="219"/>
      <c r="J1334" s="240"/>
      <c r="K1334" s="240"/>
      <c r="L1334" s="240"/>
    </row>
    <row r="1335" ht="12.75" customHeight="1" outlineLevel="2">
      <c r="B1335" s="322" t="s">
        <v>3115</v>
      </c>
      <c r="C1335" s="315" t="s">
        <v>1389</v>
      </c>
      <c r="D1335" s="203" t="s">
        <v>75</v>
      </c>
      <c r="E1335" s="214">
        <v>22.0</v>
      </c>
      <c r="F1335" s="205">
        <v>10.0</v>
      </c>
      <c r="G1335" s="206">
        <f t="shared" si="64"/>
        <v>220</v>
      </c>
      <c r="H1335" s="219"/>
      <c r="I1335" s="219"/>
      <c r="J1335" s="240"/>
      <c r="K1335" s="240"/>
      <c r="L1335" s="240"/>
    </row>
    <row r="1336" ht="12.75" customHeight="1" outlineLevel="2">
      <c r="B1336" s="322" t="s">
        <v>3117</v>
      </c>
      <c r="C1336" s="315" t="s">
        <v>1390</v>
      </c>
      <c r="D1336" s="203" t="s">
        <v>75</v>
      </c>
      <c r="E1336" s="214">
        <v>1.0</v>
      </c>
      <c r="F1336" s="205">
        <v>10.0</v>
      </c>
      <c r="G1336" s="206">
        <f t="shared" si="64"/>
        <v>10</v>
      </c>
      <c r="H1336" s="219"/>
      <c r="I1336" s="219"/>
      <c r="J1336" s="240"/>
      <c r="K1336" s="240"/>
      <c r="L1336" s="240"/>
    </row>
    <row r="1337" ht="12.75" customHeight="1" outlineLevel="2">
      <c r="B1337" s="322" t="s">
        <v>3119</v>
      </c>
      <c r="C1337" s="315" t="s">
        <v>1391</v>
      </c>
      <c r="D1337" s="203" t="s">
        <v>75</v>
      </c>
      <c r="E1337" s="214">
        <v>1.0</v>
      </c>
      <c r="F1337" s="205">
        <v>10.0</v>
      </c>
      <c r="G1337" s="206">
        <f t="shared" si="64"/>
        <v>10</v>
      </c>
      <c r="H1337" s="219"/>
      <c r="I1337" s="219"/>
      <c r="J1337" s="240"/>
      <c r="K1337" s="240"/>
      <c r="L1337" s="240"/>
    </row>
    <row r="1338" ht="12.75" customHeight="1" outlineLevel="2">
      <c r="B1338" s="322" t="s">
        <v>3121</v>
      </c>
      <c r="C1338" s="315" t="s">
        <v>1392</v>
      </c>
      <c r="D1338" s="203" t="s">
        <v>75</v>
      </c>
      <c r="E1338" s="214">
        <v>1.0</v>
      </c>
      <c r="F1338" s="205">
        <v>10.0</v>
      </c>
      <c r="G1338" s="206">
        <f t="shared" si="64"/>
        <v>10</v>
      </c>
      <c r="H1338" s="219"/>
      <c r="I1338" s="219"/>
      <c r="J1338" s="240"/>
      <c r="K1338" s="240"/>
      <c r="L1338" s="240"/>
    </row>
    <row r="1339" ht="12.75" customHeight="1" outlineLevel="2">
      <c r="B1339" s="322" t="s">
        <v>3123</v>
      </c>
      <c r="C1339" s="315" t="s">
        <v>1393</v>
      </c>
      <c r="D1339" s="203" t="s">
        <v>75</v>
      </c>
      <c r="E1339" s="214">
        <v>1.0</v>
      </c>
      <c r="F1339" s="205">
        <v>10.0</v>
      </c>
      <c r="G1339" s="206">
        <f t="shared" si="64"/>
        <v>10</v>
      </c>
      <c r="H1339" s="219"/>
      <c r="I1339" s="219"/>
      <c r="J1339" s="240"/>
      <c r="K1339" s="240"/>
      <c r="L1339" s="240"/>
    </row>
    <row r="1340" ht="12.75" customHeight="1" outlineLevel="2">
      <c r="B1340" s="322" t="s">
        <v>3125</v>
      </c>
      <c r="C1340" s="315" t="s">
        <v>1394</v>
      </c>
      <c r="D1340" s="203" t="s">
        <v>75</v>
      </c>
      <c r="E1340" s="214">
        <v>1.0</v>
      </c>
      <c r="F1340" s="205">
        <v>10.0</v>
      </c>
      <c r="G1340" s="206">
        <f t="shared" si="64"/>
        <v>10</v>
      </c>
      <c r="H1340" s="219"/>
      <c r="I1340" s="219"/>
      <c r="J1340" s="240"/>
      <c r="K1340" s="240"/>
      <c r="L1340" s="240"/>
    </row>
    <row r="1341" ht="12.75" customHeight="1" outlineLevel="2">
      <c r="B1341" s="322" t="s">
        <v>3127</v>
      </c>
      <c r="C1341" s="315" t="s">
        <v>1395</v>
      </c>
      <c r="D1341" s="203" t="s">
        <v>75</v>
      </c>
      <c r="E1341" s="214">
        <v>1.0</v>
      </c>
      <c r="F1341" s="205">
        <v>10.0</v>
      </c>
      <c r="G1341" s="206">
        <f t="shared" si="64"/>
        <v>10</v>
      </c>
      <c r="H1341" s="219"/>
      <c r="I1341" s="219"/>
      <c r="J1341" s="240"/>
      <c r="K1341" s="240"/>
      <c r="L1341" s="240"/>
    </row>
    <row r="1342" ht="12.75" customHeight="1" outlineLevel="2">
      <c r="B1342" s="322" t="s">
        <v>3129</v>
      </c>
      <c r="C1342" s="315" t="s">
        <v>1396</v>
      </c>
      <c r="D1342" s="203" t="s">
        <v>1374</v>
      </c>
      <c r="E1342" s="214">
        <v>1.0</v>
      </c>
      <c r="F1342" s="205">
        <v>10.0</v>
      </c>
      <c r="G1342" s="206">
        <f t="shared" si="64"/>
        <v>10</v>
      </c>
      <c r="H1342" s="219"/>
      <c r="I1342" s="219"/>
      <c r="J1342" s="240"/>
      <c r="K1342" s="240"/>
      <c r="L1342" s="240"/>
    </row>
    <row r="1343" ht="12.75" customHeight="1" outlineLevel="2">
      <c r="B1343" s="322" t="s">
        <v>3131</v>
      </c>
      <c r="C1343" s="315" t="s">
        <v>1397</v>
      </c>
      <c r="D1343" s="203" t="s">
        <v>75</v>
      </c>
      <c r="E1343" s="214">
        <v>1.0</v>
      </c>
      <c r="F1343" s="205">
        <v>10.0</v>
      </c>
      <c r="G1343" s="206">
        <f t="shared" si="64"/>
        <v>10</v>
      </c>
      <c r="H1343" s="219"/>
      <c r="I1343" s="219"/>
      <c r="J1343" s="240"/>
      <c r="K1343" s="240"/>
      <c r="L1343" s="240"/>
    </row>
    <row r="1344" ht="12.75" customHeight="1" outlineLevel="2">
      <c r="B1344" s="322" t="s">
        <v>3133</v>
      </c>
      <c r="C1344" s="315" t="s">
        <v>1398</v>
      </c>
      <c r="D1344" s="203" t="s">
        <v>75</v>
      </c>
      <c r="E1344" s="214">
        <v>5.0</v>
      </c>
      <c r="F1344" s="205">
        <v>10.0</v>
      </c>
      <c r="G1344" s="206">
        <f t="shared" si="64"/>
        <v>50</v>
      </c>
      <c r="H1344" s="219"/>
      <c r="I1344" s="219"/>
      <c r="J1344" s="240"/>
      <c r="K1344" s="240"/>
      <c r="L1344" s="240"/>
    </row>
    <row r="1345" ht="12.75" customHeight="1" outlineLevel="2">
      <c r="B1345" s="322" t="s">
        <v>3135</v>
      </c>
      <c r="C1345" s="315" t="s">
        <v>1380</v>
      </c>
      <c r="D1345" s="203" t="s">
        <v>75</v>
      </c>
      <c r="E1345" s="214">
        <v>2.0</v>
      </c>
      <c r="F1345" s="205">
        <v>10.0</v>
      </c>
      <c r="G1345" s="206">
        <f t="shared" si="64"/>
        <v>20</v>
      </c>
      <c r="H1345" s="219"/>
      <c r="I1345" s="219"/>
      <c r="J1345" s="240"/>
      <c r="K1345" s="240"/>
      <c r="L1345" s="240"/>
    </row>
    <row r="1346" ht="12.75" customHeight="1" outlineLevel="2">
      <c r="B1346" s="322" t="s">
        <v>3136</v>
      </c>
      <c r="C1346" s="315" t="s">
        <v>1399</v>
      </c>
      <c r="D1346" s="203" t="s">
        <v>75</v>
      </c>
      <c r="E1346" s="214">
        <v>1.0</v>
      </c>
      <c r="F1346" s="205">
        <v>10.0</v>
      </c>
      <c r="G1346" s="206">
        <f t="shared" si="64"/>
        <v>10</v>
      </c>
      <c r="H1346" s="219"/>
      <c r="I1346" s="219"/>
      <c r="J1346" s="240"/>
      <c r="K1346" s="240"/>
      <c r="L1346" s="240"/>
    </row>
    <row r="1347" ht="12.75" customHeight="1" outlineLevel="2">
      <c r="B1347" s="322" t="s">
        <v>3138</v>
      </c>
      <c r="C1347" s="315" t="s">
        <v>1400</v>
      </c>
      <c r="D1347" s="203" t="s">
        <v>75</v>
      </c>
      <c r="E1347" s="214">
        <v>1.0</v>
      </c>
      <c r="F1347" s="205">
        <v>10.0</v>
      </c>
      <c r="G1347" s="206">
        <f t="shared" si="64"/>
        <v>10</v>
      </c>
      <c r="H1347" s="219"/>
      <c r="I1347" s="219"/>
      <c r="J1347" s="240"/>
      <c r="K1347" s="240"/>
      <c r="L1347" s="240"/>
    </row>
    <row r="1348" ht="12.75" customHeight="1" outlineLevel="2">
      <c r="B1348" s="322" t="s">
        <v>3140</v>
      </c>
      <c r="C1348" s="315" t="s">
        <v>1401</v>
      </c>
      <c r="D1348" s="203" t="s">
        <v>75</v>
      </c>
      <c r="E1348" s="214">
        <v>1.0</v>
      </c>
      <c r="F1348" s="205">
        <v>10.0</v>
      </c>
      <c r="G1348" s="206">
        <f t="shared" si="64"/>
        <v>10</v>
      </c>
      <c r="H1348" s="219"/>
      <c r="I1348" s="219"/>
      <c r="J1348" s="240"/>
      <c r="K1348" s="240"/>
      <c r="L1348" s="240"/>
    </row>
    <row r="1349" ht="12.75" customHeight="1" outlineLevel="2">
      <c r="B1349" s="322" t="s">
        <v>3142</v>
      </c>
      <c r="C1349" s="315" t="s">
        <v>1402</v>
      </c>
      <c r="D1349" s="203" t="s">
        <v>75</v>
      </c>
      <c r="E1349" s="214">
        <v>1.0</v>
      </c>
      <c r="F1349" s="205">
        <v>10.0</v>
      </c>
      <c r="G1349" s="206">
        <f t="shared" si="64"/>
        <v>10</v>
      </c>
      <c r="H1349" s="219"/>
      <c r="I1349" s="219"/>
      <c r="J1349" s="240"/>
      <c r="K1349" s="240"/>
      <c r="L1349" s="240"/>
    </row>
    <row r="1350" ht="12.75" customHeight="1" outlineLevel="2">
      <c r="B1350" s="322" t="s">
        <v>3144</v>
      </c>
      <c r="C1350" s="315" t="s">
        <v>1403</v>
      </c>
      <c r="D1350" s="203" t="s">
        <v>75</v>
      </c>
      <c r="E1350" s="214">
        <v>1.0</v>
      </c>
      <c r="F1350" s="205">
        <v>10.0</v>
      </c>
      <c r="G1350" s="206">
        <f t="shared" si="64"/>
        <v>10</v>
      </c>
      <c r="H1350" s="219"/>
      <c r="I1350" s="219"/>
      <c r="J1350" s="240"/>
      <c r="K1350" s="240"/>
      <c r="L1350" s="240"/>
    </row>
    <row r="1351" ht="12.75" customHeight="1" outlineLevel="2">
      <c r="B1351" s="322" t="s">
        <v>3146</v>
      </c>
      <c r="C1351" s="315" t="s">
        <v>1404</v>
      </c>
      <c r="D1351" s="203" t="s">
        <v>75</v>
      </c>
      <c r="E1351" s="214">
        <v>1.0</v>
      </c>
      <c r="F1351" s="205">
        <v>10.0</v>
      </c>
      <c r="G1351" s="206">
        <f t="shared" si="64"/>
        <v>10</v>
      </c>
      <c r="H1351" s="219"/>
      <c r="I1351" s="219"/>
      <c r="J1351" s="240"/>
      <c r="K1351" s="240"/>
      <c r="L1351" s="240"/>
    </row>
    <row r="1352" ht="12.75" customHeight="1" outlineLevel="2">
      <c r="B1352" s="322" t="s">
        <v>3148</v>
      </c>
      <c r="C1352" s="315" t="s">
        <v>1405</v>
      </c>
      <c r="D1352" s="203" t="s">
        <v>75</v>
      </c>
      <c r="E1352" s="214">
        <v>1.0</v>
      </c>
      <c r="F1352" s="205">
        <v>10.0</v>
      </c>
      <c r="G1352" s="206">
        <f t="shared" si="64"/>
        <v>10</v>
      </c>
      <c r="H1352" s="219"/>
      <c r="I1352" s="219"/>
      <c r="J1352" s="240"/>
      <c r="K1352" s="240"/>
      <c r="L1352" s="240"/>
    </row>
    <row r="1353" ht="12.75" customHeight="1" outlineLevel="2">
      <c r="B1353" s="322" t="s">
        <v>3150</v>
      </c>
      <c r="C1353" s="315" t="s">
        <v>1406</v>
      </c>
      <c r="D1353" s="203" t="s">
        <v>75</v>
      </c>
      <c r="E1353" s="214">
        <v>1.0</v>
      </c>
      <c r="F1353" s="205">
        <v>10.0</v>
      </c>
      <c r="G1353" s="206">
        <f t="shared" si="64"/>
        <v>10</v>
      </c>
      <c r="H1353" s="219"/>
      <c r="I1353" s="219"/>
      <c r="J1353" s="240"/>
      <c r="K1353" s="240"/>
      <c r="L1353" s="240"/>
    </row>
    <row r="1354" ht="12.75" customHeight="1" outlineLevel="2">
      <c r="B1354" s="322" t="s">
        <v>3152</v>
      </c>
      <c r="C1354" s="315" t="s">
        <v>1407</v>
      </c>
      <c r="D1354" s="203" t="s">
        <v>75</v>
      </c>
      <c r="E1354" s="214">
        <v>1.0</v>
      </c>
      <c r="F1354" s="205">
        <v>10.0</v>
      </c>
      <c r="G1354" s="206">
        <f t="shared" si="64"/>
        <v>10</v>
      </c>
      <c r="H1354" s="219"/>
      <c r="I1354" s="219"/>
      <c r="J1354" s="240"/>
      <c r="K1354" s="240"/>
      <c r="L1354" s="240"/>
    </row>
    <row r="1355" ht="12.75" customHeight="1" outlineLevel="2">
      <c r="B1355" s="322" t="s">
        <v>3154</v>
      </c>
      <c r="C1355" s="315" t="s">
        <v>1408</v>
      </c>
      <c r="D1355" s="203" t="s">
        <v>75</v>
      </c>
      <c r="E1355" s="214">
        <v>1.0</v>
      </c>
      <c r="F1355" s="205">
        <v>10.0</v>
      </c>
      <c r="G1355" s="206">
        <f t="shared" si="64"/>
        <v>10</v>
      </c>
      <c r="H1355" s="219"/>
      <c r="I1355" s="219"/>
      <c r="J1355" s="240"/>
      <c r="K1355" s="240"/>
      <c r="L1355" s="240"/>
    </row>
    <row r="1356" ht="12.75" customHeight="1" outlineLevel="2">
      <c r="B1356" s="322" t="s">
        <v>3156</v>
      </c>
      <c r="C1356" s="315" t="s">
        <v>1409</v>
      </c>
      <c r="D1356" s="203" t="s">
        <v>75</v>
      </c>
      <c r="E1356" s="214">
        <v>1.0</v>
      </c>
      <c r="F1356" s="205">
        <v>10.0</v>
      </c>
      <c r="G1356" s="206">
        <f t="shared" si="64"/>
        <v>10</v>
      </c>
      <c r="H1356" s="219"/>
      <c r="I1356" s="219"/>
      <c r="J1356" s="240"/>
      <c r="K1356" s="240"/>
      <c r="L1356" s="240"/>
    </row>
    <row r="1357" ht="12.75" customHeight="1" outlineLevel="2">
      <c r="B1357" s="322" t="s">
        <v>3158</v>
      </c>
      <c r="C1357" s="315" t="s">
        <v>1410</v>
      </c>
      <c r="D1357" s="203" t="s">
        <v>75</v>
      </c>
      <c r="E1357" s="214">
        <v>1.0</v>
      </c>
      <c r="F1357" s="205">
        <v>10.0</v>
      </c>
      <c r="G1357" s="206">
        <f t="shared" si="64"/>
        <v>10</v>
      </c>
      <c r="H1357" s="219"/>
      <c r="I1357" s="219"/>
      <c r="J1357" s="240"/>
      <c r="K1357" s="240"/>
      <c r="L1357" s="240"/>
    </row>
    <row r="1358" ht="12.75" customHeight="1" outlineLevel="2">
      <c r="B1358" s="322" t="s">
        <v>3160</v>
      </c>
      <c r="C1358" s="315" t="s">
        <v>1376</v>
      </c>
      <c r="D1358" s="203" t="s">
        <v>75</v>
      </c>
      <c r="E1358" s="214">
        <v>6.0</v>
      </c>
      <c r="F1358" s="205">
        <v>3.0</v>
      </c>
      <c r="G1358" s="206">
        <f t="shared" si="64"/>
        <v>18</v>
      </c>
      <c r="H1358" s="219"/>
      <c r="I1358" s="219"/>
      <c r="J1358" s="240"/>
      <c r="K1358" s="240"/>
      <c r="L1358" s="240"/>
    </row>
    <row r="1359" ht="12.75" customHeight="1" outlineLevel="2">
      <c r="B1359" s="322" t="s">
        <v>3161</v>
      </c>
      <c r="C1359" s="315" t="s">
        <v>1411</v>
      </c>
      <c r="D1359" s="203" t="s">
        <v>75</v>
      </c>
      <c r="E1359" s="214">
        <v>8.0</v>
      </c>
      <c r="F1359" s="205">
        <v>50.0</v>
      </c>
      <c r="G1359" s="206">
        <f t="shared" si="64"/>
        <v>400</v>
      </c>
      <c r="H1359" s="219"/>
      <c r="I1359" s="219"/>
      <c r="J1359" s="240"/>
      <c r="K1359" s="240"/>
      <c r="L1359" s="240"/>
    </row>
    <row r="1360" ht="12.75" customHeight="1" outlineLevel="2">
      <c r="B1360" s="322" t="s">
        <v>3163</v>
      </c>
      <c r="C1360" s="315" t="s">
        <v>1368</v>
      </c>
      <c r="D1360" s="203" t="s">
        <v>75</v>
      </c>
      <c r="E1360" s="214">
        <v>1.0</v>
      </c>
      <c r="F1360" s="205">
        <v>10.0</v>
      </c>
      <c r="G1360" s="206">
        <f t="shared" si="64"/>
        <v>10</v>
      </c>
      <c r="H1360" s="219"/>
      <c r="I1360" s="219"/>
      <c r="J1360" s="240"/>
      <c r="K1360" s="240"/>
      <c r="L1360" s="240"/>
    </row>
    <row r="1361" ht="12.75" customHeight="1" outlineLevel="2">
      <c r="B1361" s="322" t="s">
        <v>3164</v>
      </c>
      <c r="C1361" s="315" t="s">
        <v>1383</v>
      </c>
      <c r="D1361" s="203" t="s">
        <v>75</v>
      </c>
      <c r="E1361" s="214">
        <v>2.0</v>
      </c>
      <c r="F1361" s="205">
        <v>110.0</v>
      </c>
      <c r="G1361" s="206">
        <f t="shared" si="64"/>
        <v>220</v>
      </c>
      <c r="H1361" s="219"/>
      <c r="I1361" s="219"/>
      <c r="J1361" s="240"/>
      <c r="K1361" s="240"/>
      <c r="L1361" s="240"/>
    </row>
    <row r="1362" ht="12.75" customHeight="1" outlineLevel="2">
      <c r="B1362" s="322" t="s">
        <v>3165</v>
      </c>
      <c r="C1362" s="315" t="s">
        <v>1381</v>
      </c>
      <c r="D1362" s="203" t="s">
        <v>75</v>
      </c>
      <c r="E1362" s="214">
        <v>1.0</v>
      </c>
      <c r="F1362" s="205">
        <v>70.0</v>
      </c>
      <c r="G1362" s="206">
        <f t="shared" si="64"/>
        <v>70</v>
      </c>
      <c r="H1362" s="219"/>
      <c r="I1362" s="219"/>
      <c r="J1362" s="240"/>
      <c r="K1362" s="240"/>
      <c r="L1362" s="240"/>
    </row>
    <row r="1363" ht="12.75" customHeight="1" outlineLevel="2">
      <c r="B1363" s="189"/>
      <c r="C1363" s="208"/>
      <c r="E1363" s="79"/>
      <c r="F1363" s="80"/>
      <c r="G1363" s="80"/>
      <c r="H1363" s="240"/>
      <c r="I1363" s="240"/>
      <c r="J1363" s="240"/>
      <c r="K1363" s="240"/>
      <c r="L1363" s="240"/>
    </row>
    <row r="1364" ht="12.75" customHeight="1" outlineLevel="2">
      <c r="B1364" s="322" t="s">
        <v>3166</v>
      </c>
      <c r="C1364" s="323" t="s">
        <v>1412</v>
      </c>
      <c r="E1364" s="79"/>
      <c r="F1364" s="80"/>
      <c r="G1364" s="80"/>
      <c r="H1364" s="240"/>
      <c r="I1364" s="240"/>
      <c r="J1364" s="240"/>
      <c r="K1364" s="240"/>
      <c r="L1364" s="240"/>
    </row>
    <row r="1365" ht="12.75" customHeight="1" outlineLevel="2">
      <c r="B1365" s="189"/>
      <c r="C1365" s="208"/>
      <c r="E1365" s="79"/>
      <c r="F1365" s="80"/>
      <c r="G1365" s="80"/>
      <c r="H1365" s="240"/>
      <c r="I1365" s="240"/>
      <c r="J1365" s="240"/>
      <c r="K1365" s="240"/>
      <c r="L1365" s="240"/>
    </row>
    <row r="1366" ht="12.75" customHeight="1" outlineLevel="2">
      <c r="B1366" s="301" t="s">
        <v>3168</v>
      </c>
      <c r="C1366" s="315" t="s">
        <v>1413</v>
      </c>
      <c r="D1366" s="203" t="s">
        <v>75</v>
      </c>
      <c r="E1366" s="214">
        <v>51.0</v>
      </c>
      <c r="F1366" s="205">
        <v>10.0</v>
      </c>
      <c r="G1366" s="206">
        <f t="shared" ref="G1366:G1387" si="65">F1366*E1366</f>
        <v>510</v>
      </c>
      <c r="H1366" s="219"/>
      <c r="I1366" s="219"/>
      <c r="J1366" s="240"/>
      <c r="K1366" s="240"/>
      <c r="L1366" s="240"/>
    </row>
    <row r="1367" ht="12.75" customHeight="1" outlineLevel="2">
      <c r="B1367" s="301" t="s">
        <v>3170</v>
      </c>
      <c r="C1367" s="315" t="s">
        <v>1377</v>
      </c>
      <c r="D1367" s="203" t="s">
        <v>75</v>
      </c>
      <c r="E1367" s="214">
        <v>6.0</v>
      </c>
      <c r="F1367" s="205">
        <v>10.0</v>
      </c>
      <c r="G1367" s="206">
        <f t="shared" si="65"/>
        <v>60</v>
      </c>
      <c r="H1367" s="219"/>
      <c r="I1367" s="219"/>
      <c r="J1367" s="240"/>
      <c r="K1367" s="240"/>
      <c r="L1367" s="240"/>
    </row>
    <row r="1368" ht="12.75" customHeight="1" outlineLevel="2">
      <c r="B1368" s="301" t="s">
        <v>3171</v>
      </c>
      <c r="C1368" s="315" t="s">
        <v>1375</v>
      </c>
      <c r="D1368" s="203" t="s">
        <v>75</v>
      </c>
      <c r="E1368" s="214">
        <v>11.0</v>
      </c>
      <c r="F1368" s="205">
        <v>10.0</v>
      </c>
      <c r="G1368" s="206">
        <f t="shared" si="65"/>
        <v>110</v>
      </c>
      <c r="H1368" s="219"/>
      <c r="I1368" s="219"/>
      <c r="J1368" s="240"/>
      <c r="K1368" s="240"/>
      <c r="L1368" s="240"/>
    </row>
    <row r="1369" ht="12.75" customHeight="1" outlineLevel="2">
      <c r="B1369" s="301" t="s">
        <v>3172</v>
      </c>
      <c r="C1369" s="315" t="s">
        <v>1373</v>
      </c>
      <c r="D1369" s="203" t="s">
        <v>1374</v>
      </c>
      <c r="E1369" s="214">
        <v>4.0</v>
      </c>
      <c r="F1369" s="205">
        <v>10.0</v>
      </c>
      <c r="G1369" s="206">
        <f t="shared" si="65"/>
        <v>40</v>
      </c>
      <c r="H1369" s="219"/>
      <c r="I1369" s="219"/>
      <c r="J1369" s="240"/>
      <c r="K1369" s="240"/>
      <c r="L1369" s="240"/>
    </row>
    <row r="1370" ht="12.75" customHeight="1" outlineLevel="2">
      <c r="B1370" s="301" t="s">
        <v>3173</v>
      </c>
      <c r="C1370" s="315" t="s">
        <v>1414</v>
      </c>
      <c r="D1370" s="203" t="s">
        <v>75</v>
      </c>
      <c r="E1370" s="214">
        <v>1.0</v>
      </c>
      <c r="F1370" s="205">
        <v>10.0</v>
      </c>
      <c r="G1370" s="206">
        <f t="shared" si="65"/>
        <v>10</v>
      </c>
      <c r="H1370" s="219"/>
      <c r="I1370" s="219"/>
      <c r="J1370" s="240"/>
      <c r="K1370" s="240"/>
      <c r="L1370" s="240"/>
    </row>
    <row r="1371" ht="12.75" customHeight="1" outlineLevel="2">
      <c r="B1371" s="301" t="s">
        <v>3175</v>
      </c>
      <c r="C1371" s="315" t="s">
        <v>1369</v>
      </c>
      <c r="D1371" s="203" t="s">
        <v>75</v>
      </c>
      <c r="E1371" s="214">
        <v>9.0</v>
      </c>
      <c r="F1371" s="205">
        <v>10.0</v>
      </c>
      <c r="G1371" s="206">
        <f t="shared" si="65"/>
        <v>90</v>
      </c>
      <c r="H1371" s="219"/>
      <c r="I1371" s="219"/>
      <c r="J1371" s="240"/>
      <c r="K1371" s="240"/>
      <c r="L1371" s="240"/>
    </row>
    <row r="1372" ht="12.75" customHeight="1" outlineLevel="2">
      <c r="B1372" s="301" t="s">
        <v>3176</v>
      </c>
      <c r="C1372" s="315" t="s">
        <v>1389</v>
      </c>
      <c r="D1372" s="203" t="s">
        <v>75</v>
      </c>
      <c r="E1372" s="214">
        <v>4.0</v>
      </c>
      <c r="F1372" s="205">
        <v>10.0</v>
      </c>
      <c r="G1372" s="206">
        <f t="shared" si="65"/>
        <v>40</v>
      </c>
      <c r="H1372" s="219"/>
      <c r="I1372" s="219"/>
      <c r="J1372" s="240"/>
      <c r="K1372" s="240"/>
      <c r="L1372" s="240"/>
    </row>
    <row r="1373" ht="12.75" customHeight="1" outlineLevel="2">
      <c r="B1373" s="301" t="s">
        <v>3177</v>
      </c>
      <c r="C1373" s="315" t="s">
        <v>1388</v>
      </c>
      <c r="D1373" s="203" t="s">
        <v>75</v>
      </c>
      <c r="E1373" s="214">
        <v>4.0</v>
      </c>
      <c r="F1373" s="205">
        <v>10.0</v>
      </c>
      <c r="G1373" s="206">
        <f t="shared" si="65"/>
        <v>40</v>
      </c>
      <c r="H1373" s="219"/>
      <c r="I1373" s="219"/>
      <c r="J1373" s="240"/>
      <c r="K1373" s="240"/>
      <c r="L1373" s="240"/>
    </row>
    <row r="1374" ht="12.75" customHeight="1" outlineLevel="2">
      <c r="B1374" s="301" t="s">
        <v>3178</v>
      </c>
      <c r="C1374" s="315" t="s">
        <v>1376</v>
      </c>
      <c r="D1374" s="203" t="s">
        <v>75</v>
      </c>
      <c r="E1374" s="214">
        <v>4.0</v>
      </c>
      <c r="F1374" s="205">
        <v>2.0</v>
      </c>
      <c r="G1374" s="206">
        <f t="shared" si="65"/>
        <v>8</v>
      </c>
      <c r="H1374" s="219"/>
      <c r="I1374" s="219"/>
      <c r="J1374" s="240"/>
      <c r="K1374" s="240"/>
      <c r="L1374" s="240"/>
    </row>
    <row r="1375" ht="12.75" customHeight="1" outlineLevel="2">
      <c r="B1375" s="301" t="s">
        <v>3179</v>
      </c>
      <c r="C1375" s="315" t="s">
        <v>1415</v>
      </c>
      <c r="D1375" s="203" t="s">
        <v>75</v>
      </c>
      <c r="E1375" s="214">
        <v>1.0</v>
      </c>
      <c r="F1375" s="205">
        <v>10.0</v>
      </c>
      <c r="G1375" s="206">
        <f t="shared" si="65"/>
        <v>10</v>
      </c>
      <c r="H1375" s="219"/>
      <c r="I1375" s="219"/>
      <c r="J1375" s="240"/>
      <c r="K1375" s="240"/>
      <c r="L1375" s="240"/>
    </row>
    <row r="1376" ht="12.75" customHeight="1" outlineLevel="2">
      <c r="B1376" s="301" t="s">
        <v>3181</v>
      </c>
      <c r="C1376" s="315" t="s">
        <v>1416</v>
      </c>
      <c r="D1376" s="203" t="s">
        <v>75</v>
      </c>
      <c r="E1376" s="214">
        <v>1.0</v>
      </c>
      <c r="F1376" s="205">
        <v>10.0</v>
      </c>
      <c r="G1376" s="206">
        <f t="shared" si="65"/>
        <v>10</v>
      </c>
      <c r="H1376" s="219"/>
      <c r="I1376" s="219"/>
      <c r="J1376" s="240"/>
      <c r="K1376" s="240"/>
      <c r="L1376" s="240"/>
    </row>
    <row r="1377" ht="12.75" customHeight="1" outlineLevel="2">
      <c r="B1377" s="301" t="s">
        <v>3183</v>
      </c>
      <c r="C1377" s="315" t="s">
        <v>1417</v>
      </c>
      <c r="D1377" s="203" t="s">
        <v>75</v>
      </c>
      <c r="E1377" s="214">
        <v>1.0</v>
      </c>
      <c r="F1377" s="205">
        <v>10.0</v>
      </c>
      <c r="G1377" s="206">
        <f t="shared" si="65"/>
        <v>10</v>
      </c>
      <c r="H1377" s="219"/>
      <c r="I1377" s="219"/>
      <c r="J1377" s="240"/>
      <c r="K1377" s="240"/>
      <c r="L1377" s="240"/>
    </row>
    <row r="1378" ht="12.75" customHeight="1" outlineLevel="2">
      <c r="B1378" s="301" t="s">
        <v>3185</v>
      </c>
      <c r="C1378" s="315" t="s">
        <v>1418</v>
      </c>
      <c r="D1378" s="203" t="s">
        <v>75</v>
      </c>
      <c r="E1378" s="214">
        <v>1.0</v>
      </c>
      <c r="F1378" s="205">
        <v>10.0</v>
      </c>
      <c r="G1378" s="206">
        <f t="shared" si="65"/>
        <v>10</v>
      </c>
      <c r="H1378" s="219"/>
      <c r="I1378" s="219"/>
      <c r="J1378" s="240"/>
      <c r="K1378" s="240"/>
      <c r="L1378" s="240"/>
    </row>
    <row r="1379" ht="12.75" customHeight="1" outlineLevel="2">
      <c r="B1379" s="301" t="s">
        <v>3187</v>
      </c>
      <c r="C1379" s="315" t="s">
        <v>1419</v>
      </c>
      <c r="D1379" s="203" t="s">
        <v>75</v>
      </c>
      <c r="E1379" s="214">
        <v>1.0</v>
      </c>
      <c r="F1379" s="205">
        <v>10.0</v>
      </c>
      <c r="G1379" s="206">
        <f t="shared" si="65"/>
        <v>10</v>
      </c>
      <c r="H1379" s="219"/>
      <c r="I1379" s="219"/>
      <c r="J1379" s="240"/>
      <c r="K1379" s="240"/>
      <c r="L1379" s="240"/>
    </row>
    <row r="1380" ht="12.75" customHeight="1" outlineLevel="2">
      <c r="B1380" s="301" t="s">
        <v>3189</v>
      </c>
      <c r="C1380" s="315" t="s">
        <v>1420</v>
      </c>
      <c r="D1380" s="203" t="s">
        <v>75</v>
      </c>
      <c r="E1380" s="214">
        <v>1.0</v>
      </c>
      <c r="F1380" s="205">
        <v>10.0</v>
      </c>
      <c r="G1380" s="206">
        <f t="shared" si="65"/>
        <v>10</v>
      </c>
      <c r="H1380" s="219"/>
      <c r="I1380" s="219"/>
      <c r="J1380" s="240"/>
      <c r="K1380" s="240"/>
      <c r="L1380" s="240"/>
    </row>
    <row r="1381" ht="12.75" customHeight="1" outlineLevel="2">
      <c r="B1381" s="301" t="s">
        <v>3191</v>
      </c>
      <c r="C1381" s="315" t="s">
        <v>1421</v>
      </c>
      <c r="D1381" s="203" t="s">
        <v>75</v>
      </c>
      <c r="E1381" s="214">
        <v>1.0</v>
      </c>
      <c r="F1381" s="205">
        <v>10.0</v>
      </c>
      <c r="G1381" s="206">
        <f t="shared" si="65"/>
        <v>10</v>
      </c>
      <c r="H1381" s="219"/>
      <c r="I1381" s="219"/>
      <c r="J1381" s="240"/>
      <c r="K1381" s="240"/>
      <c r="L1381" s="240"/>
    </row>
    <row r="1382" ht="12.75" customHeight="1" outlineLevel="2">
      <c r="B1382" s="301" t="s">
        <v>3193</v>
      </c>
      <c r="C1382" s="315" t="s">
        <v>1422</v>
      </c>
      <c r="D1382" s="203" t="s">
        <v>75</v>
      </c>
      <c r="E1382" s="214">
        <v>1.0</v>
      </c>
      <c r="F1382" s="205">
        <v>10.0</v>
      </c>
      <c r="G1382" s="206">
        <f t="shared" si="65"/>
        <v>10</v>
      </c>
      <c r="H1382" s="219"/>
      <c r="I1382" s="219"/>
      <c r="J1382" s="240"/>
      <c r="K1382" s="240"/>
      <c r="L1382" s="240"/>
    </row>
    <row r="1383" ht="12.75" customHeight="1" outlineLevel="2">
      <c r="B1383" s="301" t="s">
        <v>3195</v>
      </c>
      <c r="C1383" s="315" t="s">
        <v>1423</v>
      </c>
      <c r="D1383" s="203" t="s">
        <v>1374</v>
      </c>
      <c r="E1383" s="214">
        <v>1.0</v>
      </c>
      <c r="F1383" s="205">
        <v>10.0</v>
      </c>
      <c r="G1383" s="206">
        <f t="shared" si="65"/>
        <v>10</v>
      </c>
      <c r="H1383" s="219"/>
      <c r="I1383" s="219"/>
      <c r="J1383" s="240"/>
      <c r="K1383" s="240"/>
      <c r="L1383" s="240"/>
    </row>
    <row r="1384" ht="12.75" customHeight="1" outlineLevel="2">
      <c r="B1384" s="301" t="s">
        <v>3197</v>
      </c>
      <c r="C1384" s="315" t="s">
        <v>1396</v>
      </c>
      <c r="D1384" s="203" t="s">
        <v>1374</v>
      </c>
      <c r="E1384" s="214">
        <v>1.0</v>
      </c>
      <c r="F1384" s="205">
        <v>10.0</v>
      </c>
      <c r="G1384" s="206">
        <f t="shared" si="65"/>
        <v>10</v>
      </c>
      <c r="H1384" s="219"/>
      <c r="I1384" s="219"/>
      <c r="J1384" s="240"/>
      <c r="K1384" s="240"/>
      <c r="L1384" s="240"/>
    </row>
    <row r="1385" ht="12.75" customHeight="1" outlineLevel="2">
      <c r="B1385" s="301" t="s">
        <v>3198</v>
      </c>
      <c r="C1385" s="315" t="s">
        <v>1424</v>
      </c>
      <c r="D1385" s="203" t="s">
        <v>75</v>
      </c>
      <c r="E1385" s="214">
        <v>1.0</v>
      </c>
      <c r="F1385" s="205">
        <v>10.0</v>
      </c>
      <c r="G1385" s="206">
        <f t="shared" si="65"/>
        <v>10</v>
      </c>
      <c r="H1385" s="219"/>
      <c r="I1385" s="219"/>
      <c r="J1385" s="240"/>
      <c r="K1385" s="240"/>
      <c r="L1385" s="240"/>
    </row>
    <row r="1386" ht="12.75" customHeight="1" outlineLevel="2">
      <c r="B1386" s="301" t="s">
        <v>3200</v>
      </c>
      <c r="C1386" s="315" t="s">
        <v>1383</v>
      </c>
      <c r="D1386" s="203" t="s">
        <v>75</v>
      </c>
      <c r="E1386" s="214">
        <v>14.0</v>
      </c>
      <c r="F1386" s="205">
        <v>110.0</v>
      </c>
      <c r="G1386" s="206">
        <f t="shared" si="65"/>
        <v>1540</v>
      </c>
      <c r="H1386" s="219"/>
      <c r="I1386" s="219"/>
      <c r="J1386" s="240"/>
      <c r="K1386" s="240"/>
      <c r="L1386" s="240"/>
    </row>
    <row r="1387" ht="12.75" customHeight="1" outlineLevel="2">
      <c r="B1387" s="301" t="s">
        <v>3201</v>
      </c>
      <c r="C1387" s="316" t="s">
        <v>1425</v>
      </c>
      <c r="D1387" s="302" t="s">
        <v>75</v>
      </c>
      <c r="E1387" s="303">
        <v>3.0</v>
      </c>
      <c r="F1387" s="304">
        <v>49.14</v>
      </c>
      <c r="G1387" s="206">
        <f t="shared" si="65"/>
        <v>147.42</v>
      </c>
      <c r="H1387" s="219"/>
      <c r="I1387" s="219"/>
      <c r="J1387" s="240"/>
      <c r="K1387" s="240"/>
      <c r="L1387" s="240"/>
    </row>
    <row r="1388" ht="12.75" customHeight="1" outlineLevel="2">
      <c r="B1388" s="328"/>
      <c r="C1388" s="329"/>
      <c r="D1388" s="130"/>
      <c r="E1388" s="170"/>
      <c r="F1388" s="239"/>
      <c r="G1388" s="239"/>
      <c r="H1388" s="240"/>
      <c r="I1388" s="240"/>
      <c r="J1388" s="240"/>
      <c r="K1388" s="240"/>
      <c r="L1388" s="240"/>
    </row>
    <row r="1389" ht="12.75" customHeight="1" outlineLevel="2">
      <c r="B1389" s="319" t="s">
        <v>3203</v>
      </c>
      <c r="C1389" s="316" t="s">
        <v>1426</v>
      </c>
      <c r="D1389" s="302" t="s">
        <v>33</v>
      </c>
      <c r="E1389" s="303">
        <v>1.0</v>
      </c>
      <c r="F1389" s="304">
        <v>21000.0</v>
      </c>
      <c r="G1389" s="206">
        <f>F1389*E1389</f>
        <v>21000</v>
      </c>
      <c r="H1389" s="219" t="s">
        <v>5651</v>
      </c>
      <c r="I1389" s="219" t="s">
        <v>5651</v>
      </c>
      <c r="J1389" s="240"/>
      <c r="K1389" s="240"/>
      <c r="L1389" s="240"/>
    </row>
    <row r="1390" ht="12.75" customHeight="1" outlineLevel="2">
      <c r="B1390" s="189"/>
      <c r="C1390" s="208"/>
      <c r="E1390" s="79"/>
      <c r="F1390" s="80"/>
      <c r="G1390" s="80"/>
      <c r="H1390" s="240"/>
      <c r="I1390" s="240"/>
      <c r="J1390" s="240"/>
      <c r="K1390" s="240"/>
      <c r="L1390" s="240"/>
    </row>
    <row r="1391" ht="12.75" customHeight="1" outlineLevel="2">
      <c r="B1391" s="301" t="s">
        <v>3206</v>
      </c>
      <c r="C1391" s="315" t="s">
        <v>1427</v>
      </c>
      <c r="D1391" s="203" t="s">
        <v>33</v>
      </c>
      <c r="E1391" s="214">
        <v>1.0</v>
      </c>
      <c r="F1391" s="205">
        <v>0.0</v>
      </c>
      <c r="G1391" s="206">
        <f>F1391*E1391</f>
        <v>0</v>
      </c>
      <c r="H1391" s="206" t="s">
        <v>619</v>
      </c>
      <c r="I1391" s="206" t="s">
        <v>619</v>
      </c>
      <c r="J1391" s="239"/>
      <c r="K1391" s="239"/>
      <c r="L1391" s="239"/>
    </row>
    <row r="1392" ht="12.75" customHeight="1" outlineLevel="2">
      <c r="B1392" s="189"/>
      <c r="C1392" s="208"/>
      <c r="E1392" s="79"/>
      <c r="F1392" s="80"/>
      <c r="G1392" s="80"/>
      <c r="H1392" s="240"/>
      <c r="I1392" s="240"/>
      <c r="J1392" s="240"/>
      <c r="K1392" s="240"/>
      <c r="L1392" s="240"/>
    </row>
    <row r="1393" ht="12.75" customHeight="1" outlineLevel="1">
      <c r="A1393" s="89" t="s">
        <v>1429</v>
      </c>
      <c r="B1393" s="189"/>
      <c r="C1393" s="184" t="s">
        <v>5652</v>
      </c>
      <c r="E1393" s="79"/>
      <c r="F1393" s="917">
        <f>SUM(G1395:G1397)</f>
        <v>0</v>
      </c>
      <c r="G1393" s="80"/>
      <c r="H1393" s="240"/>
      <c r="I1393" s="240"/>
      <c r="J1393" s="240"/>
      <c r="K1393" s="240"/>
      <c r="L1393" s="240"/>
    </row>
    <row r="1394" ht="12.75" customHeight="1" outlineLevel="2">
      <c r="B1394" s="189"/>
      <c r="C1394" s="208"/>
      <c r="E1394" s="79"/>
      <c r="F1394" s="80"/>
      <c r="G1394" s="80"/>
      <c r="H1394" s="240"/>
      <c r="I1394" s="240"/>
      <c r="J1394" s="240"/>
      <c r="K1394" s="240"/>
      <c r="L1394" s="240"/>
    </row>
    <row r="1395" ht="12.75" customHeight="1" outlineLevel="2">
      <c r="B1395" s="301" t="s">
        <v>3209</v>
      </c>
      <c r="C1395" s="315" t="s">
        <v>1135</v>
      </c>
      <c r="D1395" s="203" t="s">
        <v>33</v>
      </c>
      <c r="E1395" s="214">
        <v>1.0</v>
      </c>
      <c r="F1395" s="205">
        <v>0.0</v>
      </c>
      <c r="G1395" s="206">
        <f>F1395*E1395</f>
        <v>0</v>
      </c>
      <c r="H1395" s="206" t="s">
        <v>619</v>
      </c>
      <c r="I1395" s="206" t="s">
        <v>619</v>
      </c>
      <c r="J1395" s="239"/>
      <c r="K1395" s="239"/>
      <c r="L1395" s="239"/>
    </row>
    <row r="1396" ht="12.75" customHeight="1" outlineLevel="2">
      <c r="B1396" s="189"/>
      <c r="C1396" s="208"/>
      <c r="E1396" s="79"/>
      <c r="F1396" s="80"/>
      <c r="G1396" s="80"/>
      <c r="H1396" s="240"/>
      <c r="I1396" s="240"/>
      <c r="J1396" s="240"/>
      <c r="K1396" s="240"/>
      <c r="L1396" s="240"/>
    </row>
    <row r="1397" ht="12.75" customHeight="1" outlineLevel="2">
      <c r="B1397" s="301" t="s">
        <v>3210</v>
      </c>
      <c r="C1397" s="315" t="s">
        <v>1431</v>
      </c>
      <c r="D1397" s="203" t="s">
        <v>33</v>
      </c>
      <c r="E1397" s="214">
        <v>1.0</v>
      </c>
      <c r="F1397" s="205">
        <v>0.0</v>
      </c>
      <c r="G1397" s="206">
        <f>F1397*E1397</f>
        <v>0</v>
      </c>
      <c r="H1397" s="206" t="s">
        <v>619</v>
      </c>
      <c r="I1397" s="206" t="s">
        <v>619</v>
      </c>
      <c r="J1397" s="239"/>
      <c r="K1397" s="239"/>
      <c r="L1397" s="239"/>
    </row>
    <row r="1398" ht="12.75" customHeight="1" outlineLevel="2">
      <c r="B1398" s="189"/>
      <c r="C1398" s="208"/>
      <c r="E1398" s="79"/>
      <c r="F1398" s="80"/>
      <c r="G1398" s="80"/>
      <c r="H1398" s="240"/>
      <c r="I1398" s="240"/>
      <c r="J1398" s="240"/>
      <c r="K1398" s="240"/>
      <c r="L1398" s="240"/>
    </row>
    <row r="1399" ht="12.75" customHeight="1" outlineLevel="1">
      <c r="A1399" s="89" t="s">
        <v>1432</v>
      </c>
      <c r="B1399" s="189"/>
      <c r="C1399" s="330" t="s">
        <v>5653</v>
      </c>
      <c r="E1399" s="79"/>
      <c r="F1399" s="586">
        <f>SUM(G1401:G1528)</f>
        <v>99853.77</v>
      </c>
      <c r="K1399" s="436">
        <v>70000.0</v>
      </c>
      <c r="L1399" s="240">
        <f>F1399-K1399</f>
        <v>29853.77</v>
      </c>
    </row>
    <row r="1400" ht="12.75" customHeight="1" outlineLevel="2">
      <c r="B1400" s="189"/>
      <c r="C1400" s="208"/>
      <c r="E1400" s="79"/>
      <c r="F1400" s="80"/>
      <c r="G1400" s="80"/>
      <c r="H1400" s="240"/>
      <c r="I1400" s="240"/>
      <c r="J1400" s="240"/>
      <c r="K1400" s="240"/>
      <c r="L1400" s="240"/>
    </row>
    <row r="1401" ht="12.75" customHeight="1" outlineLevel="2">
      <c r="A1401" s="160"/>
      <c r="B1401" s="301" t="s">
        <v>3213</v>
      </c>
      <c r="C1401" s="315" t="s">
        <v>1434</v>
      </c>
      <c r="D1401" s="203" t="s">
        <v>33</v>
      </c>
      <c r="E1401" s="214">
        <v>1.0</v>
      </c>
      <c r="F1401" s="205">
        <v>58958.71</v>
      </c>
      <c r="G1401" s="206">
        <f>E1401*F1401</f>
        <v>58958.71</v>
      </c>
      <c r="H1401" s="219"/>
      <c r="I1401" s="219"/>
      <c r="J1401" s="240"/>
      <c r="K1401" s="240"/>
      <c r="L1401" s="240"/>
    </row>
    <row r="1402" ht="12.75" customHeight="1" outlineLevel="2">
      <c r="B1402" s="189"/>
      <c r="C1402" s="208"/>
      <c r="E1402" s="79"/>
      <c r="F1402" s="80"/>
      <c r="G1402" s="80"/>
      <c r="H1402" s="240"/>
      <c r="I1402" s="240"/>
      <c r="J1402" s="240"/>
      <c r="K1402" s="240"/>
      <c r="L1402" s="240"/>
    </row>
    <row r="1403" ht="12.75" customHeight="1" outlineLevel="2">
      <c r="A1403" s="89" t="s">
        <v>1436</v>
      </c>
      <c r="B1403" s="189"/>
      <c r="C1403" s="330" t="s">
        <v>1437</v>
      </c>
      <c r="E1403" s="79"/>
      <c r="F1403" s="80"/>
      <c r="G1403" s="80"/>
      <c r="H1403" s="240"/>
      <c r="I1403" s="240"/>
      <c r="J1403" s="240"/>
      <c r="K1403" s="240"/>
      <c r="L1403" s="240"/>
    </row>
    <row r="1404" ht="12.75" customHeight="1" outlineLevel="2">
      <c r="B1404" s="189"/>
      <c r="C1404" s="208"/>
      <c r="E1404" s="79"/>
      <c r="F1404" s="80"/>
      <c r="G1404" s="80"/>
      <c r="H1404" s="240"/>
      <c r="I1404" s="240"/>
      <c r="J1404" s="240"/>
      <c r="K1404" s="240"/>
      <c r="L1404" s="240"/>
    </row>
    <row r="1405" ht="12.75" customHeight="1" outlineLevel="2">
      <c r="B1405" s="189"/>
      <c r="C1405" s="320" t="s">
        <v>1438</v>
      </c>
      <c r="E1405" s="79"/>
      <c r="F1405" s="80"/>
      <c r="G1405" s="80"/>
      <c r="H1405" s="240"/>
      <c r="I1405" s="240"/>
      <c r="J1405" s="240"/>
      <c r="K1405" s="240"/>
      <c r="L1405" s="240"/>
    </row>
    <row r="1406" ht="12.75" customHeight="1" outlineLevel="2">
      <c r="B1406" s="189"/>
      <c r="C1406" s="208"/>
      <c r="E1406" s="79"/>
      <c r="F1406" s="80"/>
      <c r="G1406" s="80"/>
      <c r="H1406" s="240"/>
      <c r="I1406" s="240"/>
      <c r="J1406" s="240"/>
      <c r="K1406" s="240"/>
      <c r="L1406" s="240"/>
    </row>
    <row r="1407" ht="12.75" customHeight="1" outlineLevel="2">
      <c r="B1407" s="324">
        <v>17.26</v>
      </c>
      <c r="C1407" s="323" t="s">
        <v>1439</v>
      </c>
      <c r="E1407" s="79"/>
      <c r="F1407" s="80"/>
      <c r="G1407" s="80"/>
      <c r="H1407" s="240"/>
      <c r="I1407" s="240"/>
      <c r="J1407" s="240"/>
      <c r="K1407" s="240"/>
      <c r="L1407" s="240"/>
    </row>
    <row r="1408" ht="12.75" customHeight="1" outlineLevel="2">
      <c r="B1408" s="189"/>
      <c r="C1408" s="208"/>
      <c r="E1408" s="79"/>
      <c r="F1408" s="80"/>
      <c r="G1408" s="80"/>
      <c r="H1408" s="240"/>
      <c r="I1408" s="240"/>
      <c r="J1408" s="240"/>
      <c r="K1408" s="240"/>
      <c r="L1408" s="240"/>
    </row>
    <row r="1409" ht="12.75" customHeight="1" outlineLevel="2">
      <c r="B1409" s="301" t="s">
        <v>3218</v>
      </c>
      <c r="C1409" s="315" t="s">
        <v>1440</v>
      </c>
      <c r="D1409" s="203" t="s">
        <v>75</v>
      </c>
      <c r="E1409" s="214">
        <v>28.0</v>
      </c>
      <c r="F1409" s="205">
        <v>0.0</v>
      </c>
      <c r="G1409" s="206">
        <f t="shared" ref="G1409:G1411" si="66">F1409*E1409</f>
        <v>0</v>
      </c>
      <c r="H1409" s="206" t="s">
        <v>619</v>
      </c>
      <c r="I1409" s="206" t="s">
        <v>619</v>
      </c>
      <c r="J1409" s="239"/>
      <c r="K1409" s="239"/>
      <c r="L1409" s="239"/>
    </row>
    <row r="1410" ht="12.75" customHeight="1" outlineLevel="2">
      <c r="B1410" s="301" t="s">
        <v>3220</v>
      </c>
      <c r="C1410" s="315" t="s">
        <v>1441</v>
      </c>
      <c r="D1410" s="203" t="s">
        <v>75</v>
      </c>
      <c r="E1410" s="214">
        <v>6.0</v>
      </c>
      <c r="F1410" s="205">
        <v>0.0</v>
      </c>
      <c r="G1410" s="206">
        <f t="shared" si="66"/>
        <v>0</v>
      </c>
      <c r="H1410" s="206" t="s">
        <v>619</v>
      </c>
      <c r="I1410" s="206" t="s">
        <v>619</v>
      </c>
      <c r="J1410" s="239"/>
      <c r="K1410" s="239"/>
      <c r="L1410" s="239"/>
    </row>
    <row r="1411" ht="12.75" customHeight="1" outlineLevel="2">
      <c r="B1411" s="301" t="s">
        <v>3222</v>
      </c>
      <c r="C1411" s="315" t="s">
        <v>1442</v>
      </c>
      <c r="D1411" s="203" t="s">
        <v>75</v>
      </c>
      <c r="E1411" s="214">
        <v>1.0</v>
      </c>
      <c r="F1411" s="205">
        <v>0.0</v>
      </c>
      <c r="G1411" s="206">
        <f t="shared" si="66"/>
        <v>0</v>
      </c>
      <c r="H1411" s="206" t="s">
        <v>619</v>
      </c>
      <c r="I1411" s="206" t="s">
        <v>619</v>
      </c>
      <c r="J1411" s="239"/>
      <c r="K1411" s="239"/>
      <c r="L1411" s="239"/>
    </row>
    <row r="1412" ht="12.75" customHeight="1" outlineLevel="2">
      <c r="B1412" s="189"/>
      <c r="C1412" s="208"/>
      <c r="E1412" s="79"/>
      <c r="F1412" s="80"/>
      <c r="G1412" s="80"/>
      <c r="H1412" s="80"/>
      <c r="I1412" s="80"/>
      <c r="J1412" s="80"/>
      <c r="K1412" s="116"/>
      <c r="L1412" s="116"/>
    </row>
    <row r="1413" ht="12.75" customHeight="1" outlineLevel="2">
      <c r="B1413" s="324">
        <v>17.27</v>
      </c>
      <c r="C1413" s="323" t="s">
        <v>1443</v>
      </c>
      <c r="E1413" s="79"/>
      <c r="F1413" s="80"/>
      <c r="G1413" s="80"/>
      <c r="H1413" s="80"/>
      <c r="I1413" s="80"/>
      <c r="J1413" s="80"/>
      <c r="K1413" s="116"/>
      <c r="L1413" s="116"/>
    </row>
    <row r="1414" ht="12.75" customHeight="1" outlineLevel="2">
      <c r="B1414" s="189"/>
      <c r="C1414" s="208"/>
      <c r="E1414" s="79"/>
      <c r="F1414" s="80"/>
      <c r="G1414" s="80"/>
      <c r="H1414" s="80"/>
      <c r="I1414" s="80"/>
      <c r="J1414" s="80"/>
      <c r="K1414" s="116"/>
      <c r="L1414" s="116"/>
    </row>
    <row r="1415" ht="12.75" customHeight="1" outlineLevel="2">
      <c r="B1415" s="301" t="s">
        <v>3225</v>
      </c>
      <c r="C1415" s="315" t="s">
        <v>1444</v>
      </c>
      <c r="D1415" s="203" t="s">
        <v>75</v>
      </c>
      <c r="E1415" s="214">
        <v>7.0</v>
      </c>
      <c r="F1415" s="205">
        <v>0.0</v>
      </c>
      <c r="G1415" s="206">
        <f t="shared" ref="G1415:G1416" si="67">F1415*E1415</f>
        <v>0</v>
      </c>
      <c r="H1415" s="206" t="s">
        <v>619</v>
      </c>
      <c r="I1415" s="206" t="s">
        <v>619</v>
      </c>
      <c r="J1415" s="239"/>
      <c r="K1415" s="239"/>
      <c r="L1415" s="239"/>
    </row>
    <row r="1416" ht="12.75" customHeight="1" outlineLevel="2">
      <c r="B1416" s="301" t="s">
        <v>3227</v>
      </c>
      <c r="C1416" s="315" t="s">
        <v>1445</v>
      </c>
      <c r="D1416" s="203" t="s">
        <v>75</v>
      </c>
      <c r="E1416" s="214">
        <v>8.0</v>
      </c>
      <c r="F1416" s="205">
        <v>0.0</v>
      </c>
      <c r="G1416" s="206">
        <f t="shared" si="67"/>
        <v>0</v>
      </c>
      <c r="H1416" s="206" t="s">
        <v>619</v>
      </c>
      <c r="I1416" s="206" t="s">
        <v>619</v>
      </c>
      <c r="J1416" s="239"/>
      <c r="K1416" s="239"/>
      <c r="L1416" s="239"/>
    </row>
    <row r="1417" ht="12.75" customHeight="1" outlineLevel="2">
      <c r="B1417" s="189"/>
      <c r="C1417" s="208"/>
      <c r="E1417" s="79"/>
      <c r="F1417" s="80"/>
      <c r="G1417" s="80"/>
      <c r="H1417" s="80"/>
      <c r="I1417" s="80"/>
      <c r="J1417" s="80"/>
      <c r="K1417" s="116"/>
      <c r="L1417" s="116"/>
    </row>
    <row r="1418" ht="12.75" customHeight="1" outlineLevel="2">
      <c r="B1418" s="322">
        <v>17.28</v>
      </c>
      <c r="C1418" s="323" t="s">
        <v>5654</v>
      </c>
      <c r="E1418" s="79"/>
      <c r="F1418" s="80"/>
      <c r="G1418" s="80"/>
      <c r="H1418" s="80"/>
      <c r="I1418" s="80"/>
      <c r="J1418" s="80"/>
      <c r="K1418" s="116"/>
      <c r="L1418" s="116"/>
    </row>
    <row r="1419" ht="12.75" customHeight="1" outlineLevel="2">
      <c r="B1419" s="189"/>
      <c r="C1419" s="208"/>
      <c r="E1419" s="79"/>
      <c r="F1419" s="80"/>
      <c r="G1419" s="80"/>
      <c r="H1419" s="80"/>
      <c r="I1419" s="80"/>
      <c r="J1419" s="80"/>
      <c r="K1419" s="116"/>
      <c r="L1419" s="116"/>
    </row>
    <row r="1420" ht="12.75" customHeight="1" outlineLevel="2">
      <c r="B1420" s="301" t="s">
        <v>3230</v>
      </c>
      <c r="C1420" s="315" t="s">
        <v>1447</v>
      </c>
      <c r="D1420" s="203" t="s">
        <v>161</v>
      </c>
      <c r="E1420" s="214">
        <v>488.0</v>
      </c>
      <c r="F1420" s="205">
        <v>0.0</v>
      </c>
      <c r="G1420" s="206">
        <f>F1420*E1420</f>
        <v>0</v>
      </c>
      <c r="H1420" s="206" t="s">
        <v>619</v>
      </c>
      <c r="I1420" s="206" t="s">
        <v>619</v>
      </c>
      <c r="J1420" s="239"/>
      <c r="K1420" s="239"/>
      <c r="L1420" s="239"/>
    </row>
    <row r="1421" ht="12.75" customHeight="1" outlineLevel="2">
      <c r="B1421" s="189"/>
      <c r="C1421" s="208"/>
      <c r="E1421" s="79"/>
      <c r="F1421" s="80"/>
      <c r="G1421" s="80"/>
      <c r="H1421" s="240"/>
      <c r="I1421" s="240"/>
      <c r="J1421" s="240"/>
      <c r="K1421" s="240"/>
      <c r="L1421" s="240"/>
    </row>
    <row r="1422" ht="12.75" customHeight="1" outlineLevel="2">
      <c r="B1422" s="322">
        <v>17.29</v>
      </c>
      <c r="C1422" s="323" t="s">
        <v>5646</v>
      </c>
      <c r="E1422" s="79"/>
      <c r="F1422" s="80"/>
      <c r="G1422" s="80"/>
      <c r="H1422" s="240"/>
      <c r="I1422" s="240"/>
      <c r="J1422" s="240"/>
      <c r="K1422" s="240"/>
      <c r="L1422" s="240"/>
    </row>
    <row r="1423" ht="12.75" customHeight="1" outlineLevel="2">
      <c r="B1423" s="189"/>
      <c r="C1423" s="208"/>
      <c r="E1423" s="79"/>
      <c r="F1423" s="80"/>
      <c r="G1423" s="80"/>
      <c r="H1423" s="240"/>
      <c r="I1423" s="240"/>
      <c r="J1423" s="240"/>
      <c r="K1423" s="240"/>
      <c r="L1423" s="240"/>
    </row>
    <row r="1424" ht="12.75" customHeight="1" outlineLevel="2">
      <c r="B1424" s="301" t="s">
        <v>3232</v>
      </c>
      <c r="C1424" s="315" t="s">
        <v>1329</v>
      </c>
      <c r="D1424" s="203" t="s">
        <v>161</v>
      </c>
      <c r="E1424" s="214">
        <v>457.0</v>
      </c>
      <c r="F1424" s="205">
        <v>1.5</v>
      </c>
      <c r="G1424" s="206">
        <f t="shared" ref="G1424:G1425" si="68">F1424*E1424</f>
        <v>685.5</v>
      </c>
      <c r="H1424" s="219"/>
      <c r="I1424" s="219"/>
      <c r="J1424" s="240"/>
      <c r="K1424" s="240"/>
      <c r="L1424" s="240"/>
    </row>
    <row r="1425" ht="12.75" customHeight="1" outlineLevel="2">
      <c r="B1425" s="301" t="s">
        <v>3233</v>
      </c>
      <c r="C1425" s="315" t="s">
        <v>1448</v>
      </c>
      <c r="D1425" s="203" t="s">
        <v>161</v>
      </c>
      <c r="E1425" s="214">
        <v>32.0</v>
      </c>
      <c r="F1425" s="205">
        <v>2.0</v>
      </c>
      <c r="G1425" s="206">
        <f t="shared" si="68"/>
        <v>64</v>
      </c>
      <c r="H1425" s="219"/>
      <c r="I1425" s="219"/>
      <c r="J1425" s="240"/>
      <c r="K1425" s="240"/>
      <c r="L1425" s="240"/>
    </row>
    <row r="1426" ht="12.75" customHeight="1" outlineLevel="2">
      <c r="B1426" s="189"/>
      <c r="C1426" s="208"/>
      <c r="E1426" s="79"/>
      <c r="F1426" s="80"/>
      <c r="G1426" s="80"/>
      <c r="H1426" s="240"/>
      <c r="I1426" s="240"/>
      <c r="J1426" s="240"/>
      <c r="K1426" s="240"/>
      <c r="L1426" s="240"/>
    </row>
    <row r="1427" ht="12.75" customHeight="1" outlineLevel="2">
      <c r="B1427" s="327" t="s">
        <v>3235</v>
      </c>
      <c r="C1427" s="323" t="s">
        <v>5647</v>
      </c>
      <c r="E1427" s="79"/>
      <c r="F1427" s="80"/>
      <c r="G1427" s="80"/>
      <c r="H1427" s="240"/>
      <c r="I1427" s="240"/>
      <c r="J1427" s="240"/>
      <c r="K1427" s="240"/>
      <c r="L1427" s="240"/>
    </row>
    <row r="1428" ht="12.75" customHeight="1" outlineLevel="2">
      <c r="B1428" s="189"/>
      <c r="C1428" s="208"/>
      <c r="E1428" s="79"/>
      <c r="F1428" s="80"/>
      <c r="G1428" s="80"/>
      <c r="H1428" s="240"/>
      <c r="I1428" s="240"/>
      <c r="J1428" s="240"/>
      <c r="K1428" s="240"/>
      <c r="L1428" s="240"/>
    </row>
    <row r="1429" ht="12.75" customHeight="1" outlineLevel="2">
      <c r="B1429" s="301" t="s">
        <v>3236</v>
      </c>
      <c r="C1429" s="315" t="s">
        <v>1449</v>
      </c>
      <c r="D1429" s="203" t="s">
        <v>75</v>
      </c>
      <c r="E1429" s="214">
        <v>50.0</v>
      </c>
      <c r="F1429" s="205">
        <v>2.0</v>
      </c>
      <c r="G1429" s="206">
        <f t="shared" ref="G1429:G1430" si="69">F1429*E1429</f>
        <v>100</v>
      </c>
      <c r="H1429" s="219"/>
      <c r="I1429" s="219"/>
      <c r="J1429" s="240"/>
      <c r="K1429" s="240"/>
      <c r="L1429" s="240"/>
    </row>
    <row r="1430" ht="12.75" customHeight="1" outlineLevel="2">
      <c r="B1430" s="331" t="s">
        <v>3238</v>
      </c>
      <c r="C1430" s="332" t="s">
        <v>1450</v>
      </c>
      <c r="D1430" s="333" t="s">
        <v>75</v>
      </c>
      <c r="E1430" s="334">
        <v>2.0</v>
      </c>
      <c r="F1430" s="335">
        <v>22.0</v>
      </c>
      <c r="G1430" s="206">
        <f t="shared" si="69"/>
        <v>44</v>
      </c>
      <c r="H1430" s="336"/>
      <c r="I1430" s="336"/>
      <c r="J1430" s="116"/>
      <c r="K1430" s="116"/>
      <c r="L1430" s="116"/>
    </row>
    <row r="1431" ht="12.75" customHeight="1" outlineLevel="2">
      <c r="B1431" s="189"/>
      <c r="C1431" s="208"/>
      <c r="E1431" s="79"/>
      <c r="F1431" s="80"/>
      <c r="G1431" s="80"/>
      <c r="H1431" s="240"/>
      <c r="I1431" s="240"/>
      <c r="J1431" s="240"/>
      <c r="K1431" s="240"/>
      <c r="L1431" s="240"/>
    </row>
    <row r="1432" ht="12.75" customHeight="1" outlineLevel="2">
      <c r="A1432" s="89" t="s">
        <v>1451</v>
      </c>
      <c r="B1432" s="189"/>
      <c r="C1432" s="330" t="s">
        <v>1452</v>
      </c>
      <c r="H1432" s="240"/>
      <c r="I1432" s="240"/>
      <c r="J1432" s="240"/>
      <c r="K1432" s="240"/>
      <c r="L1432" s="240"/>
    </row>
    <row r="1433" ht="12.75" customHeight="1" outlineLevel="2">
      <c r="B1433" s="189"/>
      <c r="C1433" s="208"/>
      <c r="E1433" s="79"/>
      <c r="F1433" s="80"/>
      <c r="G1433" s="80"/>
      <c r="H1433" s="240"/>
      <c r="I1433" s="240"/>
      <c r="J1433" s="240"/>
      <c r="K1433" s="240"/>
      <c r="L1433" s="240"/>
    </row>
    <row r="1434" ht="12.75" customHeight="1" outlineLevel="2">
      <c r="B1434" s="189"/>
      <c r="C1434" s="320" t="s">
        <v>1453</v>
      </c>
      <c r="D1434" s="89"/>
      <c r="E1434" s="91"/>
      <c r="F1434" s="92"/>
      <c r="G1434" s="239"/>
      <c r="H1434" s="240"/>
      <c r="I1434" s="240"/>
      <c r="J1434" s="240"/>
      <c r="K1434" s="240"/>
      <c r="L1434" s="240"/>
    </row>
    <row r="1435" ht="12.75" customHeight="1" outlineLevel="2">
      <c r="B1435" s="189"/>
      <c r="C1435" s="208"/>
      <c r="E1435" s="79"/>
      <c r="F1435" s="80"/>
      <c r="G1435" s="80"/>
      <c r="H1435" s="240"/>
      <c r="I1435" s="240"/>
      <c r="J1435" s="240"/>
      <c r="K1435" s="240"/>
      <c r="L1435" s="240"/>
    </row>
    <row r="1436" ht="12.75" customHeight="1" outlineLevel="2">
      <c r="B1436" s="322">
        <v>17.31</v>
      </c>
      <c r="C1436" s="337" t="s">
        <v>5656</v>
      </c>
      <c r="D1436" s="338" t="s">
        <v>1435</v>
      </c>
      <c r="E1436" s="339">
        <v>1.0</v>
      </c>
      <c r="F1436" s="340">
        <v>3400.0</v>
      </c>
      <c r="G1436" s="304">
        <f>F1436*E1436</f>
        <v>3400</v>
      </c>
      <c r="H1436" s="240"/>
      <c r="I1436" s="240"/>
      <c r="J1436" s="240"/>
      <c r="K1436" s="240"/>
      <c r="L1436" s="240"/>
    </row>
    <row r="1437" ht="12.75" customHeight="1" outlineLevel="2">
      <c r="B1437" s="189"/>
      <c r="C1437" s="208"/>
      <c r="E1437" s="79"/>
      <c r="F1437" s="80"/>
      <c r="G1437" s="80"/>
      <c r="H1437" s="240"/>
      <c r="I1437" s="240"/>
      <c r="J1437" s="240"/>
      <c r="K1437" s="240"/>
      <c r="L1437" s="240"/>
    </row>
    <row r="1438" ht="12.75" customHeight="1" outlineLevel="2">
      <c r="B1438" s="331" t="s">
        <v>3242</v>
      </c>
      <c r="C1438" s="332" t="s">
        <v>1455</v>
      </c>
      <c r="D1438" s="333" t="s">
        <v>75</v>
      </c>
      <c r="E1438" s="334">
        <v>10.0</v>
      </c>
      <c r="F1438" s="335">
        <v>0.0</v>
      </c>
      <c r="G1438" s="341">
        <f t="shared" ref="G1438:G1451" si="70">F1438*E1438</f>
        <v>0</v>
      </c>
      <c r="H1438" s="341" t="s">
        <v>619</v>
      </c>
      <c r="I1438" s="341" t="s">
        <v>619</v>
      </c>
      <c r="J1438" s="367"/>
      <c r="K1438" s="367"/>
      <c r="L1438" s="367"/>
    </row>
    <row r="1439" ht="12.75" customHeight="1" outlineLevel="2">
      <c r="B1439" s="331" t="s">
        <v>3244</v>
      </c>
      <c r="C1439" s="332" t="s">
        <v>1456</v>
      </c>
      <c r="D1439" s="333" t="s">
        <v>75</v>
      </c>
      <c r="E1439" s="334">
        <v>1.0</v>
      </c>
      <c r="F1439" s="335">
        <v>0.0</v>
      </c>
      <c r="G1439" s="341">
        <f t="shared" si="70"/>
        <v>0</v>
      </c>
      <c r="H1439" s="341" t="s">
        <v>619</v>
      </c>
      <c r="I1439" s="341" t="s">
        <v>619</v>
      </c>
      <c r="J1439" s="367"/>
      <c r="K1439" s="367"/>
      <c r="L1439" s="367"/>
    </row>
    <row r="1440" ht="12.75" customHeight="1" outlineLevel="2">
      <c r="B1440" s="331" t="s">
        <v>3246</v>
      </c>
      <c r="C1440" s="332" t="s">
        <v>1457</v>
      </c>
      <c r="D1440" s="333" t="s">
        <v>75</v>
      </c>
      <c r="E1440" s="334">
        <v>11.0</v>
      </c>
      <c r="F1440" s="335">
        <v>0.0</v>
      </c>
      <c r="G1440" s="341">
        <f t="shared" si="70"/>
        <v>0</v>
      </c>
      <c r="H1440" s="341" t="s">
        <v>619</v>
      </c>
      <c r="I1440" s="341" t="s">
        <v>619</v>
      </c>
      <c r="J1440" s="367"/>
      <c r="K1440" s="367"/>
      <c r="L1440" s="367"/>
    </row>
    <row r="1441" ht="12.75" customHeight="1" outlineLevel="2">
      <c r="B1441" s="331" t="s">
        <v>3248</v>
      </c>
      <c r="C1441" s="332" t="s">
        <v>1458</v>
      </c>
      <c r="D1441" s="333"/>
      <c r="E1441" s="334"/>
      <c r="F1441" s="335">
        <v>0.0</v>
      </c>
      <c r="G1441" s="341">
        <f t="shared" si="70"/>
        <v>0</v>
      </c>
      <c r="H1441" s="341"/>
      <c r="I1441" s="341"/>
      <c r="J1441" s="367"/>
      <c r="K1441" s="367"/>
      <c r="L1441" s="367"/>
    </row>
    <row r="1442" ht="12.75" customHeight="1" outlineLevel="2">
      <c r="B1442" s="331" t="s">
        <v>3250</v>
      </c>
      <c r="C1442" s="332" t="s">
        <v>1459</v>
      </c>
      <c r="D1442" s="333" t="s">
        <v>75</v>
      </c>
      <c r="E1442" s="334">
        <v>1.0</v>
      </c>
      <c r="F1442" s="335">
        <v>0.0</v>
      </c>
      <c r="G1442" s="341">
        <f t="shared" si="70"/>
        <v>0</v>
      </c>
      <c r="H1442" s="341" t="s">
        <v>619</v>
      </c>
      <c r="I1442" s="341" t="s">
        <v>619</v>
      </c>
      <c r="J1442" s="367"/>
      <c r="K1442" s="367"/>
      <c r="L1442" s="367"/>
    </row>
    <row r="1443" ht="12.75" customHeight="1" outlineLevel="2">
      <c r="B1443" s="331" t="s">
        <v>3252</v>
      </c>
      <c r="C1443" s="332" t="s">
        <v>1460</v>
      </c>
      <c r="D1443" s="333" t="s">
        <v>75</v>
      </c>
      <c r="E1443" s="334">
        <v>1.0</v>
      </c>
      <c r="F1443" s="335">
        <v>0.0</v>
      </c>
      <c r="G1443" s="341">
        <f t="shared" si="70"/>
        <v>0</v>
      </c>
      <c r="H1443" s="341" t="s">
        <v>619</v>
      </c>
      <c r="I1443" s="341" t="s">
        <v>619</v>
      </c>
      <c r="J1443" s="367"/>
      <c r="K1443" s="367"/>
      <c r="L1443" s="367"/>
    </row>
    <row r="1444" ht="12.75" customHeight="1" outlineLevel="2">
      <c r="B1444" s="331" t="s">
        <v>3254</v>
      </c>
      <c r="C1444" s="332" t="s">
        <v>1461</v>
      </c>
      <c r="D1444" s="333" t="s">
        <v>75</v>
      </c>
      <c r="E1444" s="334">
        <v>1.0</v>
      </c>
      <c r="F1444" s="335">
        <v>0.0</v>
      </c>
      <c r="G1444" s="341">
        <f t="shared" si="70"/>
        <v>0</v>
      </c>
      <c r="H1444" s="341" t="s">
        <v>619</v>
      </c>
      <c r="I1444" s="341" t="s">
        <v>619</v>
      </c>
      <c r="J1444" s="367"/>
      <c r="K1444" s="367"/>
      <c r="L1444" s="367"/>
    </row>
    <row r="1445" ht="12.75" customHeight="1" outlineLevel="2">
      <c r="B1445" s="331" t="s">
        <v>3256</v>
      </c>
      <c r="C1445" s="332" t="s">
        <v>1462</v>
      </c>
      <c r="D1445" s="333" t="s">
        <v>75</v>
      </c>
      <c r="E1445" s="334">
        <v>1.0</v>
      </c>
      <c r="F1445" s="335">
        <v>0.0</v>
      </c>
      <c r="G1445" s="341">
        <f t="shared" si="70"/>
        <v>0</v>
      </c>
      <c r="H1445" s="341" t="s">
        <v>619</v>
      </c>
      <c r="I1445" s="341" t="s">
        <v>619</v>
      </c>
      <c r="J1445" s="367"/>
      <c r="K1445" s="367"/>
      <c r="L1445" s="367"/>
    </row>
    <row r="1446" ht="12.75" customHeight="1" outlineLevel="2">
      <c r="B1446" s="331" t="s">
        <v>3258</v>
      </c>
      <c r="C1446" s="332" t="s">
        <v>1463</v>
      </c>
      <c r="D1446" s="333" t="s">
        <v>75</v>
      </c>
      <c r="E1446" s="334">
        <v>1.0</v>
      </c>
      <c r="F1446" s="335">
        <v>0.0</v>
      </c>
      <c r="G1446" s="341">
        <f t="shared" si="70"/>
        <v>0</v>
      </c>
      <c r="H1446" s="341" t="s">
        <v>619</v>
      </c>
      <c r="I1446" s="341" t="s">
        <v>619</v>
      </c>
      <c r="J1446" s="367"/>
      <c r="K1446" s="367"/>
      <c r="L1446" s="367"/>
    </row>
    <row r="1447" ht="12.75" customHeight="1" outlineLevel="2">
      <c r="B1447" s="331" t="s">
        <v>3260</v>
      </c>
      <c r="C1447" s="332" t="s">
        <v>1464</v>
      </c>
      <c r="D1447" s="333" t="s">
        <v>161</v>
      </c>
      <c r="E1447" s="334">
        <v>303.0</v>
      </c>
      <c r="F1447" s="335">
        <v>0.0</v>
      </c>
      <c r="G1447" s="341">
        <f t="shared" si="70"/>
        <v>0</v>
      </c>
      <c r="H1447" s="341" t="s">
        <v>619</v>
      </c>
      <c r="I1447" s="341" t="s">
        <v>619</v>
      </c>
      <c r="J1447" s="367"/>
      <c r="K1447" s="367"/>
      <c r="L1447" s="367"/>
    </row>
    <row r="1448" ht="12.75" customHeight="1" outlineLevel="2">
      <c r="B1448" s="331" t="s">
        <v>3262</v>
      </c>
      <c r="C1448" s="332" t="s">
        <v>1465</v>
      </c>
      <c r="D1448" s="333" t="s">
        <v>75</v>
      </c>
      <c r="E1448" s="334">
        <v>11.0</v>
      </c>
      <c r="F1448" s="335"/>
      <c r="G1448" s="341">
        <f t="shared" si="70"/>
        <v>0</v>
      </c>
      <c r="H1448" s="341" t="s">
        <v>619</v>
      </c>
      <c r="I1448" s="341" t="s">
        <v>619</v>
      </c>
      <c r="J1448" s="367"/>
      <c r="K1448" s="367"/>
      <c r="L1448" s="367"/>
    </row>
    <row r="1449" ht="12.75" customHeight="1" outlineLevel="2">
      <c r="B1449" s="331" t="s">
        <v>3264</v>
      </c>
      <c r="C1449" s="332" t="s">
        <v>1466</v>
      </c>
      <c r="D1449" s="333" t="s">
        <v>161</v>
      </c>
      <c r="E1449" s="334">
        <v>183.0</v>
      </c>
      <c r="F1449" s="335">
        <v>2.0</v>
      </c>
      <c r="G1449" s="341">
        <f t="shared" si="70"/>
        <v>366</v>
      </c>
      <c r="H1449" s="336"/>
      <c r="I1449" s="336"/>
      <c r="J1449" s="116"/>
      <c r="K1449" s="116"/>
      <c r="L1449" s="116"/>
    </row>
    <row r="1450" ht="12.75" customHeight="1" outlineLevel="2">
      <c r="B1450" s="331" t="s">
        <v>3266</v>
      </c>
      <c r="C1450" s="332" t="s">
        <v>1467</v>
      </c>
      <c r="D1450" s="333" t="s">
        <v>161</v>
      </c>
      <c r="E1450" s="334">
        <v>19.0</v>
      </c>
      <c r="F1450" s="335">
        <v>3.0</v>
      </c>
      <c r="G1450" s="341">
        <f t="shared" si="70"/>
        <v>57</v>
      </c>
      <c r="H1450" s="336"/>
      <c r="I1450" s="336"/>
      <c r="J1450" s="116"/>
      <c r="K1450" s="116"/>
      <c r="L1450" s="116"/>
    </row>
    <row r="1451" ht="12.75" customHeight="1" outlineLevel="2">
      <c r="B1451" s="331" t="s">
        <v>3268</v>
      </c>
      <c r="C1451" s="332" t="s">
        <v>1468</v>
      </c>
      <c r="D1451" s="333" t="s">
        <v>75</v>
      </c>
      <c r="E1451" s="334">
        <v>2.0</v>
      </c>
      <c r="F1451" s="335">
        <v>61.0</v>
      </c>
      <c r="G1451" s="341">
        <f t="shared" si="70"/>
        <v>122</v>
      </c>
      <c r="H1451" s="336"/>
      <c r="I1451" s="336"/>
      <c r="J1451" s="116"/>
      <c r="K1451" s="116"/>
      <c r="L1451" s="116"/>
    </row>
    <row r="1452" ht="12.75" customHeight="1" outlineLevel="2">
      <c r="B1452" s="189"/>
      <c r="C1452" s="208"/>
      <c r="E1452" s="79"/>
      <c r="F1452" s="80"/>
      <c r="G1452" s="80"/>
      <c r="H1452" s="240"/>
      <c r="I1452" s="240"/>
      <c r="J1452" s="240"/>
      <c r="K1452" s="240"/>
      <c r="L1452" s="240"/>
    </row>
    <row r="1453" ht="12.75" customHeight="1" outlineLevel="2">
      <c r="A1453" s="89" t="s">
        <v>1469</v>
      </c>
      <c r="B1453" s="189"/>
      <c r="C1453" s="330" t="s">
        <v>1470</v>
      </c>
      <c r="D1453" s="89" t="s">
        <v>1435</v>
      </c>
      <c r="E1453" s="91">
        <v>0.0</v>
      </c>
      <c r="F1453" s="80"/>
      <c r="G1453" s="92">
        <v>0.0</v>
      </c>
      <c r="H1453" s="240"/>
      <c r="I1453" s="240"/>
      <c r="J1453" s="240"/>
      <c r="K1453" s="240"/>
      <c r="L1453" s="240"/>
    </row>
    <row r="1454" ht="12.75" customHeight="1" outlineLevel="2">
      <c r="B1454" s="189"/>
      <c r="C1454" s="208"/>
      <c r="E1454" s="79"/>
      <c r="F1454" s="80"/>
      <c r="G1454" s="80"/>
      <c r="H1454" s="240"/>
      <c r="I1454" s="240"/>
      <c r="J1454" s="240"/>
      <c r="K1454" s="240"/>
      <c r="L1454" s="240"/>
    </row>
    <row r="1455" ht="12.75" customHeight="1" outlineLevel="2">
      <c r="A1455" s="151" t="s">
        <v>1471</v>
      </c>
      <c r="B1455" s="342">
        <v>17.32</v>
      </c>
      <c r="C1455" s="237" t="s">
        <v>1472</v>
      </c>
      <c r="D1455" s="343" t="s">
        <v>1435</v>
      </c>
      <c r="E1455" s="344">
        <v>1.0</v>
      </c>
      <c r="F1455" s="345">
        <v>20000.0</v>
      </c>
      <c r="G1455" s="206">
        <f>F1455*E1455</f>
        <v>20000</v>
      </c>
      <c r="H1455" s="240"/>
      <c r="I1455" s="240"/>
      <c r="J1455" s="240"/>
      <c r="K1455" s="240"/>
      <c r="L1455" s="240"/>
    </row>
    <row r="1456" ht="12.75" customHeight="1" outlineLevel="2">
      <c r="B1456" s="189"/>
      <c r="C1456" s="208"/>
      <c r="E1456" s="79"/>
      <c r="F1456" s="80"/>
      <c r="G1456" s="80"/>
      <c r="H1456" s="240"/>
      <c r="I1456" s="240"/>
      <c r="J1456" s="240"/>
      <c r="K1456" s="240"/>
      <c r="L1456" s="240"/>
    </row>
    <row r="1457" ht="12.75" customHeight="1" outlineLevel="2">
      <c r="B1457" s="302" t="s">
        <v>3272</v>
      </c>
      <c r="C1457" s="346" t="s">
        <v>1473</v>
      </c>
      <c r="D1457" s="302" t="s">
        <v>161</v>
      </c>
      <c r="E1457" s="347">
        <v>98.0</v>
      </c>
      <c r="F1457" s="348">
        <v>0.0</v>
      </c>
      <c r="G1457" s="206">
        <f>F1457*E1457</f>
        <v>0</v>
      </c>
      <c r="H1457" s="348" t="s">
        <v>619</v>
      </c>
      <c r="I1457" s="348" t="s">
        <v>619</v>
      </c>
      <c r="J1457" s="82"/>
      <c r="K1457" s="118"/>
      <c r="L1457" s="118"/>
    </row>
    <row r="1458" ht="12.75" customHeight="1" outlineLevel="2">
      <c r="B1458" s="189"/>
      <c r="C1458" s="208"/>
      <c r="E1458" s="79"/>
      <c r="F1458" s="80"/>
      <c r="G1458" s="80"/>
      <c r="H1458" s="80"/>
      <c r="I1458" s="80"/>
      <c r="J1458" s="80"/>
      <c r="K1458" s="116"/>
      <c r="L1458" s="116"/>
    </row>
    <row r="1459" ht="12.75" customHeight="1" outlineLevel="2">
      <c r="B1459" s="322">
        <v>17.33</v>
      </c>
      <c r="C1459" s="323" t="s">
        <v>1317</v>
      </c>
      <c r="E1459" s="79"/>
      <c r="F1459" s="80"/>
      <c r="G1459" s="80"/>
      <c r="H1459" s="80"/>
      <c r="I1459" s="80"/>
      <c r="J1459" s="80"/>
      <c r="K1459" s="116"/>
      <c r="L1459" s="116"/>
    </row>
    <row r="1460" ht="12.75" customHeight="1" outlineLevel="2">
      <c r="B1460" s="189"/>
      <c r="C1460" s="208"/>
      <c r="E1460" s="79"/>
      <c r="F1460" s="80"/>
      <c r="G1460" s="80"/>
      <c r="H1460" s="80"/>
      <c r="I1460" s="80"/>
      <c r="J1460" s="80"/>
      <c r="K1460" s="116"/>
      <c r="L1460" s="116"/>
    </row>
    <row r="1461" ht="12.75" customHeight="1" outlineLevel="2">
      <c r="B1461" s="349" t="s">
        <v>3274</v>
      </c>
      <c r="C1461" s="332" t="s">
        <v>1474</v>
      </c>
      <c r="D1461" s="333" t="s">
        <v>75</v>
      </c>
      <c r="E1461" s="334">
        <v>1.0</v>
      </c>
      <c r="F1461" s="335">
        <v>0.0</v>
      </c>
      <c r="G1461" s="206">
        <f t="shared" ref="G1461:G1463" si="71">F1461*E1461</f>
        <v>0</v>
      </c>
      <c r="H1461" s="341" t="s">
        <v>619</v>
      </c>
      <c r="I1461" s="341" t="s">
        <v>619</v>
      </c>
      <c r="J1461" s="367"/>
      <c r="K1461" s="367"/>
      <c r="L1461" s="367"/>
    </row>
    <row r="1462" ht="12.75" customHeight="1" outlineLevel="2">
      <c r="B1462" s="349" t="s">
        <v>3276</v>
      </c>
      <c r="C1462" s="332" t="s">
        <v>1475</v>
      </c>
      <c r="D1462" s="333" t="s">
        <v>75</v>
      </c>
      <c r="E1462" s="334">
        <v>1.0</v>
      </c>
      <c r="F1462" s="335">
        <v>0.0</v>
      </c>
      <c r="G1462" s="206">
        <f t="shared" si="71"/>
        <v>0</v>
      </c>
      <c r="H1462" s="341" t="s">
        <v>619</v>
      </c>
      <c r="I1462" s="341" t="s">
        <v>619</v>
      </c>
      <c r="J1462" s="367"/>
      <c r="K1462" s="367"/>
      <c r="L1462" s="367"/>
    </row>
    <row r="1463" ht="12.75" customHeight="1" outlineLevel="2">
      <c r="B1463" s="349" t="s">
        <v>3278</v>
      </c>
      <c r="C1463" s="332" t="s">
        <v>1465</v>
      </c>
      <c r="D1463" s="333" t="s">
        <v>75</v>
      </c>
      <c r="E1463" s="334">
        <v>1.0</v>
      </c>
      <c r="F1463" s="335">
        <v>0.0</v>
      </c>
      <c r="G1463" s="206">
        <f t="shared" si="71"/>
        <v>0</v>
      </c>
      <c r="H1463" s="341" t="s">
        <v>619</v>
      </c>
      <c r="I1463" s="341" t="s">
        <v>619</v>
      </c>
      <c r="J1463" s="367"/>
      <c r="K1463" s="367"/>
      <c r="L1463" s="367"/>
    </row>
    <row r="1464" ht="12.75" customHeight="1" outlineLevel="2">
      <c r="B1464" s="189"/>
      <c r="C1464" s="208"/>
      <c r="E1464" s="79"/>
      <c r="F1464" s="80"/>
      <c r="G1464" s="80"/>
      <c r="H1464" s="240"/>
      <c r="I1464" s="240"/>
      <c r="J1464" s="240"/>
      <c r="K1464" s="240"/>
      <c r="L1464" s="240"/>
    </row>
    <row r="1465" ht="12.75" customHeight="1" outlineLevel="2">
      <c r="B1465" s="322">
        <v>17.34</v>
      </c>
      <c r="C1465" s="326" t="s">
        <v>1317</v>
      </c>
      <c r="E1465" s="79"/>
      <c r="F1465" s="80"/>
      <c r="G1465" s="80"/>
      <c r="H1465" s="240"/>
      <c r="I1465" s="240"/>
      <c r="J1465" s="240"/>
      <c r="K1465" s="240"/>
      <c r="L1465" s="240"/>
    </row>
    <row r="1466" ht="12.75" customHeight="1" outlineLevel="2">
      <c r="B1466" s="189"/>
      <c r="C1466" s="208"/>
      <c r="E1466" s="79"/>
      <c r="F1466" s="80"/>
      <c r="G1466" s="80"/>
      <c r="H1466" s="240"/>
      <c r="I1466" s="240"/>
      <c r="J1466" s="240"/>
      <c r="K1466" s="240"/>
      <c r="L1466" s="240"/>
    </row>
    <row r="1467" ht="12.75" customHeight="1" outlineLevel="2">
      <c r="B1467" s="331" t="s">
        <v>3279</v>
      </c>
      <c r="C1467" s="332" t="s">
        <v>1466</v>
      </c>
      <c r="D1467" s="333" t="s">
        <v>161</v>
      </c>
      <c r="E1467" s="334">
        <v>50.0</v>
      </c>
      <c r="F1467" s="335">
        <v>2.0</v>
      </c>
      <c r="G1467" s="206">
        <f t="shared" ref="G1467:G1468" si="72">F1467*E1467</f>
        <v>100</v>
      </c>
      <c r="H1467" s="336"/>
      <c r="I1467" s="336"/>
      <c r="J1467" s="116"/>
      <c r="K1467" s="116"/>
      <c r="L1467" s="116"/>
    </row>
    <row r="1468" ht="12.75" customHeight="1" outlineLevel="2">
      <c r="B1468" s="331" t="s">
        <v>3280</v>
      </c>
      <c r="C1468" s="332" t="s">
        <v>1476</v>
      </c>
      <c r="D1468" s="333" t="s">
        <v>75</v>
      </c>
      <c r="E1468" s="334">
        <v>1.0</v>
      </c>
      <c r="F1468" s="335">
        <v>21.0</v>
      </c>
      <c r="G1468" s="206">
        <f t="shared" si="72"/>
        <v>21</v>
      </c>
      <c r="H1468" s="336"/>
      <c r="I1468" s="336"/>
      <c r="J1468" s="116"/>
      <c r="K1468" s="116"/>
      <c r="L1468" s="116"/>
    </row>
    <row r="1469" ht="12.75" customHeight="1" outlineLevel="2">
      <c r="B1469" s="189"/>
      <c r="C1469" s="208"/>
      <c r="E1469" s="79"/>
      <c r="F1469" s="80"/>
      <c r="G1469" s="80"/>
      <c r="H1469" s="240"/>
      <c r="I1469" s="240"/>
      <c r="J1469" s="240"/>
      <c r="K1469" s="240"/>
      <c r="L1469" s="240"/>
    </row>
    <row r="1470" ht="12.75" customHeight="1" outlineLevel="2">
      <c r="A1470" s="89" t="s">
        <v>1477</v>
      </c>
      <c r="B1470" s="189"/>
      <c r="C1470" s="330" t="s">
        <v>1478</v>
      </c>
      <c r="E1470" s="79"/>
      <c r="F1470" s="80"/>
      <c r="G1470" s="80"/>
      <c r="H1470" s="240"/>
      <c r="I1470" s="240"/>
      <c r="J1470" s="240"/>
      <c r="K1470" s="240"/>
      <c r="L1470" s="240"/>
    </row>
    <row r="1471" ht="12.75" customHeight="1" outlineLevel="2">
      <c r="B1471" s="189"/>
      <c r="C1471" s="208"/>
      <c r="E1471" s="79"/>
      <c r="F1471" s="80"/>
      <c r="G1471" s="80"/>
      <c r="H1471" s="240"/>
      <c r="I1471" s="240"/>
      <c r="J1471" s="240"/>
      <c r="K1471" s="240"/>
      <c r="L1471" s="240"/>
    </row>
    <row r="1472" ht="12.75" customHeight="1" outlineLevel="2">
      <c r="B1472" s="350" t="s">
        <v>3283</v>
      </c>
      <c r="C1472" s="332" t="s">
        <v>1479</v>
      </c>
      <c r="D1472" s="302" t="s">
        <v>75</v>
      </c>
      <c r="E1472" s="347">
        <v>1.0</v>
      </c>
      <c r="F1472" s="348">
        <v>0.0</v>
      </c>
      <c r="G1472" s="206">
        <f>F1472*E1472</f>
        <v>0</v>
      </c>
      <c r="H1472" s="348" t="s">
        <v>619</v>
      </c>
      <c r="I1472" s="348" t="s">
        <v>619</v>
      </c>
      <c r="J1472" s="82"/>
      <c r="K1472" s="118"/>
      <c r="L1472" s="118"/>
    </row>
    <row r="1473" ht="12.75" customHeight="1" outlineLevel="2">
      <c r="B1473" s="189"/>
      <c r="C1473" s="208"/>
      <c r="E1473" s="79"/>
      <c r="F1473" s="80"/>
      <c r="G1473" s="80"/>
      <c r="H1473" s="80"/>
      <c r="I1473" s="80"/>
      <c r="J1473" s="80"/>
      <c r="K1473" s="116"/>
      <c r="L1473" s="116"/>
    </row>
    <row r="1474" ht="12.75" customHeight="1" outlineLevel="2">
      <c r="B1474" s="350" t="s">
        <v>3285</v>
      </c>
      <c r="C1474" s="332" t="s">
        <v>1480</v>
      </c>
      <c r="D1474" s="302" t="s">
        <v>75</v>
      </c>
      <c r="E1474" s="347">
        <v>1.0</v>
      </c>
      <c r="F1474" s="348">
        <v>0.0</v>
      </c>
      <c r="G1474" s="206">
        <f>F1474*E1474</f>
        <v>0</v>
      </c>
      <c r="H1474" s="348" t="s">
        <v>619</v>
      </c>
      <c r="I1474" s="348" t="s">
        <v>619</v>
      </c>
      <c r="J1474" s="82"/>
      <c r="K1474" s="118"/>
      <c r="L1474" s="118"/>
    </row>
    <row r="1475" ht="12.75" customHeight="1" outlineLevel="2">
      <c r="B1475" s="189"/>
      <c r="C1475" s="208"/>
      <c r="E1475" s="79"/>
      <c r="F1475" s="80"/>
      <c r="G1475" s="80"/>
      <c r="H1475" s="80"/>
      <c r="I1475" s="80"/>
      <c r="J1475" s="80"/>
      <c r="K1475" s="116"/>
      <c r="L1475" s="116"/>
    </row>
    <row r="1476" ht="12.75" customHeight="1" outlineLevel="2">
      <c r="B1476" s="350" t="s">
        <v>3287</v>
      </c>
      <c r="C1476" s="332" t="s">
        <v>1481</v>
      </c>
      <c r="D1476" s="302" t="s">
        <v>75</v>
      </c>
      <c r="E1476" s="347">
        <v>3.0</v>
      </c>
      <c r="F1476" s="348">
        <v>0.0</v>
      </c>
      <c r="G1476" s="206">
        <f>F1476*E1476</f>
        <v>0</v>
      </c>
      <c r="H1476" s="348" t="s">
        <v>619</v>
      </c>
      <c r="I1476" s="348" t="s">
        <v>619</v>
      </c>
      <c r="J1476" s="82"/>
      <c r="K1476" s="118"/>
      <c r="L1476" s="118"/>
    </row>
    <row r="1477" ht="12.75" customHeight="1" outlineLevel="2">
      <c r="B1477" s="189"/>
      <c r="C1477" s="208"/>
      <c r="E1477" s="79"/>
      <c r="F1477" s="80"/>
      <c r="G1477" s="80"/>
      <c r="H1477" s="80"/>
      <c r="I1477" s="80"/>
      <c r="J1477" s="80"/>
      <c r="K1477" s="116"/>
      <c r="L1477" s="116"/>
    </row>
    <row r="1478" ht="12.75" customHeight="1" outlineLevel="2">
      <c r="B1478" s="350" t="s">
        <v>3289</v>
      </c>
      <c r="C1478" s="332" t="s">
        <v>1482</v>
      </c>
      <c r="D1478" s="302" t="s">
        <v>75</v>
      </c>
      <c r="E1478" s="347">
        <v>1.0</v>
      </c>
      <c r="F1478" s="348">
        <v>0.0</v>
      </c>
      <c r="G1478" s="206">
        <f>F1478*E1478</f>
        <v>0</v>
      </c>
      <c r="H1478" s="348" t="s">
        <v>619</v>
      </c>
      <c r="I1478" s="348" t="s">
        <v>619</v>
      </c>
      <c r="J1478" s="82"/>
      <c r="K1478" s="118"/>
      <c r="L1478" s="118"/>
    </row>
    <row r="1479" ht="12.75" customHeight="1" outlineLevel="2">
      <c r="B1479" s="189"/>
      <c r="C1479" s="208"/>
      <c r="E1479" s="79"/>
      <c r="F1479" s="80"/>
      <c r="G1479" s="80"/>
      <c r="H1479" s="240"/>
      <c r="I1479" s="240"/>
      <c r="J1479" s="240"/>
      <c r="K1479" s="240"/>
      <c r="L1479" s="240"/>
    </row>
    <row r="1480" ht="12.75" customHeight="1" outlineLevel="2">
      <c r="A1480" s="89" t="s">
        <v>1483</v>
      </c>
      <c r="B1480" s="189"/>
      <c r="C1480" s="330" t="s">
        <v>1484</v>
      </c>
      <c r="D1480" s="89" t="s">
        <v>1485</v>
      </c>
      <c r="E1480" s="91"/>
      <c r="F1480" s="80"/>
      <c r="G1480" s="92"/>
      <c r="H1480" s="240"/>
      <c r="I1480" s="240"/>
      <c r="J1480" s="240"/>
      <c r="K1480" s="240"/>
      <c r="L1480" s="240"/>
    </row>
    <row r="1481" ht="12.75" customHeight="1" outlineLevel="2">
      <c r="B1481" s="189"/>
      <c r="C1481" s="208"/>
      <c r="E1481" s="79"/>
      <c r="F1481" s="80"/>
      <c r="G1481" s="80"/>
      <c r="H1481" s="240"/>
      <c r="I1481" s="240"/>
      <c r="J1481" s="240"/>
      <c r="K1481" s="240"/>
      <c r="L1481" s="240"/>
    </row>
    <row r="1482" ht="12.75" customHeight="1" outlineLevel="2">
      <c r="A1482" s="89" t="s">
        <v>1486</v>
      </c>
      <c r="B1482" s="189"/>
      <c r="C1482" s="330" t="s">
        <v>1487</v>
      </c>
      <c r="H1482" s="240"/>
      <c r="I1482" s="240"/>
      <c r="J1482" s="240"/>
      <c r="K1482" s="240"/>
      <c r="L1482" s="240"/>
    </row>
    <row r="1483" ht="12.75" customHeight="1" outlineLevel="2">
      <c r="B1483" s="189"/>
      <c r="C1483" s="208"/>
      <c r="E1483" s="79"/>
      <c r="F1483" s="80"/>
      <c r="G1483" s="80"/>
      <c r="H1483" s="240"/>
      <c r="I1483" s="240"/>
      <c r="J1483" s="240"/>
      <c r="K1483" s="240"/>
      <c r="L1483" s="240"/>
    </row>
    <row r="1484" ht="12.75" customHeight="1" outlineLevel="2">
      <c r="B1484" s="189"/>
      <c r="C1484" s="320" t="s">
        <v>1488</v>
      </c>
      <c r="H1484" s="240"/>
      <c r="I1484" s="240"/>
      <c r="J1484" s="240"/>
      <c r="K1484" s="240"/>
      <c r="L1484" s="240"/>
    </row>
    <row r="1485" ht="12.75" customHeight="1" outlineLevel="2">
      <c r="B1485" s="189"/>
      <c r="C1485" s="208"/>
      <c r="E1485" s="79"/>
      <c r="F1485" s="80"/>
      <c r="G1485" s="80"/>
      <c r="H1485" s="240"/>
      <c r="I1485" s="240"/>
      <c r="J1485" s="240"/>
      <c r="K1485" s="240"/>
      <c r="L1485" s="240"/>
    </row>
    <row r="1486" ht="12.75" customHeight="1" outlineLevel="2">
      <c r="B1486" s="322">
        <v>17.39</v>
      </c>
      <c r="C1486" s="323" t="s">
        <v>1489</v>
      </c>
      <c r="D1486" s="351" t="s">
        <v>1435</v>
      </c>
      <c r="E1486" s="352">
        <v>1.0</v>
      </c>
      <c r="F1486" s="353">
        <v>6366.06</v>
      </c>
      <c r="G1486" s="206">
        <f>F1486*E1486</f>
        <v>6366.06</v>
      </c>
      <c r="H1486" s="240"/>
      <c r="I1486" s="240"/>
      <c r="J1486" s="240"/>
      <c r="K1486" s="240"/>
      <c r="L1486" s="240"/>
    </row>
    <row r="1487" ht="12.75" customHeight="1" outlineLevel="2">
      <c r="B1487" s="189"/>
      <c r="C1487" s="208"/>
      <c r="E1487" s="79"/>
      <c r="F1487" s="80"/>
      <c r="G1487" s="80"/>
      <c r="H1487" s="240"/>
      <c r="I1487" s="240"/>
      <c r="J1487" s="240"/>
      <c r="K1487" s="240"/>
      <c r="L1487" s="240"/>
    </row>
    <row r="1488" ht="12.75" customHeight="1" outlineLevel="2">
      <c r="B1488" s="331" t="s">
        <v>3295</v>
      </c>
      <c r="C1488" s="354" t="s">
        <v>1490</v>
      </c>
      <c r="D1488" s="333" t="s">
        <v>33</v>
      </c>
      <c r="E1488" s="334">
        <v>1.0</v>
      </c>
      <c r="F1488" s="355">
        <v>0.0</v>
      </c>
      <c r="G1488" s="205">
        <f t="shared" ref="G1488:G1505" si="73">F1488*E1488</f>
        <v>0</v>
      </c>
      <c r="H1488" s="341" t="s">
        <v>619</v>
      </c>
      <c r="I1488" s="341" t="s">
        <v>619</v>
      </c>
      <c r="J1488" s="367"/>
      <c r="K1488" s="367"/>
      <c r="L1488" s="367"/>
    </row>
    <row r="1489" ht="12.75" customHeight="1" outlineLevel="2">
      <c r="B1489" s="331" t="s">
        <v>3297</v>
      </c>
      <c r="C1489" s="354" t="s">
        <v>1491</v>
      </c>
      <c r="D1489" s="333" t="s">
        <v>75</v>
      </c>
      <c r="E1489" s="334">
        <v>1.0</v>
      </c>
      <c r="F1489" s="355">
        <v>0.0</v>
      </c>
      <c r="G1489" s="205">
        <f t="shared" si="73"/>
        <v>0</v>
      </c>
      <c r="H1489" s="341" t="s">
        <v>619</v>
      </c>
      <c r="I1489" s="341" t="s">
        <v>619</v>
      </c>
      <c r="J1489" s="367"/>
      <c r="K1489" s="367"/>
      <c r="L1489" s="367"/>
    </row>
    <row r="1490" ht="12.75" customHeight="1" outlineLevel="2">
      <c r="B1490" s="331" t="s">
        <v>3299</v>
      </c>
      <c r="C1490" s="354" t="s">
        <v>1492</v>
      </c>
      <c r="D1490" s="333" t="s">
        <v>161</v>
      </c>
      <c r="E1490" s="334">
        <v>654.0</v>
      </c>
      <c r="F1490" s="355">
        <v>0.0</v>
      </c>
      <c r="G1490" s="205">
        <f t="shared" si="73"/>
        <v>0</v>
      </c>
      <c r="H1490" s="341" t="s">
        <v>619</v>
      </c>
      <c r="I1490" s="341" t="s">
        <v>619</v>
      </c>
      <c r="J1490" s="367"/>
      <c r="K1490" s="367"/>
      <c r="L1490" s="367"/>
    </row>
    <row r="1491" ht="12.75" customHeight="1" outlineLevel="2">
      <c r="B1491" s="331" t="s">
        <v>3301</v>
      </c>
      <c r="C1491" s="354" t="s">
        <v>1493</v>
      </c>
      <c r="D1491" s="333" t="s">
        <v>75</v>
      </c>
      <c r="E1491" s="334">
        <v>1.0</v>
      </c>
      <c r="F1491" s="355">
        <v>0.0</v>
      </c>
      <c r="G1491" s="205">
        <f t="shared" si="73"/>
        <v>0</v>
      </c>
      <c r="H1491" s="341" t="s">
        <v>619</v>
      </c>
      <c r="I1491" s="341" t="s">
        <v>619</v>
      </c>
      <c r="J1491" s="367"/>
      <c r="K1491" s="367"/>
      <c r="L1491" s="367"/>
    </row>
    <row r="1492" ht="12.75" customHeight="1" outlineLevel="2">
      <c r="B1492" s="331" t="s">
        <v>3303</v>
      </c>
      <c r="C1492" s="354" t="s">
        <v>1494</v>
      </c>
      <c r="D1492" s="333" t="s">
        <v>75</v>
      </c>
      <c r="E1492" s="334">
        <v>1.0</v>
      </c>
      <c r="F1492" s="355">
        <v>0.0</v>
      </c>
      <c r="G1492" s="205">
        <f t="shared" si="73"/>
        <v>0</v>
      </c>
      <c r="H1492" s="341" t="s">
        <v>619</v>
      </c>
      <c r="I1492" s="341" t="s">
        <v>619</v>
      </c>
      <c r="J1492" s="367"/>
      <c r="K1492" s="367"/>
      <c r="L1492" s="367"/>
    </row>
    <row r="1493" ht="12.75" customHeight="1" outlineLevel="2">
      <c r="B1493" s="331" t="s">
        <v>3305</v>
      </c>
      <c r="C1493" s="354" t="s">
        <v>1495</v>
      </c>
      <c r="D1493" s="333" t="s">
        <v>75</v>
      </c>
      <c r="E1493" s="334">
        <v>1.0</v>
      </c>
      <c r="F1493" s="355">
        <v>0.0</v>
      </c>
      <c r="G1493" s="205">
        <f t="shared" si="73"/>
        <v>0</v>
      </c>
      <c r="H1493" s="341" t="s">
        <v>619</v>
      </c>
      <c r="I1493" s="341" t="s">
        <v>619</v>
      </c>
      <c r="J1493" s="367"/>
      <c r="K1493" s="367"/>
      <c r="L1493" s="367"/>
    </row>
    <row r="1494" ht="12.75" customHeight="1" outlineLevel="2">
      <c r="B1494" s="331" t="s">
        <v>3307</v>
      </c>
      <c r="C1494" s="354" t="s">
        <v>1496</v>
      </c>
      <c r="D1494" s="333" t="s">
        <v>75</v>
      </c>
      <c r="E1494" s="334">
        <v>1.0</v>
      </c>
      <c r="F1494" s="355">
        <v>0.0</v>
      </c>
      <c r="G1494" s="205">
        <f t="shared" si="73"/>
        <v>0</v>
      </c>
      <c r="H1494" s="341" t="s">
        <v>619</v>
      </c>
      <c r="I1494" s="341" t="s">
        <v>619</v>
      </c>
      <c r="J1494" s="367"/>
      <c r="K1494" s="367"/>
      <c r="L1494" s="367"/>
    </row>
    <row r="1495" ht="12.75" customHeight="1" outlineLevel="2">
      <c r="B1495" s="331" t="s">
        <v>3309</v>
      </c>
      <c r="C1495" s="354" t="s">
        <v>1497</v>
      </c>
      <c r="D1495" s="333" t="s">
        <v>75</v>
      </c>
      <c r="E1495" s="334">
        <v>5.0</v>
      </c>
      <c r="F1495" s="355">
        <v>0.0</v>
      </c>
      <c r="G1495" s="205">
        <f t="shared" si="73"/>
        <v>0</v>
      </c>
      <c r="H1495" s="341" t="s">
        <v>619</v>
      </c>
      <c r="I1495" s="341" t="s">
        <v>619</v>
      </c>
      <c r="J1495" s="367"/>
      <c r="K1495" s="367"/>
      <c r="L1495" s="367"/>
    </row>
    <row r="1496" ht="12.75" customHeight="1" outlineLevel="2">
      <c r="B1496" s="331" t="s">
        <v>3311</v>
      </c>
      <c r="C1496" s="354" t="s">
        <v>1498</v>
      </c>
      <c r="D1496" s="333" t="s">
        <v>75</v>
      </c>
      <c r="E1496" s="334">
        <v>19.0</v>
      </c>
      <c r="F1496" s="355">
        <v>0.0</v>
      </c>
      <c r="G1496" s="205">
        <f t="shared" si="73"/>
        <v>0</v>
      </c>
      <c r="H1496" s="341" t="s">
        <v>619</v>
      </c>
      <c r="I1496" s="341" t="s">
        <v>619</v>
      </c>
      <c r="J1496" s="367"/>
      <c r="K1496" s="367"/>
      <c r="L1496" s="367"/>
    </row>
    <row r="1497" ht="12.75" customHeight="1" outlineLevel="2">
      <c r="B1497" s="331" t="s">
        <v>3313</v>
      </c>
      <c r="C1497" s="354" t="s">
        <v>1499</v>
      </c>
      <c r="D1497" s="333" t="s">
        <v>75</v>
      </c>
      <c r="E1497" s="334">
        <v>4.0</v>
      </c>
      <c r="F1497" s="355">
        <v>0.0</v>
      </c>
      <c r="G1497" s="205">
        <f t="shared" si="73"/>
        <v>0</v>
      </c>
      <c r="H1497" s="341" t="s">
        <v>619</v>
      </c>
      <c r="I1497" s="341" t="s">
        <v>619</v>
      </c>
      <c r="J1497" s="367"/>
      <c r="K1497" s="367"/>
      <c r="L1497" s="367"/>
    </row>
    <row r="1498" ht="12.75" customHeight="1" outlineLevel="2">
      <c r="B1498" s="331" t="s">
        <v>3315</v>
      </c>
      <c r="C1498" s="354" t="s">
        <v>1500</v>
      </c>
      <c r="D1498" s="333" t="s">
        <v>75</v>
      </c>
      <c r="E1498" s="334">
        <v>9.0</v>
      </c>
      <c r="F1498" s="355">
        <v>0.0</v>
      </c>
      <c r="G1498" s="205">
        <f t="shared" si="73"/>
        <v>0</v>
      </c>
      <c r="H1498" s="341" t="s">
        <v>619</v>
      </c>
      <c r="I1498" s="341" t="s">
        <v>619</v>
      </c>
      <c r="J1498" s="367"/>
      <c r="K1498" s="367"/>
      <c r="L1498" s="367"/>
    </row>
    <row r="1499" ht="12.75" customHeight="1" outlineLevel="2">
      <c r="B1499" s="331" t="s">
        <v>3317</v>
      </c>
      <c r="C1499" s="354" t="s">
        <v>1501</v>
      </c>
      <c r="D1499" s="333" t="s">
        <v>75</v>
      </c>
      <c r="E1499" s="334">
        <v>1.0</v>
      </c>
      <c r="F1499" s="355">
        <v>0.0</v>
      </c>
      <c r="G1499" s="205">
        <f t="shared" si="73"/>
        <v>0</v>
      </c>
      <c r="H1499" s="341" t="s">
        <v>619</v>
      </c>
      <c r="I1499" s="341" t="s">
        <v>619</v>
      </c>
      <c r="J1499" s="367"/>
      <c r="K1499" s="367"/>
      <c r="L1499" s="367"/>
    </row>
    <row r="1500" ht="12.75" customHeight="1" outlineLevel="2">
      <c r="B1500" s="331" t="s">
        <v>3319</v>
      </c>
      <c r="C1500" s="354" t="s">
        <v>1502</v>
      </c>
      <c r="D1500" s="333" t="s">
        <v>75</v>
      </c>
      <c r="E1500" s="334">
        <v>2.0</v>
      </c>
      <c r="F1500" s="355">
        <v>0.0</v>
      </c>
      <c r="G1500" s="205">
        <f t="shared" si="73"/>
        <v>0</v>
      </c>
      <c r="H1500" s="341" t="s">
        <v>619</v>
      </c>
      <c r="I1500" s="341" t="s">
        <v>619</v>
      </c>
      <c r="J1500" s="367"/>
      <c r="K1500" s="367"/>
      <c r="L1500" s="367"/>
    </row>
    <row r="1501" ht="12.75" customHeight="1" outlineLevel="2">
      <c r="B1501" s="331" t="s">
        <v>3321</v>
      </c>
      <c r="C1501" s="354" t="s">
        <v>1503</v>
      </c>
      <c r="D1501" s="333" t="s">
        <v>75</v>
      </c>
      <c r="E1501" s="334">
        <v>1.0</v>
      </c>
      <c r="F1501" s="355">
        <v>0.0</v>
      </c>
      <c r="G1501" s="205">
        <f t="shared" si="73"/>
        <v>0</v>
      </c>
      <c r="H1501" s="341" t="s">
        <v>619</v>
      </c>
      <c r="I1501" s="341" t="s">
        <v>619</v>
      </c>
      <c r="J1501" s="367"/>
      <c r="K1501" s="367"/>
      <c r="L1501" s="367"/>
    </row>
    <row r="1502" ht="12.75" customHeight="1" outlineLevel="2">
      <c r="B1502" s="331" t="s">
        <v>3323</v>
      </c>
      <c r="C1502" s="354" t="s">
        <v>1504</v>
      </c>
      <c r="D1502" s="333" t="s">
        <v>161</v>
      </c>
      <c r="E1502" s="334">
        <v>628.0</v>
      </c>
      <c r="F1502" s="335">
        <v>1.5</v>
      </c>
      <c r="G1502" s="205">
        <f t="shared" si="73"/>
        <v>942</v>
      </c>
      <c r="H1502" s="356"/>
      <c r="I1502" s="356"/>
      <c r="J1502" s="116"/>
      <c r="K1502" s="116"/>
      <c r="L1502" s="116"/>
    </row>
    <row r="1503" ht="12.75" customHeight="1" outlineLevel="2">
      <c r="B1503" s="331" t="s">
        <v>3325</v>
      </c>
      <c r="C1503" s="354" t="s">
        <v>1505</v>
      </c>
      <c r="D1503" s="333" t="s">
        <v>161</v>
      </c>
      <c r="E1503" s="334">
        <v>25.0</v>
      </c>
      <c r="F1503" s="335">
        <v>2.0</v>
      </c>
      <c r="G1503" s="205">
        <f t="shared" si="73"/>
        <v>50</v>
      </c>
      <c r="H1503" s="356"/>
      <c r="I1503" s="356"/>
      <c r="J1503" s="116"/>
      <c r="K1503" s="116"/>
      <c r="L1503" s="116"/>
    </row>
    <row r="1504" ht="12.75" customHeight="1" outlineLevel="2">
      <c r="B1504" s="331" t="s">
        <v>3327</v>
      </c>
      <c r="C1504" s="354" t="s">
        <v>1468</v>
      </c>
      <c r="D1504" s="333" t="s">
        <v>75</v>
      </c>
      <c r="E1504" s="334">
        <v>2.0</v>
      </c>
      <c r="F1504" s="335">
        <v>60.0</v>
      </c>
      <c r="G1504" s="205">
        <f t="shared" si="73"/>
        <v>120</v>
      </c>
      <c r="H1504" s="356"/>
      <c r="I1504" s="356"/>
      <c r="J1504" s="116"/>
      <c r="K1504" s="116"/>
      <c r="L1504" s="116"/>
    </row>
    <row r="1505" ht="12.75" customHeight="1" outlineLevel="2">
      <c r="B1505" s="331" t="s">
        <v>3328</v>
      </c>
      <c r="C1505" s="354" t="s">
        <v>1506</v>
      </c>
      <c r="D1505" s="333" t="s">
        <v>75</v>
      </c>
      <c r="E1505" s="334">
        <v>1.0</v>
      </c>
      <c r="F1505" s="335">
        <v>78.0</v>
      </c>
      <c r="G1505" s="205">
        <f t="shared" si="73"/>
        <v>78</v>
      </c>
      <c r="H1505" s="356"/>
      <c r="I1505" s="356"/>
      <c r="J1505" s="116"/>
      <c r="K1505" s="116"/>
      <c r="L1505" s="116"/>
    </row>
    <row r="1506" ht="12.75" customHeight="1" outlineLevel="2">
      <c r="B1506" s="189"/>
      <c r="C1506" s="208"/>
      <c r="E1506" s="79"/>
      <c r="F1506" s="80"/>
      <c r="G1506" s="80"/>
      <c r="H1506" s="240"/>
      <c r="I1506" s="240"/>
      <c r="J1506" s="240"/>
      <c r="K1506" s="240"/>
      <c r="L1506" s="240"/>
    </row>
    <row r="1507" ht="12.75" customHeight="1" outlineLevel="2">
      <c r="A1507" s="89" t="s">
        <v>1507</v>
      </c>
      <c r="B1507" s="189"/>
      <c r="C1507" s="330" t="s">
        <v>1508</v>
      </c>
      <c r="D1507" s="89"/>
      <c r="E1507" s="91"/>
      <c r="F1507" s="92"/>
      <c r="G1507" s="92"/>
      <c r="H1507" s="240"/>
      <c r="I1507" s="240"/>
      <c r="J1507" s="240"/>
      <c r="K1507" s="240"/>
      <c r="L1507" s="240"/>
    </row>
    <row r="1508" ht="12.75" customHeight="1" outlineLevel="2">
      <c r="B1508" s="189"/>
      <c r="C1508" s="208"/>
      <c r="E1508" s="79"/>
      <c r="F1508" s="80"/>
      <c r="G1508" s="80"/>
      <c r="H1508" s="240"/>
      <c r="I1508" s="240"/>
      <c r="J1508" s="240"/>
      <c r="K1508" s="240"/>
      <c r="L1508" s="240"/>
    </row>
    <row r="1509" ht="12.75" customHeight="1" outlineLevel="2">
      <c r="B1509" s="189"/>
      <c r="C1509" s="320" t="s">
        <v>1509</v>
      </c>
      <c r="E1509" s="79"/>
      <c r="F1509" s="80"/>
      <c r="G1509" s="80"/>
      <c r="H1509" s="240"/>
      <c r="I1509" s="240"/>
      <c r="J1509" s="240"/>
      <c r="K1509" s="240"/>
      <c r="L1509" s="240"/>
    </row>
    <row r="1510" ht="12.75" customHeight="1" outlineLevel="2">
      <c r="B1510" s="189"/>
      <c r="C1510" s="208"/>
      <c r="E1510" s="79"/>
      <c r="F1510" s="80"/>
      <c r="G1510" s="80"/>
      <c r="H1510" s="240"/>
      <c r="I1510" s="240"/>
      <c r="J1510" s="240"/>
      <c r="K1510" s="240"/>
      <c r="L1510" s="240"/>
    </row>
    <row r="1511" ht="12.75" customHeight="1" outlineLevel="2">
      <c r="B1511" s="327" t="s">
        <v>3332</v>
      </c>
      <c r="C1511" s="357" t="s">
        <v>1510</v>
      </c>
      <c r="D1511" s="358" t="s">
        <v>1435</v>
      </c>
      <c r="E1511" s="359">
        <v>1.0</v>
      </c>
      <c r="F1511" s="360">
        <v>7800.0</v>
      </c>
      <c r="G1511" s="206">
        <f>F1511*E1511</f>
        <v>7800</v>
      </c>
      <c r="H1511" s="219"/>
      <c r="I1511" s="219"/>
      <c r="J1511" s="240"/>
      <c r="K1511" s="240"/>
      <c r="L1511" s="240"/>
    </row>
    <row r="1512" ht="12.75" customHeight="1" outlineLevel="2">
      <c r="B1512" s="189"/>
      <c r="C1512" s="208"/>
      <c r="E1512" s="79"/>
      <c r="F1512" s="80"/>
      <c r="G1512" s="80"/>
      <c r="H1512" s="240"/>
      <c r="I1512" s="240"/>
      <c r="J1512" s="240"/>
      <c r="K1512" s="240"/>
      <c r="L1512" s="240"/>
    </row>
    <row r="1513" ht="12.75" customHeight="1" outlineLevel="2">
      <c r="B1513" s="350" t="s">
        <v>3334</v>
      </c>
      <c r="C1513" s="332" t="s">
        <v>1511</v>
      </c>
      <c r="D1513" s="333" t="s">
        <v>75</v>
      </c>
      <c r="E1513" s="334">
        <v>1.0</v>
      </c>
      <c r="F1513" s="355">
        <v>0.0</v>
      </c>
      <c r="G1513" s="206">
        <f t="shared" ref="G1513:G1522" si="74">F1513*E1513</f>
        <v>0</v>
      </c>
      <c r="H1513" s="341" t="s">
        <v>619</v>
      </c>
      <c r="I1513" s="341" t="s">
        <v>619</v>
      </c>
      <c r="J1513" s="367"/>
      <c r="K1513" s="367"/>
      <c r="L1513" s="367"/>
    </row>
    <row r="1514" ht="12.75" customHeight="1" outlineLevel="2">
      <c r="B1514" s="350" t="s">
        <v>3336</v>
      </c>
      <c r="C1514" s="332" t="s">
        <v>1512</v>
      </c>
      <c r="D1514" s="333" t="s">
        <v>75</v>
      </c>
      <c r="E1514" s="334">
        <v>1.0</v>
      </c>
      <c r="F1514" s="355">
        <v>0.0</v>
      </c>
      <c r="G1514" s="206">
        <f t="shared" si="74"/>
        <v>0</v>
      </c>
      <c r="H1514" s="341" t="s">
        <v>619</v>
      </c>
      <c r="I1514" s="341" t="s">
        <v>619</v>
      </c>
      <c r="J1514" s="367"/>
      <c r="K1514" s="367"/>
      <c r="L1514" s="367"/>
    </row>
    <row r="1515" ht="12.75" customHeight="1" outlineLevel="2">
      <c r="B1515" s="350" t="s">
        <v>3338</v>
      </c>
      <c r="C1515" s="332" t="s">
        <v>1513</v>
      </c>
      <c r="D1515" s="333" t="s">
        <v>75</v>
      </c>
      <c r="E1515" s="334">
        <v>1.0</v>
      </c>
      <c r="F1515" s="355">
        <v>0.0</v>
      </c>
      <c r="G1515" s="206">
        <f t="shared" si="74"/>
        <v>0</v>
      </c>
      <c r="H1515" s="341" t="s">
        <v>619</v>
      </c>
      <c r="I1515" s="341" t="s">
        <v>619</v>
      </c>
      <c r="J1515" s="367"/>
      <c r="K1515" s="367"/>
      <c r="L1515" s="367"/>
    </row>
    <row r="1516" ht="12.75" customHeight="1" outlineLevel="2">
      <c r="B1516" s="350" t="s">
        <v>3340</v>
      </c>
      <c r="C1516" s="332" t="s">
        <v>1514</v>
      </c>
      <c r="D1516" s="333" t="s">
        <v>75</v>
      </c>
      <c r="E1516" s="334">
        <v>1.0</v>
      </c>
      <c r="F1516" s="355">
        <v>0.0</v>
      </c>
      <c r="G1516" s="206">
        <f t="shared" si="74"/>
        <v>0</v>
      </c>
      <c r="H1516" s="341" t="s">
        <v>619</v>
      </c>
      <c r="I1516" s="341" t="s">
        <v>619</v>
      </c>
      <c r="J1516" s="367"/>
      <c r="K1516" s="367"/>
      <c r="L1516" s="367"/>
    </row>
    <row r="1517" ht="12.75" customHeight="1" outlineLevel="2">
      <c r="B1517" s="350" t="s">
        <v>3342</v>
      </c>
      <c r="C1517" s="332" t="s">
        <v>1515</v>
      </c>
      <c r="D1517" s="333" t="s">
        <v>161</v>
      </c>
      <c r="E1517" s="334">
        <v>398.0</v>
      </c>
      <c r="F1517" s="355">
        <v>0.0</v>
      </c>
      <c r="G1517" s="206">
        <f t="shared" si="74"/>
        <v>0</v>
      </c>
      <c r="H1517" s="341" t="s">
        <v>619</v>
      </c>
      <c r="I1517" s="341" t="s">
        <v>619</v>
      </c>
      <c r="J1517" s="367"/>
      <c r="K1517" s="367"/>
      <c r="L1517" s="367"/>
    </row>
    <row r="1518" ht="12.75" customHeight="1" outlineLevel="2">
      <c r="B1518" s="350" t="s">
        <v>3344</v>
      </c>
      <c r="C1518" s="332" t="s">
        <v>1516</v>
      </c>
      <c r="D1518" s="333" t="s">
        <v>75</v>
      </c>
      <c r="E1518" s="334">
        <v>9.0</v>
      </c>
      <c r="F1518" s="355">
        <v>0.0</v>
      </c>
      <c r="G1518" s="206">
        <f t="shared" si="74"/>
        <v>0</v>
      </c>
      <c r="H1518" s="341" t="s">
        <v>619</v>
      </c>
      <c r="I1518" s="341" t="s">
        <v>619</v>
      </c>
      <c r="J1518" s="367"/>
      <c r="K1518" s="367"/>
      <c r="L1518" s="367"/>
    </row>
    <row r="1519" ht="12.75" customHeight="1" outlineLevel="2">
      <c r="B1519" s="350" t="s">
        <v>3346</v>
      </c>
      <c r="C1519" s="332" t="s">
        <v>1517</v>
      </c>
      <c r="D1519" s="333" t="s">
        <v>75</v>
      </c>
      <c r="E1519" s="334">
        <v>4.0</v>
      </c>
      <c r="F1519" s="355">
        <v>0.0</v>
      </c>
      <c r="G1519" s="206">
        <f t="shared" si="74"/>
        <v>0</v>
      </c>
      <c r="H1519" s="341" t="s">
        <v>619</v>
      </c>
      <c r="I1519" s="341" t="s">
        <v>619</v>
      </c>
      <c r="J1519" s="367"/>
      <c r="K1519" s="367"/>
      <c r="L1519" s="367"/>
    </row>
    <row r="1520" ht="12.75" customHeight="1" outlineLevel="2">
      <c r="B1520" s="350" t="s">
        <v>3348</v>
      </c>
      <c r="C1520" s="332" t="s">
        <v>1518</v>
      </c>
      <c r="D1520" s="333" t="s">
        <v>75</v>
      </c>
      <c r="E1520" s="334">
        <v>1.0</v>
      </c>
      <c r="F1520" s="355">
        <v>0.0</v>
      </c>
      <c r="G1520" s="206">
        <f t="shared" si="74"/>
        <v>0</v>
      </c>
      <c r="H1520" s="341" t="s">
        <v>619</v>
      </c>
      <c r="I1520" s="341" t="s">
        <v>619</v>
      </c>
      <c r="J1520" s="367"/>
      <c r="K1520" s="367"/>
      <c r="L1520" s="367"/>
    </row>
    <row r="1521" ht="12.75" customHeight="1" outlineLevel="2">
      <c r="B1521" s="350" t="s">
        <v>3349</v>
      </c>
      <c r="C1521" s="332" t="s">
        <v>1519</v>
      </c>
      <c r="D1521" s="333" t="s">
        <v>161</v>
      </c>
      <c r="E1521" s="334">
        <v>369.0</v>
      </c>
      <c r="F1521" s="335">
        <v>1.5</v>
      </c>
      <c r="G1521" s="206">
        <f t="shared" si="74"/>
        <v>553.5</v>
      </c>
      <c r="H1521" s="336"/>
      <c r="I1521" s="336"/>
      <c r="J1521" s="116"/>
      <c r="K1521" s="116"/>
      <c r="L1521" s="116"/>
    </row>
    <row r="1522" ht="12.75" customHeight="1" outlineLevel="2">
      <c r="B1522" s="350" t="s">
        <v>3351</v>
      </c>
      <c r="C1522" s="332" t="s">
        <v>1520</v>
      </c>
      <c r="D1522" s="333" t="s">
        <v>161</v>
      </c>
      <c r="E1522" s="334">
        <v>13.0</v>
      </c>
      <c r="F1522" s="335">
        <v>2.0</v>
      </c>
      <c r="G1522" s="206">
        <f t="shared" si="74"/>
        <v>26</v>
      </c>
      <c r="H1522" s="336"/>
      <c r="I1522" s="336"/>
      <c r="J1522" s="116"/>
      <c r="K1522" s="116"/>
      <c r="L1522" s="116"/>
    </row>
    <row r="1523" ht="12.75" customHeight="1" outlineLevel="2">
      <c r="B1523" s="189"/>
      <c r="C1523" s="208"/>
      <c r="E1523" s="79"/>
      <c r="F1523" s="80"/>
      <c r="G1523" s="80"/>
      <c r="H1523" s="240"/>
      <c r="I1523" s="240"/>
      <c r="J1523" s="240"/>
      <c r="K1523" s="240"/>
      <c r="L1523" s="240"/>
    </row>
    <row r="1524" ht="12.75" customHeight="1" outlineLevel="2">
      <c r="A1524" s="89" t="s">
        <v>1521</v>
      </c>
      <c r="B1524" s="189"/>
      <c r="C1524" s="330" t="s">
        <v>1430</v>
      </c>
      <c r="E1524" s="79"/>
      <c r="F1524" s="80"/>
      <c r="G1524" s="80"/>
      <c r="H1524" s="240"/>
      <c r="I1524" s="240"/>
      <c r="J1524" s="240"/>
      <c r="K1524" s="240"/>
      <c r="L1524" s="240"/>
    </row>
    <row r="1525" ht="12.75" customHeight="1" outlineLevel="2">
      <c r="B1525" s="189"/>
      <c r="C1525" s="208"/>
      <c r="E1525" s="79"/>
      <c r="F1525" s="80"/>
      <c r="G1525" s="80"/>
      <c r="H1525" s="240"/>
      <c r="I1525" s="240"/>
      <c r="J1525" s="240"/>
      <c r="K1525" s="240"/>
      <c r="L1525" s="240"/>
    </row>
    <row r="1526" ht="12.75" customHeight="1" outlineLevel="2">
      <c r="B1526" s="350" t="s">
        <v>3353</v>
      </c>
      <c r="C1526" s="332" t="s">
        <v>1135</v>
      </c>
      <c r="D1526" s="203" t="s">
        <v>33</v>
      </c>
      <c r="E1526" s="361">
        <v>1.0</v>
      </c>
      <c r="F1526" s="362">
        <v>0.0</v>
      </c>
      <c r="G1526" s="206">
        <f>F1526*E1526</f>
        <v>0</v>
      </c>
      <c r="H1526" s="341" t="s">
        <v>619</v>
      </c>
      <c r="I1526" s="341" t="s">
        <v>619</v>
      </c>
      <c r="J1526" s="367"/>
      <c r="K1526" s="367"/>
      <c r="L1526" s="367"/>
    </row>
    <row r="1527" ht="12.75" customHeight="1" outlineLevel="2">
      <c r="B1527" s="189"/>
      <c r="C1527" s="208"/>
      <c r="D1527" s="130"/>
      <c r="E1527" s="363"/>
      <c r="F1527" s="82"/>
      <c r="G1527" s="82"/>
      <c r="H1527" s="240"/>
      <c r="I1527" s="240"/>
      <c r="J1527" s="240"/>
      <c r="K1527" s="240"/>
      <c r="L1527" s="240"/>
    </row>
    <row r="1528" ht="12.75" customHeight="1" outlineLevel="2">
      <c r="B1528" s="350" t="s">
        <v>3354</v>
      </c>
      <c r="C1528" s="332" t="s">
        <v>1431</v>
      </c>
      <c r="D1528" s="203" t="s">
        <v>33</v>
      </c>
      <c r="E1528" s="361">
        <v>1.0</v>
      </c>
      <c r="F1528" s="362">
        <v>0.0</v>
      </c>
      <c r="G1528" s="206">
        <f>F1528*E1528</f>
        <v>0</v>
      </c>
      <c r="H1528" s="341" t="s">
        <v>619</v>
      </c>
      <c r="I1528" s="341" t="s">
        <v>619</v>
      </c>
      <c r="J1528" s="367"/>
      <c r="K1528" s="367"/>
      <c r="L1528" s="367"/>
    </row>
    <row r="1529" ht="12.75" customHeight="1" outlineLevel="2">
      <c r="B1529" s="189"/>
      <c r="C1529" s="208"/>
      <c r="E1529" s="79"/>
      <c r="F1529" s="80"/>
      <c r="G1529" s="80"/>
      <c r="H1529" s="240"/>
      <c r="I1529" s="240"/>
      <c r="J1529" s="240"/>
      <c r="K1529" s="240"/>
      <c r="L1529" s="240"/>
    </row>
    <row r="1530" ht="12.75" customHeight="1" outlineLevel="1">
      <c r="B1530" s="189"/>
      <c r="E1530" s="79"/>
      <c r="F1530" s="80"/>
      <c r="G1530" s="80"/>
      <c r="H1530" s="240"/>
      <c r="I1530" s="240"/>
      <c r="J1530" s="240"/>
      <c r="K1530" s="240"/>
      <c r="L1530" s="240"/>
    </row>
    <row r="1531" ht="12.75" customHeight="1">
      <c r="A1531" s="192"/>
      <c r="B1531" s="84">
        <v>18.0</v>
      </c>
      <c r="C1531" s="306" t="s">
        <v>5657</v>
      </c>
      <c r="D1531" s="193"/>
      <c r="E1531" s="194"/>
      <c r="F1531" s="195"/>
      <c r="G1531" s="196">
        <f>SUM(G1539:G1583)</f>
        <v>9077</v>
      </c>
      <c r="H1531" s="197">
        <f>G1531-Resumo!J46</f>
        <v>-5141.6</v>
      </c>
      <c r="I1531" s="197">
        <f>H1531-Resumo!K46</f>
        <v>-5141.6</v>
      </c>
      <c r="J1531" s="919"/>
      <c r="K1531" s="169"/>
      <c r="L1531" s="169"/>
    </row>
    <row r="1532" ht="12.75" customHeight="1" outlineLevel="1">
      <c r="A1532" s="89"/>
      <c r="B1532" s="189"/>
      <c r="C1532" s="90"/>
      <c r="D1532" s="89"/>
      <c r="E1532" s="91"/>
      <c r="F1532" s="92"/>
      <c r="G1532" s="239"/>
      <c r="H1532" s="240"/>
      <c r="I1532" s="240"/>
      <c r="J1532" s="240"/>
      <c r="K1532" s="240"/>
      <c r="L1532" s="240"/>
    </row>
    <row r="1533" ht="12.75" customHeight="1" outlineLevel="1">
      <c r="A1533" s="89"/>
      <c r="B1533" s="189"/>
      <c r="C1533" s="184" t="s">
        <v>5658</v>
      </c>
      <c r="E1533" s="79"/>
      <c r="F1533" s="488">
        <f>SUM(G1539:G1583)</f>
        <v>9077</v>
      </c>
      <c r="G1533" s="80"/>
      <c r="H1533" s="240"/>
      <c r="I1533" s="240"/>
      <c r="J1533" s="240"/>
      <c r="K1533" s="240"/>
      <c r="L1533" s="240"/>
    </row>
    <row r="1534" ht="12.75" customHeight="1" outlineLevel="2">
      <c r="A1534" s="89"/>
      <c r="B1534" s="130"/>
      <c r="C1534" s="90"/>
      <c r="E1534" s="79"/>
      <c r="F1534" s="80"/>
      <c r="G1534" s="80"/>
      <c r="H1534" s="240"/>
      <c r="I1534" s="240"/>
      <c r="J1534" s="240"/>
      <c r="K1534" s="240"/>
      <c r="L1534" s="240"/>
    </row>
    <row r="1535" ht="12.75" customHeight="1" outlineLevel="2">
      <c r="A1535" s="89"/>
      <c r="B1535" s="130"/>
      <c r="C1535" s="90" t="s">
        <v>1524</v>
      </c>
      <c r="E1535" s="79"/>
      <c r="F1535" s="80"/>
      <c r="G1535" s="80"/>
      <c r="H1535" s="240"/>
      <c r="I1535" s="240"/>
      <c r="J1535" s="240"/>
      <c r="K1535" s="240"/>
      <c r="L1535" s="240"/>
    </row>
    <row r="1536" ht="12.75" customHeight="1" outlineLevel="2">
      <c r="A1536" s="89"/>
      <c r="B1536" s="130"/>
      <c r="E1536" s="79"/>
      <c r="F1536" s="80"/>
      <c r="G1536" s="80"/>
      <c r="H1536" s="240"/>
      <c r="I1536" s="240"/>
      <c r="J1536" s="240"/>
      <c r="K1536" s="240"/>
      <c r="L1536" s="240"/>
    </row>
    <row r="1537" ht="12.75" customHeight="1" outlineLevel="2">
      <c r="A1537" s="89"/>
      <c r="B1537" s="319" t="s">
        <v>3358</v>
      </c>
      <c r="C1537" s="365" t="s">
        <v>1526</v>
      </c>
      <c r="D1537" s="189"/>
      <c r="E1537" s="366"/>
      <c r="F1537" s="367"/>
      <c r="G1537" s="367"/>
      <c r="H1537" s="116"/>
      <c r="I1537" s="116"/>
      <c r="J1537" s="116"/>
      <c r="K1537" s="116"/>
      <c r="L1537" s="116"/>
    </row>
    <row r="1538" ht="12.75" customHeight="1" outlineLevel="2">
      <c r="A1538" s="89"/>
      <c r="B1538" s="130"/>
      <c r="E1538" s="79"/>
      <c r="F1538" s="80"/>
      <c r="G1538" s="80"/>
      <c r="H1538" s="240"/>
      <c r="I1538" s="240"/>
      <c r="J1538" s="240"/>
      <c r="K1538" s="240"/>
      <c r="L1538" s="240"/>
    </row>
    <row r="1539" ht="12.75" customHeight="1" outlineLevel="2">
      <c r="A1539" s="89"/>
      <c r="B1539" s="301" t="s">
        <v>3360</v>
      </c>
      <c r="C1539" s="332" t="s">
        <v>1527</v>
      </c>
      <c r="D1539" s="333" t="s">
        <v>161</v>
      </c>
      <c r="E1539" s="334">
        <v>369.0</v>
      </c>
      <c r="F1539" s="335">
        <v>3.0</v>
      </c>
      <c r="G1539" s="206">
        <f t="shared" ref="G1539:G1541" si="75">F1539*E1539</f>
        <v>1107</v>
      </c>
      <c r="H1539" s="336"/>
      <c r="I1539" s="336"/>
      <c r="J1539" s="116"/>
      <c r="K1539" s="116"/>
      <c r="L1539" s="116"/>
    </row>
    <row r="1540" ht="12.75" customHeight="1" outlineLevel="2">
      <c r="A1540" s="89"/>
      <c r="B1540" s="301" t="s">
        <v>3361</v>
      </c>
      <c r="C1540" s="332" t="s">
        <v>1528</v>
      </c>
      <c r="D1540" s="333" t="s">
        <v>161</v>
      </c>
      <c r="E1540" s="334">
        <v>44.0</v>
      </c>
      <c r="F1540" s="335">
        <v>5.0</v>
      </c>
      <c r="G1540" s="206">
        <f t="shared" si="75"/>
        <v>220</v>
      </c>
      <c r="H1540" s="336"/>
      <c r="I1540" s="336"/>
      <c r="J1540" s="116"/>
      <c r="K1540" s="116"/>
      <c r="L1540" s="116"/>
    </row>
    <row r="1541" ht="12.75" customHeight="1" outlineLevel="2">
      <c r="A1541" s="89"/>
      <c r="B1541" s="301" t="s">
        <v>3362</v>
      </c>
      <c r="C1541" s="332" t="s">
        <v>1529</v>
      </c>
      <c r="D1541" s="333" t="s">
        <v>161</v>
      </c>
      <c r="E1541" s="334">
        <v>10.0</v>
      </c>
      <c r="F1541" s="335">
        <v>9.0</v>
      </c>
      <c r="G1541" s="206">
        <f t="shared" si="75"/>
        <v>90</v>
      </c>
      <c r="H1541" s="336"/>
      <c r="I1541" s="336"/>
      <c r="J1541" s="116"/>
      <c r="K1541" s="116"/>
      <c r="L1541" s="116"/>
    </row>
    <row r="1542" ht="12.75" customHeight="1" outlineLevel="2">
      <c r="A1542" s="89"/>
      <c r="B1542" s="130"/>
      <c r="E1542" s="79"/>
      <c r="F1542" s="80"/>
      <c r="G1542" s="80"/>
      <c r="H1542" s="240"/>
      <c r="I1542" s="240"/>
      <c r="J1542" s="240"/>
      <c r="K1542" s="240"/>
      <c r="L1542" s="240"/>
    </row>
    <row r="1543" ht="12.75" customHeight="1" outlineLevel="2">
      <c r="A1543" s="89"/>
      <c r="B1543" s="319" t="s">
        <v>3363</v>
      </c>
      <c r="C1543" s="365" t="s">
        <v>1531</v>
      </c>
      <c r="D1543" s="189"/>
      <c r="E1543" s="366"/>
      <c r="F1543" s="367"/>
      <c r="G1543" s="367"/>
      <c r="H1543" s="116"/>
      <c r="I1543" s="116"/>
      <c r="J1543" s="116"/>
      <c r="K1543" s="116"/>
      <c r="L1543" s="116"/>
    </row>
    <row r="1544" ht="12.75" customHeight="1" outlineLevel="2">
      <c r="A1544" s="89"/>
      <c r="B1544" s="130"/>
      <c r="E1544" s="79"/>
      <c r="F1544" s="80"/>
      <c r="G1544" s="80"/>
      <c r="H1544" s="240"/>
      <c r="I1544" s="240"/>
      <c r="J1544" s="240"/>
      <c r="K1544" s="240"/>
      <c r="L1544" s="240"/>
    </row>
    <row r="1545" ht="12.75" customHeight="1" outlineLevel="2">
      <c r="A1545" s="89"/>
      <c r="B1545" s="301" t="s">
        <v>3365</v>
      </c>
      <c r="C1545" s="332" t="s">
        <v>1532</v>
      </c>
      <c r="D1545" s="333" t="s">
        <v>75</v>
      </c>
      <c r="E1545" s="334">
        <v>1.0</v>
      </c>
      <c r="F1545" s="335">
        <v>200.0</v>
      </c>
      <c r="G1545" s="206">
        <f t="shared" ref="G1545:G1546" si="76">F1545*E1545</f>
        <v>200</v>
      </c>
      <c r="H1545" s="336"/>
      <c r="I1545" s="336"/>
      <c r="J1545" s="116"/>
      <c r="K1545" s="116"/>
      <c r="L1545" s="116"/>
    </row>
    <row r="1546" ht="12.75" customHeight="1" outlineLevel="2">
      <c r="A1546" s="89"/>
      <c r="B1546" s="301" t="s">
        <v>3366</v>
      </c>
      <c r="C1546" s="332" t="s">
        <v>1533</v>
      </c>
      <c r="D1546" s="333" t="s">
        <v>75</v>
      </c>
      <c r="E1546" s="334">
        <v>1.0</v>
      </c>
      <c r="F1546" s="335">
        <v>250.0</v>
      </c>
      <c r="G1546" s="206">
        <f t="shared" si="76"/>
        <v>250</v>
      </c>
      <c r="H1546" s="336"/>
      <c r="I1546" s="336"/>
      <c r="J1546" s="116"/>
      <c r="K1546" s="116"/>
      <c r="L1546" s="116"/>
    </row>
    <row r="1547" ht="12.75" customHeight="1" outlineLevel="2">
      <c r="A1547" s="89"/>
      <c r="B1547" s="130"/>
      <c r="E1547" s="79"/>
      <c r="F1547" s="80"/>
      <c r="G1547" s="80"/>
      <c r="H1547" s="240"/>
      <c r="I1547" s="240"/>
      <c r="J1547" s="240"/>
      <c r="K1547" s="240"/>
      <c r="L1547" s="240"/>
    </row>
    <row r="1548" ht="12.75" customHeight="1" outlineLevel="2">
      <c r="A1548" s="89"/>
      <c r="B1548" s="302">
        <v>18.3</v>
      </c>
      <c r="C1548" s="368" t="s">
        <v>1535</v>
      </c>
      <c r="E1548" s="79"/>
      <c r="F1548" s="80"/>
      <c r="G1548" s="80"/>
      <c r="H1548" s="240"/>
      <c r="I1548" s="240"/>
      <c r="J1548" s="240"/>
      <c r="K1548" s="240"/>
      <c r="L1548" s="240"/>
    </row>
    <row r="1549" ht="12.75" customHeight="1" outlineLevel="2">
      <c r="A1549" s="89"/>
      <c r="B1549" s="130"/>
      <c r="E1549" s="79"/>
      <c r="F1549" s="80"/>
      <c r="G1549" s="80"/>
      <c r="H1549" s="240"/>
      <c r="I1549" s="240"/>
      <c r="J1549" s="240"/>
      <c r="K1549" s="240"/>
      <c r="L1549" s="240"/>
    </row>
    <row r="1550" ht="12.75" customHeight="1" outlineLevel="2">
      <c r="A1550" s="89"/>
      <c r="B1550" s="301" t="s">
        <v>3369</v>
      </c>
      <c r="C1550" s="332" t="s">
        <v>1536</v>
      </c>
      <c r="D1550" s="203" t="s">
        <v>33</v>
      </c>
      <c r="E1550" s="361">
        <v>1.0</v>
      </c>
      <c r="F1550" s="362">
        <v>600.0</v>
      </c>
      <c r="G1550" s="206">
        <f>F1550*E1550</f>
        <v>600</v>
      </c>
      <c r="H1550" s="336"/>
      <c r="I1550" s="336"/>
      <c r="J1550" s="116"/>
      <c r="K1550" s="116"/>
      <c r="L1550" s="116"/>
    </row>
    <row r="1551" ht="12.75" customHeight="1" outlineLevel="2">
      <c r="A1551" s="89"/>
      <c r="B1551" s="130"/>
      <c r="E1551" s="79"/>
      <c r="F1551" s="80"/>
      <c r="G1551" s="80"/>
      <c r="H1551" s="240"/>
      <c r="I1551" s="240"/>
      <c r="J1551" s="240"/>
      <c r="K1551" s="240"/>
      <c r="L1551" s="240"/>
    </row>
    <row r="1552" ht="12.75" customHeight="1" outlineLevel="2">
      <c r="A1552" s="89"/>
      <c r="B1552" s="302">
        <v>18.4</v>
      </c>
      <c r="C1552" s="368" t="s">
        <v>1538</v>
      </c>
      <c r="E1552" s="79"/>
      <c r="F1552" s="80"/>
      <c r="G1552" s="80"/>
      <c r="H1552" s="240"/>
      <c r="I1552" s="240"/>
      <c r="J1552" s="240"/>
      <c r="K1552" s="240"/>
      <c r="L1552" s="240"/>
    </row>
    <row r="1553" ht="12.75" customHeight="1" outlineLevel="2">
      <c r="A1553" s="89"/>
      <c r="B1553" s="130"/>
      <c r="E1553" s="79"/>
      <c r="F1553" s="80"/>
      <c r="G1553" s="80"/>
      <c r="H1553" s="240"/>
      <c r="I1553" s="240"/>
      <c r="J1553" s="240"/>
      <c r="K1553" s="240"/>
      <c r="L1553" s="240"/>
    </row>
    <row r="1554" ht="12.75" customHeight="1" outlineLevel="2">
      <c r="A1554" s="89"/>
      <c r="B1554" s="301" t="s">
        <v>3372</v>
      </c>
      <c r="C1554" s="332" t="s">
        <v>1539</v>
      </c>
      <c r="D1554" s="203" t="s">
        <v>75</v>
      </c>
      <c r="E1554" s="361">
        <v>23.0</v>
      </c>
      <c r="F1554" s="362">
        <v>3.0</v>
      </c>
      <c r="G1554" s="206">
        <f t="shared" ref="G1554:G1555" si="77">F1554*E1554</f>
        <v>69</v>
      </c>
      <c r="H1554" s="336"/>
      <c r="I1554" s="336"/>
      <c r="J1554" s="116"/>
      <c r="K1554" s="116"/>
      <c r="L1554" s="116"/>
    </row>
    <row r="1555" ht="12.75" customHeight="1" outlineLevel="2">
      <c r="A1555" s="89"/>
      <c r="B1555" s="301" t="s">
        <v>3374</v>
      </c>
      <c r="C1555" s="332" t="s">
        <v>1540</v>
      </c>
      <c r="D1555" s="203" t="s">
        <v>75</v>
      </c>
      <c r="E1555" s="361">
        <v>3.0</v>
      </c>
      <c r="F1555" s="362">
        <v>62.0</v>
      </c>
      <c r="G1555" s="206">
        <f t="shared" si="77"/>
        <v>186</v>
      </c>
      <c r="H1555" s="336"/>
      <c r="I1555" s="336"/>
      <c r="J1555" s="116"/>
      <c r="K1555" s="116"/>
      <c r="L1555" s="116"/>
    </row>
    <row r="1556" ht="12.75" customHeight="1" outlineLevel="2">
      <c r="A1556" s="89"/>
      <c r="B1556" s="130"/>
      <c r="E1556" s="79"/>
      <c r="F1556" s="80"/>
      <c r="G1556" s="80"/>
      <c r="H1556" s="240"/>
      <c r="I1556" s="240"/>
      <c r="J1556" s="240"/>
      <c r="K1556" s="240"/>
      <c r="L1556" s="240"/>
    </row>
    <row r="1557" ht="12.75" customHeight="1" outlineLevel="2">
      <c r="A1557" s="89"/>
      <c r="B1557" s="301">
        <v>18.5</v>
      </c>
      <c r="C1557" s="332" t="s">
        <v>1542</v>
      </c>
      <c r="D1557" s="203"/>
      <c r="E1557" s="361"/>
      <c r="F1557" s="362"/>
      <c r="G1557" s="206"/>
      <c r="H1557" s="336"/>
      <c r="I1557" s="336"/>
      <c r="J1557" s="116"/>
      <c r="K1557" s="116"/>
      <c r="L1557" s="116"/>
    </row>
    <row r="1558" ht="12.75" customHeight="1" outlineLevel="2">
      <c r="A1558" s="89"/>
      <c r="B1558" s="130"/>
      <c r="E1558" s="79"/>
      <c r="F1558" s="80"/>
      <c r="G1558" s="80"/>
      <c r="H1558" s="240"/>
      <c r="I1558" s="240"/>
      <c r="J1558" s="240"/>
      <c r="K1558" s="240"/>
      <c r="L1558" s="240"/>
    </row>
    <row r="1559" ht="12.75" customHeight="1" outlineLevel="2">
      <c r="A1559" s="89"/>
      <c r="B1559" s="301" t="s">
        <v>3377</v>
      </c>
      <c r="C1559" s="369" t="s">
        <v>1543</v>
      </c>
      <c r="D1559" s="203" t="s">
        <v>75</v>
      </c>
      <c r="E1559" s="361">
        <v>10.0</v>
      </c>
      <c r="F1559" s="362">
        <v>38.0</v>
      </c>
      <c r="G1559" s="206">
        <f t="shared" ref="G1559:G1561" si="78">F1559*E1559</f>
        <v>380</v>
      </c>
      <c r="H1559" s="370"/>
      <c r="I1559" s="370"/>
      <c r="J1559" s="565"/>
      <c r="K1559" s="565"/>
      <c r="L1559" s="565"/>
    </row>
    <row r="1560" ht="12.75" customHeight="1" outlineLevel="2">
      <c r="A1560" s="89"/>
      <c r="B1560" s="301" t="s">
        <v>3379</v>
      </c>
      <c r="C1560" s="369" t="s">
        <v>1544</v>
      </c>
      <c r="D1560" s="203" t="s">
        <v>75</v>
      </c>
      <c r="E1560" s="361">
        <v>12.0</v>
      </c>
      <c r="F1560" s="362">
        <v>36.0</v>
      </c>
      <c r="G1560" s="206">
        <f t="shared" si="78"/>
        <v>432</v>
      </c>
      <c r="H1560" s="370"/>
      <c r="I1560" s="370"/>
      <c r="J1560" s="565"/>
      <c r="K1560" s="565"/>
      <c r="L1560" s="565"/>
    </row>
    <row r="1561" ht="12.75" customHeight="1" outlineLevel="2">
      <c r="A1561" s="89"/>
      <c r="B1561" s="301" t="s">
        <v>3381</v>
      </c>
      <c r="C1561" s="369" t="s">
        <v>1545</v>
      </c>
      <c r="D1561" s="203" t="s">
        <v>75</v>
      </c>
      <c r="E1561" s="361">
        <v>1.0</v>
      </c>
      <c r="F1561" s="362">
        <v>58.0</v>
      </c>
      <c r="G1561" s="206">
        <f t="shared" si="78"/>
        <v>58</v>
      </c>
      <c r="H1561" s="370"/>
      <c r="I1561" s="370"/>
      <c r="J1561" s="565"/>
      <c r="K1561" s="565"/>
      <c r="L1561" s="565"/>
    </row>
    <row r="1562" ht="12.75" customHeight="1" outlineLevel="2">
      <c r="A1562" s="89"/>
      <c r="B1562" s="130"/>
      <c r="E1562" s="79"/>
      <c r="F1562" s="80"/>
      <c r="G1562" s="80"/>
      <c r="H1562" s="240"/>
      <c r="I1562" s="240"/>
      <c r="J1562" s="240"/>
      <c r="K1562" s="240"/>
      <c r="L1562" s="240"/>
    </row>
    <row r="1563" ht="12.75" customHeight="1" outlineLevel="2">
      <c r="A1563" s="89"/>
      <c r="B1563" s="302">
        <v>18.6</v>
      </c>
      <c r="C1563" s="368" t="s">
        <v>1547</v>
      </c>
      <c r="E1563" s="79"/>
      <c r="F1563" s="80"/>
      <c r="G1563" s="80"/>
      <c r="H1563" s="240"/>
      <c r="I1563" s="240"/>
      <c r="J1563" s="240"/>
      <c r="K1563" s="240"/>
      <c r="L1563" s="240"/>
    </row>
    <row r="1564" ht="12.75" customHeight="1" outlineLevel="2">
      <c r="A1564" s="89"/>
      <c r="B1564" s="130"/>
      <c r="E1564" s="79"/>
      <c r="F1564" s="80"/>
      <c r="G1564" s="80"/>
      <c r="H1564" s="240"/>
      <c r="I1564" s="240"/>
      <c r="J1564" s="240"/>
      <c r="K1564" s="240"/>
      <c r="L1564" s="240"/>
    </row>
    <row r="1565" ht="12.75" customHeight="1" outlineLevel="2">
      <c r="A1565" s="89"/>
      <c r="B1565" s="301" t="s">
        <v>3384</v>
      </c>
      <c r="C1565" s="369" t="s">
        <v>1548</v>
      </c>
      <c r="D1565" s="203" t="s">
        <v>75</v>
      </c>
      <c r="E1565" s="361">
        <v>1.0</v>
      </c>
      <c r="F1565" s="362">
        <v>775.0</v>
      </c>
      <c r="G1565" s="206">
        <f t="shared" ref="G1565:G1566" si="79">F1565*E1565</f>
        <v>775</v>
      </c>
      <c r="H1565" s="370"/>
      <c r="I1565" s="370"/>
      <c r="J1565" s="565"/>
      <c r="K1565" s="565"/>
      <c r="L1565" s="565"/>
    </row>
    <row r="1566" ht="12.75" customHeight="1" outlineLevel="2">
      <c r="A1566" s="89"/>
      <c r="B1566" s="301" t="s">
        <v>3386</v>
      </c>
      <c r="C1566" s="369" t="s">
        <v>1549</v>
      </c>
      <c r="D1566" s="203" t="s">
        <v>75</v>
      </c>
      <c r="E1566" s="361">
        <v>1.0</v>
      </c>
      <c r="F1566" s="362">
        <v>110.0</v>
      </c>
      <c r="G1566" s="206">
        <f t="shared" si="79"/>
        <v>110</v>
      </c>
      <c r="H1566" s="370"/>
      <c r="I1566" s="370"/>
      <c r="J1566" s="565"/>
      <c r="K1566" s="565"/>
      <c r="L1566" s="565"/>
    </row>
    <row r="1567" ht="12.75" customHeight="1" outlineLevel="2">
      <c r="A1567" s="89"/>
      <c r="B1567" s="130"/>
      <c r="E1567" s="79"/>
      <c r="F1567" s="80"/>
      <c r="G1567" s="80"/>
      <c r="H1567" s="240"/>
      <c r="I1567" s="240"/>
      <c r="J1567" s="240"/>
      <c r="K1567" s="240"/>
      <c r="L1567" s="240"/>
    </row>
    <row r="1568" ht="12.75" customHeight="1" outlineLevel="2">
      <c r="A1568" s="89"/>
      <c r="B1568" s="302">
        <v>18.7</v>
      </c>
      <c r="C1568" s="368" t="s">
        <v>1551</v>
      </c>
      <c r="E1568" s="79"/>
      <c r="F1568" s="80"/>
      <c r="G1568" s="80"/>
      <c r="H1568" s="240"/>
      <c r="I1568" s="240"/>
      <c r="J1568" s="240"/>
      <c r="K1568" s="240"/>
      <c r="L1568" s="240"/>
    </row>
    <row r="1569" ht="12.75" customHeight="1" outlineLevel="2">
      <c r="A1569" s="89"/>
      <c r="B1569" s="130"/>
      <c r="E1569" s="79"/>
      <c r="F1569" s="80"/>
      <c r="G1569" s="80"/>
      <c r="H1569" s="240"/>
      <c r="I1569" s="240"/>
      <c r="J1569" s="240"/>
      <c r="K1569" s="240"/>
      <c r="L1569" s="240"/>
    </row>
    <row r="1570" ht="12.75" customHeight="1" outlineLevel="2">
      <c r="A1570" s="89"/>
      <c r="B1570" s="301" t="s">
        <v>3389</v>
      </c>
      <c r="C1570" s="369" t="s">
        <v>1552</v>
      </c>
      <c r="D1570" s="203" t="s">
        <v>161</v>
      </c>
      <c r="E1570" s="361">
        <v>532.0</v>
      </c>
      <c r="F1570" s="362">
        <v>3.0</v>
      </c>
      <c r="G1570" s="206">
        <f t="shared" ref="G1570:G1572" si="80">F1570*E1570</f>
        <v>1596</v>
      </c>
      <c r="H1570" s="370"/>
      <c r="I1570" s="370"/>
      <c r="J1570" s="565"/>
      <c r="K1570" s="565"/>
      <c r="L1570" s="565"/>
    </row>
    <row r="1571" ht="12.75" customHeight="1" outlineLevel="2">
      <c r="A1571" s="89"/>
      <c r="B1571" s="301" t="s">
        <v>3391</v>
      </c>
      <c r="C1571" s="369" t="s">
        <v>1553</v>
      </c>
      <c r="D1571" s="203" t="s">
        <v>161</v>
      </c>
      <c r="E1571" s="361">
        <v>557.0</v>
      </c>
      <c r="F1571" s="362">
        <v>3.0</v>
      </c>
      <c r="G1571" s="206">
        <f t="shared" si="80"/>
        <v>1671</v>
      </c>
      <c r="H1571" s="370"/>
      <c r="I1571" s="370"/>
      <c r="J1571" s="565"/>
      <c r="K1571" s="565"/>
      <c r="L1571" s="565"/>
    </row>
    <row r="1572" ht="12.75" customHeight="1" outlineLevel="2">
      <c r="A1572" s="89"/>
      <c r="B1572" s="301" t="s">
        <v>3393</v>
      </c>
      <c r="C1572" s="369" t="s">
        <v>1554</v>
      </c>
      <c r="D1572" s="203" t="s">
        <v>161</v>
      </c>
      <c r="E1572" s="361">
        <v>25.0</v>
      </c>
      <c r="F1572" s="362">
        <v>6.0</v>
      </c>
      <c r="G1572" s="206">
        <f t="shared" si="80"/>
        <v>150</v>
      </c>
      <c r="H1572" s="370"/>
      <c r="I1572" s="370"/>
      <c r="J1572" s="565"/>
      <c r="K1572" s="565"/>
      <c r="L1572" s="565"/>
    </row>
    <row r="1573" ht="12.75" customHeight="1" outlineLevel="2">
      <c r="A1573" s="89"/>
      <c r="B1573" s="130"/>
      <c r="E1573" s="79"/>
      <c r="F1573" s="80"/>
      <c r="G1573" s="80"/>
      <c r="H1573" s="240"/>
      <c r="I1573" s="240"/>
      <c r="J1573" s="240"/>
      <c r="K1573" s="240"/>
      <c r="L1573" s="240"/>
    </row>
    <row r="1574" ht="12.75" customHeight="1" outlineLevel="2">
      <c r="A1574" s="89"/>
      <c r="B1574" s="302">
        <v>18.8</v>
      </c>
      <c r="C1574" s="368" t="s">
        <v>928</v>
      </c>
      <c r="E1574" s="79"/>
      <c r="F1574" s="80"/>
      <c r="G1574" s="80"/>
      <c r="H1574" s="240"/>
      <c r="I1574" s="240"/>
      <c r="J1574" s="240"/>
      <c r="K1574" s="240"/>
      <c r="L1574" s="240"/>
    </row>
    <row r="1575" ht="12.75" customHeight="1" outlineLevel="2">
      <c r="A1575" s="89"/>
      <c r="B1575" s="130"/>
      <c r="E1575" s="79"/>
      <c r="F1575" s="80"/>
      <c r="G1575" s="80"/>
      <c r="H1575" s="240"/>
      <c r="I1575" s="240"/>
      <c r="J1575" s="240"/>
      <c r="K1575" s="240"/>
      <c r="L1575" s="240"/>
    </row>
    <row r="1576" ht="12.75" customHeight="1" outlineLevel="2">
      <c r="A1576" s="89"/>
      <c r="B1576" s="301" t="s">
        <v>3395</v>
      </c>
      <c r="C1576" s="369" t="s">
        <v>1556</v>
      </c>
      <c r="D1576" s="203" t="s">
        <v>161</v>
      </c>
      <c r="E1576" s="361">
        <v>13.0</v>
      </c>
      <c r="F1576" s="362">
        <v>2.0</v>
      </c>
      <c r="G1576" s="206">
        <f t="shared" ref="G1576:G1577" si="81">F1576*E1576</f>
        <v>26</v>
      </c>
      <c r="H1576" s="370"/>
      <c r="I1576" s="370"/>
      <c r="J1576" s="565"/>
      <c r="K1576" s="565"/>
      <c r="L1576" s="565"/>
    </row>
    <row r="1577" ht="12.75" customHeight="1" outlineLevel="2">
      <c r="A1577" s="89"/>
      <c r="B1577" s="301" t="s">
        <v>3396</v>
      </c>
      <c r="C1577" s="369" t="s">
        <v>1557</v>
      </c>
      <c r="D1577" s="203" t="s">
        <v>161</v>
      </c>
      <c r="E1577" s="361">
        <v>19.0</v>
      </c>
      <c r="F1577" s="362">
        <v>4.0</v>
      </c>
      <c r="G1577" s="206">
        <f t="shared" si="81"/>
        <v>76</v>
      </c>
      <c r="H1577" s="370"/>
      <c r="I1577" s="370"/>
      <c r="J1577" s="565"/>
      <c r="K1577" s="565"/>
      <c r="L1577" s="565"/>
    </row>
    <row r="1578" ht="12.75" customHeight="1" outlineLevel="2">
      <c r="A1578" s="89"/>
      <c r="B1578" s="130"/>
      <c r="E1578" s="79"/>
      <c r="F1578" s="80"/>
      <c r="G1578" s="80"/>
      <c r="H1578" s="240"/>
      <c r="I1578" s="240"/>
      <c r="J1578" s="240"/>
      <c r="K1578" s="240"/>
      <c r="L1578" s="240"/>
    </row>
    <row r="1579" ht="12.75" customHeight="1" outlineLevel="2">
      <c r="A1579" s="89"/>
      <c r="B1579" s="302">
        <v>18.9</v>
      </c>
      <c r="C1579" s="368" t="s">
        <v>1430</v>
      </c>
      <c r="E1579" s="79"/>
      <c r="F1579" s="80"/>
      <c r="G1579" s="80"/>
      <c r="H1579" s="240"/>
      <c r="I1579" s="240"/>
      <c r="J1579" s="240"/>
      <c r="K1579" s="240"/>
      <c r="L1579" s="240"/>
    </row>
    <row r="1580" ht="12.75" customHeight="1" outlineLevel="2">
      <c r="A1580" s="89"/>
      <c r="B1580" s="130"/>
      <c r="E1580" s="79"/>
      <c r="F1580" s="80"/>
      <c r="G1580" s="80"/>
      <c r="H1580" s="240"/>
      <c r="I1580" s="240"/>
      <c r="J1580" s="240"/>
      <c r="K1580" s="240"/>
      <c r="L1580" s="240"/>
    </row>
    <row r="1581" ht="12.75" customHeight="1" outlineLevel="2">
      <c r="A1581" s="89"/>
      <c r="B1581" s="301" t="s">
        <v>3397</v>
      </c>
      <c r="C1581" s="369" t="s">
        <v>1135</v>
      </c>
      <c r="D1581" s="203" t="s">
        <v>33</v>
      </c>
      <c r="E1581" s="361">
        <v>1.0</v>
      </c>
      <c r="F1581" s="362">
        <v>581.0</v>
      </c>
      <c r="G1581" s="206">
        <f>F1581*E1581</f>
        <v>581</v>
      </c>
      <c r="H1581" s="370"/>
      <c r="I1581" s="370"/>
      <c r="J1581" s="565"/>
      <c r="K1581" s="565"/>
      <c r="L1581" s="565"/>
    </row>
    <row r="1582" ht="12.75" customHeight="1" outlineLevel="2">
      <c r="A1582" s="89"/>
      <c r="B1582" s="130"/>
      <c r="E1582" s="79"/>
      <c r="F1582" s="80"/>
      <c r="G1582" s="80"/>
      <c r="H1582" s="240"/>
      <c r="I1582" s="240"/>
      <c r="J1582" s="240"/>
      <c r="K1582" s="240"/>
      <c r="L1582" s="240"/>
    </row>
    <row r="1583" ht="12.75" customHeight="1" outlineLevel="2">
      <c r="A1583" s="89"/>
      <c r="B1583" s="301" t="s">
        <v>3398</v>
      </c>
      <c r="C1583" s="369" t="s">
        <v>1431</v>
      </c>
      <c r="D1583" s="203" t="s">
        <v>33</v>
      </c>
      <c r="E1583" s="361">
        <v>1.0</v>
      </c>
      <c r="F1583" s="362">
        <v>500.0</v>
      </c>
      <c r="G1583" s="206">
        <f>F1583*E1583</f>
        <v>500</v>
      </c>
      <c r="H1583" s="370"/>
      <c r="I1583" s="370"/>
      <c r="J1583" s="565"/>
      <c r="K1583" s="565"/>
      <c r="L1583" s="565"/>
    </row>
    <row r="1584" ht="12.75" customHeight="1" outlineLevel="1">
      <c r="A1584" s="89"/>
      <c r="B1584" s="130"/>
      <c r="C1584" s="90"/>
      <c r="D1584" s="89"/>
      <c r="E1584" s="91"/>
      <c r="F1584" s="92"/>
      <c r="G1584" s="239"/>
      <c r="H1584" s="240"/>
      <c r="I1584" s="240"/>
      <c r="J1584" s="240"/>
      <c r="K1584" s="240"/>
      <c r="L1584" s="240"/>
    </row>
    <row r="1585" ht="12.75" customHeight="1">
      <c r="A1585" s="192"/>
      <c r="B1585" s="84">
        <v>19.0</v>
      </c>
      <c r="C1585" s="306" t="s">
        <v>1589</v>
      </c>
      <c r="D1585" s="193"/>
      <c r="E1585" s="194"/>
      <c r="F1585" s="195"/>
      <c r="G1585" s="196">
        <f>SUM(G1593:G1615)</f>
        <v>38085</v>
      </c>
      <c r="H1585" s="197">
        <f>G1585-Resumo!J49</f>
        <v>-19.7</v>
      </c>
      <c r="I1585" s="197">
        <f>H1585-Resumo!K49</f>
        <v>-19.7</v>
      </c>
      <c r="J1585" s="919"/>
      <c r="K1585" s="169"/>
      <c r="L1585" s="169"/>
    </row>
    <row r="1586" ht="12.75" customHeight="1" outlineLevel="1">
      <c r="A1586" s="89"/>
      <c r="B1586" s="130"/>
      <c r="C1586" s="90"/>
      <c r="D1586" s="89"/>
      <c r="E1586" s="91"/>
      <c r="F1586" s="92"/>
      <c r="G1586" s="239"/>
      <c r="H1586" s="240"/>
      <c r="I1586" s="240"/>
      <c r="J1586" s="240"/>
      <c r="K1586" s="240"/>
      <c r="L1586" s="240"/>
    </row>
    <row r="1587" ht="12.75" customHeight="1" outlineLevel="1">
      <c r="A1587" s="89"/>
      <c r="B1587" s="130"/>
      <c r="C1587" s="184" t="s">
        <v>5659</v>
      </c>
      <c r="E1587" s="79"/>
      <c r="F1587" s="586">
        <f>SUM(G1593:G1615)</f>
        <v>38085</v>
      </c>
      <c r="K1587" s="436">
        <v>20000.0</v>
      </c>
      <c r="L1587" s="240">
        <f>F1587-K1587</f>
        <v>18085</v>
      </c>
    </row>
    <row r="1588" ht="12.75" customHeight="1" outlineLevel="2">
      <c r="A1588" s="89"/>
      <c r="B1588" s="130"/>
      <c r="C1588" s="90"/>
      <c r="E1588" s="79"/>
      <c r="F1588" s="80"/>
      <c r="G1588" s="80"/>
      <c r="H1588" s="240"/>
      <c r="I1588" s="240"/>
      <c r="J1588" s="240"/>
      <c r="K1588" s="240"/>
      <c r="L1588" s="240"/>
    </row>
    <row r="1589" ht="12.75" customHeight="1" outlineLevel="2">
      <c r="A1589" s="89"/>
      <c r="B1589" s="130"/>
      <c r="C1589" s="90" t="s">
        <v>1590</v>
      </c>
      <c r="E1589" s="79"/>
      <c r="F1589" s="80"/>
      <c r="G1589" s="80"/>
      <c r="H1589" s="240"/>
      <c r="I1589" s="240"/>
      <c r="J1589" s="240"/>
      <c r="K1589" s="240"/>
      <c r="L1589" s="240"/>
    </row>
    <row r="1590" ht="12.75" customHeight="1" outlineLevel="2">
      <c r="A1590" s="89"/>
      <c r="B1590" s="130"/>
      <c r="E1590" s="79"/>
      <c r="F1590" s="80"/>
      <c r="G1590" s="80"/>
      <c r="H1590" s="240"/>
      <c r="I1590" s="240"/>
      <c r="J1590" s="240"/>
      <c r="K1590" s="240"/>
      <c r="L1590" s="240"/>
    </row>
    <row r="1591" ht="12.75" customHeight="1" outlineLevel="2">
      <c r="A1591" s="89" t="s">
        <v>1591</v>
      </c>
      <c r="B1591" s="302">
        <v>19.1</v>
      </c>
      <c r="C1591" s="371" t="s">
        <v>1592</v>
      </c>
      <c r="E1591" s="79"/>
      <c r="F1591" s="80"/>
      <c r="G1591" s="80"/>
      <c r="H1591" s="240"/>
      <c r="I1591" s="240"/>
      <c r="J1591" s="240"/>
      <c r="K1591" s="240"/>
      <c r="L1591" s="240"/>
    </row>
    <row r="1592" ht="12.75" customHeight="1" outlineLevel="2">
      <c r="B1592" s="130"/>
      <c r="E1592" s="79"/>
      <c r="F1592" s="80"/>
      <c r="G1592" s="80"/>
      <c r="H1592" s="240"/>
      <c r="I1592" s="240"/>
      <c r="J1592" s="240"/>
      <c r="K1592" s="240"/>
      <c r="L1592" s="240"/>
    </row>
    <row r="1593" ht="12.75" customHeight="1" outlineLevel="2">
      <c r="A1593" s="89" t="s">
        <v>1593</v>
      </c>
      <c r="B1593" s="301" t="s">
        <v>3403</v>
      </c>
      <c r="C1593" s="332" t="s">
        <v>1594</v>
      </c>
      <c r="D1593" s="203" t="s">
        <v>40</v>
      </c>
      <c r="E1593" s="361">
        <v>180.0</v>
      </c>
      <c r="F1593" s="362">
        <v>62.0</v>
      </c>
      <c r="G1593" s="206">
        <f>F1593*E1593</f>
        <v>11160</v>
      </c>
      <c r="H1593" s="336"/>
      <c r="I1593" s="336"/>
      <c r="J1593" s="116"/>
      <c r="K1593" s="116"/>
      <c r="L1593" s="116"/>
    </row>
    <row r="1594" ht="12.75" customHeight="1" outlineLevel="2">
      <c r="B1594" s="130"/>
      <c r="E1594" s="79"/>
      <c r="F1594" s="80"/>
      <c r="G1594" s="80"/>
      <c r="H1594" s="240"/>
      <c r="I1594" s="240"/>
      <c r="J1594" s="240"/>
      <c r="K1594" s="240"/>
      <c r="L1594" s="240"/>
    </row>
    <row r="1595" ht="12.75" customHeight="1" outlineLevel="2">
      <c r="A1595" s="89" t="s">
        <v>1595</v>
      </c>
      <c r="B1595" s="301" t="s">
        <v>3405</v>
      </c>
      <c r="C1595" s="369" t="s">
        <v>1596</v>
      </c>
      <c r="D1595" s="203" t="s">
        <v>933</v>
      </c>
      <c r="E1595" s="361">
        <v>10.0</v>
      </c>
      <c r="F1595" s="362">
        <v>109.0</v>
      </c>
      <c r="G1595" s="206">
        <f>F1595*E1595</f>
        <v>1090</v>
      </c>
      <c r="H1595" s="370"/>
      <c r="I1595" s="370"/>
      <c r="J1595" s="565"/>
      <c r="K1595" s="565"/>
      <c r="L1595" s="565"/>
    </row>
    <row r="1596" ht="12.75" customHeight="1" outlineLevel="2">
      <c r="B1596" s="130"/>
      <c r="E1596" s="79"/>
      <c r="F1596" s="80"/>
      <c r="G1596" s="80"/>
      <c r="H1596" s="240"/>
      <c r="I1596" s="240"/>
      <c r="J1596" s="240"/>
      <c r="K1596" s="240"/>
      <c r="L1596" s="240"/>
    </row>
    <row r="1597" ht="12.75" customHeight="1" outlineLevel="2">
      <c r="A1597" s="89" t="s">
        <v>1597</v>
      </c>
      <c r="B1597" s="302">
        <v>19.2</v>
      </c>
      <c r="C1597" s="371" t="s">
        <v>1598</v>
      </c>
      <c r="E1597" s="79"/>
      <c r="F1597" s="80"/>
      <c r="G1597" s="80"/>
      <c r="H1597" s="240"/>
      <c r="I1597" s="240"/>
      <c r="J1597" s="240"/>
      <c r="K1597" s="240"/>
      <c r="L1597" s="240"/>
    </row>
    <row r="1598" ht="12.75" customHeight="1" outlineLevel="2">
      <c r="B1598" s="130"/>
      <c r="E1598" s="79"/>
      <c r="F1598" s="80"/>
      <c r="G1598" s="80"/>
      <c r="H1598" s="240"/>
      <c r="I1598" s="240"/>
      <c r="J1598" s="240"/>
      <c r="K1598" s="240"/>
      <c r="L1598" s="240"/>
    </row>
    <row r="1599" ht="12.75" customHeight="1" outlineLevel="2">
      <c r="A1599" s="89" t="s">
        <v>1599</v>
      </c>
      <c r="B1599" s="301" t="s">
        <v>3408</v>
      </c>
      <c r="C1599" s="369" t="s">
        <v>1600</v>
      </c>
      <c r="D1599" s="203" t="s">
        <v>40</v>
      </c>
      <c r="E1599" s="361">
        <v>20.0</v>
      </c>
      <c r="F1599" s="362">
        <v>31.0</v>
      </c>
      <c r="G1599" s="206">
        <f>F1599*E1599</f>
        <v>620</v>
      </c>
      <c r="H1599" s="370"/>
      <c r="I1599" s="370"/>
      <c r="J1599" s="565"/>
      <c r="K1599" s="565"/>
      <c r="L1599" s="565"/>
    </row>
    <row r="1600" ht="12.75" customHeight="1" outlineLevel="2">
      <c r="B1600" s="130"/>
      <c r="E1600" s="79"/>
      <c r="F1600" s="80"/>
      <c r="G1600" s="80"/>
      <c r="H1600" s="240"/>
      <c r="I1600" s="240"/>
      <c r="J1600" s="240"/>
      <c r="K1600" s="240"/>
      <c r="L1600" s="240"/>
    </row>
    <row r="1601" ht="12.75" customHeight="1" outlineLevel="2">
      <c r="A1601" s="89" t="s">
        <v>1601</v>
      </c>
      <c r="B1601" s="302">
        <v>19.3</v>
      </c>
      <c r="C1601" s="371" t="s">
        <v>1602</v>
      </c>
      <c r="E1601" s="79"/>
      <c r="F1601" s="80"/>
      <c r="G1601" s="80"/>
      <c r="H1601" s="240"/>
      <c r="I1601" s="240"/>
      <c r="J1601" s="240"/>
      <c r="K1601" s="240"/>
      <c r="L1601" s="240"/>
    </row>
    <row r="1602" ht="12.75" customHeight="1" outlineLevel="2">
      <c r="B1602" s="130"/>
      <c r="E1602" s="79"/>
      <c r="F1602" s="80"/>
      <c r="G1602" s="80"/>
      <c r="H1602" s="240"/>
      <c r="I1602" s="240"/>
      <c r="J1602" s="240"/>
      <c r="K1602" s="240"/>
      <c r="L1602" s="240"/>
    </row>
    <row r="1603" ht="12.75" customHeight="1" outlineLevel="2">
      <c r="A1603" s="89" t="s">
        <v>1603</v>
      </c>
      <c r="B1603" s="301" t="s">
        <v>3411</v>
      </c>
      <c r="C1603" s="369" t="s">
        <v>1604</v>
      </c>
      <c r="D1603" s="203" t="s">
        <v>40</v>
      </c>
      <c r="E1603" s="361">
        <v>6.0</v>
      </c>
      <c r="F1603" s="362">
        <v>225.0</v>
      </c>
      <c r="G1603" s="206">
        <f>F1603*E1603</f>
        <v>1350</v>
      </c>
      <c r="H1603" s="370"/>
      <c r="I1603" s="370"/>
      <c r="J1603" s="565"/>
      <c r="K1603" s="565"/>
      <c r="L1603" s="565"/>
    </row>
    <row r="1604" ht="12.75" customHeight="1" outlineLevel="2">
      <c r="B1604" s="130"/>
      <c r="E1604" s="79"/>
      <c r="F1604" s="80"/>
      <c r="G1604" s="80"/>
      <c r="H1604" s="240"/>
      <c r="I1604" s="240"/>
      <c r="J1604" s="240"/>
      <c r="K1604" s="240"/>
      <c r="L1604" s="240"/>
    </row>
    <row r="1605" ht="12.75" customHeight="1" outlineLevel="2">
      <c r="A1605" s="89" t="s">
        <v>1605</v>
      </c>
      <c r="B1605" s="302">
        <v>19.4</v>
      </c>
      <c r="C1605" s="371" t="s">
        <v>1606</v>
      </c>
      <c r="E1605" s="79"/>
      <c r="F1605" s="80"/>
      <c r="G1605" s="80"/>
      <c r="H1605" s="240"/>
      <c r="I1605" s="240"/>
      <c r="J1605" s="240"/>
      <c r="K1605" s="240"/>
      <c r="L1605" s="240"/>
    </row>
    <row r="1606" ht="12.75" customHeight="1" outlineLevel="2">
      <c r="B1606" s="130"/>
      <c r="E1606" s="79"/>
      <c r="F1606" s="80"/>
      <c r="G1606" s="80"/>
      <c r="H1606" s="240"/>
      <c r="I1606" s="240"/>
      <c r="J1606" s="240"/>
      <c r="K1606" s="240"/>
      <c r="L1606" s="240"/>
    </row>
    <row r="1607" ht="12.75" customHeight="1" outlineLevel="2">
      <c r="A1607" s="89" t="s">
        <v>1607</v>
      </c>
      <c r="B1607" s="301" t="s">
        <v>3414</v>
      </c>
      <c r="C1607" s="369" t="s">
        <v>1608</v>
      </c>
      <c r="D1607" s="203" t="s">
        <v>40</v>
      </c>
      <c r="E1607" s="361">
        <v>45.0</v>
      </c>
      <c r="F1607" s="362">
        <v>185.0</v>
      </c>
      <c r="G1607" s="206">
        <f>F1607*E1607</f>
        <v>8325</v>
      </c>
      <c r="H1607" s="370" t="s">
        <v>5660</v>
      </c>
      <c r="I1607" s="370" t="s">
        <v>5660</v>
      </c>
      <c r="J1607" s="565"/>
      <c r="K1607" s="565"/>
      <c r="L1607" s="565"/>
    </row>
    <row r="1608" ht="12.75" customHeight="1" outlineLevel="2">
      <c r="B1608" s="130"/>
      <c r="E1608" s="79"/>
      <c r="F1608" s="80"/>
      <c r="G1608" s="80"/>
      <c r="H1608" s="240"/>
      <c r="I1608" s="240"/>
      <c r="J1608" s="240"/>
      <c r="K1608" s="240"/>
      <c r="L1608" s="240"/>
    </row>
    <row r="1609" ht="12.75" customHeight="1" outlineLevel="2">
      <c r="A1609" s="89" t="s">
        <v>1609</v>
      </c>
      <c r="B1609" s="302">
        <v>19.5</v>
      </c>
      <c r="C1609" s="371" t="s">
        <v>1610</v>
      </c>
      <c r="E1609" s="79"/>
      <c r="F1609" s="80"/>
      <c r="G1609" s="80"/>
      <c r="H1609" s="240"/>
      <c r="I1609" s="240"/>
      <c r="J1609" s="240"/>
      <c r="K1609" s="240"/>
      <c r="L1609" s="240"/>
    </row>
    <row r="1610" ht="12.75" customHeight="1" outlineLevel="2">
      <c r="B1610" s="130"/>
      <c r="E1610" s="79"/>
      <c r="F1610" s="80"/>
      <c r="G1610" s="80"/>
      <c r="H1610" s="240"/>
      <c r="I1610" s="240"/>
      <c r="J1610" s="240"/>
      <c r="K1610" s="240"/>
      <c r="L1610" s="240"/>
    </row>
    <row r="1611" ht="12.75" customHeight="1" outlineLevel="2">
      <c r="A1611" s="89" t="s">
        <v>1611</v>
      </c>
      <c r="B1611" s="301" t="s">
        <v>3418</v>
      </c>
      <c r="C1611" s="369" t="s">
        <v>1612</v>
      </c>
      <c r="D1611" s="203" t="s">
        <v>40</v>
      </c>
      <c r="E1611" s="361">
        <v>140.0</v>
      </c>
      <c r="F1611" s="362">
        <v>71.0</v>
      </c>
      <c r="G1611" s="206">
        <f>F1611*E1611</f>
        <v>9940</v>
      </c>
      <c r="H1611" s="370" t="s">
        <v>5660</v>
      </c>
      <c r="I1611" s="370" t="s">
        <v>5660</v>
      </c>
      <c r="J1611" s="565"/>
      <c r="K1611" s="565"/>
      <c r="L1611" s="565"/>
    </row>
    <row r="1612" ht="12.75" customHeight="1" outlineLevel="2">
      <c r="B1612" s="130"/>
      <c r="E1612" s="79"/>
      <c r="F1612" s="80"/>
      <c r="G1612" s="80"/>
      <c r="H1612" s="240"/>
      <c r="I1612" s="240"/>
      <c r="J1612" s="240"/>
      <c r="K1612" s="240"/>
      <c r="L1612" s="240"/>
    </row>
    <row r="1613" ht="12.75" customHeight="1" outlineLevel="2">
      <c r="A1613" s="89" t="s">
        <v>1613</v>
      </c>
      <c r="B1613" s="302">
        <v>19.6</v>
      </c>
      <c r="C1613" s="371" t="s">
        <v>1614</v>
      </c>
      <c r="E1613" s="79"/>
      <c r="F1613" s="80"/>
      <c r="G1613" s="80"/>
      <c r="H1613" s="240"/>
      <c r="I1613" s="240"/>
      <c r="J1613" s="240"/>
      <c r="K1613" s="240"/>
      <c r="L1613" s="240"/>
    </row>
    <row r="1614" ht="12.75" customHeight="1" outlineLevel="2">
      <c r="B1614" s="130"/>
      <c r="E1614" s="79"/>
      <c r="F1614" s="80"/>
      <c r="G1614" s="80"/>
      <c r="H1614" s="240"/>
      <c r="I1614" s="240"/>
      <c r="J1614" s="240"/>
      <c r="K1614" s="240"/>
      <c r="L1614" s="240"/>
    </row>
    <row r="1615" ht="12.75" customHeight="1" outlineLevel="2">
      <c r="A1615" s="89" t="s">
        <v>1615</v>
      </c>
      <c r="B1615" s="301" t="s">
        <v>3421</v>
      </c>
      <c r="C1615" s="369" t="s">
        <v>1616</v>
      </c>
      <c r="D1615" s="203" t="s">
        <v>161</v>
      </c>
      <c r="E1615" s="361">
        <v>32.0</v>
      </c>
      <c r="F1615" s="362">
        <v>175.0</v>
      </c>
      <c r="G1615" s="206">
        <f>F1615*E1615</f>
        <v>5600</v>
      </c>
      <c r="H1615" s="370" t="s">
        <v>5660</v>
      </c>
      <c r="I1615" s="370" t="s">
        <v>5660</v>
      </c>
      <c r="J1615" s="565"/>
      <c r="K1615" s="565"/>
      <c r="L1615" s="565"/>
    </row>
    <row r="1616" ht="12.75" customHeight="1" outlineLevel="1">
      <c r="A1616" s="89"/>
      <c r="B1616" s="130"/>
      <c r="C1616" s="90"/>
      <c r="D1616" s="89"/>
      <c r="E1616" s="91"/>
      <c r="F1616" s="92"/>
      <c r="G1616" s="239"/>
      <c r="H1616" s="240"/>
      <c r="I1616" s="240"/>
      <c r="J1616" s="240"/>
      <c r="K1616" s="240"/>
      <c r="L1616" s="240"/>
    </row>
    <row r="1617" ht="12.75" customHeight="1">
      <c r="A1617" s="192"/>
      <c r="B1617" s="84">
        <v>20.0</v>
      </c>
      <c r="C1617" s="306" t="s">
        <v>1617</v>
      </c>
      <c r="D1617" s="193"/>
      <c r="E1617" s="194"/>
      <c r="F1617" s="195"/>
      <c r="G1617" s="196">
        <f>SUM(G1623:G1636)</f>
        <v>0</v>
      </c>
      <c r="H1617" s="197">
        <f t="shared" ref="H1617:I1617" si="82">G1617</f>
        <v>0</v>
      </c>
      <c r="I1617" s="197">
        <f t="shared" si="82"/>
        <v>0</v>
      </c>
      <c r="J1617" s="919"/>
      <c r="K1617" s="169"/>
      <c r="L1617" s="169"/>
    </row>
    <row r="1618" ht="12.75" customHeight="1" outlineLevel="1">
      <c r="A1618" s="89"/>
      <c r="B1618" s="130"/>
      <c r="E1618" s="79"/>
      <c r="F1618" s="80"/>
      <c r="G1618" s="80"/>
      <c r="H1618" s="240"/>
      <c r="I1618" s="240"/>
      <c r="J1618" s="240"/>
      <c r="K1618" s="240"/>
      <c r="L1618" s="240"/>
    </row>
    <row r="1619" ht="12.75" customHeight="1" outlineLevel="1">
      <c r="A1619" s="89"/>
      <c r="B1619" s="130"/>
      <c r="C1619" s="90" t="s">
        <v>1618</v>
      </c>
      <c r="E1619" s="79"/>
      <c r="F1619" s="80"/>
      <c r="G1619" s="80"/>
      <c r="H1619" s="240"/>
      <c r="I1619" s="240"/>
      <c r="J1619" s="240"/>
      <c r="K1619" s="240"/>
      <c r="L1619" s="240"/>
    </row>
    <row r="1620" ht="12.75" customHeight="1" outlineLevel="1">
      <c r="A1620" s="89"/>
      <c r="B1620" s="130"/>
      <c r="E1620" s="79"/>
      <c r="F1620" s="80"/>
      <c r="G1620" s="80"/>
      <c r="H1620" s="240"/>
      <c r="I1620" s="240"/>
      <c r="J1620" s="240"/>
      <c r="K1620" s="240"/>
      <c r="L1620" s="240"/>
    </row>
    <row r="1621" ht="12.75" customHeight="1" outlineLevel="1">
      <c r="A1621" s="89" t="s">
        <v>781</v>
      </c>
      <c r="B1621" s="130"/>
      <c r="C1621" s="306" t="s">
        <v>1619</v>
      </c>
      <c r="E1621" s="79"/>
      <c r="F1621" s="80"/>
      <c r="G1621" s="80"/>
      <c r="H1621" s="240"/>
      <c r="I1621" s="240"/>
      <c r="J1621" s="240"/>
      <c r="K1621" s="240"/>
      <c r="L1621" s="240"/>
    </row>
    <row r="1622" ht="12.75" customHeight="1" outlineLevel="2">
      <c r="B1622" s="130"/>
      <c r="E1622" s="79"/>
      <c r="F1622" s="80"/>
      <c r="G1622" s="80"/>
      <c r="H1622" s="240"/>
      <c r="I1622" s="240"/>
      <c r="J1622" s="240"/>
      <c r="K1622" s="240"/>
      <c r="L1622" s="240"/>
    </row>
    <row r="1623" ht="12.75" customHeight="1" outlineLevel="2">
      <c r="A1623" s="89" t="s">
        <v>1620</v>
      </c>
      <c r="B1623" s="301" t="s">
        <v>3426</v>
      </c>
      <c r="C1623" s="369" t="s">
        <v>1621</v>
      </c>
      <c r="D1623" s="203" t="s">
        <v>75</v>
      </c>
      <c r="E1623" s="361">
        <v>8.0</v>
      </c>
      <c r="F1623" s="362">
        <v>0.0</v>
      </c>
      <c r="G1623" s="372">
        <f>F1623*E1623</f>
        <v>0</v>
      </c>
      <c r="H1623" s="370" t="s">
        <v>619</v>
      </c>
      <c r="I1623" s="370" t="s">
        <v>619</v>
      </c>
      <c r="J1623" s="565"/>
      <c r="K1623" s="565"/>
      <c r="L1623" s="565"/>
    </row>
    <row r="1624" ht="12.75" customHeight="1" outlineLevel="2">
      <c r="B1624" s="130"/>
      <c r="E1624" s="79"/>
      <c r="F1624" s="80"/>
      <c r="G1624" s="80"/>
      <c r="H1624" s="240"/>
      <c r="I1624" s="240"/>
      <c r="J1624" s="240"/>
      <c r="K1624" s="240"/>
      <c r="L1624" s="240"/>
    </row>
    <row r="1625" ht="12.75" customHeight="1" outlineLevel="2">
      <c r="A1625" s="89" t="s">
        <v>1622</v>
      </c>
      <c r="B1625" s="301" t="s">
        <v>3428</v>
      </c>
      <c r="C1625" s="369" t="s">
        <v>1623</v>
      </c>
      <c r="D1625" s="203" t="s">
        <v>75</v>
      </c>
      <c r="E1625" s="361">
        <v>10.0</v>
      </c>
      <c r="F1625" s="362">
        <v>0.0</v>
      </c>
      <c r="G1625" s="372">
        <f>F1625*E1625</f>
        <v>0</v>
      </c>
      <c r="H1625" s="370" t="s">
        <v>619</v>
      </c>
      <c r="I1625" s="370" t="s">
        <v>619</v>
      </c>
      <c r="J1625" s="565"/>
      <c r="K1625" s="565"/>
      <c r="L1625" s="565"/>
    </row>
    <row r="1626" ht="12.75" customHeight="1" outlineLevel="2">
      <c r="B1626" s="130"/>
      <c r="E1626" s="79"/>
      <c r="F1626" s="80"/>
      <c r="G1626" s="80"/>
      <c r="H1626" s="240"/>
      <c r="I1626" s="240"/>
      <c r="J1626" s="240"/>
      <c r="K1626" s="240"/>
      <c r="L1626" s="240"/>
    </row>
    <row r="1627" ht="12.75" customHeight="1" outlineLevel="1">
      <c r="A1627" s="89" t="s">
        <v>1624</v>
      </c>
      <c r="B1627" s="130"/>
      <c r="C1627" s="306" t="s">
        <v>1625</v>
      </c>
      <c r="E1627" s="79"/>
      <c r="F1627" s="80"/>
      <c r="G1627" s="80"/>
      <c r="H1627" s="240"/>
      <c r="I1627" s="240"/>
      <c r="J1627" s="240"/>
      <c r="K1627" s="240"/>
      <c r="L1627" s="240"/>
    </row>
    <row r="1628" ht="12.75" customHeight="1" outlineLevel="2">
      <c r="B1628" s="130"/>
      <c r="E1628" s="79"/>
      <c r="F1628" s="80"/>
      <c r="G1628" s="80"/>
      <c r="H1628" s="240"/>
      <c r="I1628" s="240"/>
      <c r="J1628" s="240"/>
      <c r="K1628" s="240"/>
      <c r="L1628" s="240"/>
    </row>
    <row r="1629" ht="12.75" customHeight="1" outlineLevel="2">
      <c r="A1629" s="89" t="s">
        <v>1626</v>
      </c>
      <c r="B1629" s="301" t="s">
        <v>3431</v>
      </c>
      <c r="C1629" s="369" t="s">
        <v>1627</v>
      </c>
      <c r="D1629" s="203" t="s">
        <v>75</v>
      </c>
      <c r="E1629" s="361">
        <v>4.0</v>
      </c>
      <c r="F1629" s="362">
        <v>0.0</v>
      </c>
      <c r="G1629" s="372">
        <f>F1629*E1629</f>
        <v>0</v>
      </c>
      <c r="H1629" s="370" t="s">
        <v>619</v>
      </c>
      <c r="I1629" s="370" t="s">
        <v>619</v>
      </c>
      <c r="J1629" s="565"/>
      <c r="K1629" s="565"/>
      <c r="L1629" s="565"/>
    </row>
    <row r="1630" ht="12.75" customHeight="1" outlineLevel="2">
      <c r="B1630" s="130"/>
      <c r="E1630" s="79"/>
      <c r="F1630" s="80"/>
      <c r="G1630" s="80"/>
      <c r="H1630" s="240"/>
      <c r="I1630" s="240"/>
      <c r="J1630" s="240"/>
      <c r="K1630" s="240"/>
      <c r="L1630" s="240"/>
    </row>
    <row r="1631" ht="12.75" customHeight="1" outlineLevel="1">
      <c r="A1631" s="89" t="s">
        <v>1628</v>
      </c>
      <c r="B1631" s="130"/>
      <c r="C1631" s="306" t="s">
        <v>1629</v>
      </c>
      <c r="E1631" s="79"/>
      <c r="F1631" s="80"/>
      <c r="G1631" s="80"/>
      <c r="H1631" s="240"/>
      <c r="I1631" s="240"/>
      <c r="J1631" s="240"/>
      <c r="K1631" s="240"/>
      <c r="L1631" s="240"/>
    </row>
    <row r="1632" ht="12.75" customHeight="1" outlineLevel="2">
      <c r="B1632" s="130"/>
      <c r="E1632" s="79"/>
      <c r="F1632" s="80"/>
      <c r="G1632" s="80"/>
      <c r="H1632" s="240"/>
      <c r="I1632" s="240"/>
      <c r="J1632" s="240"/>
      <c r="K1632" s="240"/>
      <c r="L1632" s="240"/>
    </row>
    <row r="1633" ht="12.75" customHeight="1" outlineLevel="2">
      <c r="A1633" s="89" t="s">
        <v>1630</v>
      </c>
      <c r="B1633" s="301" t="s">
        <v>3434</v>
      </c>
      <c r="C1633" s="369" t="s">
        <v>1631</v>
      </c>
      <c r="D1633" s="203"/>
      <c r="E1633" s="361"/>
      <c r="F1633" s="362">
        <v>0.0</v>
      </c>
      <c r="G1633" s="372">
        <f>F1633*E1633</f>
        <v>0</v>
      </c>
      <c r="H1633" s="370" t="s">
        <v>619</v>
      </c>
      <c r="I1633" s="370" t="s">
        <v>619</v>
      </c>
      <c r="J1633" s="565"/>
      <c r="K1633" s="565"/>
      <c r="L1633" s="565"/>
    </row>
    <row r="1634" ht="12.75" customHeight="1" outlineLevel="2">
      <c r="B1634" s="130"/>
      <c r="E1634" s="79"/>
      <c r="F1634" s="80"/>
      <c r="G1634" s="80"/>
      <c r="H1634" s="240"/>
      <c r="I1634" s="240"/>
      <c r="J1634" s="240"/>
      <c r="K1634" s="240"/>
      <c r="L1634" s="240"/>
    </row>
    <row r="1635" ht="12.75" customHeight="1" outlineLevel="2">
      <c r="A1635" s="89" t="s">
        <v>1632</v>
      </c>
      <c r="B1635" s="301" t="s">
        <v>3436</v>
      </c>
      <c r="C1635" s="369" t="s">
        <v>1633</v>
      </c>
      <c r="D1635" s="203" t="s">
        <v>75</v>
      </c>
      <c r="E1635" s="361">
        <v>4.0</v>
      </c>
      <c r="F1635" s="362">
        <v>0.0</v>
      </c>
      <c r="G1635" s="372">
        <f t="shared" ref="G1635:G1636" si="83">F1635*E1635</f>
        <v>0</v>
      </c>
      <c r="H1635" s="370" t="s">
        <v>619</v>
      </c>
      <c r="I1635" s="370" t="s">
        <v>619</v>
      </c>
      <c r="J1635" s="565"/>
      <c r="K1635" s="565"/>
      <c r="L1635" s="565"/>
    </row>
    <row r="1636" ht="12.75" customHeight="1" outlineLevel="2">
      <c r="A1636" s="89" t="s">
        <v>1634</v>
      </c>
      <c r="B1636" s="301" t="s">
        <v>3438</v>
      </c>
      <c r="C1636" s="369" t="s">
        <v>1635</v>
      </c>
      <c r="D1636" s="203" t="s">
        <v>75</v>
      </c>
      <c r="E1636" s="361">
        <v>2.0</v>
      </c>
      <c r="F1636" s="362">
        <v>0.0</v>
      </c>
      <c r="G1636" s="372">
        <f t="shared" si="83"/>
        <v>0</v>
      </c>
      <c r="H1636" s="370" t="s">
        <v>619</v>
      </c>
      <c r="I1636" s="370" t="s">
        <v>619</v>
      </c>
      <c r="J1636" s="565"/>
      <c r="K1636" s="565"/>
      <c r="L1636" s="565"/>
    </row>
    <row r="1637" ht="12.75" customHeight="1" outlineLevel="1">
      <c r="A1637" s="89"/>
      <c r="B1637" s="312"/>
      <c r="C1637" s="90"/>
      <c r="D1637" s="89"/>
      <c r="E1637" s="91"/>
      <c r="F1637" s="80"/>
      <c r="G1637" s="135"/>
      <c r="H1637" s="240"/>
      <c r="I1637" s="240"/>
      <c r="J1637" s="240"/>
      <c r="K1637" s="240"/>
      <c r="L1637" s="240"/>
    </row>
    <row r="1638" ht="12.75" customHeight="1">
      <c r="A1638" s="192"/>
      <c r="B1638" s="373">
        <v>21.0</v>
      </c>
      <c r="C1638" s="306" t="s">
        <v>592</v>
      </c>
      <c r="D1638" s="193"/>
      <c r="E1638" s="194"/>
      <c r="F1638" s="195"/>
      <c r="G1638" s="196">
        <f>SUM(G1642:G1648)</f>
        <v>10648</v>
      </c>
      <c r="H1638" s="197">
        <f>G1638-'Orcamento RU'!C2283</f>
        <v>100</v>
      </c>
      <c r="I1638" s="197">
        <f>H1638-'Orcamento RU'!D2283</f>
        <v>100</v>
      </c>
      <c r="J1638" s="919"/>
      <c r="K1638" s="169"/>
      <c r="L1638" s="169"/>
    </row>
    <row r="1639" ht="12.75" customHeight="1" outlineLevel="1">
      <c r="A1639" s="89"/>
      <c r="B1639" s="312"/>
      <c r="C1639" s="90"/>
      <c r="E1639" s="79"/>
      <c r="F1639" s="80"/>
      <c r="G1639" s="80"/>
      <c r="H1639" s="240"/>
      <c r="I1639" s="240"/>
      <c r="J1639" s="240"/>
      <c r="K1639" s="240"/>
      <c r="L1639" s="240"/>
    </row>
    <row r="1640" ht="12.75" customHeight="1" outlineLevel="1">
      <c r="A1640" s="89" t="s">
        <v>1636</v>
      </c>
      <c r="B1640" s="189"/>
      <c r="C1640" s="184" t="s">
        <v>1637</v>
      </c>
      <c r="E1640" s="79"/>
      <c r="F1640" s="488">
        <f>SUM(G1642:G1648)</f>
        <v>10648</v>
      </c>
      <c r="G1640" s="80"/>
      <c r="H1640" s="240"/>
      <c r="I1640" s="240"/>
      <c r="J1640" s="240"/>
      <c r="K1640" s="240"/>
      <c r="L1640" s="240"/>
    </row>
    <row r="1641" ht="12.75" customHeight="1" outlineLevel="2">
      <c r="B1641" s="189"/>
      <c r="E1641" s="79"/>
      <c r="F1641" s="80"/>
      <c r="G1641" s="80"/>
      <c r="H1641" s="240"/>
      <c r="I1641" s="240"/>
      <c r="J1641" s="240"/>
      <c r="K1641" s="240"/>
      <c r="L1641" s="240"/>
    </row>
    <row r="1642" ht="12.75" customHeight="1" outlineLevel="2">
      <c r="A1642" s="89" t="s">
        <v>1638</v>
      </c>
      <c r="B1642" s="301" t="s">
        <v>3441</v>
      </c>
      <c r="C1642" s="369" t="s">
        <v>1639</v>
      </c>
      <c r="D1642" s="203" t="s">
        <v>75</v>
      </c>
      <c r="E1642" s="361">
        <v>1.0</v>
      </c>
      <c r="F1642" s="362">
        <v>1500.0</v>
      </c>
      <c r="G1642" s="206">
        <f>F1642*E1642</f>
        <v>1500</v>
      </c>
      <c r="H1642" s="370"/>
      <c r="I1642" s="370"/>
      <c r="J1642" s="565"/>
      <c r="K1642" s="565"/>
      <c r="L1642" s="565"/>
    </row>
    <row r="1643" ht="12.75" customHeight="1" outlineLevel="2">
      <c r="B1643" s="189"/>
      <c r="E1643" s="79"/>
      <c r="F1643" s="80"/>
      <c r="G1643" s="80"/>
      <c r="H1643" s="240"/>
      <c r="I1643" s="240"/>
      <c r="J1643" s="240"/>
      <c r="K1643" s="240"/>
      <c r="L1643" s="240"/>
    </row>
    <row r="1644" ht="12.75" customHeight="1" outlineLevel="2">
      <c r="A1644" s="89" t="s">
        <v>1640</v>
      </c>
      <c r="B1644" s="301" t="s">
        <v>3443</v>
      </c>
      <c r="C1644" s="369" t="s">
        <v>1641</v>
      </c>
      <c r="D1644" s="203" t="s">
        <v>75</v>
      </c>
      <c r="E1644" s="361">
        <v>1.0</v>
      </c>
      <c r="F1644" s="362">
        <v>1100.0</v>
      </c>
      <c r="G1644" s="372">
        <v>1098.0</v>
      </c>
      <c r="H1644" s="370"/>
      <c r="I1644" s="370"/>
      <c r="J1644" s="565"/>
      <c r="K1644" s="565"/>
      <c r="L1644" s="565"/>
    </row>
    <row r="1645" ht="12.75" customHeight="1" outlineLevel="2">
      <c r="B1645" s="189"/>
      <c r="E1645" s="79"/>
      <c r="F1645" s="80"/>
      <c r="G1645" s="80"/>
      <c r="H1645" s="240"/>
      <c r="I1645" s="240"/>
      <c r="J1645" s="240"/>
      <c r="K1645" s="240"/>
      <c r="L1645" s="240"/>
    </row>
    <row r="1646" ht="12.75" customHeight="1" outlineLevel="2">
      <c r="A1646" s="89" t="s">
        <v>1642</v>
      </c>
      <c r="B1646" s="301" t="s">
        <v>3445</v>
      </c>
      <c r="C1646" s="369" t="s">
        <v>1643</v>
      </c>
      <c r="D1646" s="203" t="s">
        <v>75</v>
      </c>
      <c r="E1646" s="361">
        <v>1.0</v>
      </c>
      <c r="F1646" s="362">
        <v>750.0</v>
      </c>
      <c r="G1646" s="206">
        <f>F1646*E1646</f>
        <v>750</v>
      </c>
      <c r="H1646" s="370"/>
      <c r="I1646" s="370"/>
      <c r="J1646" s="565"/>
      <c r="K1646" s="565"/>
      <c r="L1646" s="565"/>
    </row>
    <row r="1647" ht="12.75" customHeight="1" outlineLevel="2">
      <c r="B1647" s="189"/>
      <c r="E1647" s="79"/>
      <c r="F1647" s="80"/>
      <c r="G1647" s="80"/>
      <c r="H1647" s="240"/>
      <c r="I1647" s="240"/>
      <c r="J1647" s="240"/>
      <c r="K1647" s="240"/>
      <c r="L1647" s="240"/>
    </row>
    <row r="1648" ht="12.75" customHeight="1" outlineLevel="2">
      <c r="A1648" s="89" t="s">
        <v>1644</v>
      </c>
      <c r="B1648" s="301" t="s">
        <v>3447</v>
      </c>
      <c r="C1648" s="369" t="s">
        <v>1645</v>
      </c>
      <c r="D1648" s="203" t="s">
        <v>75</v>
      </c>
      <c r="E1648" s="361">
        <v>1.0</v>
      </c>
      <c r="F1648" s="362">
        <v>7300.0</v>
      </c>
      <c r="G1648" s="206">
        <f>F1648*E1648</f>
        <v>7300</v>
      </c>
      <c r="H1648" s="370"/>
      <c r="I1648" s="370"/>
      <c r="J1648" s="565"/>
      <c r="K1648" s="565"/>
      <c r="L1648" s="565"/>
    </row>
    <row r="1649" ht="12.75" customHeight="1" outlineLevel="1">
      <c r="A1649" s="89"/>
      <c r="B1649" s="312"/>
      <c r="C1649" s="90"/>
      <c r="D1649" s="89"/>
      <c r="E1649" s="91"/>
      <c r="F1649" s="80"/>
      <c r="G1649" s="135"/>
      <c r="H1649" s="240"/>
      <c r="I1649" s="240"/>
      <c r="J1649" s="240"/>
      <c r="K1649" s="240"/>
      <c r="L1649" s="240"/>
    </row>
    <row r="1650" ht="12.75" customHeight="1">
      <c r="A1650" s="192"/>
      <c r="B1650" s="84">
        <v>22.0</v>
      </c>
      <c r="C1650" s="306" t="s">
        <v>1647</v>
      </c>
      <c r="D1650" s="193"/>
      <c r="E1650" s="194"/>
      <c r="F1650" s="195"/>
      <c r="G1650" s="196">
        <f>SUM(G1656:G1739)</f>
        <v>84235</v>
      </c>
      <c r="H1650" s="197">
        <f>G1650-Resumo!J52</f>
        <v>10874.31</v>
      </c>
      <c r="I1650" s="197">
        <f>H1650-Resumo!K52</f>
        <v>10874.31</v>
      </c>
      <c r="J1650" s="919"/>
      <c r="K1650" s="169"/>
      <c r="L1650" s="169"/>
    </row>
    <row r="1651" ht="12.75" customHeight="1" outlineLevel="1">
      <c r="A1651" s="89"/>
      <c r="B1651" s="312"/>
      <c r="C1651" s="90"/>
      <c r="E1651" s="79"/>
      <c r="F1651" s="80"/>
      <c r="G1651" s="80"/>
      <c r="H1651" s="240"/>
      <c r="I1651" s="240"/>
      <c r="J1651" s="240"/>
      <c r="K1651" s="240"/>
      <c r="L1651" s="240"/>
    </row>
    <row r="1652" ht="12.75" customHeight="1" outlineLevel="1">
      <c r="A1652" s="89" t="s">
        <v>1648</v>
      </c>
      <c r="B1652" s="130"/>
      <c r="C1652" s="184" t="s">
        <v>1649</v>
      </c>
      <c r="E1652" s="79"/>
      <c r="F1652" s="586">
        <f>SUM(G1656:G1673)</f>
        <v>36564</v>
      </c>
      <c r="K1652" s="436">
        <v>15000.0</v>
      </c>
      <c r="L1652" s="240">
        <f>F1652-K1652</f>
        <v>21564</v>
      </c>
    </row>
    <row r="1653" ht="12.75" customHeight="1" outlineLevel="2">
      <c r="B1653" s="130"/>
      <c r="E1653" s="79"/>
      <c r="F1653" s="80"/>
      <c r="G1653" s="80"/>
      <c r="H1653" s="240"/>
      <c r="I1653" s="240"/>
      <c r="J1653" s="240"/>
      <c r="K1653" s="240"/>
      <c r="L1653" s="240"/>
    </row>
    <row r="1654" ht="12.75" customHeight="1" outlineLevel="2">
      <c r="A1654" s="89" t="s">
        <v>1650</v>
      </c>
      <c r="B1654" s="374">
        <v>22.1</v>
      </c>
      <c r="C1654" s="371" t="s">
        <v>1651</v>
      </c>
      <c r="E1654" s="79"/>
      <c r="F1654" s="80"/>
      <c r="G1654" s="80"/>
      <c r="H1654" s="240"/>
      <c r="I1654" s="240"/>
      <c r="J1654" s="240"/>
      <c r="K1654" s="240"/>
      <c r="L1654" s="240"/>
    </row>
    <row r="1655" ht="12.75" customHeight="1" outlineLevel="2">
      <c r="B1655" s="130"/>
      <c r="E1655" s="79"/>
      <c r="F1655" s="80"/>
      <c r="G1655" s="80"/>
      <c r="H1655" s="240"/>
      <c r="I1655" s="240"/>
      <c r="J1655" s="240"/>
      <c r="K1655" s="240"/>
      <c r="L1655" s="240"/>
    </row>
    <row r="1656" ht="12.75" customHeight="1" outlineLevel="2">
      <c r="A1656" s="89" t="s">
        <v>1652</v>
      </c>
      <c r="B1656" s="301" t="s">
        <v>3452</v>
      </c>
      <c r="C1656" s="369" t="s">
        <v>1653</v>
      </c>
      <c r="D1656" s="203" t="s">
        <v>40</v>
      </c>
      <c r="E1656" s="361">
        <v>2000.0</v>
      </c>
      <c r="F1656" s="362">
        <v>3.0</v>
      </c>
      <c r="G1656" s="206">
        <f>F1656*E1656</f>
        <v>6000</v>
      </c>
      <c r="H1656" s="370"/>
      <c r="I1656" s="370"/>
      <c r="J1656" s="565"/>
      <c r="K1656" s="565"/>
      <c r="L1656" s="565"/>
    </row>
    <row r="1657" ht="12.75" customHeight="1" outlineLevel="2">
      <c r="B1657" s="130"/>
      <c r="E1657" s="79"/>
      <c r="F1657" s="80"/>
      <c r="G1657" s="80"/>
      <c r="H1657" s="240"/>
      <c r="I1657" s="240"/>
      <c r="J1657" s="240"/>
      <c r="K1657" s="240"/>
      <c r="L1657" s="240"/>
    </row>
    <row r="1658" ht="12.75" customHeight="1" outlineLevel="2">
      <c r="A1658" s="89" t="s">
        <v>1654</v>
      </c>
      <c r="B1658" s="374">
        <v>22.2</v>
      </c>
      <c r="C1658" s="371" t="s">
        <v>1655</v>
      </c>
      <c r="E1658" s="79"/>
      <c r="F1658" s="80"/>
      <c r="G1658" s="80"/>
      <c r="H1658" s="240"/>
      <c r="I1658" s="240"/>
      <c r="J1658" s="240"/>
      <c r="K1658" s="240"/>
      <c r="L1658" s="240"/>
    </row>
    <row r="1659" ht="12.75" customHeight="1" outlineLevel="2">
      <c r="B1659" s="130"/>
      <c r="E1659" s="79"/>
      <c r="F1659" s="80"/>
      <c r="G1659" s="80"/>
      <c r="H1659" s="240"/>
      <c r="I1659" s="240"/>
      <c r="J1659" s="240"/>
      <c r="K1659" s="240"/>
      <c r="L1659" s="240"/>
    </row>
    <row r="1660" ht="12.75" customHeight="1" outlineLevel="2">
      <c r="A1660" s="89" t="s">
        <v>1656</v>
      </c>
      <c r="B1660" s="301" t="s">
        <v>3455</v>
      </c>
      <c r="C1660" s="369" t="s">
        <v>1657</v>
      </c>
      <c r="D1660" s="203" t="s">
        <v>933</v>
      </c>
      <c r="E1660" s="361">
        <v>70.0</v>
      </c>
      <c r="F1660" s="362">
        <v>11.0</v>
      </c>
      <c r="G1660" s="206">
        <f>F1660*E1660</f>
        <v>770</v>
      </c>
      <c r="H1660" s="370"/>
      <c r="I1660" s="370"/>
      <c r="J1660" s="565"/>
      <c r="K1660" s="565"/>
      <c r="L1660" s="565"/>
    </row>
    <row r="1661" ht="12.75" customHeight="1" outlineLevel="2">
      <c r="B1661" s="130"/>
      <c r="E1661" s="79"/>
      <c r="F1661" s="80"/>
      <c r="G1661" s="80"/>
      <c r="H1661" s="240"/>
      <c r="I1661" s="240"/>
      <c r="J1661" s="240"/>
      <c r="K1661" s="240"/>
      <c r="L1661" s="240"/>
    </row>
    <row r="1662" ht="12.75" customHeight="1" outlineLevel="2">
      <c r="A1662" s="89" t="s">
        <v>1658</v>
      </c>
      <c r="B1662" s="301" t="s">
        <v>3457</v>
      </c>
      <c r="C1662" s="369" t="s">
        <v>1659</v>
      </c>
      <c r="D1662" s="203" t="s">
        <v>933</v>
      </c>
      <c r="E1662" s="361">
        <v>177.0</v>
      </c>
      <c r="F1662" s="362">
        <v>11.0</v>
      </c>
      <c r="G1662" s="206">
        <f>F1662*E1662</f>
        <v>1947</v>
      </c>
      <c r="H1662" s="370"/>
      <c r="I1662" s="370"/>
      <c r="J1662" s="565"/>
      <c r="K1662" s="565"/>
      <c r="L1662" s="565"/>
    </row>
    <row r="1663" ht="12.75" customHeight="1" outlineLevel="2">
      <c r="B1663" s="130"/>
      <c r="E1663" s="79"/>
      <c r="F1663" s="80"/>
      <c r="G1663" s="80"/>
      <c r="H1663" s="240"/>
      <c r="I1663" s="240"/>
      <c r="J1663" s="240"/>
      <c r="K1663" s="240"/>
      <c r="L1663" s="240"/>
    </row>
    <row r="1664" ht="12.75" customHeight="1" outlineLevel="2">
      <c r="A1664" s="89" t="s">
        <v>1660</v>
      </c>
      <c r="B1664" s="301" t="s">
        <v>3459</v>
      </c>
      <c r="C1664" s="369" t="s">
        <v>1661</v>
      </c>
      <c r="D1664" s="203" t="s">
        <v>933</v>
      </c>
      <c r="E1664" s="361">
        <v>134.0</v>
      </c>
      <c r="F1664" s="362">
        <v>11.0</v>
      </c>
      <c r="G1664" s="206">
        <f>F1664*E1664</f>
        <v>1474</v>
      </c>
      <c r="H1664" s="370"/>
      <c r="I1664" s="370"/>
      <c r="J1664" s="565"/>
      <c r="K1664" s="565"/>
      <c r="L1664" s="565"/>
    </row>
    <row r="1665" ht="12.75" customHeight="1" outlineLevel="2">
      <c r="B1665" s="130"/>
      <c r="E1665" s="79"/>
      <c r="F1665" s="80"/>
      <c r="G1665" s="80"/>
      <c r="H1665" s="240"/>
      <c r="I1665" s="240"/>
      <c r="J1665" s="240"/>
      <c r="K1665" s="240"/>
      <c r="L1665" s="240"/>
    </row>
    <row r="1666" ht="12.75" customHeight="1" outlineLevel="2">
      <c r="A1666" s="89" t="s">
        <v>1662</v>
      </c>
      <c r="B1666" s="374"/>
      <c r="C1666" s="371" t="s">
        <v>1663</v>
      </c>
      <c r="E1666" s="79"/>
      <c r="F1666" s="80"/>
      <c r="G1666" s="80"/>
      <c r="H1666" s="240"/>
      <c r="I1666" s="240"/>
      <c r="J1666" s="240"/>
      <c r="K1666" s="240"/>
      <c r="L1666" s="240"/>
    </row>
    <row r="1667" ht="12.75" customHeight="1" outlineLevel="2">
      <c r="B1667" s="130"/>
      <c r="E1667" s="79"/>
      <c r="F1667" s="80"/>
      <c r="G1667" s="80"/>
      <c r="H1667" s="240"/>
      <c r="I1667" s="240"/>
      <c r="J1667" s="240"/>
      <c r="K1667" s="240"/>
      <c r="L1667" s="240"/>
    </row>
    <row r="1668" ht="12.75" customHeight="1" outlineLevel="2">
      <c r="A1668" s="89" t="s">
        <v>1664</v>
      </c>
      <c r="B1668" s="302">
        <v>22.3</v>
      </c>
      <c r="C1668" s="368" t="s">
        <v>1665</v>
      </c>
      <c r="E1668" s="79"/>
      <c r="F1668" s="80"/>
      <c r="G1668" s="80"/>
      <c r="H1668" s="240"/>
      <c r="I1668" s="240"/>
      <c r="J1668" s="240"/>
      <c r="K1668" s="240"/>
      <c r="L1668" s="240"/>
    </row>
    <row r="1669" ht="12.75" customHeight="1" outlineLevel="2">
      <c r="B1669" s="130"/>
      <c r="E1669" s="79"/>
      <c r="F1669" s="80"/>
      <c r="G1669" s="80"/>
      <c r="H1669" s="240"/>
      <c r="I1669" s="240"/>
      <c r="J1669" s="240"/>
      <c r="K1669" s="240"/>
      <c r="L1669" s="240"/>
    </row>
    <row r="1670" ht="12.75" customHeight="1" outlineLevel="2">
      <c r="A1670" s="89" t="s">
        <v>1666</v>
      </c>
      <c r="B1670" s="301" t="s">
        <v>3463</v>
      </c>
      <c r="C1670" s="369" t="s">
        <v>1667</v>
      </c>
      <c r="D1670" s="203" t="s">
        <v>933</v>
      </c>
      <c r="E1670" s="361">
        <v>72.5</v>
      </c>
      <c r="F1670" s="362">
        <v>58.0</v>
      </c>
      <c r="G1670" s="206">
        <f t="shared" ref="G1670:G1673" si="84">F1670*E1670</f>
        <v>4205</v>
      </c>
      <c r="H1670" s="370"/>
      <c r="I1670" s="370"/>
      <c r="J1670" s="565"/>
      <c r="K1670" s="565"/>
      <c r="L1670" s="565"/>
    </row>
    <row r="1671" ht="12.75" customHeight="1" outlineLevel="2">
      <c r="A1671" s="89" t="s">
        <v>1668</v>
      </c>
      <c r="B1671" s="301" t="s">
        <v>3465</v>
      </c>
      <c r="C1671" s="369" t="s">
        <v>1669</v>
      </c>
      <c r="D1671" s="203" t="s">
        <v>933</v>
      </c>
      <c r="E1671" s="361">
        <v>177.0</v>
      </c>
      <c r="F1671" s="362">
        <v>58.0</v>
      </c>
      <c r="G1671" s="206">
        <f t="shared" si="84"/>
        <v>10266</v>
      </c>
      <c r="H1671" s="370"/>
      <c r="I1671" s="370"/>
      <c r="J1671" s="565"/>
      <c r="K1671" s="565"/>
      <c r="L1671" s="565"/>
    </row>
    <row r="1672" ht="12.75" customHeight="1" outlineLevel="2">
      <c r="A1672" s="89" t="s">
        <v>1670</v>
      </c>
      <c r="B1672" s="301" t="s">
        <v>3467</v>
      </c>
      <c r="C1672" s="369" t="s">
        <v>1671</v>
      </c>
      <c r="D1672" s="203" t="s">
        <v>933</v>
      </c>
      <c r="E1672" s="361">
        <v>134.0</v>
      </c>
      <c r="F1672" s="362">
        <v>58.0</v>
      </c>
      <c r="G1672" s="206">
        <f t="shared" si="84"/>
        <v>7772</v>
      </c>
      <c r="H1672" s="370"/>
      <c r="I1672" s="370"/>
      <c r="J1672" s="565"/>
      <c r="K1672" s="565"/>
      <c r="L1672" s="565"/>
    </row>
    <row r="1673" ht="12.75" customHeight="1" outlineLevel="2">
      <c r="A1673" s="89" t="s">
        <v>1672</v>
      </c>
      <c r="B1673" s="301" t="s">
        <v>3469</v>
      </c>
      <c r="C1673" s="369" t="s">
        <v>1673</v>
      </c>
      <c r="D1673" s="203" t="s">
        <v>933</v>
      </c>
      <c r="E1673" s="361">
        <v>70.0</v>
      </c>
      <c r="F1673" s="362">
        <v>59.0</v>
      </c>
      <c r="G1673" s="206">
        <f t="shared" si="84"/>
        <v>4130</v>
      </c>
      <c r="H1673" s="370"/>
      <c r="I1673" s="370"/>
      <c r="J1673" s="565"/>
      <c r="K1673" s="565"/>
      <c r="L1673" s="565"/>
    </row>
    <row r="1674" ht="12.75" customHeight="1" outlineLevel="2">
      <c r="A1674" s="89"/>
      <c r="B1674" s="130"/>
      <c r="E1674" s="79"/>
      <c r="F1674" s="80"/>
      <c r="G1674" s="80"/>
      <c r="H1674" s="240"/>
      <c r="I1674" s="240"/>
      <c r="J1674" s="240"/>
      <c r="K1674" s="240"/>
      <c r="L1674" s="240"/>
    </row>
    <row r="1675" ht="12.75" customHeight="1" outlineLevel="1">
      <c r="A1675" s="89" t="s">
        <v>1674</v>
      </c>
      <c r="B1675" s="130"/>
      <c r="C1675" s="184" t="s">
        <v>1675</v>
      </c>
      <c r="E1675" s="79"/>
      <c r="F1675" s="488">
        <f>SUM(G1679:G1739)</f>
        <v>47671</v>
      </c>
      <c r="G1675" s="80"/>
      <c r="H1675" s="240"/>
      <c r="I1675" s="240"/>
      <c r="J1675" s="240"/>
      <c r="K1675" s="240"/>
      <c r="L1675" s="240"/>
    </row>
    <row r="1676" ht="12.75" customHeight="1" outlineLevel="2">
      <c r="B1676" s="130"/>
      <c r="E1676" s="79"/>
      <c r="F1676" s="80"/>
      <c r="G1676" s="80"/>
      <c r="H1676" s="240"/>
      <c r="I1676" s="240"/>
      <c r="J1676" s="240"/>
      <c r="K1676" s="240"/>
      <c r="L1676" s="240"/>
    </row>
    <row r="1677" ht="12.75" customHeight="1" outlineLevel="2">
      <c r="A1677" s="89" t="s">
        <v>1676</v>
      </c>
      <c r="B1677" s="302">
        <v>22.4</v>
      </c>
      <c r="C1677" s="368" t="s">
        <v>5664</v>
      </c>
      <c r="E1677" s="79"/>
      <c r="F1677" s="80"/>
      <c r="G1677" s="80"/>
      <c r="H1677" s="240"/>
      <c r="I1677" s="240"/>
      <c r="J1677" s="240"/>
      <c r="K1677" s="240"/>
      <c r="L1677" s="240"/>
    </row>
    <row r="1678" ht="12.75" customHeight="1" outlineLevel="2">
      <c r="B1678" s="130"/>
      <c r="E1678" s="79"/>
      <c r="F1678" s="80"/>
      <c r="G1678" s="80"/>
      <c r="H1678" s="240"/>
      <c r="I1678" s="240"/>
      <c r="J1678" s="240"/>
      <c r="K1678" s="240"/>
      <c r="L1678" s="240"/>
    </row>
    <row r="1679" ht="12.75" customHeight="1" outlineLevel="2">
      <c r="A1679" s="89" t="s">
        <v>1680</v>
      </c>
      <c r="B1679" s="301" t="s">
        <v>3473</v>
      </c>
      <c r="C1679" s="369" t="s">
        <v>1681</v>
      </c>
      <c r="D1679" s="203" t="s">
        <v>75</v>
      </c>
      <c r="E1679" s="361">
        <v>3.0</v>
      </c>
      <c r="F1679" s="362">
        <v>70.0</v>
      </c>
      <c r="G1679" s="206">
        <f t="shared" ref="G1679:G1688" si="85">F1679*E1679</f>
        <v>210</v>
      </c>
      <c r="H1679" s="370"/>
      <c r="I1679" s="370"/>
      <c r="J1679" s="565"/>
      <c r="K1679" s="565"/>
      <c r="L1679" s="565"/>
    </row>
    <row r="1680" ht="12.75" customHeight="1" outlineLevel="2">
      <c r="A1680" s="89" t="s">
        <v>1682</v>
      </c>
      <c r="B1680" s="301" t="s">
        <v>3475</v>
      </c>
      <c r="C1680" s="369" t="s">
        <v>1683</v>
      </c>
      <c r="D1680" s="203" t="s">
        <v>75</v>
      </c>
      <c r="E1680" s="361">
        <v>3.0</v>
      </c>
      <c r="F1680" s="362">
        <v>70.0</v>
      </c>
      <c r="G1680" s="206">
        <f t="shared" si="85"/>
        <v>210</v>
      </c>
      <c r="H1680" s="370"/>
      <c r="I1680" s="370"/>
      <c r="J1680" s="565"/>
      <c r="K1680" s="565"/>
      <c r="L1680" s="565"/>
    </row>
    <row r="1681" ht="12.75" customHeight="1" outlineLevel="2">
      <c r="A1681" s="89" t="s">
        <v>1684</v>
      </c>
      <c r="B1681" s="301" t="s">
        <v>3477</v>
      </c>
      <c r="C1681" s="369" t="s">
        <v>1685</v>
      </c>
      <c r="D1681" s="203" t="s">
        <v>75</v>
      </c>
      <c r="E1681" s="361">
        <v>5.0</v>
      </c>
      <c r="F1681" s="362">
        <v>211.0</v>
      </c>
      <c r="G1681" s="206">
        <f t="shared" si="85"/>
        <v>1055</v>
      </c>
      <c r="H1681" s="370"/>
      <c r="I1681" s="370"/>
      <c r="J1681" s="565"/>
      <c r="K1681" s="565"/>
      <c r="L1681" s="565"/>
    </row>
    <row r="1682" ht="12.75" customHeight="1" outlineLevel="2">
      <c r="A1682" s="89" t="s">
        <v>1686</v>
      </c>
      <c r="B1682" s="301" t="s">
        <v>3479</v>
      </c>
      <c r="C1682" s="369" t="s">
        <v>1687</v>
      </c>
      <c r="D1682" s="203" t="s">
        <v>75</v>
      </c>
      <c r="E1682" s="361">
        <v>6.0</v>
      </c>
      <c r="F1682" s="362">
        <v>166.0</v>
      </c>
      <c r="G1682" s="206">
        <f t="shared" si="85"/>
        <v>996</v>
      </c>
      <c r="H1682" s="370"/>
      <c r="I1682" s="370"/>
      <c r="J1682" s="565"/>
      <c r="K1682" s="565"/>
      <c r="L1682" s="565"/>
    </row>
    <row r="1683" ht="12.75" customHeight="1" outlineLevel="2">
      <c r="A1683" s="89" t="s">
        <v>1688</v>
      </c>
      <c r="B1683" s="301" t="s">
        <v>3481</v>
      </c>
      <c r="C1683" s="369" t="s">
        <v>1689</v>
      </c>
      <c r="D1683" s="203" t="s">
        <v>75</v>
      </c>
      <c r="E1683" s="361">
        <v>6.0</v>
      </c>
      <c r="F1683" s="362">
        <v>150.0</v>
      </c>
      <c r="G1683" s="206">
        <f t="shared" si="85"/>
        <v>900</v>
      </c>
      <c r="H1683" s="370"/>
      <c r="I1683" s="370"/>
      <c r="J1683" s="565"/>
      <c r="K1683" s="565"/>
      <c r="L1683" s="565"/>
    </row>
    <row r="1684" ht="12.75" customHeight="1" outlineLevel="2">
      <c r="A1684" s="89" t="s">
        <v>1690</v>
      </c>
      <c r="B1684" s="301" t="s">
        <v>3483</v>
      </c>
      <c r="C1684" s="369" t="s">
        <v>1691</v>
      </c>
      <c r="D1684" s="203" t="s">
        <v>75</v>
      </c>
      <c r="E1684" s="361">
        <v>2.0</v>
      </c>
      <c r="F1684" s="362">
        <v>91.0</v>
      </c>
      <c r="G1684" s="206">
        <f t="shared" si="85"/>
        <v>182</v>
      </c>
      <c r="H1684" s="370"/>
      <c r="I1684" s="370"/>
      <c r="J1684" s="565"/>
      <c r="K1684" s="565"/>
      <c r="L1684" s="565"/>
    </row>
    <row r="1685" ht="12.75" customHeight="1" outlineLevel="2">
      <c r="A1685" s="89" t="s">
        <v>1692</v>
      </c>
      <c r="B1685" s="301" t="s">
        <v>3485</v>
      </c>
      <c r="C1685" s="369" t="s">
        <v>1693</v>
      </c>
      <c r="D1685" s="203" t="s">
        <v>75</v>
      </c>
      <c r="E1685" s="361">
        <v>4.0</v>
      </c>
      <c r="F1685" s="362">
        <v>353.0</v>
      </c>
      <c r="G1685" s="206">
        <f t="shared" si="85"/>
        <v>1412</v>
      </c>
      <c r="H1685" s="370"/>
      <c r="I1685" s="370"/>
      <c r="J1685" s="565"/>
      <c r="K1685" s="565"/>
      <c r="L1685" s="565"/>
    </row>
    <row r="1686" ht="12.75" customHeight="1" outlineLevel="2">
      <c r="A1686" s="89" t="s">
        <v>1694</v>
      </c>
      <c r="B1686" s="301" t="s">
        <v>3487</v>
      </c>
      <c r="C1686" s="369" t="s">
        <v>1695</v>
      </c>
      <c r="D1686" s="203" t="s">
        <v>75</v>
      </c>
      <c r="E1686" s="361">
        <v>5.0</v>
      </c>
      <c r="F1686" s="362">
        <v>291.0</v>
      </c>
      <c r="G1686" s="206">
        <f t="shared" si="85"/>
        <v>1455</v>
      </c>
      <c r="H1686" s="370"/>
      <c r="I1686" s="370"/>
      <c r="J1686" s="565"/>
      <c r="K1686" s="565"/>
      <c r="L1686" s="565"/>
    </row>
    <row r="1687" ht="12.75" customHeight="1" outlineLevel="2">
      <c r="A1687" s="89" t="s">
        <v>1696</v>
      </c>
      <c r="B1687" s="301" t="s">
        <v>3489</v>
      </c>
      <c r="C1687" s="369" t="s">
        <v>1697</v>
      </c>
      <c r="D1687" s="203" t="s">
        <v>75</v>
      </c>
      <c r="E1687" s="361">
        <v>6.0</v>
      </c>
      <c r="F1687" s="362">
        <v>391.0</v>
      </c>
      <c r="G1687" s="206">
        <f t="shared" si="85"/>
        <v>2346</v>
      </c>
      <c r="H1687" s="370"/>
      <c r="I1687" s="370"/>
      <c r="J1687" s="565"/>
      <c r="K1687" s="565"/>
      <c r="L1687" s="565"/>
    </row>
    <row r="1688" ht="12.75" customHeight="1" outlineLevel="2">
      <c r="A1688" s="89" t="s">
        <v>1698</v>
      </c>
      <c r="B1688" s="301" t="s">
        <v>3491</v>
      </c>
      <c r="C1688" s="369" t="s">
        <v>1699</v>
      </c>
      <c r="D1688" s="203" t="s">
        <v>75</v>
      </c>
      <c r="E1688" s="361">
        <v>12.0</v>
      </c>
      <c r="F1688" s="362">
        <v>99.0</v>
      </c>
      <c r="G1688" s="206">
        <f t="shared" si="85"/>
        <v>1188</v>
      </c>
      <c r="H1688" s="370"/>
      <c r="I1688" s="370"/>
      <c r="J1688" s="565"/>
      <c r="K1688" s="565"/>
      <c r="L1688" s="565"/>
    </row>
    <row r="1689" ht="12.75" customHeight="1" outlineLevel="2">
      <c r="B1689" s="130"/>
      <c r="E1689" s="79"/>
      <c r="F1689" s="80"/>
      <c r="G1689" s="80"/>
      <c r="H1689" s="240"/>
      <c r="I1689" s="240"/>
      <c r="J1689" s="240"/>
      <c r="K1689" s="240"/>
      <c r="L1689" s="240"/>
    </row>
    <row r="1690" ht="12.75" customHeight="1" outlineLevel="2">
      <c r="A1690" s="89" t="s">
        <v>1702</v>
      </c>
      <c r="B1690" s="302">
        <v>22.5</v>
      </c>
      <c r="C1690" s="371" t="s">
        <v>1703</v>
      </c>
      <c r="E1690" s="79"/>
      <c r="F1690" s="80"/>
      <c r="G1690" s="80"/>
      <c r="H1690" s="240"/>
      <c r="I1690" s="240"/>
      <c r="J1690" s="240"/>
      <c r="K1690" s="240"/>
      <c r="L1690" s="240"/>
    </row>
    <row r="1691" ht="12.75" customHeight="1" outlineLevel="2">
      <c r="B1691" s="130"/>
      <c r="E1691" s="79"/>
      <c r="F1691" s="80"/>
      <c r="G1691" s="80"/>
      <c r="H1691" s="240"/>
      <c r="I1691" s="240"/>
      <c r="J1691" s="240"/>
      <c r="K1691" s="240"/>
      <c r="L1691" s="240"/>
    </row>
    <row r="1692" ht="12.75" customHeight="1" outlineLevel="2">
      <c r="A1692" s="89" t="s">
        <v>1704</v>
      </c>
      <c r="B1692" s="301" t="s">
        <v>3494</v>
      </c>
      <c r="C1692" s="369" t="s">
        <v>1705</v>
      </c>
      <c r="D1692" s="203" t="s">
        <v>75</v>
      </c>
      <c r="E1692" s="361">
        <v>9.0</v>
      </c>
      <c r="F1692" s="362">
        <v>30.0</v>
      </c>
      <c r="G1692" s="206">
        <f t="shared" ref="G1692:G1701" si="86">F1692*E1692</f>
        <v>270</v>
      </c>
      <c r="H1692" s="370"/>
      <c r="I1692" s="370"/>
      <c r="J1692" s="565"/>
      <c r="K1692" s="565"/>
      <c r="L1692" s="565"/>
    </row>
    <row r="1693" ht="12.75" customHeight="1" outlineLevel="2">
      <c r="A1693" s="89" t="s">
        <v>1706</v>
      </c>
      <c r="B1693" s="301" t="s">
        <v>3496</v>
      </c>
      <c r="C1693" s="369" t="s">
        <v>1707</v>
      </c>
      <c r="D1693" s="203" t="s">
        <v>75</v>
      </c>
      <c r="E1693" s="361">
        <v>8.0</v>
      </c>
      <c r="F1693" s="362">
        <v>66.0</v>
      </c>
      <c r="G1693" s="206">
        <f t="shared" si="86"/>
        <v>528</v>
      </c>
      <c r="H1693" s="370"/>
      <c r="I1693" s="370"/>
      <c r="J1693" s="565"/>
      <c r="K1693" s="565"/>
      <c r="L1693" s="565"/>
    </row>
    <row r="1694" ht="12.75" customHeight="1" outlineLevel="2">
      <c r="A1694" s="89" t="s">
        <v>1708</v>
      </c>
      <c r="B1694" s="301" t="s">
        <v>3498</v>
      </c>
      <c r="C1694" s="369" t="s">
        <v>1709</v>
      </c>
      <c r="D1694" s="203" t="s">
        <v>75</v>
      </c>
      <c r="E1694" s="361">
        <v>42.0</v>
      </c>
      <c r="F1694" s="362">
        <v>10.0</v>
      </c>
      <c r="G1694" s="206">
        <f t="shared" si="86"/>
        <v>420</v>
      </c>
      <c r="H1694" s="370"/>
      <c r="I1694" s="370"/>
      <c r="J1694" s="565"/>
      <c r="K1694" s="565"/>
      <c r="L1694" s="565"/>
    </row>
    <row r="1695" ht="12.75" customHeight="1" outlineLevel="2">
      <c r="A1695" s="89" t="s">
        <v>1710</v>
      </c>
      <c r="B1695" s="301" t="s">
        <v>3500</v>
      </c>
      <c r="C1695" s="369" t="s">
        <v>1711</v>
      </c>
      <c r="D1695" s="203" t="s">
        <v>75</v>
      </c>
      <c r="E1695" s="361">
        <v>76.0</v>
      </c>
      <c r="F1695" s="362">
        <v>40.0</v>
      </c>
      <c r="G1695" s="206">
        <f t="shared" si="86"/>
        <v>3040</v>
      </c>
      <c r="H1695" s="370"/>
      <c r="I1695" s="370"/>
      <c r="J1695" s="565"/>
      <c r="K1695" s="565"/>
      <c r="L1695" s="565"/>
    </row>
    <row r="1696" ht="12.75" customHeight="1" outlineLevel="2">
      <c r="A1696" s="89" t="s">
        <v>1712</v>
      </c>
      <c r="B1696" s="301" t="s">
        <v>3502</v>
      </c>
      <c r="C1696" s="369" t="s">
        <v>1713</v>
      </c>
      <c r="D1696" s="203" t="s">
        <v>75</v>
      </c>
      <c r="E1696" s="361">
        <v>62.0</v>
      </c>
      <c r="F1696" s="362">
        <v>43.0</v>
      </c>
      <c r="G1696" s="206">
        <f t="shared" si="86"/>
        <v>2666</v>
      </c>
      <c r="H1696" s="370"/>
      <c r="I1696" s="370"/>
      <c r="J1696" s="565"/>
      <c r="K1696" s="565"/>
      <c r="L1696" s="565"/>
    </row>
    <row r="1697" ht="12.75" customHeight="1" outlineLevel="2">
      <c r="A1697" s="89" t="s">
        <v>1714</v>
      </c>
      <c r="B1697" s="301" t="s">
        <v>3504</v>
      </c>
      <c r="C1697" s="369" t="s">
        <v>1715</v>
      </c>
      <c r="D1697" s="203" t="s">
        <v>75</v>
      </c>
      <c r="E1697" s="361">
        <v>20.0</v>
      </c>
      <c r="F1697" s="362">
        <v>18.0</v>
      </c>
      <c r="G1697" s="206">
        <f t="shared" si="86"/>
        <v>360</v>
      </c>
      <c r="H1697" s="370"/>
      <c r="I1697" s="370"/>
      <c r="J1697" s="565"/>
      <c r="K1697" s="565"/>
      <c r="L1697" s="565"/>
    </row>
    <row r="1698" ht="12.75" customHeight="1" outlineLevel="2">
      <c r="A1698" s="89" t="s">
        <v>1716</v>
      </c>
      <c r="B1698" s="301" t="s">
        <v>3506</v>
      </c>
      <c r="C1698" s="369" t="s">
        <v>1717</v>
      </c>
      <c r="D1698" s="203" t="s">
        <v>75</v>
      </c>
      <c r="E1698" s="361">
        <v>118.0</v>
      </c>
      <c r="F1698" s="362">
        <v>9.0</v>
      </c>
      <c r="G1698" s="206">
        <f t="shared" si="86"/>
        <v>1062</v>
      </c>
      <c r="H1698" s="370"/>
      <c r="I1698" s="370"/>
      <c r="J1698" s="565"/>
      <c r="K1698" s="565"/>
      <c r="L1698" s="565"/>
    </row>
    <row r="1699" ht="12.75" customHeight="1" outlineLevel="2">
      <c r="A1699" s="89" t="s">
        <v>1718</v>
      </c>
      <c r="B1699" s="301" t="s">
        <v>3508</v>
      </c>
      <c r="C1699" s="369" t="s">
        <v>1719</v>
      </c>
      <c r="D1699" s="203" t="s">
        <v>75</v>
      </c>
      <c r="E1699" s="361">
        <v>14.0</v>
      </c>
      <c r="F1699" s="362">
        <v>20.0</v>
      </c>
      <c r="G1699" s="206">
        <f t="shared" si="86"/>
        <v>280</v>
      </c>
      <c r="H1699" s="370"/>
      <c r="I1699" s="370"/>
      <c r="J1699" s="565"/>
      <c r="K1699" s="565"/>
      <c r="L1699" s="565"/>
    </row>
    <row r="1700" ht="12.75" customHeight="1" outlineLevel="2">
      <c r="A1700" s="89" t="s">
        <v>1720</v>
      </c>
      <c r="B1700" s="301" t="s">
        <v>3510</v>
      </c>
      <c r="C1700" s="369" t="s">
        <v>1721</v>
      </c>
      <c r="D1700" s="203" t="s">
        <v>75</v>
      </c>
      <c r="E1700" s="361">
        <v>17.0</v>
      </c>
      <c r="F1700" s="362">
        <v>15.0</v>
      </c>
      <c r="G1700" s="206">
        <f t="shared" si="86"/>
        <v>255</v>
      </c>
      <c r="H1700" s="370"/>
      <c r="I1700" s="370"/>
      <c r="J1700" s="565"/>
      <c r="K1700" s="565"/>
      <c r="L1700" s="565"/>
    </row>
    <row r="1701" ht="12.75" customHeight="1" outlineLevel="2">
      <c r="A1701" s="89" t="s">
        <v>1722</v>
      </c>
      <c r="B1701" s="301" t="s">
        <v>3512</v>
      </c>
      <c r="C1701" s="369" t="s">
        <v>1723</v>
      </c>
      <c r="D1701" s="203" t="s">
        <v>75</v>
      </c>
      <c r="E1701" s="361">
        <v>40.0</v>
      </c>
      <c r="F1701" s="362">
        <v>10.0</v>
      </c>
      <c r="G1701" s="206">
        <f t="shared" si="86"/>
        <v>400</v>
      </c>
      <c r="H1701" s="370"/>
      <c r="I1701" s="370"/>
      <c r="J1701" s="565"/>
      <c r="K1701" s="565"/>
      <c r="L1701" s="565"/>
    </row>
    <row r="1702" ht="12.75" customHeight="1" outlineLevel="2">
      <c r="B1702" s="130"/>
      <c r="E1702" s="79"/>
      <c r="F1702" s="80"/>
      <c r="G1702" s="80"/>
      <c r="H1702" s="240"/>
      <c r="I1702" s="240"/>
      <c r="J1702" s="240"/>
      <c r="K1702" s="240"/>
      <c r="L1702" s="240"/>
    </row>
    <row r="1703" ht="12.75" customHeight="1" outlineLevel="2">
      <c r="A1703" s="89" t="s">
        <v>1724</v>
      </c>
      <c r="B1703" s="130"/>
      <c r="C1703" s="184" t="s">
        <v>1725</v>
      </c>
      <c r="E1703" s="79"/>
      <c r="F1703" s="80"/>
      <c r="G1703" s="80"/>
      <c r="H1703" s="240"/>
      <c r="I1703" s="240"/>
      <c r="J1703" s="240"/>
      <c r="K1703" s="240"/>
      <c r="L1703" s="240"/>
    </row>
    <row r="1704" ht="12.75" customHeight="1" outlineLevel="2">
      <c r="B1704" s="130"/>
      <c r="E1704" s="79"/>
      <c r="F1704" s="80"/>
      <c r="G1704" s="80"/>
      <c r="H1704" s="240"/>
      <c r="I1704" s="240"/>
      <c r="J1704" s="240"/>
      <c r="K1704" s="240"/>
      <c r="L1704" s="240"/>
    </row>
    <row r="1705" ht="12.75" customHeight="1" outlineLevel="2">
      <c r="A1705" s="89" t="s">
        <v>1726</v>
      </c>
      <c r="B1705" s="302">
        <v>22.6</v>
      </c>
      <c r="C1705" s="368" t="s">
        <v>1727</v>
      </c>
      <c r="E1705" s="79"/>
      <c r="F1705" s="80"/>
      <c r="G1705" s="80"/>
      <c r="H1705" s="240"/>
      <c r="I1705" s="240"/>
      <c r="J1705" s="240"/>
      <c r="K1705" s="240"/>
      <c r="L1705" s="240"/>
    </row>
    <row r="1706" ht="12.75" customHeight="1" outlineLevel="2">
      <c r="B1706" s="130"/>
      <c r="E1706" s="79"/>
      <c r="F1706" s="80"/>
      <c r="G1706" s="80"/>
      <c r="H1706" s="240"/>
      <c r="I1706" s="240"/>
      <c r="J1706" s="240"/>
      <c r="K1706" s="240"/>
      <c r="L1706" s="240"/>
    </row>
    <row r="1707" ht="12.75" customHeight="1" outlineLevel="2">
      <c r="A1707" s="89" t="s">
        <v>1728</v>
      </c>
      <c r="B1707" s="302" t="s">
        <v>3516</v>
      </c>
      <c r="C1707" s="369" t="s">
        <v>1729</v>
      </c>
      <c r="D1707" s="203" t="s">
        <v>75</v>
      </c>
      <c r="E1707" s="361">
        <v>5.0</v>
      </c>
      <c r="F1707" s="362">
        <v>143.0</v>
      </c>
      <c r="G1707" s="206">
        <f t="shared" ref="G1707:G1708" si="87">F1707*E1707</f>
        <v>715</v>
      </c>
      <c r="H1707" s="370"/>
      <c r="I1707" s="370"/>
      <c r="J1707" s="565"/>
      <c r="K1707" s="565"/>
      <c r="L1707" s="565"/>
    </row>
    <row r="1708" ht="12.75" customHeight="1" outlineLevel="2">
      <c r="A1708" s="89" t="s">
        <v>1730</v>
      </c>
      <c r="B1708" s="302" t="s">
        <v>3518</v>
      </c>
      <c r="C1708" s="369" t="s">
        <v>1731</v>
      </c>
      <c r="D1708" s="203" t="s">
        <v>75</v>
      </c>
      <c r="E1708" s="361">
        <v>3.0</v>
      </c>
      <c r="F1708" s="362">
        <v>126.0</v>
      </c>
      <c r="G1708" s="206">
        <f t="shared" si="87"/>
        <v>378</v>
      </c>
      <c r="H1708" s="370"/>
      <c r="I1708" s="370"/>
      <c r="J1708" s="565"/>
      <c r="K1708" s="565"/>
      <c r="L1708" s="565"/>
    </row>
    <row r="1709" ht="12.75" customHeight="1" outlineLevel="2">
      <c r="B1709" s="130"/>
      <c r="E1709" s="79"/>
      <c r="F1709" s="80"/>
      <c r="G1709" s="80"/>
      <c r="H1709" s="240"/>
      <c r="I1709" s="240"/>
      <c r="J1709" s="240"/>
      <c r="K1709" s="240"/>
      <c r="L1709" s="240"/>
    </row>
    <row r="1710" ht="12.75" customHeight="1" outlineLevel="2">
      <c r="A1710" s="89" t="s">
        <v>1732</v>
      </c>
      <c r="B1710" s="130"/>
      <c r="C1710" s="184" t="s">
        <v>1733</v>
      </c>
      <c r="E1710" s="79"/>
      <c r="F1710" s="80"/>
      <c r="G1710" s="80"/>
      <c r="H1710" s="240"/>
      <c r="I1710" s="240"/>
      <c r="J1710" s="240"/>
      <c r="K1710" s="240"/>
      <c r="L1710" s="240"/>
    </row>
    <row r="1711" ht="12.75" customHeight="1" outlineLevel="2">
      <c r="B1711" s="130"/>
      <c r="E1711" s="79"/>
      <c r="F1711" s="80"/>
      <c r="G1711" s="80"/>
      <c r="H1711" s="240"/>
      <c r="I1711" s="240"/>
      <c r="J1711" s="240"/>
      <c r="K1711" s="240"/>
      <c r="L1711" s="240"/>
    </row>
    <row r="1712" ht="12.75" customHeight="1" outlineLevel="2">
      <c r="A1712" s="89" t="s">
        <v>1734</v>
      </c>
      <c r="B1712" s="302">
        <v>22.7</v>
      </c>
      <c r="C1712" s="368" t="s">
        <v>1735</v>
      </c>
      <c r="E1712" s="79"/>
      <c r="F1712" s="80"/>
      <c r="G1712" s="80"/>
      <c r="H1712" s="240"/>
      <c r="I1712" s="240"/>
      <c r="J1712" s="240"/>
      <c r="K1712" s="240"/>
      <c r="L1712" s="240"/>
    </row>
    <row r="1713" ht="12.75" customHeight="1" outlineLevel="2">
      <c r="B1713" s="130"/>
      <c r="E1713" s="79"/>
      <c r="F1713" s="80"/>
      <c r="G1713" s="80"/>
      <c r="H1713" s="240"/>
      <c r="I1713" s="240"/>
      <c r="J1713" s="240"/>
      <c r="K1713" s="240"/>
      <c r="L1713" s="240"/>
    </row>
    <row r="1714" ht="12.75" customHeight="1" outlineLevel="2">
      <c r="A1714" s="89" t="s">
        <v>1736</v>
      </c>
      <c r="B1714" s="301" t="s">
        <v>3522</v>
      </c>
      <c r="C1714" s="369" t="s">
        <v>1737</v>
      </c>
      <c r="D1714" s="203" t="s">
        <v>75</v>
      </c>
      <c r="E1714" s="361">
        <v>170.0</v>
      </c>
      <c r="F1714" s="362">
        <v>4.0</v>
      </c>
      <c r="G1714" s="206">
        <f t="shared" ref="G1714:G1720" si="88">F1714*E1714</f>
        <v>680</v>
      </c>
      <c r="H1714" s="370"/>
      <c r="I1714" s="370"/>
      <c r="J1714" s="565"/>
      <c r="K1714" s="565"/>
      <c r="L1714" s="565"/>
    </row>
    <row r="1715" ht="12.75" customHeight="1" outlineLevel="2">
      <c r="A1715" s="89" t="s">
        <v>1738</v>
      </c>
      <c r="B1715" s="301" t="s">
        <v>3524</v>
      </c>
      <c r="C1715" s="369" t="s">
        <v>1739</v>
      </c>
      <c r="D1715" s="203" t="s">
        <v>75</v>
      </c>
      <c r="E1715" s="361">
        <v>250.0</v>
      </c>
      <c r="F1715" s="362">
        <v>4.0</v>
      </c>
      <c r="G1715" s="206">
        <f t="shared" si="88"/>
        <v>1000</v>
      </c>
      <c r="H1715" s="370"/>
      <c r="I1715" s="370"/>
      <c r="J1715" s="565"/>
      <c r="K1715" s="565"/>
      <c r="L1715" s="565"/>
    </row>
    <row r="1716" ht="12.75" customHeight="1" outlineLevel="2">
      <c r="A1716" s="89" t="s">
        <v>1740</v>
      </c>
      <c r="B1716" s="301" t="s">
        <v>3526</v>
      </c>
      <c r="C1716" s="369" t="s">
        <v>1741</v>
      </c>
      <c r="D1716" s="203" t="s">
        <v>75</v>
      </c>
      <c r="E1716" s="361">
        <v>250.0</v>
      </c>
      <c r="F1716" s="362">
        <v>9.0</v>
      </c>
      <c r="G1716" s="206">
        <f t="shared" si="88"/>
        <v>2250</v>
      </c>
      <c r="H1716" s="370"/>
      <c r="I1716" s="370"/>
      <c r="J1716" s="565"/>
      <c r="K1716" s="565"/>
      <c r="L1716" s="565"/>
    </row>
    <row r="1717" ht="12.75" customHeight="1" outlineLevel="2">
      <c r="A1717" s="89" t="s">
        <v>1742</v>
      </c>
      <c r="B1717" s="301" t="s">
        <v>3528</v>
      </c>
      <c r="C1717" s="369" t="s">
        <v>1743</v>
      </c>
      <c r="D1717" s="203" t="s">
        <v>75</v>
      </c>
      <c r="E1717" s="361">
        <v>250.0</v>
      </c>
      <c r="F1717" s="362">
        <v>8.0</v>
      </c>
      <c r="G1717" s="206">
        <f t="shared" si="88"/>
        <v>2000</v>
      </c>
      <c r="H1717" s="370"/>
      <c r="I1717" s="370"/>
      <c r="J1717" s="565"/>
      <c r="K1717" s="565"/>
      <c r="L1717" s="565"/>
    </row>
    <row r="1718" ht="12.75" customHeight="1" outlineLevel="2">
      <c r="A1718" s="89" t="s">
        <v>1744</v>
      </c>
      <c r="B1718" s="301" t="s">
        <v>3530</v>
      </c>
      <c r="C1718" s="369" t="s">
        <v>1745</v>
      </c>
      <c r="D1718" s="203" t="s">
        <v>75</v>
      </c>
      <c r="E1718" s="361">
        <v>250.0</v>
      </c>
      <c r="F1718" s="362">
        <v>7.0</v>
      </c>
      <c r="G1718" s="206">
        <f t="shared" si="88"/>
        <v>1750</v>
      </c>
      <c r="H1718" s="370"/>
      <c r="I1718" s="370"/>
      <c r="J1718" s="565"/>
      <c r="K1718" s="565"/>
      <c r="L1718" s="565"/>
    </row>
    <row r="1719" ht="12.75" customHeight="1" outlineLevel="2">
      <c r="A1719" s="89" t="s">
        <v>1746</v>
      </c>
      <c r="B1719" s="301" t="s">
        <v>3532</v>
      </c>
      <c r="C1719" s="369" t="s">
        <v>1747</v>
      </c>
      <c r="D1719" s="203" t="s">
        <v>75</v>
      </c>
      <c r="E1719" s="361">
        <v>300.0</v>
      </c>
      <c r="F1719" s="362">
        <v>6.0</v>
      </c>
      <c r="G1719" s="206">
        <f t="shared" si="88"/>
        <v>1800</v>
      </c>
      <c r="H1719" s="370"/>
      <c r="I1719" s="370"/>
      <c r="J1719" s="565"/>
      <c r="K1719" s="565"/>
      <c r="L1719" s="565"/>
    </row>
    <row r="1720" ht="12.75" customHeight="1" outlineLevel="2">
      <c r="A1720" s="89" t="s">
        <v>1748</v>
      </c>
      <c r="B1720" s="301" t="s">
        <v>3534</v>
      </c>
      <c r="C1720" s="369" t="s">
        <v>1749</v>
      </c>
      <c r="D1720" s="203" t="s">
        <v>75</v>
      </c>
      <c r="E1720" s="361">
        <v>150.0</v>
      </c>
      <c r="F1720" s="362">
        <v>4.0</v>
      </c>
      <c r="G1720" s="206">
        <f t="shared" si="88"/>
        <v>600</v>
      </c>
      <c r="H1720" s="370"/>
      <c r="I1720" s="370"/>
      <c r="J1720" s="565"/>
      <c r="K1720" s="565"/>
      <c r="L1720" s="565"/>
    </row>
    <row r="1721" ht="12.75" customHeight="1" outlineLevel="2">
      <c r="B1721" s="130"/>
      <c r="E1721" s="79"/>
      <c r="F1721" s="80"/>
      <c r="G1721" s="80"/>
      <c r="H1721" s="240"/>
      <c r="I1721" s="240"/>
      <c r="J1721" s="240"/>
      <c r="K1721" s="240"/>
      <c r="L1721" s="240"/>
    </row>
    <row r="1722" ht="12.75" customHeight="1" outlineLevel="2">
      <c r="A1722" s="89" t="s">
        <v>1750</v>
      </c>
      <c r="B1722" s="130"/>
      <c r="C1722" s="184" t="s">
        <v>1751</v>
      </c>
      <c r="E1722" s="79"/>
      <c r="F1722" s="80"/>
      <c r="G1722" s="80"/>
      <c r="H1722" s="240"/>
      <c r="I1722" s="240"/>
      <c r="J1722" s="240"/>
      <c r="K1722" s="240"/>
      <c r="L1722" s="240"/>
    </row>
    <row r="1723" ht="12.75" customHeight="1" outlineLevel="2">
      <c r="B1723" s="130"/>
      <c r="E1723" s="79"/>
      <c r="F1723" s="80"/>
      <c r="G1723" s="80"/>
      <c r="H1723" s="240"/>
      <c r="I1723" s="240"/>
      <c r="J1723" s="240"/>
      <c r="K1723" s="240"/>
      <c r="L1723" s="240"/>
    </row>
    <row r="1724" ht="12.75" customHeight="1" outlineLevel="2">
      <c r="A1724" s="89" t="s">
        <v>1752</v>
      </c>
      <c r="B1724" s="301" t="s">
        <v>3537</v>
      </c>
      <c r="C1724" s="369" t="s">
        <v>1753</v>
      </c>
      <c r="D1724" s="203" t="s">
        <v>40</v>
      </c>
      <c r="E1724" s="361">
        <v>725.0</v>
      </c>
      <c r="F1724" s="362">
        <v>6.0</v>
      </c>
      <c r="G1724" s="206">
        <f>F1724*E1724</f>
        <v>4350</v>
      </c>
      <c r="H1724" s="370"/>
      <c r="I1724" s="370"/>
      <c r="J1724" s="565"/>
      <c r="K1724" s="565"/>
      <c r="L1724" s="565"/>
    </row>
    <row r="1725" ht="12.75" customHeight="1" outlineLevel="2">
      <c r="B1725" s="130"/>
      <c r="E1725" s="79"/>
      <c r="F1725" s="80"/>
      <c r="G1725" s="80"/>
      <c r="H1725" s="240"/>
      <c r="I1725" s="240"/>
      <c r="J1725" s="240"/>
      <c r="K1725" s="240"/>
      <c r="L1725" s="240"/>
    </row>
    <row r="1726" ht="12.75" customHeight="1" outlineLevel="2">
      <c r="B1726" s="130"/>
      <c r="E1726" s="79"/>
      <c r="F1726" s="80"/>
      <c r="G1726" s="80"/>
      <c r="H1726" s="240"/>
      <c r="I1726" s="240"/>
      <c r="J1726" s="240"/>
      <c r="K1726" s="240"/>
      <c r="L1726" s="240"/>
    </row>
    <row r="1727" ht="12.75" customHeight="1" outlineLevel="2">
      <c r="A1727" s="89" t="s">
        <v>1755</v>
      </c>
      <c r="B1727" s="130"/>
      <c r="C1727" s="184" t="s">
        <v>1756</v>
      </c>
      <c r="E1727" s="79"/>
      <c r="F1727" s="80"/>
      <c r="G1727" s="80"/>
      <c r="H1727" s="240"/>
      <c r="I1727" s="240"/>
      <c r="J1727" s="240"/>
      <c r="K1727" s="240"/>
      <c r="L1727" s="240"/>
    </row>
    <row r="1728" ht="12.75" customHeight="1" outlineLevel="2">
      <c r="B1728" s="130"/>
      <c r="E1728" s="79"/>
      <c r="F1728" s="80"/>
      <c r="G1728" s="80"/>
      <c r="H1728" s="240"/>
      <c r="I1728" s="240"/>
      <c r="J1728" s="240"/>
      <c r="K1728" s="240"/>
      <c r="L1728" s="240"/>
    </row>
    <row r="1729" ht="12.75" customHeight="1" outlineLevel="2">
      <c r="A1729" s="89" t="s">
        <v>1757</v>
      </c>
      <c r="B1729" s="301" t="s">
        <v>3540</v>
      </c>
      <c r="C1729" s="369" t="s">
        <v>1758</v>
      </c>
      <c r="D1729" s="203" t="s">
        <v>40</v>
      </c>
      <c r="E1729" s="361">
        <v>886.0</v>
      </c>
      <c r="F1729" s="362">
        <v>4.0</v>
      </c>
      <c r="G1729" s="206">
        <f>F1729*E1729</f>
        <v>3544</v>
      </c>
      <c r="H1729" s="370"/>
      <c r="I1729" s="370"/>
      <c r="J1729" s="565"/>
      <c r="K1729" s="565"/>
      <c r="L1729" s="565"/>
    </row>
    <row r="1730" ht="12.75" customHeight="1" outlineLevel="2">
      <c r="B1730" s="130"/>
      <c r="E1730" s="79"/>
      <c r="F1730" s="80"/>
      <c r="G1730" s="80"/>
      <c r="H1730" s="240"/>
      <c r="I1730" s="240"/>
      <c r="J1730" s="240"/>
      <c r="K1730" s="240"/>
      <c r="L1730" s="240"/>
    </row>
    <row r="1731" ht="12.75" customHeight="1" outlineLevel="2">
      <c r="B1731" s="130"/>
      <c r="C1731" s="90"/>
      <c r="E1731" s="79"/>
      <c r="F1731" s="80"/>
      <c r="G1731" s="80"/>
      <c r="H1731" s="240"/>
      <c r="I1731" s="240"/>
      <c r="J1731" s="240"/>
      <c r="K1731" s="240"/>
      <c r="L1731" s="240"/>
    </row>
    <row r="1732" ht="12.75" customHeight="1" outlineLevel="2">
      <c r="B1732" s="130"/>
      <c r="E1732" s="79"/>
      <c r="F1732" s="80"/>
      <c r="G1732" s="80"/>
      <c r="H1732" s="240"/>
      <c r="I1732" s="240"/>
      <c r="J1732" s="240"/>
      <c r="K1732" s="240"/>
      <c r="L1732" s="240"/>
    </row>
    <row r="1733" ht="12.75" customHeight="1" outlineLevel="2">
      <c r="A1733" s="89" t="s">
        <v>1760</v>
      </c>
      <c r="B1733" s="375"/>
      <c r="C1733" s="184" t="s">
        <v>1761</v>
      </c>
      <c r="E1733" s="79"/>
      <c r="F1733" s="80"/>
      <c r="G1733" s="80"/>
      <c r="H1733" s="240"/>
      <c r="I1733" s="240"/>
      <c r="J1733" s="240"/>
      <c r="K1733" s="240"/>
      <c r="L1733" s="240"/>
    </row>
    <row r="1734" ht="12.75" customHeight="1" outlineLevel="2">
      <c r="B1734" s="130"/>
      <c r="E1734" s="79"/>
      <c r="F1734" s="80"/>
      <c r="G1734" s="80"/>
      <c r="H1734" s="240"/>
      <c r="I1734" s="240"/>
      <c r="J1734" s="240"/>
      <c r="K1734" s="240"/>
      <c r="L1734" s="240"/>
    </row>
    <row r="1735" ht="12.75" customHeight="1" outlineLevel="2">
      <c r="A1735" s="89" t="s">
        <v>1762</v>
      </c>
      <c r="B1735" s="301" t="s">
        <v>3543</v>
      </c>
      <c r="C1735" s="369" t="s">
        <v>1763</v>
      </c>
      <c r="D1735" s="203" t="s">
        <v>75</v>
      </c>
      <c r="E1735" s="361">
        <v>52.0</v>
      </c>
      <c r="F1735" s="362">
        <v>32.0</v>
      </c>
      <c r="G1735" s="206">
        <f>F1735*E1735</f>
        <v>1664</v>
      </c>
      <c r="H1735" s="370"/>
      <c r="I1735" s="370"/>
      <c r="J1735" s="565"/>
      <c r="K1735" s="565"/>
      <c r="L1735" s="565"/>
    </row>
    <row r="1736" ht="12.75" customHeight="1" outlineLevel="2">
      <c r="B1736" s="130"/>
      <c r="E1736" s="79"/>
      <c r="F1736" s="80"/>
      <c r="G1736" s="80"/>
      <c r="H1736" s="240"/>
      <c r="I1736" s="240"/>
      <c r="J1736" s="240"/>
      <c r="K1736" s="240"/>
      <c r="L1736" s="240"/>
    </row>
    <row r="1737" ht="12.75" customHeight="1" outlineLevel="2">
      <c r="A1737" s="89" t="s">
        <v>1764</v>
      </c>
      <c r="B1737" s="130"/>
      <c r="C1737" s="184" t="s">
        <v>1765</v>
      </c>
      <c r="E1737" s="79"/>
      <c r="F1737" s="80"/>
      <c r="G1737" s="80"/>
      <c r="H1737" s="240"/>
      <c r="I1737" s="240"/>
      <c r="J1737" s="240"/>
      <c r="K1737" s="240"/>
      <c r="L1737" s="240"/>
    </row>
    <row r="1738" ht="12.75" customHeight="1" outlineLevel="2">
      <c r="B1738" s="130"/>
      <c r="E1738" s="79"/>
      <c r="F1738" s="80"/>
      <c r="G1738" s="80"/>
      <c r="H1738" s="240"/>
      <c r="I1738" s="240"/>
      <c r="J1738" s="240"/>
      <c r="K1738" s="240"/>
      <c r="L1738" s="240"/>
    </row>
    <row r="1739" ht="12.75" customHeight="1" outlineLevel="2">
      <c r="A1739" s="89" t="s">
        <v>1766</v>
      </c>
      <c r="B1739" s="301" t="s">
        <v>3546</v>
      </c>
      <c r="C1739" s="369" t="s">
        <v>1767</v>
      </c>
      <c r="D1739" s="203" t="s">
        <v>40</v>
      </c>
      <c r="E1739" s="361">
        <v>335.0</v>
      </c>
      <c r="F1739" s="362">
        <v>23.0</v>
      </c>
      <c r="G1739" s="206">
        <f>F1739*E1739</f>
        <v>7705</v>
      </c>
      <c r="H1739" s="370"/>
      <c r="I1739" s="370"/>
      <c r="J1739" s="565"/>
      <c r="K1739" s="565"/>
      <c r="L1739" s="565"/>
    </row>
    <row r="1740" ht="12.75" customHeight="1" outlineLevel="1">
      <c r="A1740" s="89"/>
      <c r="B1740" s="130"/>
      <c r="C1740" s="90"/>
      <c r="D1740" s="89"/>
      <c r="E1740" s="91"/>
      <c r="F1740" s="92"/>
      <c r="G1740" s="92"/>
      <c r="H1740" s="240"/>
      <c r="I1740" s="240"/>
      <c r="J1740" s="240"/>
      <c r="K1740" s="240"/>
      <c r="L1740" s="240"/>
    </row>
    <row r="1741" ht="12.75" customHeight="1">
      <c r="A1741" s="192"/>
      <c r="B1741" s="84">
        <v>23.0</v>
      </c>
      <c r="C1741" s="306" t="s">
        <v>1769</v>
      </c>
      <c r="D1741" s="193"/>
      <c r="E1741" s="194"/>
      <c r="F1741" s="195"/>
      <c r="G1741" s="196">
        <f>SUM(G1746:G1810)</f>
        <v>34796.64</v>
      </c>
      <c r="H1741" s="197">
        <f>G1741-Resumo!J53</f>
        <v>1130.7</v>
      </c>
      <c r="I1741" s="197">
        <f>H1741-Resumo!K53</f>
        <v>1130.7</v>
      </c>
      <c r="J1741" s="919"/>
      <c r="K1741" s="169"/>
      <c r="L1741" s="169"/>
    </row>
    <row r="1742" ht="12.75" customHeight="1" outlineLevel="1">
      <c r="A1742" s="89"/>
      <c r="B1742" s="312"/>
      <c r="C1742" s="90"/>
      <c r="E1742" s="79"/>
      <c r="F1742" s="80"/>
      <c r="G1742" s="80"/>
      <c r="H1742" s="240"/>
      <c r="I1742" s="240"/>
      <c r="J1742" s="240"/>
      <c r="K1742" s="240"/>
      <c r="L1742" s="240"/>
    </row>
    <row r="1743" ht="12.75" customHeight="1" outlineLevel="1">
      <c r="A1743" s="89"/>
      <c r="B1743" s="189"/>
      <c r="E1743" s="79"/>
      <c r="F1743" s="80"/>
      <c r="G1743" s="80"/>
      <c r="H1743" s="240"/>
      <c r="I1743" s="240"/>
      <c r="J1743" s="240"/>
      <c r="K1743" s="240"/>
      <c r="L1743" s="240"/>
    </row>
    <row r="1744" ht="12.75" customHeight="1" outlineLevel="1">
      <c r="A1744" s="89" t="s">
        <v>1773</v>
      </c>
      <c r="B1744" s="189"/>
      <c r="C1744" s="306" t="s">
        <v>1774</v>
      </c>
      <c r="E1744" s="79"/>
      <c r="F1744" s="586">
        <f>SUM(G1746:G1750)</f>
        <v>6848.64</v>
      </c>
      <c r="H1744" s="240"/>
      <c r="I1744" s="240"/>
      <c r="J1744" s="240"/>
      <c r="K1744" s="436">
        <v>4000.0</v>
      </c>
      <c r="L1744" s="240">
        <f>F1744-K1744</f>
        <v>2848.64</v>
      </c>
    </row>
    <row r="1745" ht="12.75" customHeight="1" outlineLevel="2">
      <c r="B1745" s="189"/>
      <c r="E1745" s="79"/>
      <c r="F1745" s="80"/>
      <c r="G1745" s="80"/>
      <c r="H1745" s="240"/>
      <c r="I1745" s="240"/>
      <c r="J1745" s="240"/>
      <c r="K1745" s="240"/>
      <c r="L1745" s="240"/>
    </row>
    <row r="1746" ht="12.75" customHeight="1" outlineLevel="2">
      <c r="A1746" s="89" t="s">
        <v>1775</v>
      </c>
      <c r="B1746" s="301" t="s">
        <v>3550</v>
      </c>
      <c r="C1746" s="369" t="s">
        <v>1776</v>
      </c>
      <c r="D1746" s="203" t="s">
        <v>933</v>
      </c>
      <c r="E1746" s="361">
        <v>232.0</v>
      </c>
      <c r="F1746" s="362">
        <v>4.0</v>
      </c>
      <c r="G1746" s="206">
        <f>F1746*E1746</f>
        <v>928</v>
      </c>
      <c r="H1746" s="370"/>
      <c r="I1746" s="370"/>
      <c r="J1746" s="565"/>
      <c r="K1746" s="565"/>
      <c r="L1746" s="565"/>
    </row>
    <row r="1747" ht="12.75" customHeight="1" outlineLevel="2">
      <c r="B1747" s="130"/>
      <c r="E1747" s="79"/>
      <c r="F1747" s="80"/>
      <c r="G1747" s="80"/>
      <c r="H1747" s="240"/>
      <c r="I1747" s="240"/>
      <c r="J1747" s="240"/>
      <c r="K1747" s="240"/>
      <c r="L1747" s="240"/>
    </row>
    <row r="1748" ht="12.75" customHeight="1" outlineLevel="2">
      <c r="A1748" s="89" t="s">
        <v>1777</v>
      </c>
      <c r="B1748" s="301" t="s">
        <v>3552</v>
      </c>
      <c r="C1748" s="369" t="s">
        <v>1778</v>
      </c>
      <c r="D1748" s="203" t="s">
        <v>933</v>
      </c>
      <c r="E1748" s="361">
        <v>92.8</v>
      </c>
      <c r="F1748" s="362">
        <v>41.0</v>
      </c>
      <c r="G1748" s="206">
        <f>F1748*E1748</f>
        <v>3804.8</v>
      </c>
      <c r="H1748" s="370"/>
      <c r="I1748" s="370"/>
      <c r="J1748" s="565"/>
      <c r="K1748" s="565"/>
      <c r="L1748" s="565"/>
    </row>
    <row r="1749" ht="12.75" customHeight="1" outlineLevel="2">
      <c r="B1749" s="130"/>
      <c r="E1749" s="79"/>
      <c r="F1749" s="80"/>
      <c r="G1749" s="80"/>
      <c r="H1749" s="240"/>
      <c r="I1749" s="240"/>
      <c r="J1749" s="240"/>
      <c r="K1749" s="240"/>
      <c r="L1749" s="240"/>
    </row>
    <row r="1750" ht="12.75" customHeight="1" outlineLevel="2">
      <c r="A1750" s="89" t="s">
        <v>1779</v>
      </c>
      <c r="B1750" s="301" t="s">
        <v>3554</v>
      </c>
      <c r="C1750" s="369" t="s">
        <v>1780</v>
      </c>
      <c r="D1750" s="203" t="s">
        <v>933</v>
      </c>
      <c r="E1750" s="361">
        <v>111.36</v>
      </c>
      <c r="F1750" s="362">
        <v>19.0</v>
      </c>
      <c r="G1750" s="206">
        <f>F1750*E1750</f>
        <v>2115.84</v>
      </c>
      <c r="H1750" s="370"/>
      <c r="I1750" s="370"/>
      <c r="J1750" s="565"/>
      <c r="K1750" s="565"/>
      <c r="L1750" s="565"/>
    </row>
    <row r="1751" ht="12.75" customHeight="1" outlineLevel="2">
      <c r="A1751" s="89"/>
      <c r="B1751" s="130"/>
      <c r="E1751" s="79"/>
      <c r="F1751" s="80"/>
      <c r="G1751" s="80"/>
      <c r="H1751" s="240"/>
      <c r="I1751" s="240"/>
      <c r="J1751" s="240"/>
      <c r="K1751" s="240"/>
      <c r="L1751" s="240"/>
    </row>
    <row r="1752" ht="12.75" customHeight="1" outlineLevel="1">
      <c r="A1752" s="89" t="s">
        <v>1781</v>
      </c>
      <c r="B1752" s="130"/>
      <c r="C1752" s="306" t="s">
        <v>1782</v>
      </c>
      <c r="E1752" s="79"/>
      <c r="F1752" s="586">
        <f>SUM(G1755:G1762)</f>
        <v>3100</v>
      </c>
      <c r="H1752" s="240"/>
      <c r="I1752" s="240"/>
      <c r="J1752" s="240"/>
      <c r="K1752" s="436">
        <v>3000.0</v>
      </c>
      <c r="L1752" s="240">
        <f>F1752-K1752</f>
        <v>100</v>
      </c>
    </row>
    <row r="1753" ht="12.75" customHeight="1" outlineLevel="2">
      <c r="B1753" s="130"/>
      <c r="E1753" s="79"/>
      <c r="F1753" s="80"/>
      <c r="G1753" s="80"/>
      <c r="H1753" s="240"/>
      <c r="I1753" s="240"/>
      <c r="J1753" s="240"/>
      <c r="K1753" s="240"/>
      <c r="L1753" s="240"/>
    </row>
    <row r="1754" ht="12.75" customHeight="1" outlineLevel="2">
      <c r="A1754" s="89" t="s">
        <v>1783</v>
      </c>
      <c r="B1754" s="302">
        <v>23.4</v>
      </c>
      <c r="C1754" s="368" t="s">
        <v>1784</v>
      </c>
      <c r="E1754" s="79"/>
      <c r="F1754" s="80"/>
      <c r="G1754" s="80"/>
      <c r="H1754" s="240"/>
      <c r="I1754" s="240"/>
      <c r="J1754" s="240"/>
      <c r="K1754" s="240"/>
      <c r="L1754" s="240"/>
    </row>
    <row r="1755" ht="12.75" customHeight="1" outlineLevel="2">
      <c r="B1755" s="130"/>
      <c r="E1755" s="79"/>
      <c r="F1755" s="80"/>
      <c r="G1755" s="80"/>
      <c r="H1755" s="240"/>
      <c r="I1755" s="240"/>
      <c r="J1755" s="240"/>
      <c r="K1755" s="240"/>
      <c r="L1755" s="240"/>
    </row>
    <row r="1756" ht="12.75" customHeight="1" outlineLevel="2">
      <c r="A1756" s="89" t="s">
        <v>1785</v>
      </c>
      <c r="B1756" s="301" t="s">
        <v>3558</v>
      </c>
      <c r="C1756" s="369" t="s">
        <v>1786</v>
      </c>
      <c r="D1756" s="203" t="s">
        <v>877</v>
      </c>
      <c r="E1756" s="361">
        <v>380.0</v>
      </c>
      <c r="F1756" s="362">
        <v>3.0</v>
      </c>
      <c r="G1756" s="206">
        <f t="shared" ref="G1756:G1758" si="89">F1756*E1756</f>
        <v>1140</v>
      </c>
      <c r="H1756" s="370"/>
      <c r="I1756" s="370"/>
      <c r="J1756" s="565"/>
      <c r="K1756" s="565"/>
      <c r="L1756" s="565"/>
    </row>
    <row r="1757" ht="12.75" customHeight="1" outlineLevel="2">
      <c r="A1757" s="89" t="s">
        <v>1787</v>
      </c>
      <c r="B1757" s="301" t="s">
        <v>3560</v>
      </c>
      <c r="C1757" s="369" t="s">
        <v>1788</v>
      </c>
      <c r="D1757" s="203" t="s">
        <v>877</v>
      </c>
      <c r="E1757" s="361">
        <v>65.0</v>
      </c>
      <c r="F1757" s="362">
        <v>4.0</v>
      </c>
      <c r="G1757" s="206">
        <f t="shared" si="89"/>
        <v>260</v>
      </c>
      <c r="H1757" s="370"/>
      <c r="I1757" s="370"/>
      <c r="J1757" s="565"/>
      <c r="K1757" s="565"/>
      <c r="L1757" s="565"/>
    </row>
    <row r="1758" ht="12.75" customHeight="1" outlineLevel="2">
      <c r="A1758" s="89" t="s">
        <v>1789</v>
      </c>
      <c r="B1758" s="301" t="s">
        <v>3562</v>
      </c>
      <c r="C1758" s="369" t="s">
        <v>1790</v>
      </c>
      <c r="D1758" s="203" t="s">
        <v>877</v>
      </c>
      <c r="E1758" s="361">
        <v>80.0</v>
      </c>
      <c r="F1758" s="362">
        <v>5.0</v>
      </c>
      <c r="G1758" s="206">
        <f t="shared" si="89"/>
        <v>400</v>
      </c>
      <c r="H1758" s="370"/>
      <c r="I1758" s="370"/>
      <c r="J1758" s="565"/>
      <c r="K1758" s="565"/>
      <c r="L1758" s="565"/>
    </row>
    <row r="1759" ht="12.75" customHeight="1" outlineLevel="2">
      <c r="B1759" s="130"/>
      <c r="E1759" s="79"/>
      <c r="F1759" s="80"/>
      <c r="G1759" s="80"/>
      <c r="H1759" s="240"/>
      <c r="I1759" s="240"/>
      <c r="J1759" s="240"/>
      <c r="K1759" s="240"/>
      <c r="L1759" s="240"/>
    </row>
    <row r="1760" ht="12.75" customHeight="1" outlineLevel="2">
      <c r="A1760" s="89" t="s">
        <v>1791</v>
      </c>
      <c r="B1760" s="302">
        <v>23.5</v>
      </c>
      <c r="C1760" s="368" t="s">
        <v>1792</v>
      </c>
      <c r="E1760" s="79"/>
      <c r="F1760" s="80"/>
      <c r="G1760" s="80"/>
      <c r="H1760" s="240"/>
      <c r="I1760" s="240"/>
      <c r="J1760" s="240"/>
      <c r="K1760" s="240"/>
      <c r="L1760" s="240"/>
    </row>
    <row r="1761" ht="12.75" customHeight="1" outlineLevel="2">
      <c r="B1761" s="130"/>
      <c r="E1761" s="79"/>
      <c r="F1761" s="80"/>
      <c r="G1761" s="80"/>
      <c r="H1761" s="240"/>
      <c r="I1761" s="240"/>
      <c r="J1761" s="240"/>
      <c r="K1761" s="240"/>
      <c r="L1761" s="240"/>
    </row>
    <row r="1762" ht="12.75" customHeight="1" outlineLevel="2">
      <c r="A1762" s="89" t="s">
        <v>1793</v>
      </c>
      <c r="B1762" s="301" t="s">
        <v>3565</v>
      </c>
      <c r="C1762" s="369" t="s">
        <v>1794</v>
      </c>
      <c r="D1762" s="203" t="s">
        <v>877</v>
      </c>
      <c r="E1762" s="361">
        <v>20.0</v>
      </c>
      <c r="F1762" s="362">
        <v>65.0</v>
      </c>
      <c r="G1762" s="206">
        <f>F1762*E1762</f>
        <v>1300</v>
      </c>
      <c r="H1762" s="370"/>
      <c r="I1762" s="370"/>
      <c r="J1762" s="565"/>
      <c r="K1762" s="565"/>
      <c r="L1762" s="565"/>
    </row>
    <row r="1763" ht="12.75" customHeight="1" outlineLevel="2">
      <c r="B1763" s="130"/>
      <c r="E1763" s="79"/>
      <c r="F1763" s="80"/>
      <c r="G1763" s="80"/>
      <c r="H1763" s="240"/>
      <c r="I1763" s="240"/>
      <c r="J1763" s="240"/>
      <c r="K1763" s="240"/>
      <c r="L1763" s="240"/>
    </row>
    <row r="1764" ht="12.75" customHeight="1" outlineLevel="1">
      <c r="A1764" s="89" t="s">
        <v>1795</v>
      </c>
      <c r="B1764" s="130"/>
      <c r="C1764" s="306" t="s">
        <v>1796</v>
      </c>
      <c r="E1764" s="79"/>
      <c r="F1764" s="586">
        <f>SUM(G1766:G1772)</f>
        <v>9171</v>
      </c>
      <c r="H1764" s="240"/>
      <c r="I1764" s="240"/>
      <c r="J1764" s="240"/>
      <c r="K1764" s="436">
        <v>6000.0</v>
      </c>
      <c r="L1764" s="240">
        <f>F1764-K1764</f>
        <v>3171</v>
      </c>
    </row>
    <row r="1765" ht="12.75" customHeight="1" outlineLevel="2">
      <c r="B1765" s="130"/>
      <c r="E1765" s="79"/>
      <c r="F1765" s="80"/>
      <c r="G1765" s="80"/>
      <c r="H1765" s="240"/>
      <c r="I1765" s="240"/>
      <c r="J1765" s="240"/>
      <c r="K1765" s="240"/>
      <c r="L1765" s="240"/>
    </row>
    <row r="1766" ht="12.75" customHeight="1" outlineLevel="2">
      <c r="A1766" s="89" t="s">
        <v>1797</v>
      </c>
      <c r="B1766" s="301" t="s">
        <v>3568</v>
      </c>
      <c r="C1766" s="369" t="s">
        <v>1798</v>
      </c>
      <c r="D1766" s="203" t="s">
        <v>40</v>
      </c>
      <c r="E1766" s="361">
        <v>335.0</v>
      </c>
      <c r="F1766" s="362">
        <v>25.0</v>
      </c>
      <c r="G1766" s="206">
        <f>F1766*E1766</f>
        <v>8375</v>
      </c>
      <c r="H1766" s="370"/>
      <c r="I1766" s="370"/>
      <c r="J1766" s="565"/>
      <c r="K1766" s="565"/>
      <c r="L1766" s="565"/>
    </row>
    <row r="1767" ht="12.75" customHeight="1" outlineLevel="2">
      <c r="B1767" s="130"/>
      <c r="E1767" s="79"/>
      <c r="F1767" s="80"/>
      <c r="G1767" s="80"/>
      <c r="H1767" s="240"/>
      <c r="I1767" s="240"/>
      <c r="J1767" s="240"/>
      <c r="K1767" s="240"/>
      <c r="L1767" s="240"/>
    </row>
    <row r="1768" ht="12.75" customHeight="1" outlineLevel="2">
      <c r="A1768" s="89" t="s">
        <v>1799</v>
      </c>
      <c r="B1768" s="302">
        <v>23.7</v>
      </c>
      <c r="C1768" s="368" t="s">
        <v>1800</v>
      </c>
      <c r="E1768" s="79"/>
      <c r="F1768" s="80"/>
      <c r="G1768" s="80"/>
      <c r="H1768" s="240"/>
      <c r="I1768" s="240"/>
      <c r="J1768" s="240"/>
      <c r="K1768" s="240"/>
      <c r="L1768" s="240"/>
    </row>
    <row r="1769" ht="12.75" customHeight="1" outlineLevel="2">
      <c r="B1769" s="130"/>
      <c r="E1769" s="79"/>
      <c r="F1769" s="80"/>
      <c r="G1769" s="80"/>
      <c r="H1769" s="240"/>
      <c r="I1769" s="240"/>
      <c r="J1769" s="240"/>
      <c r="K1769" s="240"/>
      <c r="L1769" s="240"/>
    </row>
    <row r="1770" ht="12.75" customHeight="1" outlineLevel="2">
      <c r="A1770" s="89" t="s">
        <v>1801</v>
      </c>
      <c r="B1770" s="301" t="s">
        <v>3571</v>
      </c>
      <c r="C1770" s="369" t="s">
        <v>5666</v>
      </c>
      <c r="D1770" s="203" t="s">
        <v>75</v>
      </c>
      <c r="E1770" s="361">
        <v>56.0</v>
      </c>
      <c r="F1770" s="362">
        <v>10.0</v>
      </c>
      <c r="G1770" s="206">
        <f>F1770*E1770</f>
        <v>560</v>
      </c>
      <c r="H1770" s="370"/>
      <c r="I1770" s="370"/>
      <c r="J1770" s="565"/>
      <c r="K1770" s="565"/>
      <c r="L1770" s="565"/>
    </row>
    <row r="1771" ht="12.75" customHeight="1" outlineLevel="2">
      <c r="B1771" s="130"/>
      <c r="E1771" s="79"/>
      <c r="F1771" s="80"/>
      <c r="G1771" s="80"/>
      <c r="H1771" s="240"/>
      <c r="I1771" s="240"/>
      <c r="J1771" s="240"/>
      <c r="K1771" s="240"/>
      <c r="L1771" s="240"/>
    </row>
    <row r="1772" ht="12.75" customHeight="1" outlineLevel="2">
      <c r="A1772" s="89" t="s">
        <v>1799</v>
      </c>
      <c r="B1772" s="301" t="s">
        <v>3573</v>
      </c>
      <c r="C1772" s="369" t="s">
        <v>1803</v>
      </c>
      <c r="D1772" s="203" t="s">
        <v>75</v>
      </c>
      <c r="E1772" s="361">
        <v>2.0</v>
      </c>
      <c r="F1772" s="362">
        <v>118.0</v>
      </c>
      <c r="G1772" s="206">
        <f>F1772*E1772</f>
        <v>236</v>
      </c>
      <c r="H1772" s="370"/>
      <c r="I1772" s="370"/>
      <c r="J1772" s="565"/>
      <c r="K1772" s="565"/>
      <c r="L1772" s="565"/>
    </row>
    <row r="1773" ht="12.75" customHeight="1" outlineLevel="2">
      <c r="B1773" s="130"/>
      <c r="E1773" s="79"/>
      <c r="F1773" s="80"/>
      <c r="G1773" s="80"/>
      <c r="H1773" s="240"/>
      <c r="I1773" s="240"/>
      <c r="J1773" s="240"/>
      <c r="K1773" s="240"/>
      <c r="L1773" s="240"/>
    </row>
    <row r="1774" ht="12.75" customHeight="1" outlineLevel="1">
      <c r="A1774" s="89" t="s">
        <v>1804</v>
      </c>
      <c r="B1774" s="130"/>
      <c r="C1774" s="306" t="s">
        <v>1805</v>
      </c>
      <c r="E1774" s="79"/>
      <c r="F1774" s="586">
        <f>SUM(G1777:G1780)</f>
        <v>2624</v>
      </c>
      <c r="H1774" s="240"/>
      <c r="I1774" s="240"/>
      <c r="J1774" s="240"/>
      <c r="K1774" s="436">
        <v>3000.0</v>
      </c>
      <c r="L1774" s="240">
        <f>F1774-K1774</f>
        <v>-376</v>
      </c>
    </row>
    <row r="1775" ht="12.75" customHeight="1" outlineLevel="2">
      <c r="B1775" s="130"/>
      <c r="E1775" s="79"/>
      <c r="F1775" s="80"/>
      <c r="G1775" s="80"/>
      <c r="H1775" s="240"/>
      <c r="I1775" s="240"/>
      <c r="J1775" s="240"/>
      <c r="K1775" s="240"/>
      <c r="L1775" s="240"/>
    </row>
    <row r="1776" ht="12.75" customHeight="1" outlineLevel="2">
      <c r="A1776" s="89" t="s">
        <v>1806</v>
      </c>
      <c r="B1776" s="302">
        <v>23.9</v>
      </c>
      <c r="C1776" s="368" t="s">
        <v>1807</v>
      </c>
      <c r="E1776" s="79"/>
      <c r="F1776" s="80"/>
      <c r="G1776" s="80"/>
      <c r="H1776" s="240"/>
      <c r="I1776" s="240"/>
      <c r="J1776" s="240"/>
      <c r="K1776" s="240"/>
      <c r="L1776" s="240"/>
    </row>
    <row r="1777" ht="12.75" customHeight="1" outlineLevel="2">
      <c r="B1777" s="130"/>
      <c r="E1777" s="79"/>
      <c r="F1777" s="80"/>
      <c r="G1777" s="80"/>
      <c r="H1777" s="240"/>
      <c r="I1777" s="240"/>
      <c r="J1777" s="240"/>
      <c r="K1777" s="240"/>
      <c r="L1777" s="240"/>
    </row>
    <row r="1778" ht="12.75" customHeight="1" outlineLevel="2">
      <c r="A1778" s="89" t="s">
        <v>1808</v>
      </c>
      <c r="B1778" s="301" t="s">
        <v>3577</v>
      </c>
      <c r="C1778" s="369" t="s">
        <v>1809</v>
      </c>
      <c r="D1778" s="203" t="s">
        <v>75</v>
      </c>
      <c r="E1778" s="361">
        <v>8.0</v>
      </c>
      <c r="F1778" s="362">
        <v>190.0</v>
      </c>
      <c r="G1778" s="206">
        <f>F1778*E1778</f>
        <v>1520</v>
      </c>
      <c r="H1778" s="370"/>
      <c r="I1778" s="370"/>
      <c r="J1778" s="565"/>
      <c r="K1778" s="565"/>
      <c r="L1778" s="565"/>
    </row>
    <row r="1779" ht="12.75" customHeight="1" outlineLevel="2">
      <c r="B1779" s="130"/>
      <c r="E1779" s="79"/>
      <c r="F1779" s="80"/>
      <c r="G1779" s="80"/>
      <c r="H1779" s="240"/>
      <c r="I1779" s="240"/>
      <c r="J1779" s="240"/>
      <c r="K1779" s="240"/>
      <c r="L1779" s="240"/>
    </row>
    <row r="1780" ht="12.75" customHeight="1" outlineLevel="2">
      <c r="A1780" s="89" t="s">
        <v>1810</v>
      </c>
      <c r="B1780" s="301" t="s">
        <v>3578</v>
      </c>
      <c r="C1780" s="369" t="s">
        <v>1811</v>
      </c>
      <c r="D1780" s="203" t="s">
        <v>75</v>
      </c>
      <c r="E1780" s="361">
        <v>8.0</v>
      </c>
      <c r="F1780" s="362">
        <v>138.0</v>
      </c>
      <c r="G1780" s="206">
        <f>F1780*E1780</f>
        <v>1104</v>
      </c>
      <c r="H1780" s="370"/>
      <c r="I1780" s="370"/>
      <c r="J1780" s="565"/>
      <c r="K1780" s="565"/>
      <c r="L1780" s="565"/>
    </row>
    <row r="1781" ht="12.75" customHeight="1" outlineLevel="2">
      <c r="B1781" s="130"/>
      <c r="E1781" s="79"/>
      <c r="F1781" s="80"/>
      <c r="G1781" s="80"/>
      <c r="H1781" s="240"/>
      <c r="I1781" s="240"/>
      <c r="J1781" s="240"/>
      <c r="K1781" s="240"/>
      <c r="L1781" s="240"/>
    </row>
    <row r="1782" ht="12.75" customHeight="1" outlineLevel="1">
      <c r="A1782" s="89" t="s">
        <v>1812</v>
      </c>
      <c r="B1782" s="130"/>
      <c r="C1782" s="306" t="s">
        <v>1813</v>
      </c>
      <c r="E1782" s="79"/>
      <c r="F1782" s="586">
        <f>SUM(G1784:G1788)</f>
        <v>5986</v>
      </c>
      <c r="H1782" s="240"/>
      <c r="I1782" s="240"/>
      <c r="J1782" s="240"/>
      <c r="K1782" s="436">
        <v>3000.0</v>
      </c>
      <c r="L1782" s="240">
        <f>F1782-K1782</f>
        <v>2986</v>
      </c>
    </row>
    <row r="1783" ht="12.75" customHeight="1" outlineLevel="2">
      <c r="B1783" s="130"/>
      <c r="E1783" s="79"/>
      <c r="F1783" s="80"/>
      <c r="G1783" s="80"/>
      <c r="H1783" s="240"/>
      <c r="I1783" s="240"/>
      <c r="J1783" s="240"/>
      <c r="K1783" s="240"/>
      <c r="L1783" s="240"/>
    </row>
    <row r="1784" ht="12.75" customHeight="1" outlineLevel="2">
      <c r="A1784" s="89" t="s">
        <v>1814</v>
      </c>
      <c r="B1784" s="301" t="s">
        <v>3581</v>
      </c>
      <c r="C1784" s="369" t="s">
        <v>1815</v>
      </c>
      <c r="D1784" s="203" t="s">
        <v>75</v>
      </c>
      <c r="E1784" s="361">
        <v>1.0</v>
      </c>
      <c r="F1784" s="362">
        <v>486.0</v>
      </c>
      <c r="G1784" s="206">
        <f>F1784*E1784</f>
        <v>486</v>
      </c>
      <c r="H1784" s="370"/>
      <c r="I1784" s="370"/>
      <c r="J1784" s="565"/>
      <c r="K1784" s="565"/>
      <c r="L1784" s="565"/>
    </row>
    <row r="1785" ht="12.75" customHeight="1" outlineLevel="2">
      <c r="B1785" s="130"/>
      <c r="E1785" s="79"/>
      <c r="F1785" s="80"/>
      <c r="G1785" s="80"/>
      <c r="H1785" s="240"/>
      <c r="I1785" s="240"/>
      <c r="J1785" s="240"/>
      <c r="K1785" s="240"/>
      <c r="L1785" s="240"/>
    </row>
    <row r="1786" ht="12.75" customHeight="1" outlineLevel="2">
      <c r="A1786" s="89" t="s">
        <v>1816</v>
      </c>
      <c r="B1786" s="302">
        <v>23.12</v>
      </c>
      <c r="C1786" s="368" t="s">
        <v>1817</v>
      </c>
      <c r="E1786" s="79"/>
      <c r="F1786" s="80"/>
      <c r="G1786" s="80"/>
      <c r="H1786" s="240"/>
      <c r="I1786" s="240"/>
      <c r="J1786" s="240"/>
      <c r="K1786" s="240"/>
      <c r="L1786" s="240"/>
    </row>
    <row r="1787" ht="12.75" customHeight="1" outlineLevel="2">
      <c r="B1787" s="130"/>
      <c r="E1787" s="79"/>
      <c r="F1787" s="80"/>
      <c r="G1787" s="80"/>
      <c r="H1787" s="240"/>
      <c r="I1787" s="240"/>
      <c r="J1787" s="240"/>
      <c r="K1787" s="240"/>
      <c r="L1787" s="240"/>
    </row>
    <row r="1788" ht="12.75" customHeight="1" outlineLevel="2">
      <c r="A1788" s="89" t="s">
        <v>1818</v>
      </c>
      <c r="B1788" s="301" t="s">
        <v>3584</v>
      </c>
      <c r="C1788" s="369" t="s">
        <v>1819</v>
      </c>
      <c r="D1788" s="203" t="s">
        <v>161</v>
      </c>
      <c r="E1788" s="361">
        <v>100.0</v>
      </c>
      <c r="F1788" s="362">
        <v>55.0</v>
      </c>
      <c r="G1788" s="206">
        <f>F1788*E1788</f>
        <v>5500</v>
      </c>
      <c r="H1788" s="370"/>
      <c r="I1788" s="370"/>
      <c r="J1788" s="565"/>
      <c r="K1788" s="565"/>
      <c r="L1788" s="565"/>
    </row>
    <row r="1789" ht="12.75" customHeight="1" outlineLevel="2">
      <c r="B1789" s="130"/>
      <c r="E1789" s="79"/>
      <c r="F1789" s="80"/>
      <c r="G1789" s="80"/>
      <c r="H1789" s="240"/>
      <c r="I1789" s="240"/>
      <c r="J1789" s="240"/>
      <c r="K1789" s="240"/>
      <c r="L1789" s="240"/>
    </row>
    <row r="1790" ht="12.75" customHeight="1" outlineLevel="1">
      <c r="A1790" s="89" t="s">
        <v>1820</v>
      </c>
      <c r="B1790" s="130"/>
      <c r="C1790" s="306" t="s">
        <v>1821</v>
      </c>
      <c r="E1790" s="79"/>
      <c r="F1790" s="586">
        <f>SUM(G1792:G1802)</f>
        <v>613</v>
      </c>
      <c r="H1790" s="240"/>
      <c r="I1790" s="240"/>
      <c r="J1790" s="240"/>
      <c r="K1790" s="436">
        <v>600.0</v>
      </c>
      <c r="L1790" s="240">
        <f>F1790-K1790</f>
        <v>13</v>
      </c>
    </row>
    <row r="1791" ht="12.75" customHeight="1" outlineLevel="2">
      <c r="B1791" s="130"/>
      <c r="E1791" s="79"/>
      <c r="F1791" s="80"/>
      <c r="G1791" s="80"/>
      <c r="H1791" s="240"/>
      <c r="I1791" s="240"/>
      <c r="J1791" s="240"/>
      <c r="K1791" s="240"/>
      <c r="L1791" s="240"/>
    </row>
    <row r="1792" ht="12.75" customHeight="1" outlineLevel="2">
      <c r="A1792" s="89" t="s">
        <v>1822</v>
      </c>
      <c r="B1792" s="301" t="s">
        <v>3587</v>
      </c>
      <c r="C1792" s="369" t="s">
        <v>1823</v>
      </c>
      <c r="D1792" s="203" t="s">
        <v>75</v>
      </c>
      <c r="E1792" s="361">
        <v>1.0</v>
      </c>
      <c r="F1792" s="362">
        <v>32.0</v>
      </c>
      <c r="G1792" s="206">
        <f>F1792*E1792</f>
        <v>32</v>
      </c>
      <c r="H1792" s="370"/>
      <c r="I1792" s="370"/>
      <c r="J1792" s="565"/>
      <c r="K1792" s="565"/>
      <c r="L1792" s="565"/>
    </row>
    <row r="1793" ht="12.75" customHeight="1" outlineLevel="2">
      <c r="B1793" s="130"/>
      <c r="E1793" s="79"/>
      <c r="F1793" s="80"/>
      <c r="G1793" s="80"/>
      <c r="H1793" s="240"/>
      <c r="I1793" s="240"/>
      <c r="J1793" s="240"/>
      <c r="K1793" s="240"/>
      <c r="L1793" s="240"/>
    </row>
    <row r="1794" ht="12.75" customHeight="1" outlineLevel="2">
      <c r="A1794" s="89" t="s">
        <v>1824</v>
      </c>
      <c r="B1794" s="302">
        <v>23.14</v>
      </c>
      <c r="C1794" s="368" t="s">
        <v>1825</v>
      </c>
      <c r="E1794" s="79"/>
      <c r="F1794" s="80"/>
      <c r="G1794" s="80"/>
      <c r="H1794" s="240"/>
      <c r="I1794" s="240"/>
      <c r="J1794" s="240"/>
      <c r="K1794" s="240"/>
      <c r="L1794" s="240"/>
    </row>
    <row r="1795" ht="12.75" customHeight="1" outlineLevel="2">
      <c r="B1795" s="130"/>
      <c r="E1795" s="79"/>
      <c r="F1795" s="80"/>
      <c r="G1795" s="80"/>
      <c r="H1795" s="240"/>
      <c r="I1795" s="240"/>
      <c r="J1795" s="240"/>
      <c r="K1795" s="240"/>
      <c r="L1795" s="240"/>
    </row>
    <row r="1796" ht="12.75" customHeight="1" outlineLevel="2">
      <c r="A1796" s="89" t="s">
        <v>1826</v>
      </c>
      <c r="B1796" s="301" t="s">
        <v>3590</v>
      </c>
      <c r="C1796" s="369" t="s">
        <v>1827</v>
      </c>
      <c r="D1796" s="203" t="s">
        <v>75</v>
      </c>
      <c r="E1796" s="361">
        <v>8.0</v>
      </c>
      <c r="F1796" s="362">
        <v>54.0</v>
      </c>
      <c r="G1796" s="206">
        <f>F1796*E1796</f>
        <v>432</v>
      </c>
      <c r="H1796" s="370"/>
      <c r="I1796" s="370"/>
      <c r="J1796" s="565"/>
      <c r="K1796" s="565"/>
      <c r="L1796" s="565"/>
    </row>
    <row r="1797" ht="12.75" customHeight="1" outlineLevel="2">
      <c r="B1797" s="130"/>
      <c r="E1797" s="79"/>
      <c r="F1797" s="80"/>
      <c r="G1797" s="80"/>
      <c r="H1797" s="240"/>
      <c r="I1797" s="240"/>
      <c r="J1797" s="240"/>
      <c r="K1797" s="240"/>
      <c r="L1797" s="240"/>
    </row>
    <row r="1798" ht="12.75" customHeight="1" outlineLevel="2">
      <c r="A1798" s="89" t="s">
        <v>1828</v>
      </c>
      <c r="B1798" s="301" t="s">
        <v>3592</v>
      </c>
      <c r="C1798" s="369" t="s">
        <v>1829</v>
      </c>
      <c r="D1798" s="203" t="s">
        <v>75</v>
      </c>
      <c r="E1798" s="361">
        <v>2.0</v>
      </c>
      <c r="F1798" s="362">
        <v>67.0</v>
      </c>
      <c r="G1798" s="206">
        <f>F1798*E1798</f>
        <v>134</v>
      </c>
      <c r="H1798" s="370"/>
      <c r="I1798" s="370"/>
      <c r="J1798" s="565"/>
      <c r="K1798" s="565"/>
      <c r="L1798" s="565"/>
    </row>
    <row r="1799" ht="12.75" customHeight="1" outlineLevel="2">
      <c r="B1799" s="130"/>
      <c r="E1799" s="79"/>
      <c r="F1799" s="80"/>
      <c r="G1799" s="80"/>
      <c r="H1799" s="240"/>
      <c r="I1799" s="240"/>
      <c r="J1799" s="240"/>
      <c r="K1799" s="240"/>
      <c r="L1799" s="240"/>
    </row>
    <row r="1800" ht="12.75" customHeight="1" outlineLevel="2">
      <c r="A1800" s="89" t="s">
        <v>1830</v>
      </c>
      <c r="B1800" s="302">
        <v>23.15</v>
      </c>
      <c r="C1800" s="368" t="s">
        <v>1831</v>
      </c>
      <c r="E1800" s="79"/>
      <c r="F1800" s="80"/>
      <c r="G1800" s="80"/>
      <c r="H1800" s="240"/>
      <c r="I1800" s="240"/>
      <c r="J1800" s="240"/>
      <c r="K1800" s="240"/>
      <c r="L1800" s="240"/>
    </row>
    <row r="1801" ht="12.75" customHeight="1" outlineLevel="2">
      <c r="B1801" s="130"/>
      <c r="E1801" s="79"/>
      <c r="F1801" s="80"/>
      <c r="G1801" s="80"/>
      <c r="H1801" s="240"/>
      <c r="I1801" s="240"/>
      <c r="J1801" s="240"/>
      <c r="K1801" s="240"/>
      <c r="L1801" s="240"/>
    </row>
    <row r="1802" ht="12.75" customHeight="1" outlineLevel="2">
      <c r="A1802" s="89" t="s">
        <v>1832</v>
      </c>
      <c r="B1802" s="301" t="s">
        <v>3595</v>
      </c>
      <c r="C1802" s="369" t="s">
        <v>5667</v>
      </c>
      <c r="D1802" s="203" t="s">
        <v>75</v>
      </c>
      <c r="E1802" s="361">
        <v>1.0</v>
      </c>
      <c r="F1802" s="362">
        <v>15.0</v>
      </c>
      <c r="G1802" s="206">
        <f>F1802*E1802</f>
        <v>15</v>
      </c>
      <c r="H1802" s="370"/>
      <c r="I1802" s="370"/>
      <c r="J1802" s="565"/>
      <c r="K1802" s="565"/>
      <c r="L1802" s="565"/>
    </row>
    <row r="1803" ht="12.75" customHeight="1" outlineLevel="2">
      <c r="B1803" s="130"/>
      <c r="E1803" s="79"/>
      <c r="F1803" s="80"/>
      <c r="G1803" s="80"/>
      <c r="H1803" s="240"/>
      <c r="I1803" s="240"/>
      <c r="J1803" s="240"/>
      <c r="K1803" s="240"/>
      <c r="L1803" s="240"/>
    </row>
    <row r="1804" ht="12.75" customHeight="1" outlineLevel="1">
      <c r="A1804" s="89" t="s">
        <v>1834</v>
      </c>
      <c r="B1804" s="130"/>
      <c r="C1804" s="306" t="s">
        <v>1835</v>
      </c>
      <c r="E1804" s="79"/>
      <c r="F1804" s="586">
        <f>SUM(G1806)</f>
        <v>4954</v>
      </c>
      <c r="H1804" s="240"/>
      <c r="I1804" s="240"/>
      <c r="J1804" s="240"/>
      <c r="K1804" s="436">
        <v>5000.0</v>
      </c>
      <c r="L1804" s="240">
        <f>F1804-K1804</f>
        <v>-46</v>
      </c>
    </row>
    <row r="1805" ht="12.75" customHeight="1" outlineLevel="2">
      <c r="B1805" s="130"/>
      <c r="E1805" s="79"/>
      <c r="F1805" s="80"/>
      <c r="G1805" s="80"/>
      <c r="H1805" s="240"/>
      <c r="I1805" s="240"/>
      <c r="J1805" s="240"/>
      <c r="K1805" s="240"/>
      <c r="L1805" s="240"/>
    </row>
    <row r="1806" ht="12.75" customHeight="1" outlineLevel="2">
      <c r="A1806" s="89" t="s">
        <v>1836</v>
      </c>
      <c r="B1806" s="301" t="s">
        <v>3598</v>
      </c>
      <c r="C1806" s="369" t="s">
        <v>1837</v>
      </c>
      <c r="D1806" s="203" t="s">
        <v>75</v>
      </c>
      <c r="E1806" s="361">
        <v>1.0</v>
      </c>
      <c r="F1806" s="362">
        <v>4954.0</v>
      </c>
      <c r="G1806" s="206">
        <f>F1806*E1806</f>
        <v>4954</v>
      </c>
      <c r="H1806" s="370"/>
      <c r="I1806" s="370"/>
      <c r="J1806" s="565"/>
      <c r="K1806" s="565"/>
      <c r="L1806" s="565"/>
    </row>
    <row r="1807" ht="12.75" customHeight="1" outlineLevel="2">
      <c r="B1807" s="130"/>
      <c r="E1807" s="79"/>
      <c r="F1807" s="80"/>
      <c r="G1807" s="80"/>
      <c r="H1807" s="240"/>
      <c r="I1807" s="240"/>
      <c r="J1807" s="240"/>
      <c r="K1807" s="240"/>
      <c r="L1807" s="240"/>
    </row>
    <row r="1808" ht="12.75" customHeight="1" outlineLevel="1">
      <c r="A1808" s="89" t="s">
        <v>1838</v>
      </c>
      <c r="B1808" s="130"/>
      <c r="C1808" s="306" t="s">
        <v>1839</v>
      </c>
      <c r="E1808" s="79"/>
      <c r="F1808" s="586">
        <f>SUM(G1810)</f>
        <v>1500</v>
      </c>
      <c r="H1808" s="240"/>
      <c r="I1808" s="240"/>
      <c r="J1808" s="240"/>
      <c r="K1808" s="436">
        <v>1500.0</v>
      </c>
      <c r="L1808" s="240">
        <f>F1808-K1808</f>
        <v>0</v>
      </c>
    </row>
    <row r="1809" ht="12.75" customHeight="1" outlineLevel="2">
      <c r="B1809" s="130"/>
      <c r="E1809" s="79"/>
      <c r="F1809" s="80"/>
      <c r="G1809" s="80"/>
      <c r="H1809" s="240"/>
      <c r="I1809" s="240"/>
      <c r="J1809" s="240"/>
      <c r="K1809" s="240"/>
      <c r="L1809" s="240"/>
    </row>
    <row r="1810" ht="12.75" customHeight="1" outlineLevel="2">
      <c r="A1810" s="89" t="s">
        <v>1840</v>
      </c>
      <c r="B1810" s="301" t="s">
        <v>3601</v>
      </c>
      <c r="C1810" s="369" t="s">
        <v>1841</v>
      </c>
      <c r="D1810" s="203" t="s">
        <v>75</v>
      </c>
      <c r="E1810" s="361">
        <v>1.0</v>
      </c>
      <c r="F1810" s="362">
        <v>1500.0</v>
      </c>
      <c r="G1810" s="206">
        <f>F1810*E1810</f>
        <v>1500</v>
      </c>
      <c r="H1810" s="370"/>
      <c r="I1810" s="370"/>
      <c r="J1810" s="565"/>
      <c r="K1810" s="565"/>
      <c r="L1810" s="565"/>
    </row>
    <row r="1811" ht="12.75" customHeight="1" outlineLevel="1">
      <c r="A1811" s="89"/>
      <c r="B1811" s="312"/>
      <c r="C1811" s="90"/>
      <c r="D1811" s="89"/>
      <c r="E1811" s="91"/>
      <c r="F1811" s="92"/>
      <c r="G1811" s="92"/>
      <c r="H1811" s="240"/>
      <c r="I1811" s="240"/>
      <c r="J1811" s="240"/>
      <c r="K1811" s="240"/>
      <c r="L1811" s="240"/>
    </row>
    <row r="1812" ht="21.0" customHeight="1">
      <c r="A1812" s="192"/>
      <c r="B1812" s="84">
        <v>24.0</v>
      </c>
      <c r="C1812" s="306" t="s">
        <v>1843</v>
      </c>
      <c r="D1812" s="193"/>
      <c r="E1812" s="194"/>
      <c r="F1812" s="195"/>
      <c r="G1812" s="196">
        <f>G1814</f>
        <v>0</v>
      </c>
      <c r="H1812" s="197">
        <f>G1812-Resumo!J54</f>
        <v>-9600</v>
      </c>
      <c r="I1812" s="197">
        <f>H1812-Resumo!K54</f>
        <v>-9600</v>
      </c>
      <c r="J1812" s="919"/>
      <c r="K1812" s="169"/>
      <c r="L1812" s="169"/>
    </row>
    <row r="1813" ht="12.75" customHeight="1" outlineLevel="1">
      <c r="A1813" s="89"/>
      <c r="B1813" s="189"/>
      <c r="E1813" s="79"/>
      <c r="F1813" s="80"/>
      <c r="G1813" s="80"/>
      <c r="H1813" s="240"/>
      <c r="I1813" s="240"/>
      <c r="J1813" s="240"/>
      <c r="K1813" s="240"/>
      <c r="L1813" s="240"/>
    </row>
    <row r="1814" ht="12.75" customHeight="1" outlineLevel="1">
      <c r="A1814" s="89" t="s">
        <v>1844</v>
      </c>
      <c r="B1814" s="301" t="s">
        <v>3604</v>
      </c>
      <c r="C1814" s="369" t="s">
        <v>1845</v>
      </c>
      <c r="D1814" s="203" t="s">
        <v>1846</v>
      </c>
      <c r="E1814" s="361">
        <v>12.0</v>
      </c>
      <c r="F1814" s="362">
        <v>0.0</v>
      </c>
      <c r="G1814" s="206">
        <f>F1814*E1814</f>
        <v>0</v>
      </c>
      <c r="H1814" s="370" t="s">
        <v>619</v>
      </c>
      <c r="I1814" s="370" t="s">
        <v>619</v>
      </c>
      <c r="J1814" s="565"/>
      <c r="K1814" s="565"/>
      <c r="L1814" s="565"/>
    </row>
    <row r="1815" ht="12.75" customHeight="1" outlineLevel="1">
      <c r="A1815" s="89"/>
      <c r="B1815" s="312"/>
      <c r="C1815" s="90"/>
      <c r="D1815" s="89"/>
      <c r="E1815" s="91"/>
      <c r="F1815" s="92"/>
      <c r="G1815" s="92"/>
      <c r="H1815" s="240"/>
      <c r="I1815" s="240"/>
      <c r="J1815" s="240"/>
      <c r="K1815" s="240"/>
      <c r="L1815" s="240"/>
    </row>
    <row r="1816" ht="12.75" customHeight="1">
      <c r="A1816" s="192"/>
      <c r="B1816" s="83">
        <v>25.0</v>
      </c>
      <c r="C1816" s="306" t="s">
        <v>725</v>
      </c>
      <c r="D1816" s="193"/>
      <c r="E1816" s="194"/>
      <c r="F1816" s="195"/>
      <c r="G1816" s="196">
        <f>SUM(G1820:G1860)</f>
        <v>40492.98</v>
      </c>
      <c r="H1816" s="197">
        <f>G1816-'Orcamento RU'!C698</f>
        <v>-35342.93</v>
      </c>
      <c r="I1816" s="197">
        <f>H1816-'Orcamento RU'!D698</f>
        <v>-35342.93</v>
      </c>
      <c r="J1816" s="919"/>
      <c r="K1816" s="169"/>
      <c r="L1816" s="169"/>
    </row>
    <row r="1817" ht="12.75" customHeight="1" outlineLevel="1">
      <c r="A1817" s="89"/>
      <c r="B1817" s="312"/>
      <c r="C1817" s="90"/>
      <c r="D1817" s="89"/>
      <c r="E1817" s="91"/>
      <c r="F1817" s="92"/>
      <c r="G1817" s="92"/>
      <c r="H1817" s="240"/>
      <c r="I1817" s="240"/>
      <c r="J1817" s="240"/>
      <c r="K1817" s="240"/>
      <c r="L1817" s="240"/>
    </row>
    <row r="1818" ht="12.75" customHeight="1" outlineLevel="1">
      <c r="A1818" s="89" t="s">
        <v>726</v>
      </c>
      <c r="B1818" s="189"/>
      <c r="C1818" s="306" t="s">
        <v>727</v>
      </c>
      <c r="E1818" s="79"/>
      <c r="F1818" s="917">
        <f>SUM(G1820:G1826)</f>
        <v>18964.85</v>
      </c>
      <c r="G1818" s="80"/>
      <c r="H1818" s="240"/>
      <c r="I1818" s="240"/>
      <c r="J1818" s="240"/>
      <c r="K1818" s="240"/>
      <c r="L1818" s="240"/>
    </row>
    <row r="1819" ht="12.75" customHeight="1" outlineLevel="2">
      <c r="B1819" s="189"/>
      <c r="E1819" s="79"/>
      <c r="F1819" s="80"/>
      <c r="G1819" s="80"/>
      <c r="H1819" s="240"/>
      <c r="I1819" s="240"/>
      <c r="J1819" s="240"/>
      <c r="K1819" s="240"/>
      <c r="L1819" s="240"/>
    </row>
    <row r="1820" ht="12.75" customHeight="1" outlineLevel="2">
      <c r="A1820" s="89" t="s">
        <v>728</v>
      </c>
      <c r="B1820" s="198">
        <v>25.1</v>
      </c>
      <c r="C1820" s="202" t="s">
        <v>729</v>
      </c>
      <c r="D1820" s="203" t="s">
        <v>40</v>
      </c>
      <c r="E1820" s="214">
        <v>77.14</v>
      </c>
      <c r="F1820" s="205">
        <v>80.0</v>
      </c>
      <c r="G1820" s="206">
        <f>F1820*E1820</f>
        <v>6171.2</v>
      </c>
      <c r="H1820" s="219"/>
      <c r="I1820" s="219"/>
      <c r="J1820" s="240"/>
      <c r="K1820" s="240"/>
      <c r="L1820" s="240"/>
    </row>
    <row r="1821" ht="12.75" customHeight="1" outlineLevel="2">
      <c r="B1821" s="189"/>
      <c r="E1821" s="79"/>
      <c r="F1821" s="80"/>
      <c r="G1821" s="80"/>
      <c r="H1821" s="240"/>
      <c r="I1821" s="240"/>
      <c r="J1821" s="240"/>
      <c r="K1821" s="240"/>
      <c r="L1821" s="240"/>
    </row>
    <row r="1822" ht="12.75" customHeight="1" outlineLevel="2">
      <c r="A1822" s="89" t="s">
        <v>730</v>
      </c>
      <c r="B1822" s="198">
        <v>25.2</v>
      </c>
      <c r="C1822" s="202" t="s">
        <v>731</v>
      </c>
      <c r="D1822" s="203" t="s">
        <v>40</v>
      </c>
      <c r="E1822" s="214">
        <v>168.06</v>
      </c>
      <c r="F1822" s="205">
        <v>21.0</v>
      </c>
      <c r="G1822" s="206">
        <f>F1822*E1822</f>
        <v>3529.26</v>
      </c>
      <c r="H1822" s="219"/>
      <c r="I1822" s="219"/>
      <c r="J1822" s="240"/>
      <c r="K1822" s="240"/>
      <c r="L1822" s="240"/>
    </row>
    <row r="1823" ht="12.75" customHeight="1" outlineLevel="2">
      <c r="B1823" s="189"/>
      <c r="E1823" s="79"/>
      <c r="F1823" s="80"/>
      <c r="G1823" s="80"/>
      <c r="H1823" s="240"/>
      <c r="I1823" s="240"/>
      <c r="J1823" s="240"/>
      <c r="K1823" s="240"/>
      <c r="L1823" s="240"/>
    </row>
    <row r="1824" ht="12.75" customHeight="1" outlineLevel="2">
      <c r="A1824" s="89" t="s">
        <v>732</v>
      </c>
      <c r="B1824" s="198">
        <v>25.3</v>
      </c>
      <c r="C1824" s="202" t="s">
        <v>733</v>
      </c>
      <c r="D1824" s="203" t="s">
        <v>40</v>
      </c>
      <c r="E1824" s="214">
        <v>168.06</v>
      </c>
      <c r="F1824" s="205">
        <v>14.0</v>
      </c>
      <c r="G1824" s="206">
        <f>F1824*E1824</f>
        <v>2352.84</v>
      </c>
      <c r="H1824" s="219"/>
      <c r="I1824" s="219"/>
      <c r="J1824" s="240"/>
      <c r="K1824" s="240"/>
      <c r="L1824" s="240"/>
    </row>
    <row r="1825" ht="12.75" customHeight="1" outlineLevel="2">
      <c r="B1825" s="189"/>
      <c r="E1825" s="79"/>
      <c r="F1825" s="80"/>
      <c r="G1825" s="80"/>
      <c r="H1825" s="240"/>
      <c r="I1825" s="240"/>
      <c r="J1825" s="240"/>
      <c r="K1825" s="240"/>
      <c r="L1825" s="240"/>
    </row>
    <row r="1826" ht="12.75" customHeight="1" outlineLevel="2">
      <c r="A1826" s="89" t="s">
        <v>734</v>
      </c>
      <c r="B1826" s="198">
        <v>25.4</v>
      </c>
      <c r="C1826" s="202" t="s">
        <v>735</v>
      </c>
      <c r="D1826" s="203" t="s">
        <v>161</v>
      </c>
      <c r="E1826" s="214">
        <v>153.59</v>
      </c>
      <c r="F1826" s="205">
        <v>45.0</v>
      </c>
      <c r="G1826" s="206">
        <f>F1826*E1826</f>
        <v>6911.55</v>
      </c>
      <c r="H1826" s="219"/>
      <c r="I1826" s="219"/>
      <c r="J1826" s="240"/>
      <c r="K1826" s="240"/>
      <c r="L1826" s="240"/>
    </row>
    <row r="1827" ht="12.75" customHeight="1" outlineLevel="2">
      <c r="B1827" s="189"/>
      <c r="E1827" s="79"/>
      <c r="F1827" s="80"/>
      <c r="G1827" s="80"/>
      <c r="H1827" s="240"/>
      <c r="I1827" s="240"/>
      <c r="J1827" s="240"/>
      <c r="K1827" s="240"/>
      <c r="L1827" s="240"/>
    </row>
    <row r="1828" ht="12.75" customHeight="1" outlineLevel="1">
      <c r="A1828" s="89" t="s">
        <v>736</v>
      </c>
      <c r="B1828" s="189"/>
      <c r="C1828" s="306" t="s">
        <v>737</v>
      </c>
      <c r="E1828" s="79"/>
      <c r="F1828" s="917">
        <f>SUM(G1832:G1833)</f>
        <v>2665.63</v>
      </c>
      <c r="G1828" s="80"/>
      <c r="H1828" s="240"/>
      <c r="I1828" s="240"/>
      <c r="J1828" s="240"/>
      <c r="K1828" s="240"/>
      <c r="L1828" s="240"/>
    </row>
    <row r="1829" ht="12.75" customHeight="1" outlineLevel="2">
      <c r="B1829" s="189"/>
      <c r="E1829" s="79"/>
      <c r="F1829" s="80"/>
      <c r="G1829" s="80"/>
      <c r="H1829" s="240"/>
      <c r="I1829" s="240"/>
      <c r="J1829" s="240"/>
      <c r="K1829" s="240"/>
      <c r="L1829" s="240"/>
    </row>
    <row r="1830" ht="12.75" customHeight="1" outlineLevel="2">
      <c r="A1830" s="89" t="s">
        <v>738</v>
      </c>
      <c r="B1830" s="198">
        <v>25.5</v>
      </c>
      <c r="C1830" s="376" t="s">
        <v>739</v>
      </c>
      <c r="E1830" s="79"/>
      <c r="G1830" s="80"/>
      <c r="H1830" s="240"/>
      <c r="I1830" s="240"/>
      <c r="J1830" s="240"/>
      <c r="K1830" s="240"/>
      <c r="L1830" s="240"/>
    </row>
    <row r="1831" ht="12.75" customHeight="1" outlineLevel="2">
      <c r="B1831" s="189"/>
      <c r="E1831" s="79"/>
      <c r="F1831" s="80"/>
      <c r="G1831" s="80"/>
      <c r="H1831" s="240"/>
      <c r="I1831" s="240"/>
      <c r="J1831" s="240"/>
      <c r="K1831" s="240"/>
      <c r="L1831" s="240"/>
    </row>
    <row r="1832" ht="12.75" customHeight="1" outlineLevel="2">
      <c r="A1832" s="89" t="s">
        <v>740</v>
      </c>
      <c r="B1832" s="377" t="s">
        <v>3614</v>
      </c>
      <c r="C1832" s="378" t="s">
        <v>741</v>
      </c>
      <c r="D1832" s="379" t="s">
        <v>75</v>
      </c>
      <c r="E1832" s="380">
        <v>90.98</v>
      </c>
      <c r="F1832" s="381">
        <v>23.0</v>
      </c>
      <c r="G1832" s="382">
        <f t="shared" ref="G1832:G1833" si="90">F1832*E1832</f>
        <v>2092.54</v>
      </c>
      <c r="H1832" s="240"/>
      <c r="I1832" s="240"/>
      <c r="J1832" s="240"/>
      <c r="K1832" s="240"/>
      <c r="L1832" s="240"/>
    </row>
    <row r="1833" ht="12.75" customHeight="1" outlineLevel="2">
      <c r="A1833" s="89" t="s">
        <v>743</v>
      </c>
      <c r="B1833" s="377" t="s">
        <v>3616</v>
      </c>
      <c r="C1833" s="378" t="s">
        <v>744</v>
      </c>
      <c r="D1833" s="379" t="s">
        <v>75</v>
      </c>
      <c r="E1833" s="380">
        <v>27.29</v>
      </c>
      <c r="F1833" s="381">
        <v>21.0</v>
      </c>
      <c r="G1833" s="382">
        <f t="shared" si="90"/>
        <v>573.09</v>
      </c>
      <c r="H1833" s="240"/>
      <c r="I1833" s="240"/>
      <c r="J1833" s="240"/>
      <c r="K1833" s="240"/>
      <c r="L1833" s="240"/>
    </row>
    <row r="1834" ht="12.75" customHeight="1" outlineLevel="2">
      <c r="B1834" s="189"/>
      <c r="E1834" s="79"/>
      <c r="F1834" s="80"/>
      <c r="G1834" s="80"/>
      <c r="H1834" s="240"/>
      <c r="I1834" s="240"/>
      <c r="J1834" s="240"/>
      <c r="K1834" s="240"/>
      <c r="L1834" s="240"/>
    </row>
    <row r="1835" ht="12.75" customHeight="1" outlineLevel="1">
      <c r="A1835" s="89" t="s">
        <v>745</v>
      </c>
      <c r="B1835" s="189"/>
      <c r="C1835" s="306" t="s">
        <v>5670</v>
      </c>
      <c r="E1835" s="79"/>
      <c r="F1835" s="917">
        <f>SUM(G1837:G1860)</f>
        <v>18862.5</v>
      </c>
      <c r="G1835" s="80"/>
      <c r="H1835" s="240"/>
      <c r="I1835" s="240"/>
      <c r="J1835" s="240"/>
      <c r="K1835" s="240"/>
      <c r="L1835" s="240"/>
    </row>
    <row r="1836" ht="12.75" customHeight="1" outlineLevel="2">
      <c r="B1836" s="189"/>
      <c r="E1836" s="79"/>
      <c r="F1836" s="80"/>
      <c r="G1836" s="80"/>
      <c r="H1836" s="240"/>
      <c r="I1836" s="240"/>
      <c r="J1836" s="240"/>
      <c r="K1836" s="240"/>
      <c r="L1836" s="240"/>
    </row>
    <row r="1837" ht="12.75" customHeight="1" outlineLevel="2">
      <c r="A1837" s="89" t="s">
        <v>747</v>
      </c>
      <c r="B1837" s="198">
        <v>25.6</v>
      </c>
      <c r="C1837" s="202" t="s">
        <v>748</v>
      </c>
      <c r="D1837" s="203" t="s">
        <v>40</v>
      </c>
      <c r="E1837" s="214">
        <v>31.0</v>
      </c>
      <c r="F1837" s="205">
        <v>32.0</v>
      </c>
      <c r="G1837" s="206">
        <f>F1837*E1837</f>
        <v>992</v>
      </c>
      <c r="H1837" s="219"/>
      <c r="I1837" s="219"/>
      <c r="J1837" s="240"/>
      <c r="K1837" s="240"/>
      <c r="L1837" s="240"/>
    </row>
    <row r="1838" ht="12.75" customHeight="1" outlineLevel="2">
      <c r="B1838" s="130"/>
      <c r="E1838" s="79"/>
      <c r="F1838" s="80"/>
      <c r="G1838" s="80"/>
      <c r="H1838" s="240"/>
      <c r="I1838" s="240"/>
      <c r="J1838" s="240"/>
      <c r="K1838" s="240"/>
      <c r="L1838" s="240"/>
    </row>
    <row r="1839" ht="12.75" customHeight="1" outlineLevel="2">
      <c r="A1839" s="89" t="s">
        <v>749</v>
      </c>
      <c r="B1839" s="198">
        <v>25.7</v>
      </c>
      <c r="C1839" s="202" t="s">
        <v>731</v>
      </c>
      <c r="D1839" s="203" t="s">
        <v>40</v>
      </c>
      <c r="E1839" s="214">
        <v>62.0</v>
      </c>
      <c r="F1839" s="205">
        <v>21.0</v>
      </c>
      <c r="G1839" s="206">
        <f>F1839*E1839</f>
        <v>1302</v>
      </c>
      <c r="H1839" s="219"/>
      <c r="I1839" s="219"/>
      <c r="J1839" s="240"/>
      <c r="K1839" s="240"/>
      <c r="L1839" s="240"/>
    </row>
    <row r="1840" ht="12.75" customHeight="1" outlineLevel="2">
      <c r="B1840" s="130"/>
      <c r="E1840" s="79"/>
      <c r="F1840" s="80"/>
      <c r="G1840" s="80"/>
      <c r="H1840" s="240"/>
      <c r="I1840" s="240"/>
      <c r="J1840" s="240"/>
      <c r="K1840" s="240"/>
      <c r="L1840" s="240"/>
    </row>
    <row r="1841" ht="12.75" customHeight="1" outlineLevel="2">
      <c r="A1841" s="89" t="s">
        <v>750</v>
      </c>
      <c r="B1841" s="198">
        <v>25.8</v>
      </c>
      <c r="C1841" s="202" t="s">
        <v>733</v>
      </c>
      <c r="D1841" s="203" t="s">
        <v>40</v>
      </c>
      <c r="E1841" s="214">
        <v>62.0</v>
      </c>
      <c r="F1841" s="205">
        <v>14.0</v>
      </c>
      <c r="G1841" s="206">
        <f>F1841*E1841</f>
        <v>868</v>
      </c>
      <c r="H1841" s="219"/>
      <c r="I1841" s="219"/>
      <c r="J1841" s="240"/>
      <c r="K1841" s="240"/>
      <c r="L1841" s="240"/>
    </row>
    <row r="1842" ht="12.75" customHeight="1" outlineLevel="2">
      <c r="B1842" s="130"/>
      <c r="E1842" s="79"/>
      <c r="F1842" s="80"/>
      <c r="G1842" s="80"/>
      <c r="H1842" s="240"/>
      <c r="I1842" s="240"/>
      <c r="J1842" s="240"/>
      <c r="K1842" s="240"/>
      <c r="L1842" s="240"/>
    </row>
    <row r="1843" ht="12.75" customHeight="1" outlineLevel="2">
      <c r="A1843" s="89" t="s">
        <v>751</v>
      </c>
      <c r="B1843" s="198">
        <v>25.9</v>
      </c>
      <c r="C1843" s="202" t="s">
        <v>752</v>
      </c>
      <c r="D1843" s="203" t="s">
        <v>40</v>
      </c>
      <c r="E1843" s="214">
        <v>17.11</v>
      </c>
      <c r="F1843" s="205">
        <v>50.0</v>
      </c>
      <c r="G1843" s="206">
        <f>F1843*E1843</f>
        <v>855.5</v>
      </c>
      <c r="H1843" s="219"/>
      <c r="I1843" s="219"/>
      <c r="J1843" s="240"/>
      <c r="K1843" s="240"/>
      <c r="L1843" s="240"/>
    </row>
    <row r="1844" ht="12.75" customHeight="1" outlineLevel="2">
      <c r="B1844" s="130"/>
      <c r="E1844" s="79"/>
      <c r="F1844" s="80"/>
      <c r="G1844" s="80"/>
      <c r="H1844" s="240"/>
      <c r="I1844" s="240"/>
      <c r="J1844" s="240"/>
      <c r="K1844" s="240"/>
      <c r="L1844" s="240"/>
    </row>
    <row r="1845" ht="12.75" customHeight="1" outlineLevel="2">
      <c r="A1845" s="89" t="s">
        <v>753</v>
      </c>
      <c r="B1845" s="282">
        <v>25.1</v>
      </c>
      <c r="C1845" s="202" t="s">
        <v>754</v>
      </c>
      <c r="D1845" s="203" t="s">
        <v>40</v>
      </c>
      <c r="E1845" s="214">
        <v>7.38</v>
      </c>
      <c r="F1845" s="205">
        <v>300.0</v>
      </c>
      <c r="G1845" s="206">
        <f>F1845*E1845</f>
        <v>2214</v>
      </c>
      <c r="H1845" s="219"/>
      <c r="I1845" s="219"/>
      <c r="J1845" s="240"/>
      <c r="K1845" s="240"/>
      <c r="L1845" s="240"/>
    </row>
    <row r="1846" ht="12.75" customHeight="1" outlineLevel="2">
      <c r="B1846" s="130"/>
      <c r="E1846" s="79"/>
      <c r="F1846" s="80"/>
      <c r="G1846" s="80"/>
      <c r="H1846" s="240"/>
      <c r="I1846" s="240"/>
      <c r="J1846" s="240"/>
      <c r="K1846" s="240"/>
      <c r="L1846" s="240"/>
    </row>
    <row r="1847" ht="12.75" customHeight="1" outlineLevel="2">
      <c r="A1847" s="89" t="s">
        <v>755</v>
      </c>
      <c r="B1847" s="383">
        <v>25.11</v>
      </c>
      <c r="C1847" s="376" t="s">
        <v>756</v>
      </c>
      <c r="E1847" s="79"/>
      <c r="F1847" s="80"/>
      <c r="G1847" s="80"/>
      <c r="H1847" s="240"/>
      <c r="I1847" s="240"/>
      <c r="J1847" s="240"/>
      <c r="K1847" s="240"/>
      <c r="L1847" s="240"/>
    </row>
    <row r="1848" ht="12.75" customHeight="1" outlineLevel="2">
      <c r="B1848" s="130"/>
      <c r="E1848" s="79"/>
      <c r="F1848" s="80"/>
      <c r="G1848" s="80"/>
      <c r="H1848" s="240"/>
      <c r="I1848" s="240"/>
      <c r="J1848" s="240"/>
      <c r="K1848" s="240"/>
      <c r="L1848" s="240"/>
    </row>
    <row r="1849" ht="12.75" customHeight="1" outlineLevel="2">
      <c r="A1849" s="89" t="s">
        <v>757</v>
      </c>
      <c r="B1849" s="198" t="s">
        <v>3623</v>
      </c>
      <c r="C1849" s="202" t="s">
        <v>758</v>
      </c>
      <c r="D1849" s="203" t="s">
        <v>75</v>
      </c>
      <c r="E1849" s="214">
        <v>1.0</v>
      </c>
      <c r="F1849" s="205">
        <v>2200.0</v>
      </c>
      <c r="G1849" s="206">
        <f>F1849*E1849</f>
        <v>2200</v>
      </c>
      <c r="H1849" s="240"/>
      <c r="I1849" s="240"/>
      <c r="J1849" s="240"/>
      <c r="K1849" s="240"/>
      <c r="L1849" s="240"/>
    </row>
    <row r="1850" ht="12.75" customHeight="1" outlineLevel="2">
      <c r="B1850" s="130"/>
      <c r="E1850" s="79"/>
      <c r="F1850" s="80"/>
      <c r="G1850" s="80"/>
      <c r="H1850" s="240"/>
      <c r="I1850" s="240"/>
      <c r="J1850" s="240"/>
      <c r="K1850" s="240"/>
      <c r="L1850" s="240"/>
    </row>
    <row r="1851" ht="12.75" customHeight="1" outlineLevel="2">
      <c r="A1851" s="89" t="s">
        <v>759</v>
      </c>
      <c r="B1851" s="383">
        <v>25.12</v>
      </c>
      <c r="C1851" s="376" t="s">
        <v>760</v>
      </c>
      <c r="E1851" s="79"/>
      <c r="F1851" s="80"/>
      <c r="G1851" s="80"/>
      <c r="H1851" s="240"/>
      <c r="I1851" s="240"/>
      <c r="J1851" s="240"/>
      <c r="K1851" s="240"/>
      <c r="L1851" s="240"/>
    </row>
    <row r="1852" ht="12.75" customHeight="1" outlineLevel="2">
      <c r="B1852" s="130"/>
      <c r="E1852" s="79"/>
      <c r="F1852" s="80"/>
      <c r="G1852" s="80"/>
      <c r="H1852" s="240"/>
      <c r="I1852" s="240"/>
      <c r="J1852" s="240"/>
      <c r="K1852" s="240"/>
      <c r="L1852" s="240"/>
    </row>
    <row r="1853" ht="12.75" customHeight="1" outlineLevel="2">
      <c r="A1853" s="89" t="s">
        <v>761</v>
      </c>
      <c r="B1853" s="198" t="s">
        <v>3626</v>
      </c>
      <c r="C1853" s="202" t="s">
        <v>762</v>
      </c>
      <c r="D1853" s="203" t="s">
        <v>75</v>
      </c>
      <c r="E1853" s="214">
        <v>1.0</v>
      </c>
      <c r="F1853" s="205">
        <v>5800.0</v>
      </c>
      <c r="G1853" s="206">
        <f>F1853*E1853</f>
        <v>5800</v>
      </c>
      <c r="H1853" s="240"/>
      <c r="I1853" s="240"/>
      <c r="J1853" s="240"/>
      <c r="K1853" s="240"/>
      <c r="L1853" s="240"/>
    </row>
    <row r="1854" ht="12.75" customHeight="1" outlineLevel="2">
      <c r="B1854" s="130"/>
      <c r="E1854" s="79"/>
      <c r="F1854" s="80"/>
      <c r="G1854" s="80"/>
      <c r="H1854" s="240"/>
      <c r="I1854" s="240"/>
      <c r="J1854" s="240"/>
      <c r="K1854" s="240"/>
      <c r="L1854" s="240"/>
    </row>
    <row r="1855" ht="12.75" customHeight="1" outlineLevel="2">
      <c r="A1855" s="89" t="s">
        <v>763</v>
      </c>
      <c r="B1855" s="383">
        <v>25.13</v>
      </c>
      <c r="C1855" s="376" t="s">
        <v>764</v>
      </c>
      <c r="E1855" s="79"/>
      <c r="F1855" s="80"/>
      <c r="G1855" s="80"/>
      <c r="H1855" s="240"/>
      <c r="I1855" s="240"/>
      <c r="J1855" s="240"/>
      <c r="K1855" s="240"/>
      <c r="L1855" s="240"/>
    </row>
    <row r="1856" ht="12.75" customHeight="1" outlineLevel="2">
      <c r="B1856" s="130"/>
      <c r="E1856" s="79"/>
      <c r="F1856" s="80"/>
      <c r="G1856" s="80"/>
      <c r="H1856" s="240"/>
      <c r="I1856" s="240"/>
      <c r="J1856" s="240"/>
      <c r="K1856" s="240"/>
      <c r="L1856" s="240"/>
    </row>
    <row r="1857" ht="12.75" customHeight="1" outlineLevel="2">
      <c r="A1857" s="89" t="s">
        <v>765</v>
      </c>
      <c r="B1857" s="383" t="s">
        <v>3629</v>
      </c>
      <c r="C1857" s="202" t="s">
        <v>766</v>
      </c>
      <c r="D1857" s="203" t="s">
        <v>75</v>
      </c>
      <c r="E1857" s="214">
        <v>1.0</v>
      </c>
      <c r="F1857" s="205">
        <v>2200.0</v>
      </c>
      <c r="G1857" s="206">
        <f t="shared" ref="G1857:G1858" si="91">F1857*E1857</f>
        <v>2200</v>
      </c>
      <c r="H1857" s="240"/>
      <c r="I1857" s="240"/>
      <c r="J1857" s="240"/>
      <c r="K1857" s="240"/>
      <c r="L1857" s="240"/>
    </row>
    <row r="1858" ht="12.75" customHeight="1" outlineLevel="2">
      <c r="A1858" s="89" t="s">
        <v>767</v>
      </c>
      <c r="B1858" s="383" t="s">
        <v>3631</v>
      </c>
      <c r="C1858" s="202" t="s">
        <v>768</v>
      </c>
      <c r="D1858" s="203" t="s">
        <v>75</v>
      </c>
      <c r="E1858" s="214">
        <v>1.0</v>
      </c>
      <c r="F1858" s="205">
        <v>2200.0</v>
      </c>
      <c r="G1858" s="206">
        <f t="shared" si="91"/>
        <v>2200</v>
      </c>
      <c r="H1858" s="240"/>
      <c r="I1858" s="240"/>
      <c r="J1858" s="240"/>
      <c r="K1858" s="240"/>
      <c r="L1858" s="240"/>
    </row>
    <row r="1859" ht="12.75" customHeight="1" outlineLevel="2">
      <c r="B1859" s="130"/>
      <c r="E1859" s="79"/>
      <c r="F1859" s="80"/>
      <c r="G1859" s="80"/>
      <c r="H1859" s="240"/>
      <c r="I1859" s="240"/>
      <c r="J1859" s="240"/>
      <c r="K1859" s="240"/>
      <c r="L1859" s="240"/>
    </row>
    <row r="1860" ht="12.75" customHeight="1" outlineLevel="2">
      <c r="A1860" s="89" t="s">
        <v>769</v>
      </c>
      <c r="B1860" s="383">
        <v>25.14</v>
      </c>
      <c r="C1860" s="202" t="s">
        <v>770</v>
      </c>
      <c r="D1860" s="203" t="s">
        <v>161</v>
      </c>
      <c r="E1860" s="214">
        <v>2.1</v>
      </c>
      <c r="F1860" s="205">
        <v>110.0</v>
      </c>
      <c r="G1860" s="206">
        <f>F1860*E1860</f>
        <v>231</v>
      </c>
      <c r="H1860" s="219"/>
      <c r="I1860" s="219"/>
      <c r="J1860" s="240"/>
      <c r="K1860" s="240"/>
      <c r="L1860" s="240"/>
    </row>
    <row r="1861" ht="12.75" customHeight="1" outlineLevel="1">
      <c r="A1861" s="89"/>
      <c r="B1861" s="312"/>
      <c r="C1861" s="90"/>
      <c r="D1861" s="89"/>
      <c r="E1861" s="91"/>
      <c r="F1861" s="92"/>
      <c r="G1861" s="92"/>
      <c r="H1861" s="240"/>
      <c r="I1861" s="240"/>
      <c r="J1861" s="240"/>
      <c r="K1861" s="240"/>
      <c r="L1861" s="240"/>
    </row>
    <row r="1862" ht="12.75" customHeight="1">
      <c r="A1862" s="192"/>
      <c r="B1862" s="83">
        <v>26.0</v>
      </c>
      <c r="C1862" s="306" t="s">
        <v>665</v>
      </c>
      <c r="D1862" s="193"/>
      <c r="E1862" s="194"/>
      <c r="F1862" s="195"/>
      <c r="G1862" s="196">
        <f>SUM(G1866:G1904)</f>
        <v>25469</v>
      </c>
      <c r="H1862" s="197">
        <f>G1862-'Orcamento RU'!C638</f>
        <v>-8599.69</v>
      </c>
      <c r="I1862" s="197">
        <f>H1862-'Orcamento RU'!D638</f>
        <v>-8599.69</v>
      </c>
      <c r="J1862" s="919"/>
      <c r="K1862" s="169"/>
      <c r="L1862" s="169"/>
    </row>
    <row r="1863" ht="12.75" customHeight="1" outlineLevel="1">
      <c r="A1863" s="89"/>
      <c r="B1863" s="312"/>
      <c r="C1863" s="90"/>
      <c r="D1863" s="89"/>
      <c r="E1863" s="91"/>
      <c r="F1863" s="92"/>
      <c r="G1863" s="92"/>
      <c r="H1863" s="240"/>
      <c r="I1863" s="240"/>
      <c r="J1863" s="240"/>
      <c r="K1863" s="240"/>
      <c r="L1863" s="240"/>
    </row>
    <row r="1864" ht="12.75" customHeight="1" outlineLevel="1">
      <c r="A1864" s="89" t="s">
        <v>666</v>
      </c>
      <c r="B1864" s="189"/>
      <c r="C1864" s="306" t="s">
        <v>5671</v>
      </c>
      <c r="E1864" s="79"/>
      <c r="F1864" s="917">
        <f>SUM(G1866:G1868)</f>
        <v>8100</v>
      </c>
      <c r="G1864" s="80"/>
      <c r="H1864" s="240"/>
      <c r="I1864" s="240"/>
      <c r="J1864" s="240"/>
      <c r="K1864" s="240"/>
      <c r="L1864" s="240"/>
    </row>
    <row r="1865" ht="12.75" customHeight="1" outlineLevel="2">
      <c r="B1865" s="189"/>
      <c r="E1865" s="79"/>
      <c r="F1865" s="80"/>
      <c r="G1865" s="80"/>
      <c r="H1865" s="240"/>
      <c r="I1865" s="240"/>
      <c r="J1865" s="240"/>
      <c r="K1865" s="240"/>
      <c r="L1865" s="240"/>
    </row>
    <row r="1866" ht="12.75" customHeight="1" outlineLevel="2">
      <c r="A1866" s="89" t="s">
        <v>667</v>
      </c>
      <c r="B1866" s="383">
        <v>26.1</v>
      </c>
      <c r="C1866" s="202" t="s">
        <v>668</v>
      </c>
      <c r="D1866" s="203" t="s">
        <v>75</v>
      </c>
      <c r="E1866" s="214">
        <v>1.0</v>
      </c>
      <c r="F1866" s="205">
        <v>2000.0</v>
      </c>
      <c r="G1866" s="206">
        <f>F1866*E1866</f>
        <v>2000</v>
      </c>
      <c r="H1866" s="219"/>
      <c r="I1866" s="240"/>
      <c r="J1866" s="240"/>
      <c r="K1866" s="240"/>
      <c r="L1866" s="240"/>
    </row>
    <row r="1867" ht="12.75" customHeight="1" outlineLevel="2">
      <c r="B1867" s="189"/>
      <c r="E1867" s="79"/>
      <c r="F1867" s="80"/>
      <c r="G1867" s="80"/>
      <c r="H1867" s="240"/>
      <c r="I1867" s="240"/>
      <c r="J1867" s="240"/>
      <c r="K1867" s="240"/>
      <c r="L1867" s="240"/>
    </row>
    <row r="1868" ht="12.75" customHeight="1" outlineLevel="2">
      <c r="A1868" s="89" t="s">
        <v>670</v>
      </c>
      <c r="B1868" s="383">
        <v>26.2</v>
      </c>
      <c r="C1868" s="202" t="s">
        <v>671</v>
      </c>
      <c r="D1868" s="203" t="s">
        <v>75</v>
      </c>
      <c r="E1868" s="214">
        <v>1.0</v>
      </c>
      <c r="F1868" s="205">
        <v>6100.0</v>
      </c>
      <c r="G1868" s="206">
        <f>F1868*E1868</f>
        <v>6100</v>
      </c>
      <c r="H1868" s="219"/>
      <c r="I1868" s="240"/>
      <c r="J1868" s="240"/>
      <c r="K1868" s="240"/>
      <c r="L1868" s="240"/>
    </row>
    <row r="1869" ht="12.75" customHeight="1" outlineLevel="2">
      <c r="B1869" s="189"/>
      <c r="E1869" s="79"/>
      <c r="F1869" s="80"/>
      <c r="G1869" s="80"/>
      <c r="H1869" s="240"/>
      <c r="I1869" s="240"/>
      <c r="J1869" s="240"/>
      <c r="K1869" s="240"/>
      <c r="L1869" s="240"/>
    </row>
    <row r="1870" ht="12.75" customHeight="1" outlineLevel="1">
      <c r="A1870" s="89" t="s">
        <v>673</v>
      </c>
      <c r="B1870" s="189"/>
      <c r="C1870" s="306" t="s">
        <v>674</v>
      </c>
      <c r="E1870" s="79"/>
      <c r="F1870" s="488">
        <f>SUM(G1874:G1890)</f>
        <v>7569</v>
      </c>
      <c r="G1870" s="80"/>
      <c r="H1870" s="240"/>
      <c r="I1870" s="240"/>
      <c r="J1870" s="240"/>
      <c r="K1870" s="586">
        <v>0.0</v>
      </c>
      <c r="L1870" s="240">
        <f>F1870-K1870</f>
        <v>7569</v>
      </c>
    </row>
    <row r="1871" ht="12.75" customHeight="1" outlineLevel="2">
      <c r="B1871" s="189"/>
      <c r="E1871" s="79"/>
      <c r="F1871" s="80"/>
      <c r="G1871" s="80"/>
      <c r="H1871" s="240"/>
      <c r="I1871" s="240"/>
      <c r="J1871" s="240"/>
      <c r="K1871" s="240"/>
      <c r="L1871" s="240"/>
    </row>
    <row r="1872" ht="12.75" customHeight="1" outlineLevel="2">
      <c r="A1872" s="89" t="s">
        <v>675</v>
      </c>
      <c r="B1872" s="383">
        <v>26.3</v>
      </c>
      <c r="C1872" s="376" t="s">
        <v>7885</v>
      </c>
      <c r="E1872" s="79"/>
      <c r="G1872" s="80"/>
      <c r="H1872" s="240"/>
      <c r="I1872" s="240"/>
      <c r="J1872" s="240"/>
      <c r="K1872" s="240"/>
      <c r="L1872" s="240"/>
    </row>
    <row r="1873" ht="12.75" customHeight="1" outlineLevel="2">
      <c r="B1873" s="189"/>
      <c r="E1873" s="79"/>
      <c r="F1873" s="80"/>
      <c r="G1873" s="80"/>
      <c r="H1873" s="240"/>
      <c r="I1873" s="240"/>
      <c r="J1873" s="240"/>
      <c r="K1873" s="240"/>
      <c r="L1873" s="240"/>
    </row>
    <row r="1874" ht="12.75" customHeight="1" outlineLevel="2">
      <c r="A1874" s="89" t="s">
        <v>677</v>
      </c>
      <c r="B1874" s="383" t="s">
        <v>3639</v>
      </c>
      <c r="C1874" s="202" t="s">
        <v>678</v>
      </c>
      <c r="D1874" s="203" t="s">
        <v>75</v>
      </c>
      <c r="E1874" s="214">
        <v>1.0</v>
      </c>
      <c r="F1874" s="921">
        <v>114.0</v>
      </c>
      <c r="G1874" s="206">
        <f t="shared" ref="G1874:G1890" si="92">F1874*E1874</f>
        <v>114</v>
      </c>
      <c r="H1874" s="92"/>
      <c r="I1874" s="240"/>
      <c r="J1874" s="240"/>
      <c r="K1874" s="240"/>
      <c r="L1874" s="240"/>
    </row>
    <row r="1875" ht="12.75" customHeight="1" outlineLevel="2">
      <c r="A1875" s="89" t="s">
        <v>679</v>
      </c>
      <c r="B1875" s="383" t="s">
        <v>3641</v>
      </c>
      <c r="C1875" s="202" t="s">
        <v>680</v>
      </c>
      <c r="D1875" s="203" t="s">
        <v>75</v>
      </c>
      <c r="E1875" s="214">
        <v>1.0</v>
      </c>
      <c r="F1875" s="921">
        <v>170.0</v>
      </c>
      <c r="G1875" s="206">
        <f t="shared" si="92"/>
        <v>170</v>
      </c>
      <c r="H1875" s="92"/>
      <c r="I1875" s="240"/>
      <c r="J1875" s="240"/>
      <c r="K1875" s="240"/>
      <c r="L1875" s="240"/>
    </row>
    <row r="1876" ht="12.75" customHeight="1" outlineLevel="2">
      <c r="A1876" s="89" t="s">
        <v>681</v>
      </c>
      <c r="B1876" s="383" t="s">
        <v>3643</v>
      </c>
      <c r="C1876" s="202" t="s">
        <v>682</v>
      </c>
      <c r="D1876" s="203" t="s">
        <v>75</v>
      </c>
      <c r="E1876" s="214">
        <v>1.0</v>
      </c>
      <c r="F1876" s="921">
        <v>150.0</v>
      </c>
      <c r="G1876" s="206">
        <f t="shared" si="92"/>
        <v>150</v>
      </c>
      <c r="H1876" s="92"/>
      <c r="I1876" s="240"/>
      <c r="J1876" s="240"/>
      <c r="K1876" s="240"/>
      <c r="L1876" s="240"/>
    </row>
    <row r="1877" ht="12.75" customHeight="1" outlineLevel="2">
      <c r="A1877" s="89" t="s">
        <v>683</v>
      </c>
      <c r="B1877" s="383" t="s">
        <v>3645</v>
      </c>
      <c r="C1877" s="202" t="s">
        <v>684</v>
      </c>
      <c r="D1877" s="203" t="s">
        <v>75</v>
      </c>
      <c r="E1877" s="214">
        <v>1.0</v>
      </c>
      <c r="F1877" s="921">
        <v>300.0</v>
      </c>
      <c r="G1877" s="206">
        <f t="shared" si="92"/>
        <v>300</v>
      </c>
      <c r="H1877" s="92"/>
      <c r="I1877" s="240"/>
      <c r="J1877" s="240"/>
      <c r="K1877" s="240"/>
      <c r="L1877" s="240"/>
    </row>
    <row r="1878" ht="12.75" customHeight="1" outlineLevel="2">
      <c r="A1878" s="89" t="s">
        <v>685</v>
      </c>
      <c r="B1878" s="383" t="s">
        <v>3647</v>
      </c>
      <c r="C1878" s="202" t="s">
        <v>686</v>
      </c>
      <c r="D1878" s="203" t="s">
        <v>75</v>
      </c>
      <c r="E1878" s="214">
        <v>1.0</v>
      </c>
      <c r="F1878" s="921">
        <v>600.0</v>
      </c>
      <c r="G1878" s="206">
        <f t="shared" si="92"/>
        <v>600</v>
      </c>
      <c r="H1878" s="92"/>
      <c r="I1878" s="240"/>
      <c r="J1878" s="240"/>
      <c r="K1878" s="240"/>
      <c r="L1878" s="240"/>
    </row>
    <row r="1879" ht="12.75" customHeight="1" outlineLevel="2">
      <c r="A1879" s="89" t="s">
        <v>687</v>
      </c>
      <c r="B1879" s="383" t="s">
        <v>3649</v>
      </c>
      <c r="C1879" s="202" t="s">
        <v>688</v>
      </c>
      <c r="D1879" s="203" t="s">
        <v>75</v>
      </c>
      <c r="E1879" s="214">
        <v>1.0</v>
      </c>
      <c r="F1879" s="921">
        <v>620.0</v>
      </c>
      <c r="G1879" s="206">
        <f t="shared" si="92"/>
        <v>620</v>
      </c>
      <c r="H1879" s="92"/>
      <c r="I1879" s="240"/>
      <c r="J1879" s="240"/>
      <c r="K1879" s="240"/>
      <c r="L1879" s="240"/>
    </row>
    <row r="1880" ht="12.75" customHeight="1" outlineLevel="2">
      <c r="A1880" s="89" t="s">
        <v>689</v>
      </c>
      <c r="B1880" s="383" t="s">
        <v>3651</v>
      </c>
      <c r="C1880" s="202" t="s">
        <v>690</v>
      </c>
      <c r="D1880" s="203" t="s">
        <v>75</v>
      </c>
      <c r="E1880" s="214">
        <v>1.0</v>
      </c>
      <c r="F1880" s="921">
        <v>500.0</v>
      </c>
      <c r="G1880" s="206">
        <f t="shared" si="92"/>
        <v>500</v>
      </c>
      <c r="H1880" s="92"/>
      <c r="I1880" s="240"/>
      <c r="J1880" s="240"/>
      <c r="K1880" s="240"/>
      <c r="L1880" s="240"/>
    </row>
    <row r="1881" ht="12.75" customHeight="1" outlineLevel="2">
      <c r="A1881" s="89" t="s">
        <v>691</v>
      </c>
      <c r="B1881" s="383" t="s">
        <v>3653</v>
      </c>
      <c r="C1881" s="202" t="s">
        <v>692</v>
      </c>
      <c r="D1881" s="203" t="s">
        <v>75</v>
      </c>
      <c r="E1881" s="214">
        <v>1.0</v>
      </c>
      <c r="F1881" s="921">
        <v>715.0</v>
      </c>
      <c r="G1881" s="206">
        <f t="shared" si="92"/>
        <v>715</v>
      </c>
      <c r="H1881" s="92"/>
      <c r="I1881" s="240"/>
      <c r="J1881" s="240"/>
      <c r="K1881" s="240"/>
      <c r="L1881" s="240"/>
    </row>
    <row r="1882" ht="12.75" customHeight="1" outlineLevel="2">
      <c r="A1882" s="89" t="s">
        <v>693</v>
      </c>
      <c r="B1882" s="383" t="s">
        <v>3655</v>
      </c>
      <c r="C1882" s="202" t="s">
        <v>694</v>
      </c>
      <c r="D1882" s="203" t="s">
        <v>75</v>
      </c>
      <c r="E1882" s="214">
        <v>1.0</v>
      </c>
      <c r="F1882" s="921">
        <v>720.0</v>
      </c>
      <c r="G1882" s="206">
        <f t="shared" si="92"/>
        <v>720</v>
      </c>
      <c r="H1882" s="92"/>
      <c r="I1882" s="240"/>
      <c r="J1882" s="240"/>
      <c r="K1882" s="240"/>
      <c r="L1882" s="240"/>
    </row>
    <row r="1883" ht="12.75" customHeight="1" outlineLevel="2">
      <c r="A1883" s="89" t="s">
        <v>695</v>
      </c>
      <c r="B1883" s="383" t="s">
        <v>3657</v>
      </c>
      <c r="C1883" s="202" t="s">
        <v>696</v>
      </c>
      <c r="D1883" s="203" t="s">
        <v>75</v>
      </c>
      <c r="E1883" s="214">
        <v>1.0</v>
      </c>
      <c r="F1883" s="921">
        <v>250.0</v>
      </c>
      <c r="G1883" s="206">
        <f t="shared" si="92"/>
        <v>250</v>
      </c>
      <c r="H1883" s="92"/>
      <c r="I1883" s="240"/>
      <c r="J1883" s="240"/>
      <c r="K1883" s="240"/>
      <c r="L1883" s="240"/>
    </row>
    <row r="1884" ht="12.75" customHeight="1" outlineLevel="2">
      <c r="A1884" s="89" t="s">
        <v>697</v>
      </c>
      <c r="B1884" s="383" t="s">
        <v>3659</v>
      </c>
      <c r="C1884" s="202" t="s">
        <v>698</v>
      </c>
      <c r="D1884" s="203" t="s">
        <v>75</v>
      </c>
      <c r="E1884" s="214">
        <v>1.0</v>
      </c>
      <c r="F1884" s="921">
        <v>1720.0</v>
      </c>
      <c r="G1884" s="206">
        <f t="shared" si="92"/>
        <v>1720</v>
      </c>
      <c r="H1884" s="92"/>
      <c r="I1884" s="240"/>
      <c r="J1884" s="240"/>
      <c r="K1884" s="240"/>
      <c r="L1884" s="240"/>
    </row>
    <row r="1885" ht="12.75" customHeight="1" outlineLevel="2">
      <c r="A1885" s="89" t="s">
        <v>699</v>
      </c>
      <c r="B1885" s="383" t="s">
        <v>3661</v>
      </c>
      <c r="C1885" s="202" t="s">
        <v>700</v>
      </c>
      <c r="D1885" s="203" t="s">
        <v>75</v>
      </c>
      <c r="E1885" s="214">
        <v>1.0</v>
      </c>
      <c r="F1885" s="921">
        <v>280.0</v>
      </c>
      <c r="G1885" s="206">
        <f t="shared" si="92"/>
        <v>280</v>
      </c>
      <c r="H1885" s="92"/>
      <c r="I1885" s="240"/>
      <c r="J1885" s="240"/>
      <c r="K1885" s="240"/>
      <c r="L1885" s="240"/>
    </row>
    <row r="1886" ht="12.75" customHeight="1" outlineLevel="2">
      <c r="A1886" s="89" t="s">
        <v>701</v>
      </c>
      <c r="B1886" s="383" t="s">
        <v>3663</v>
      </c>
      <c r="C1886" s="202" t="s">
        <v>702</v>
      </c>
      <c r="D1886" s="203" t="s">
        <v>75</v>
      </c>
      <c r="E1886" s="214">
        <v>1.0</v>
      </c>
      <c r="F1886" s="921">
        <v>200.0</v>
      </c>
      <c r="G1886" s="206">
        <f t="shared" si="92"/>
        <v>200</v>
      </c>
      <c r="I1886" s="240"/>
      <c r="J1886" s="240"/>
      <c r="K1886" s="240"/>
      <c r="L1886" s="240"/>
    </row>
    <row r="1887" ht="12.75" customHeight="1" outlineLevel="2">
      <c r="A1887" s="89" t="s">
        <v>703</v>
      </c>
      <c r="B1887" s="383" t="s">
        <v>3665</v>
      </c>
      <c r="C1887" s="202" t="s">
        <v>704</v>
      </c>
      <c r="D1887" s="203" t="s">
        <v>75</v>
      </c>
      <c r="E1887" s="214">
        <v>1.0</v>
      </c>
      <c r="F1887" s="921">
        <v>255.0</v>
      </c>
      <c r="G1887" s="206">
        <f t="shared" si="92"/>
        <v>255</v>
      </c>
      <c r="H1887" s="80"/>
      <c r="I1887" s="240"/>
      <c r="J1887" s="240"/>
      <c r="K1887" s="240"/>
      <c r="L1887" s="240"/>
    </row>
    <row r="1888" ht="12.75" customHeight="1" outlineLevel="2">
      <c r="A1888" s="89" t="s">
        <v>705</v>
      </c>
      <c r="B1888" s="383" t="s">
        <v>3667</v>
      </c>
      <c r="C1888" s="202" t="s">
        <v>706</v>
      </c>
      <c r="D1888" s="203" t="s">
        <v>75</v>
      </c>
      <c r="E1888" s="214">
        <v>1.0</v>
      </c>
      <c r="F1888" s="921">
        <v>330.0</v>
      </c>
      <c r="G1888" s="206">
        <f t="shared" si="92"/>
        <v>330</v>
      </c>
      <c r="I1888" s="240"/>
      <c r="J1888" s="240"/>
      <c r="K1888" s="240"/>
      <c r="L1888" s="240"/>
    </row>
    <row r="1889" ht="12.75" customHeight="1" outlineLevel="2">
      <c r="A1889" s="89" t="s">
        <v>707</v>
      </c>
      <c r="B1889" s="383" t="s">
        <v>3669</v>
      </c>
      <c r="C1889" s="202" t="s">
        <v>708</v>
      </c>
      <c r="D1889" s="203" t="s">
        <v>75</v>
      </c>
      <c r="E1889" s="214">
        <v>1.0</v>
      </c>
      <c r="F1889" s="921">
        <v>420.0</v>
      </c>
      <c r="G1889" s="206">
        <f t="shared" si="92"/>
        <v>420</v>
      </c>
      <c r="H1889" s="80"/>
      <c r="I1889" s="240"/>
      <c r="J1889" s="240"/>
      <c r="K1889" s="240"/>
      <c r="L1889" s="240"/>
    </row>
    <row r="1890" ht="12.75" customHeight="1" outlineLevel="2">
      <c r="A1890" s="89" t="s">
        <v>709</v>
      </c>
      <c r="B1890" s="383" t="s">
        <v>3671</v>
      </c>
      <c r="C1890" s="202" t="s">
        <v>710</v>
      </c>
      <c r="D1890" s="203" t="s">
        <v>75</v>
      </c>
      <c r="E1890" s="214">
        <v>1.0</v>
      </c>
      <c r="F1890" s="921">
        <v>225.0</v>
      </c>
      <c r="G1890" s="206">
        <f t="shared" si="92"/>
        <v>225</v>
      </c>
      <c r="I1890" s="240"/>
      <c r="J1890" s="240"/>
      <c r="K1890" s="240"/>
      <c r="L1890" s="240"/>
    </row>
    <row r="1891" ht="12.75" customHeight="1" outlineLevel="2">
      <c r="B1891" s="189"/>
      <c r="E1891" s="79"/>
      <c r="F1891" s="80"/>
      <c r="G1891" s="80"/>
      <c r="H1891" s="80"/>
      <c r="I1891" s="240"/>
      <c r="J1891" s="240"/>
      <c r="K1891" s="240"/>
      <c r="L1891" s="240"/>
    </row>
    <row r="1892" ht="12.75" customHeight="1" outlineLevel="1">
      <c r="A1892" s="89" t="s">
        <v>711</v>
      </c>
      <c r="B1892" s="189"/>
      <c r="C1892" s="306" t="s">
        <v>712</v>
      </c>
      <c r="E1892" s="79"/>
      <c r="F1892" s="917">
        <f>SUM(G1896:G1900)</f>
        <v>7500</v>
      </c>
      <c r="G1892" s="80"/>
      <c r="I1892" s="240"/>
      <c r="J1892" s="240"/>
      <c r="K1892" s="240"/>
      <c r="L1892" s="240"/>
    </row>
    <row r="1893" ht="12.75" customHeight="1" outlineLevel="2">
      <c r="B1893" s="189"/>
      <c r="E1893" s="79"/>
      <c r="F1893" s="80"/>
      <c r="G1893" s="80"/>
      <c r="H1893" s="80"/>
      <c r="I1893" s="240"/>
      <c r="J1893" s="240"/>
      <c r="K1893" s="240"/>
      <c r="L1893" s="240"/>
    </row>
    <row r="1894" ht="12.75" customHeight="1" outlineLevel="2">
      <c r="A1894" s="95" t="s">
        <v>713</v>
      </c>
      <c r="B1894" s="383">
        <v>26.4</v>
      </c>
      <c r="C1894" s="376" t="s">
        <v>714</v>
      </c>
      <c r="D1894" s="102"/>
      <c r="E1894" s="103"/>
      <c r="F1894" s="104"/>
      <c r="G1894" s="104"/>
      <c r="H1894" s="92">
        <v>1720.36</v>
      </c>
      <c r="I1894" s="240"/>
      <c r="J1894" s="240"/>
      <c r="K1894" s="240"/>
      <c r="L1894" s="240"/>
    </row>
    <row r="1895" ht="12.75" customHeight="1" outlineLevel="2">
      <c r="A1895" s="102"/>
      <c r="B1895" s="234"/>
      <c r="C1895" s="102"/>
      <c r="D1895" s="102"/>
      <c r="E1895" s="103"/>
      <c r="F1895" s="104"/>
      <c r="G1895" s="104"/>
      <c r="H1895" s="80"/>
      <c r="I1895" s="240"/>
      <c r="J1895" s="240"/>
      <c r="K1895" s="240"/>
      <c r="L1895" s="240"/>
    </row>
    <row r="1896" ht="12.75" customHeight="1" outlineLevel="2">
      <c r="A1896" s="95" t="s">
        <v>715</v>
      </c>
      <c r="B1896" s="384" t="s">
        <v>3675</v>
      </c>
      <c r="C1896" s="202" t="s">
        <v>716</v>
      </c>
      <c r="D1896" s="203" t="s">
        <v>75</v>
      </c>
      <c r="E1896" s="214">
        <v>1.0</v>
      </c>
      <c r="F1896" s="205">
        <v>5000.0</v>
      </c>
      <c r="G1896" s="206">
        <f>F1896*E1896</f>
        <v>5000</v>
      </c>
      <c r="H1896" s="92">
        <v>472.78</v>
      </c>
      <c r="I1896" s="240"/>
      <c r="J1896" s="240"/>
      <c r="K1896" s="240"/>
      <c r="L1896" s="240"/>
    </row>
    <row r="1897" ht="12.75" customHeight="1" outlineLevel="2">
      <c r="A1897" s="102"/>
      <c r="B1897" s="234"/>
      <c r="C1897" s="102"/>
      <c r="D1897" s="102"/>
      <c r="E1897" s="103"/>
      <c r="F1897" s="104"/>
      <c r="G1897" s="104"/>
      <c r="H1897" s="80"/>
      <c r="I1897" s="240"/>
      <c r="J1897" s="240"/>
      <c r="K1897" s="240"/>
      <c r="L1897" s="240"/>
    </row>
    <row r="1898" ht="12.75" customHeight="1" outlineLevel="2">
      <c r="A1898" s="95" t="s">
        <v>717</v>
      </c>
      <c r="B1898" s="234"/>
      <c r="C1898" s="306" t="s">
        <v>718</v>
      </c>
      <c r="D1898" s="102"/>
      <c r="E1898" s="103"/>
      <c r="F1898" s="104"/>
      <c r="G1898" s="104"/>
      <c r="H1898" s="92">
        <v>200.36</v>
      </c>
      <c r="I1898" s="240"/>
      <c r="J1898" s="240"/>
      <c r="K1898" s="240"/>
      <c r="L1898" s="240"/>
    </row>
    <row r="1899" ht="12.75" customHeight="1" outlineLevel="2">
      <c r="A1899" s="102"/>
      <c r="B1899" s="234"/>
      <c r="C1899" s="102"/>
      <c r="D1899" s="102"/>
      <c r="E1899" s="103"/>
      <c r="F1899" s="104"/>
      <c r="G1899" s="104"/>
      <c r="H1899" s="80"/>
      <c r="I1899" s="240"/>
      <c r="J1899" s="240"/>
      <c r="K1899" s="240"/>
      <c r="L1899" s="240"/>
    </row>
    <row r="1900" ht="12.75" customHeight="1" outlineLevel="2">
      <c r="A1900" s="95" t="s">
        <v>719</v>
      </c>
      <c r="B1900" s="383">
        <v>26.5</v>
      </c>
      <c r="C1900" s="202" t="s">
        <v>720</v>
      </c>
      <c r="D1900" s="203" t="s">
        <v>161</v>
      </c>
      <c r="E1900" s="214">
        <v>1.0</v>
      </c>
      <c r="F1900" s="205">
        <v>2500.0</v>
      </c>
      <c r="G1900" s="205">
        <f>F1900*E1900</f>
        <v>2500</v>
      </c>
      <c r="H1900" s="92">
        <v>255.64</v>
      </c>
      <c r="I1900" s="240"/>
      <c r="J1900" s="240"/>
      <c r="K1900" s="240"/>
      <c r="L1900" s="240"/>
    </row>
    <row r="1901" ht="12.75" customHeight="1" outlineLevel="2">
      <c r="A1901" s="138"/>
      <c r="B1901" s="189"/>
      <c r="C1901" s="138"/>
      <c r="D1901" s="138"/>
      <c r="E1901" s="139"/>
      <c r="F1901" s="106"/>
      <c r="G1901" s="106"/>
      <c r="H1901" s="80"/>
      <c r="I1901" s="240"/>
      <c r="J1901" s="240"/>
      <c r="K1901" s="240"/>
      <c r="L1901" s="240"/>
    </row>
    <row r="1902" ht="12.75" customHeight="1" outlineLevel="1">
      <c r="A1902" s="95" t="s">
        <v>721</v>
      </c>
      <c r="B1902" s="189"/>
      <c r="C1902" s="306" t="s">
        <v>5674</v>
      </c>
      <c r="D1902" s="138"/>
      <c r="E1902" s="139"/>
      <c r="F1902" s="917">
        <f>SUM(G1904)</f>
        <v>2300</v>
      </c>
      <c r="G1902" s="106"/>
      <c r="I1902" s="240"/>
      <c r="J1902" s="240"/>
      <c r="K1902" s="240"/>
      <c r="L1902" s="240"/>
    </row>
    <row r="1903" ht="12.75" customHeight="1" outlineLevel="2">
      <c r="A1903" s="102"/>
      <c r="B1903" s="189"/>
      <c r="C1903" s="138"/>
      <c r="D1903" s="138"/>
      <c r="E1903" s="139"/>
      <c r="F1903" s="106"/>
      <c r="G1903" s="106"/>
      <c r="H1903" s="80"/>
      <c r="I1903" s="240"/>
      <c r="J1903" s="240"/>
      <c r="K1903" s="240"/>
      <c r="L1903" s="240"/>
    </row>
    <row r="1904" ht="12.75" customHeight="1" outlineLevel="2">
      <c r="A1904" s="95" t="s">
        <v>723</v>
      </c>
      <c r="B1904" s="383">
        <v>26.6</v>
      </c>
      <c r="C1904" s="202" t="s">
        <v>724</v>
      </c>
      <c r="D1904" s="203" t="s">
        <v>75</v>
      </c>
      <c r="E1904" s="214">
        <v>1.0</v>
      </c>
      <c r="F1904" s="205">
        <v>2300.0</v>
      </c>
      <c r="G1904" s="206">
        <f>F1904*E1904</f>
        <v>2300</v>
      </c>
      <c r="H1904" s="92">
        <v>417.51</v>
      </c>
      <c r="I1904" s="240"/>
      <c r="J1904" s="240"/>
      <c r="K1904" s="240"/>
      <c r="L1904" s="240"/>
    </row>
    <row r="1905" ht="12.75" customHeight="1" outlineLevel="1">
      <c r="A1905" s="89"/>
      <c r="B1905" s="312"/>
      <c r="C1905" s="90"/>
      <c r="D1905" s="89"/>
      <c r="E1905" s="91"/>
      <c r="F1905" s="92"/>
      <c r="G1905" s="92"/>
      <c r="H1905" s="80"/>
      <c r="I1905" s="240"/>
      <c r="J1905" s="240"/>
      <c r="K1905" s="240"/>
      <c r="L1905" s="240"/>
    </row>
    <row r="1906" ht="12.75" customHeight="1" outlineLevel="1">
      <c r="A1906" s="89"/>
      <c r="B1906" s="312"/>
      <c r="C1906" s="90"/>
      <c r="D1906" s="89"/>
      <c r="E1906" s="91"/>
      <c r="F1906" s="92"/>
      <c r="G1906" s="92"/>
      <c r="I1906" s="240"/>
      <c r="J1906" s="240"/>
      <c r="K1906" s="240"/>
      <c r="L1906" s="240"/>
    </row>
  </sheetData>
  <printOptions/>
  <pageMargins bottom="0.41" footer="0.0" header="0.0" left="0.41" right="0.3" top="0.62"/>
  <pageSetup paperSize="9" scale="60"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4">
      <c r="D4" s="59">
        <v>750000.0</v>
      </c>
      <c r="E4" s="59" t="s">
        <v>7886</v>
      </c>
      <c r="F4" s="59">
        <f t="shared" ref="F4:F5" si="1">D4+D4*23%</f>
        <v>922500</v>
      </c>
    </row>
    <row r="5">
      <c r="D5" s="59">
        <v>1400000.0</v>
      </c>
      <c r="E5" s="59" t="s">
        <v>7887</v>
      </c>
      <c r="F5" s="59">
        <f t="shared" si="1"/>
        <v>1722000</v>
      </c>
    </row>
    <row r="6">
      <c r="D6" s="59">
        <v>-210000.0</v>
      </c>
      <c r="E6" s="922">
        <v>0.15</v>
      </c>
    </row>
    <row r="7">
      <c r="D7" s="59">
        <f>D5+D6</f>
        <v>1190000</v>
      </c>
      <c r="F7" s="59">
        <f>D7+D7*23%</f>
        <v>1463700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11.0"/>
    <col customWidth="1" min="2" max="2" width="65.88"/>
    <col customWidth="1" min="3" max="3" width="11.0"/>
    <col customWidth="1" min="4" max="4" width="34.63"/>
    <col customWidth="1" min="5" max="5" width="11.0"/>
    <col customWidth="1" min="6" max="6" width="38.5"/>
    <col customWidth="1" min="7" max="26" width="11.0"/>
  </cols>
  <sheetData>
    <row r="2">
      <c r="C2" s="189" t="s">
        <v>7888</v>
      </c>
      <c r="D2" s="189" t="s">
        <v>7889</v>
      </c>
    </row>
    <row r="3">
      <c r="B3" s="184" t="s">
        <v>30</v>
      </c>
      <c r="C3" s="59">
        <v>82000.0</v>
      </c>
      <c r="D3" s="59">
        <v>110000.0</v>
      </c>
    </row>
    <row r="4">
      <c r="B4" s="184" t="s">
        <v>771</v>
      </c>
      <c r="C4" s="59">
        <v>34000.0</v>
      </c>
      <c r="D4" s="59">
        <v>37000.0</v>
      </c>
    </row>
    <row r="5">
      <c r="B5" s="184" t="s">
        <v>5590</v>
      </c>
      <c r="C5" s="59">
        <v>550000.0</v>
      </c>
      <c r="D5" s="59">
        <v>650000.0</v>
      </c>
    </row>
    <row r="6">
      <c r="B6" s="184" t="s">
        <v>95</v>
      </c>
      <c r="C6" s="59">
        <v>23000.0</v>
      </c>
      <c r="D6" s="59">
        <v>25000.0</v>
      </c>
    </row>
    <row r="7">
      <c r="B7" s="184" t="s">
        <v>5594</v>
      </c>
      <c r="C7" s="59">
        <v>28000.0</v>
      </c>
      <c r="D7" s="59">
        <v>33000.0</v>
      </c>
    </row>
    <row r="8">
      <c r="B8" s="184" t="s">
        <v>137</v>
      </c>
      <c r="C8" s="59">
        <v>30000.0</v>
      </c>
      <c r="D8" s="59">
        <v>61000.0</v>
      </c>
    </row>
    <row r="9">
      <c r="B9" s="184" t="s">
        <v>146</v>
      </c>
      <c r="C9" s="59">
        <v>15000.0</v>
      </c>
      <c r="D9" s="59">
        <v>17000.0</v>
      </c>
    </row>
    <row r="10">
      <c r="B10" s="184" t="s">
        <v>165</v>
      </c>
      <c r="C10" s="59">
        <v>70000.0</v>
      </c>
      <c r="D10" s="59">
        <v>110000.0</v>
      </c>
    </row>
    <row r="11">
      <c r="B11" s="184" t="s">
        <v>197</v>
      </c>
      <c r="C11" s="59">
        <v>80000.0</v>
      </c>
      <c r="D11" s="59">
        <v>126000.0</v>
      </c>
    </row>
    <row r="12">
      <c r="B12" s="184" t="s">
        <v>380</v>
      </c>
      <c r="C12" s="59">
        <v>150000.0</v>
      </c>
      <c r="D12" s="59">
        <v>300000.0</v>
      </c>
    </row>
    <row r="13">
      <c r="B13" s="184" t="s">
        <v>245</v>
      </c>
      <c r="C13" s="59">
        <v>60000.0</v>
      </c>
      <c r="D13" s="59">
        <v>100000.0</v>
      </c>
    </row>
    <row r="14">
      <c r="B14" s="184" t="s">
        <v>536</v>
      </c>
      <c r="C14" s="59">
        <v>35000.0</v>
      </c>
      <c r="D14" s="59">
        <v>60000.0</v>
      </c>
    </row>
    <row r="15">
      <c r="B15" s="184" t="s">
        <v>609</v>
      </c>
      <c r="C15" s="59">
        <v>19000.0</v>
      </c>
      <c r="D15" s="59">
        <v>40000.0</v>
      </c>
    </row>
    <row r="16">
      <c r="B16" s="184" t="s">
        <v>5619</v>
      </c>
      <c r="C16" s="59">
        <v>30000.0</v>
      </c>
      <c r="D16" s="59">
        <v>43000.0</v>
      </c>
    </row>
    <row r="17">
      <c r="B17" s="184" t="s">
        <v>1122</v>
      </c>
      <c r="C17" s="59">
        <v>3000.0</v>
      </c>
      <c r="D17" s="59">
        <v>6000.0</v>
      </c>
    </row>
    <row r="18">
      <c r="B18" s="306" t="s">
        <v>1136</v>
      </c>
      <c r="C18" s="59">
        <v>80000.0</v>
      </c>
      <c r="D18" s="59">
        <v>180000.0</v>
      </c>
    </row>
    <row r="19">
      <c r="B19" s="306" t="s">
        <v>1267</v>
      </c>
      <c r="C19" s="59">
        <v>110000.0</v>
      </c>
      <c r="D19" s="59">
        <v>210000.0</v>
      </c>
    </row>
    <row r="20">
      <c r="B20" s="306" t="s">
        <v>5657</v>
      </c>
      <c r="C20" s="59">
        <v>10000.0</v>
      </c>
      <c r="D20" s="59">
        <v>15000.0</v>
      </c>
    </row>
    <row r="21" ht="15.75" customHeight="1">
      <c r="B21" s="306" t="s">
        <v>1589</v>
      </c>
      <c r="C21" s="59">
        <v>20000.0</v>
      </c>
      <c r="D21" s="59">
        <v>38000.0</v>
      </c>
    </row>
    <row r="22" ht="15.75" customHeight="1">
      <c r="B22" s="306" t="s">
        <v>7890</v>
      </c>
      <c r="C22" s="59">
        <v>5000.0</v>
      </c>
      <c r="D22" s="59">
        <v>11000.0</v>
      </c>
    </row>
    <row r="23" ht="15.75" customHeight="1">
      <c r="B23" s="306" t="s">
        <v>1647</v>
      </c>
      <c r="C23" s="59">
        <v>50000.0</v>
      </c>
      <c r="D23" s="59">
        <v>75000.0</v>
      </c>
    </row>
    <row r="24" ht="15.75" customHeight="1">
      <c r="B24" s="306" t="s">
        <v>1769</v>
      </c>
      <c r="C24" s="59">
        <v>15000.0</v>
      </c>
      <c r="D24" s="59">
        <v>30000.0</v>
      </c>
    </row>
    <row r="25" ht="15.75" customHeight="1">
      <c r="B25" s="306" t="s">
        <v>1843</v>
      </c>
      <c r="C25" s="59">
        <v>8000.0</v>
      </c>
      <c r="D25" s="59">
        <v>11000.0</v>
      </c>
    </row>
    <row r="26" ht="15.75" customHeight="1">
      <c r="B26" s="306" t="s">
        <v>725</v>
      </c>
      <c r="C26" s="59">
        <v>65000.0</v>
      </c>
      <c r="D26" s="59">
        <v>80000.0</v>
      </c>
    </row>
    <row r="27" ht="15.75" customHeight="1">
      <c r="B27" s="306" t="s">
        <v>665</v>
      </c>
      <c r="C27" s="59">
        <v>25000.0</v>
      </c>
      <c r="D27" s="59">
        <v>35000.0</v>
      </c>
    </row>
    <row r="28" ht="15.75" customHeight="1">
      <c r="B28" s="59" t="s">
        <v>7891</v>
      </c>
      <c r="C28" s="59">
        <f t="shared" ref="C28:D28" si="1">SUM(C3:C27)</f>
        <v>1597000</v>
      </c>
      <c r="D28" s="59">
        <f t="shared" si="1"/>
        <v>2403000</v>
      </c>
    </row>
    <row r="29" ht="15.75" customHeight="1">
      <c r="B29" s="59" t="s">
        <v>7892</v>
      </c>
      <c r="C29" s="59">
        <f t="shared" ref="C29:D29" si="2">C28+C28*0.23</f>
        <v>1964310</v>
      </c>
      <c r="D29" s="59">
        <f t="shared" si="2"/>
        <v>2955690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2" width="11.0"/>
    <col customWidth="1" min="3" max="3" width="67.0"/>
    <col customWidth="1" min="4" max="7" width="11.0"/>
    <col customWidth="1" min="8" max="8" width="26.38"/>
    <col customWidth="1" min="9" max="9" width="12.5"/>
    <col customWidth="1" min="10" max="10" width="11.0"/>
    <col customWidth="1" min="11" max="11" width="11.75"/>
    <col customWidth="1" min="12" max="26" width="11.0"/>
  </cols>
  <sheetData>
    <row r="1" ht="27.75" customHeight="1">
      <c r="A1" s="923" t="s">
        <v>7893</v>
      </c>
      <c r="B1" s="390"/>
      <c r="C1" s="390"/>
      <c r="D1" s="390"/>
      <c r="E1" s="390"/>
      <c r="F1" s="390"/>
      <c r="G1" s="390"/>
      <c r="H1" s="390"/>
      <c r="I1" s="390"/>
      <c r="J1" s="388"/>
      <c r="O1" s="924" t="s">
        <v>7894</v>
      </c>
      <c r="P1" s="924" t="s">
        <v>7895</v>
      </c>
      <c r="Q1" s="924" t="s">
        <v>7896</v>
      </c>
      <c r="R1" s="924" t="s">
        <v>7897</v>
      </c>
      <c r="S1" s="924" t="s">
        <v>7898</v>
      </c>
      <c r="T1" s="924" t="s">
        <v>7899</v>
      </c>
      <c r="U1" s="924" t="s">
        <v>7900</v>
      </c>
    </row>
    <row r="2" ht="44.25" customHeight="1">
      <c r="A2" s="925" t="s">
        <v>7901</v>
      </c>
      <c r="B2" s="925" t="s">
        <v>7902</v>
      </c>
      <c r="C2" s="925" t="s">
        <v>7903</v>
      </c>
      <c r="D2" s="925" t="s">
        <v>7904</v>
      </c>
      <c r="E2" s="925" t="s">
        <v>7905</v>
      </c>
      <c r="F2" s="925" t="s">
        <v>7906</v>
      </c>
      <c r="G2" s="925" t="s">
        <v>7907</v>
      </c>
      <c r="H2" s="925"/>
      <c r="I2" s="926" t="s">
        <v>7908</v>
      </c>
      <c r="J2" s="925" t="s">
        <v>7909</v>
      </c>
      <c r="O2" s="927">
        <v>9.13</v>
      </c>
      <c r="P2" s="927" t="s">
        <v>7910</v>
      </c>
      <c r="Q2" s="927" t="s">
        <v>7911</v>
      </c>
      <c r="R2" s="927" t="s">
        <v>7912</v>
      </c>
      <c r="S2" s="927" t="s">
        <v>7913</v>
      </c>
      <c r="T2" s="927" t="s">
        <v>7914</v>
      </c>
      <c r="U2" s="927" t="s">
        <v>7915</v>
      </c>
    </row>
    <row r="3">
      <c r="A3" s="198" t="s">
        <v>174</v>
      </c>
      <c r="B3" s="198">
        <v>8.4</v>
      </c>
      <c r="C3" s="202" t="s">
        <v>175</v>
      </c>
      <c r="D3" s="203" t="s">
        <v>40</v>
      </c>
      <c r="E3" s="214">
        <v>106.79</v>
      </c>
      <c r="F3" s="205">
        <v>230.0</v>
      </c>
      <c r="G3" s="206">
        <f t="shared" ref="G3:G11" si="1">E3*F3</f>
        <v>24561.7</v>
      </c>
      <c r="H3" s="219" t="s">
        <v>5599</v>
      </c>
      <c r="I3" s="304">
        <v>75.0</v>
      </c>
      <c r="J3" s="304">
        <f t="shared" ref="J3:J11" si="2">I3*E3-G3</f>
        <v>-16552.45</v>
      </c>
      <c r="O3" s="927">
        <v>8.4</v>
      </c>
      <c r="P3" s="927" t="s">
        <v>7916</v>
      </c>
      <c r="Q3" s="927" t="s">
        <v>7917</v>
      </c>
      <c r="R3" s="927" t="s">
        <v>7918</v>
      </c>
      <c r="S3" s="927" t="s">
        <v>7919</v>
      </c>
      <c r="T3" s="927" t="s">
        <v>7920</v>
      </c>
      <c r="U3" s="927" t="s">
        <v>7921</v>
      </c>
    </row>
    <row r="4">
      <c r="A4" s="198" t="s">
        <v>155</v>
      </c>
      <c r="B4" s="198">
        <v>7.3</v>
      </c>
      <c r="C4" s="202" t="s">
        <v>156</v>
      </c>
      <c r="D4" s="203" t="s">
        <v>40</v>
      </c>
      <c r="E4" s="214">
        <v>170.41</v>
      </c>
      <c r="F4" s="205">
        <v>32.2</v>
      </c>
      <c r="G4" s="206">
        <f t="shared" si="1"/>
        <v>5487.202</v>
      </c>
      <c r="H4" s="219" t="s">
        <v>7922</v>
      </c>
      <c r="I4" s="304">
        <v>33.0</v>
      </c>
      <c r="J4" s="304">
        <f t="shared" si="2"/>
        <v>136.328</v>
      </c>
      <c r="O4" s="927">
        <v>9.6</v>
      </c>
      <c r="P4" s="927" t="s">
        <v>7923</v>
      </c>
      <c r="Q4" s="927" t="s">
        <v>7924</v>
      </c>
      <c r="R4" s="927" t="s">
        <v>7912</v>
      </c>
      <c r="S4" s="927" t="s">
        <v>7925</v>
      </c>
      <c r="T4" s="927" t="s">
        <v>7926</v>
      </c>
      <c r="U4" s="927" t="s">
        <v>7927</v>
      </c>
    </row>
    <row r="5">
      <c r="A5" s="198" t="s">
        <v>234</v>
      </c>
      <c r="B5" s="198">
        <v>9.13</v>
      </c>
      <c r="C5" s="268" t="s">
        <v>235</v>
      </c>
      <c r="D5" s="269" t="s">
        <v>40</v>
      </c>
      <c r="E5" s="270">
        <v>239.8</v>
      </c>
      <c r="F5" s="205">
        <v>145.0</v>
      </c>
      <c r="G5" s="206">
        <f t="shared" si="1"/>
        <v>34771</v>
      </c>
      <c r="H5" s="271" t="s">
        <v>5603</v>
      </c>
      <c r="I5" s="304">
        <v>90.0</v>
      </c>
      <c r="J5" s="304">
        <f t="shared" si="2"/>
        <v>-13189</v>
      </c>
      <c r="O5" s="927" t="s">
        <v>7928</v>
      </c>
      <c r="P5" s="927" t="s">
        <v>7929</v>
      </c>
      <c r="Q5" s="927" t="s">
        <v>7930</v>
      </c>
      <c r="R5" s="927" t="s">
        <v>7931</v>
      </c>
      <c r="S5" s="927" t="s">
        <v>7932</v>
      </c>
      <c r="T5" s="927" t="s">
        <v>7933</v>
      </c>
      <c r="U5" s="927" t="s">
        <v>7934</v>
      </c>
    </row>
    <row r="6">
      <c r="A6" s="198" t="s">
        <v>216</v>
      </c>
      <c r="B6" s="198">
        <v>9.6</v>
      </c>
      <c r="C6" s="202" t="s">
        <v>217</v>
      </c>
      <c r="D6" s="203" t="s">
        <v>40</v>
      </c>
      <c r="E6" s="214">
        <v>50.0</v>
      </c>
      <c r="F6" s="205">
        <v>145.0</v>
      </c>
      <c r="G6" s="206">
        <f t="shared" si="1"/>
        <v>7250</v>
      </c>
      <c r="H6" s="271" t="s">
        <v>5601</v>
      </c>
      <c r="I6" s="304">
        <v>115.0</v>
      </c>
      <c r="J6" s="304">
        <f t="shared" si="2"/>
        <v>-1500</v>
      </c>
      <c r="O6" s="927" t="s">
        <v>7935</v>
      </c>
      <c r="P6" s="927" t="s">
        <v>7936</v>
      </c>
      <c r="Q6" s="927" t="s">
        <v>7937</v>
      </c>
      <c r="R6" s="927" t="s">
        <v>7938</v>
      </c>
      <c r="S6" s="927" t="s">
        <v>7939</v>
      </c>
      <c r="T6" s="927" t="s">
        <v>7940</v>
      </c>
      <c r="U6" s="927" t="s">
        <v>7941</v>
      </c>
    </row>
    <row r="7">
      <c r="A7" s="198" t="s">
        <v>138</v>
      </c>
      <c r="B7" s="198">
        <v>6.1</v>
      </c>
      <c r="C7" s="202" t="s">
        <v>139</v>
      </c>
      <c r="D7" s="203" t="s">
        <v>40</v>
      </c>
      <c r="E7" s="214">
        <v>181.91</v>
      </c>
      <c r="F7" s="205">
        <v>290.82</v>
      </c>
      <c r="G7" s="206">
        <f t="shared" si="1"/>
        <v>52903.0662</v>
      </c>
      <c r="H7" s="219" t="s">
        <v>7942</v>
      </c>
      <c r="I7" s="304">
        <v>150.0</v>
      </c>
      <c r="J7" s="304">
        <f t="shared" si="2"/>
        <v>-25616.5662</v>
      </c>
      <c r="O7" s="927">
        <v>9.16</v>
      </c>
      <c r="P7" s="927" t="s">
        <v>7943</v>
      </c>
      <c r="Q7" s="927" t="s">
        <v>7944</v>
      </c>
      <c r="R7" s="927" t="s">
        <v>7945</v>
      </c>
      <c r="S7" s="927" t="s">
        <v>7946</v>
      </c>
      <c r="T7" s="927" t="s">
        <v>7947</v>
      </c>
      <c r="U7" s="927" t="s">
        <v>7948</v>
      </c>
    </row>
    <row r="8">
      <c r="A8" s="198" t="s">
        <v>142</v>
      </c>
      <c r="B8" s="198">
        <v>6.3</v>
      </c>
      <c r="C8" s="202" t="s">
        <v>143</v>
      </c>
      <c r="D8" s="203" t="s">
        <v>40</v>
      </c>
      <c r="E8" s="214">
        <v>15.09</v>
      </c>
      <c r="F8" s="205">
        <v>323.28</v>
      </c>
      <c r="G8" s="206">
        <f t="shared" si="1"/>
        <v>4878.2952</v>
      </c>
      <c r="H8" s="219" t="s">
        <v>7949</v>
      </c>
      <c r="I8" s="304">
        <v>200.0</v>
      </c>
      <c r="J8" s="304">
        <f t="shared" si="2"/>
        <v>-1860.2952</v>
      </c>
      <c r="O8" s="927" t="s">
        <v>7950</v>
      </c>
      <c r="P8" s="927" t="s">
        <v>7951</v>
      </c>
      <c r="Q8" s="927" t="s">
        <v>7952</v>
      </c>
      <c r="R8" s="927" t="s">
        <v>7953</v>
      </c>
      <c r="S8" s="927" t="s">
        <v>7954</v>
      </c>
      <c r="T8" s="927" t="s">
        <v>7955</v>
      </c>
      <c r="U8" s="927" t="s">
        <v>7956</v>
      </c>
    </row>
    <row r="9">
      <c r="A9" s="198" t="s">
        <v>236</v>
      </c>
      <c r="B9" s="198">
        <v>9.14</v>
      </c>
      <c r="C9" s="268" t="s">
        <v>237</v>
      </c>
      <c r="D9" s="269" t="s">
        <v>40</v>
      </c>
      <c r="E9" s="270">
        <v>16.81</v>
      </c>
      <c r="F9" s="205">
        <v>50.0</v>
      </c>
      <c r="G9" s="206">
        <f t="shared" si="1"/>
        <v>840.5</v>
      </c>
      <c r="H9" s="271" t="s">
        <v>5604</v>
      </c>
      <c r="I9" s="304">
        <v>0.0</v>
      </c>
      <c r="J9" s="304">
        <f t="shared" si="2"/>
        <v>-840.5</v>
      </c>
    </row>
    <row r="10">
      <c r="A10" s="198" t="s">
        <v>238</v>
      </c>
      <c r="B10" s="198">
        <v>9.15</v>
      </c>
      <c r="C10" s="268" t="s">
        <v>239</v>
      </c>
      <c r="D10" s="269" t="s">
        <v>40</v>
      </c>
      <c r="E10" s="270">
        <v>29.1</v>
      </c>
      <c r="F10" s="205">
        <v>50.0</v>
      </c>
      <c r="G10" s="206">
        <f t="shared" si="1"/>
        <v>1455</v>
      </c>
      <c r="H10" s="271" t="s">
        <v>5604</v>
      </c>
      <c r="I10" s="304">
        <v>0.0</v>
      </c>
      <c r="J10" s="304">
        <f t="shared" si="2"/>
        <v>-1455</v>
      </c>
    </row>
    <row r="11">
      <c r="A11" s="198" t="s">
        <v>242</v>
      </c>
      <c r="B11" s="282">
        <v>9.16</v>
      </c>
      <c r="C11" s="268" t="s">
        <v>243</v>
      </c>
      <c r="D11" s="269" t="s">
        <v>161</v>
      </c>
      <c r="E11" s="270">
        <v>130.01</v>
      </c>
      <c r="F11" s="205">
        <v>28.0</v>
      </c>
      <c r="G11" s="206">
        <f t="shared" si="1"/>
        <v>3640.28</v>
      </c>
      <c r="H11" s="271" t="s">
        <v>5605</v>
      </c>
      <c r="I11" s="304">
        <v>18.0</v>
      </c>
      <c r="J11" s="304">
        <f t="shared" si="2"/>
        <v>-1300.1</v>
      </c>
    </row>
    <row r="12">
      <c r="C12" s="368" t="s">
        <v>7957</v>
      </c>
    </row>
    <row r="14">
      <c r="C14" s="59" t="s">
        <v>7958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2" width="11.0"/>
    <col customWidth="1" min="3" max="3" width="67.0"/>
    <col customWidth="1" min="4" max="7" width="11.0"/>
    <col customWidth="1" min="8" max="8" width="26.38"/>
    <col customWidth="1" min="9" max="9" width="12.5"/>
    <col customWidth="1" min="10" max="10" width="11.0"/>
    <col customWidth="1" min="11" max="11" width="11.75"/>
    <col customWidth="1" min="12" max="26" width="11.0"/>
  </cols>
  <sheetData>
    <row r="1" ht="27.75" customHeight="1">
      <c r="A1" s="923" t="s">
        <v>7893</v>
      </c>
      <c r="B1" s="390"/>
      <c r="C1" s="390"/>
      <c r="D1" s="390"/>
      <c r="E1" s="390"/>
      <c r="F1" s="390"/>
      <c r="G1" s="390"/>
      <c r="H1" s="390"/>
      <c r="I1" s="390"/>
      <c r="J1" s="388"/>
      <c r="O1" s="924" t="s">
        <v>7894</v>
      </c>
      <c r="P1" s="924" t="s">
        <v>7895</v>
      </c>
      <c r="Q1" s="924" t="s">
        <v>7896</v>
      </c>
      <c r="R1" s="924" t="s">
        <v>7897</v>
      </c>
      <c r="S1" s="924" t="s">
        <v>7898</v>
      </c>
      <c r="T1" s="924" t="s">
        <v>7899</v>
      </c>
      <c r="U1" s="924" t="s">
        <v>7900</v>
      </c>
    </row>
    <row r="2" ht="44.25" customHeight="1">
      <c r="A2" s="925" t="s">
        <v>7901</v>
      </c>
      <c r="B2" s="925" t="s">
        <v>7902</v>
      </c>
      <c r="C2" s="925" t="s">
        <v>4578</v>
      </c>
      <c r="D2" s="925" t="s">
        <v>7959</v>
      </c>
      <c r="E2" s="925" t="s">
        <v>3689</v>
      </c>
      <c r="F2" s="925" t="s">
        <v>7960</v>
      </c>
      <c r="G2" s="925" t="s">
        <v>3691</v>
      </c>
      <c r="H2" s="926" t="s">
        <v>7961</v>
      </c>
      <c r="I2" s="926" t="s">
        <v>7962</v>
      </c>
      <c r="J2" s="925" t="s">
        <v>7963</v>
      </c>
      <c r="O2" s="927">
        <v>9.13</v>
      </c>
      <c r="P2" s="927" t="s">
        <v>7910</v>
      </c>
      <c r="Q2" s="927" t="s">
        <v>7911</v>
      </c>
      <c r="R2" s="927" t="s">
        <v>7912</v>
      </c>
      <c r="S2" s="927" t="s">
        <v>7913</v>
      </c>
      <c r="T2" s="927" t="s">
        <v>7914</v>
      </c>
      <c r="U2" s="927" t="s">
        <v>7915</v>
      </c>
    </row>
    <row r="3">
      <c r="A3" s="244" t="s">
        <v>174</v>
      </c>
      <c r="B3" s="244">
        <v>8.4</v>
      </c>
      <c r="C3" s="245" t="s">
        <v>7964</v>
      </c>
      <c r="D3" s="302" t="s">
        <v>40</v>
      </c>
      <c r="E3" s="303">
        <v>106.79</v>
      </c>
      <c r="F3" s="304">
        <v>230.0</v>
      </c>
      <c r="G3" s="304">
        <f t="shared" ref="G3:G11" si="1">E3*F3</f>
        <v>24561.7</v>
      </c>
      <c r="H3" s="928" t="s">
        <v>7965</v>
      </c>
      <c r="I3" s="304">
        <v>75.0</v>
      </c>
      <c r="J3" s="304">
        <f t="shared" ref="J3:J11" si="2">I3*E3-G3</f>
        <v>-16552.45</v>
      </c>
      <c r="O3" s="927">
        <v>8.4</v>
      </c>
      <c r="P3" s="927" t="s">
        <v>7916</v>
      </c>
      <c r="Q3" s="927" t="s">
        <v>7917</v>
      </c>
      <c r="R3" s="927" t="s">
        <v>7918</v>
      </c>
      <c r="S3" s="927" t="s">
        <v>7919</v>
      </c>
      <c r="T3" s="927" t="s">
        <v>7920</v>
      </c>
      <c r="U3" s="927" t="s">
        <v>7921</v>
      </c>
    </row>
    <row r="4">
      <c r="A4" s="244" t="s">
        <v>155</v>
      </c>
      <c r="B4" s="244">
        <v>7.3</v>
      </c>
      <c r="C4" s="245" t="s">
        <v>7966</v>
      </c>
      <c r="D4" s="302" t="s">
        <v>40</v>
      </c>
      <c r="E4" s="303">
        <v>170.41</v>
      </c>
      <c r="F4" s="304">
        <v>32.2</v>
      </c>
      <c r="G4" s="304">
        <f t="shared" si="1"/>
        <v>5487.202</v>
      </c>
      <c r="H4" s="929" t="s">
        <v>7967</v>
      </c>
      <c r="I4" s="304">
        <v>33.0</v>
      </c>
      <c r="J4" s="304">
        <f t="shared" si="2"/>
        <v>136.328</v>
      </c>
      <c r="O4" s="927">
        <v>9.6</v>
      </c>
      <c r="P4" s="927" t="s">
        <v>7923</v>
      </c>
      <c r="Q4" s="927" t="s">
        <v>7924</v>
      </c>
      <c r="R4" s="927" t="s">
        <v>7912</v>
      </c>
      <c r="S4" s="927" t="s">
        <v>7925</v>
      </c>
      <c r="T4" s="927" t="s">
        <v>7926</v>
      </c>
      <c r="U4" s="927" t="s">
        <v>7927</v>
      </c>
    </row>
    <row r="5">
      <c r="A5" s="244" t="s">
        <v>234</v>
      </c>
      <c r="B5" s="244">
        <v>9.13</v>
      </c>
      <c r="C5" s="930" t="s">
        <v>7968</v>
      </c>
      <c r="D5" s="931" t="s">
        <v>40</v>
      </c>
      <c r="E5" s="932">
        <v>239.8</v>
      </c>
      <c r="F5" s="304">
        <v>145.0</v>
      </c>
      <c r="G5" s="304">
        <f t="shared" si="1"/>
        <v>34771</v>
      </c>
      <c r="H5" s="928" t="s">
        <v>7969</v>
      </c>
      <c r="I5" s="304">
        <v>90.0</v>
      </c>
      <c r="J5" s="304">
        <f t="shared" si="2"/>
        <v>-13189</v>
      </c>
      <c r="O5" s="927" t="s">
        <v>7928</v>
      </c>
      <c r="P5" s="927" t="s">
        <v>7929</v>
      </c>
      <c r="Q5" s="927" t="s">
        <v>7930</v>
      </c>
      <c r="R5" s="927" t="s">
        <v>7931</v>
      </c>
      <c r="S5" s="927" t="s">
        <v>7932</v>
      </c>
      <c r="T5" s="927" t="s">
        <v>7933</v>
      </c>
      <c r="U5" s="927" t="s">
        <v>7934</v>
      </c>
    </row>
    <row r="6">
      <c r="A6" s="244" t="s">
        <v>216</v>
      </c>
      <c r="B6" s="244">
        <v>9.6</v>
      </c>
      <c r="C6" s="245" t="s">
        <v>7970</v>
      </c>
      <c r="D6" s="302" t="s">
        <v>40</v>
      </c>
      <c r="E6" s="303">
        <v>50.0</v>
      </c>
      <c r="F6" s="304">
        <v>145.0</v>
      </c>
      <c r="G6" s="304">
        <f t="shared" si="1"/>
        <v>7250</v>
      </c>
      <c r="H6" s="929" t="s">
        <v>7971</v>
      </c>
      <c r="I6" s="304">
        <v>115.0</v>
      </c>
      <c r="J6" s="304">
        <f t="shared" si="2"/>
        <v>-1500</v>
      </c>
      <c r="O6" s="927" t="s">
        <v>7935</v>
      </c>
      <c r="P6" s="927" t="s">
        <v>7936</v>
      </c>
      <c r="Q6" s="927" t="s">
        <v>7937</v>
      </c>
      <c r="R6" s="927" t="s">
        <v>7938</v>
      </c>
      <c r="S6" s="927" t="s">
        <v>7939</v>
      </c>
      <c r="T6" s="927" t="s">
        <v>7940</v>
      </c>
      <c r="U6" s="927" t="s">
        <v>7941</v>
      </c>
    </row>
    <row r="7">
      <c r="A7" s="244" t="s">
        <v>138</v>
      </c>
      <c r="B7" s="244">
        <v>6.1</v>
      </c>
      <c r="C7" s="245" t="s">
        <v>7972</v>
      </c>
      <c r="D7" s="302" t="s">
        <v>40</v>
      </c>
      <c r="E7" s="303">
        <v>181.91</v>
      </c>
      <c r="F7" s="304">
        <v>290.82</v>
      </c>
      <c r="G7" s="304">
        <f t="shared" si="1"/>
        <v>52903.0662</v>
      </c>
      <c r="H7" s="929" t="s">
        <v>7973</v>
      </c>
      <c r="I7" s="304">
        <v>150.0</v>
      </c>
      <c r="J7" s="304">
        <f t="shared" si="2"/>
        <v>-25616.5662</v>
      </c>
      <c r="O7" s="927">
        <v>9.16</v>
      </c>
      <c r="P7" s="927" t="s">
        <v>7943</v>
      </c>
      <c r="Q7" s="927" t="s">
        <v>7944</v>
      </c>
      <c r="R7" s="927" t="s">
        <v>7945</v>
      </c>
      <c r="S7" s="927" t="s">
        <v>7946</v>
      </c>
      <c r="T7" s="927" t="s">
        <v>7947</v>
      </c>
      <c r="U7" s="927" t="s">
        <v>7948</v>
      </c>
    </row>
    <row r="8">
      <c r="A8" s="244" t="s">
        <v>142</v>
      </c>
      <c r="B8" s="244">
        <v>6.3</v>
      </c>
      <c r="C8" s="245" t="s">
        <v>7974</v>
      </c>
      <c r="D8" s="302" t="s">
        <v>40</v>
      </c>
      <c r="E8" s="303">
        <v>15.09</v>
      </c>
      <c r="F8" s="304">
        <v>323.28</v>
      </c>
      <c r="G8" s="304">
        <f t="shared" si="1"/>
        <v>4878.2952</v>
      </c>
      <c r="H8" s="368" t="s">
        <v>7975</v>
      </c>
      <c r="I8" s="304">
        <v>200.0</v>
      </c>
      <c r="J8" s="304">
        <f t="shared" si="2"/>
        <v>-1860.2952</v>
      </c>
      <c r="O8" s="927" t="s">
        <v>7950</v>
      </c>
      <c r="P8" s="927" t="s">
        <v>7951</v>
      </c>
      <c r="Q8" s="927" t="s">
        <v>7952</v>
      </c>
      <c r="R8" s="927" t="s">
        <v>7953</v>
      </c>
      <c r="S8" s="927" t="s">
        <v>7954</v>
      </c>
      <c r="T8" s="927" t="s">
        <v>7955</v>
      </c>
      <c r="U8" s="927" t="s">
        <v>7956</v>
      </c>
    </row>
    <row r="9">
      <c r="A9" s="244" t="s">
        <v>236</v>
      </c>
      <c r="B9" s="244">
        <v>9.14</v>
      </c>
      <c r="C9" s="930" t="s">
        <v>7976</v>
      </c>
      <c r="D9" s="931" t="s">
        <v>40</v>
      </c>
      <c r="E9" s="932">
        <v>16.81</v>
      </c>
      <c r="F9" s="304">
        <v>50.0</v>
      </c>
      <c r="G9" s="304">
        <f t="shared" si="1"/>
        <v>840.5</v>
      </c>
      <c r="H9" s="368" t="s">
        <v>7977</v>
      </c>
      <c r="I9" s="304">
        <v>0.0</v>
      </c>
      <c r="J9" s="304">
        <f t="shared" si="2"/>
        <v>-840.5</v>
      </c>
    </row>
    <row r="10">
      <c r="A10" s="244" t="s">
        <v>238</v>
      </c>
      <c r="B10" s="244">
        <v>9.15</v>
      </c>
      <c r="C10" s="930" t="s">
        <v>7978</v>
      </c>
      <c r="D10" s="931" t="s">
        <v>40</v>
      </c>
      <c r="E10" s="932">
        <v>29.1</v>
      </c>
      <c r="F10" s="304">
        <v>50.0</v>
      </c>
      <c r="G10" s="304">
        <f t="shared" si="1"/>
        <v>1455</v>
      </c>
      <c r="H10" s="368" t="s">
        <v>7977</v>
      </c>
      <c r="I10" s="304">
        <v>0.0</v>
      </c>
      <c r="J10" s="304">
        <f t="shared" si="2"/>
        <v>-1455</v>
      </c>
    </row>
    <row r="11">
      <c r="A11" s="244" t="s">
        <v>242</v>
      </c>
      <c r="B11" s="248">
        <v>9.16</v>
      </c>
      <c r="C11" s="930" t="s">
        <v>7979</v>
      </c>
      <c r="D11" s="931" t="s">
        <v>161</v>
      </c>
      <c r="E11" s="932">
        <v>130.01</v>
      </c>
      <c r="F11" s="304">
        <v>28.0</v>
      </c>
      <c r="G11" s="304">
        <f t="shared" si="1"/>
        <v>3640.28</v>
      </c>
      <c r="H11" s="368" t="s">
        <v>7980</v>
      </c>
      <c r="I11" s="304">
        <v>18.0</v>
      </c>
      <c r="J11" s="304">
        <f t="shared" si="2"/>
        <v>-1300.1</v>
      </c>
    </row>
    <row r="12">
      <c r="C12" s="368" t="s">
        <v>7981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rintOptions/>
  <pageMargins bottom="0.41" footer="0.0" header="0.0" left="0.41" right="0.3" top="0.62"/>
  <pageSetup paperSize="9" scale="60"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91.88"/>
    <col customWidth="1" min="2" max="2" width="20.63"/>
    <col customWidth="1" min="3" max="3" width="45.88"/>
    <col customWidth="1" min="4" max="26" width="11.0"/>
  </cols>
  <sheetData>
    <row r="1">
      <c r="A1" s="933" t="s">
        <v>30</v>
      </c>
      <c r="B1" s="55">
        <v>82116.0</v>
      </c>
      <c r="C1" s="933" t="s">
        <v>7982</v>
      </c>
      <c r="D1" s="55">
        <v>178210.4</v>
      </c>
    </row>
    <row r="2">
      <c r="A2" s="933" t="s">
        <v>771</v>
      </c>
      <c r="B2" s="55">
        <v>34482.88</v>
      </c>
      <c r="C2" s="933" t="s">
        <v>771</v>
      </c>
      <c r="D2" s="55">
        <v>103424.0</v>
      </c>
    </row>
    <row r="3">
      <c r="A3" s="933" t="s">
        <v>5590</v>
      </c>
      <c r="B3" s="55">
        <v>567388.8240000001</v>
      </c>
      <c r="C3" s="933" t="s">
        <v>7983</v>
      </c>
      <c r="D3" s="55">
        <v>590738.5996000001</v>
      </c>
    </row>
    <row r="4">
      <c r="A4" s="933" t="s">
        <v>95</v>
      </c>
      <c r="B4" s="55">
        <v>33338.56</v>
      </c>
      <c r="C4" s="934" t="s">
        <v>7984</v>
      </c>
      <c r="D4" s="55">
        <v>43006.9348</v>
      </c>
    </row>
    <row r="5">
      <c r="A5" s="934" t="s">
        <v>5594</v>
      </c>
      <c r="B5" s="55">
        <v>33321.22</v>
      </c>
      <c r="C5" s="934" t="s">
        <v>7985</v>
      </c>
      <c r="D5" s="55">
        <v>153285.44862500002</v>
      </c>
    </row>
    <row r="6">
      <c r="A6" s="934" t="s">
        <v>137</v>
      </c>
      <c r="B6" s="55">
        <v>55010.63</v>
      </c>
      <c r="C6" s="933" t="s">
        <v>7986</v>
      </c>
      <c r="D6" s="55">
        <v>51977.283252631576</v>
      </c>
    </row>
    <row r="7">
      <c r="A7" s="934" t="s">
        <v>146</v>
      </c>
      <c r="B7" s="55">
        <v>16547.614999999998</v>
      </c>
      <c r="C7" s="934" t="s">
        <v>7987</v>
      </c>
      <c r="D7" s="55">
        <v>52781.869999999995</v>
      </c>
    </row>
    <row r="8">
      <c r="A8" s="934" t="s">
        <v>165</v>
      </c>
      <c r="B8" s="55">
        <v>82409.93999999999</v>
      </c>
      <c r="C8" s="934" t="s">
        <v>7988</v>
      </c>
      <c r="D8" s="55">
        <v>137489.8687</v>
      </c>
    </row>
    <row r="9">
      <c r="A9" s="934" t="s">
        <v>197</v>
      </c>
      <c r="B9" s="55">
        <v>95116.01999999999</v>
      </c>
      <c r="C9" s="934" t="s">
        <v>7989</v>
      </c>
      <c r="D9" s="55">
        <v>51308.9792</v>
      </c>
    </row>
    <row r="10">
      <c r="A10" s="933" t="s">
        <v>380</v>
      </c>
      <c r="B10" s="55">
        <v>243804.03000000003</v>
      </c>
      <c r="C10" s="933" t="s">
        <v>7990</v>
      </c>
      <c r="D10" s="55">
        <v>383599.8840000001</v>
      </c>
    </row>
    <row r="11">
      <c r="A11" s="933" t="s">
        <v>245</v>
      </c>
      <c r="B11" s="55">
        <v>72157.20000000001</v>
      </c>
      <c r="C11" s="934" t="s">
        <v>7991</v>
      </c>
      <c r="D11" s="55">
        <v>175306.6638</v>
      </c>
    </row>
    <row r="12">
      <c r="A12" s="934" t="s">
        <v>536</v>
      </c>
      <c r="B12" s="55">
        <v>51642.25</v>
      </c>
      <c r="C12" s="934" t="s">
        <v>7992</v>
      </c>
      <c r="D12" s="55">
        <v>181240.99999999997</v>
      </c>
    </row>
    <row r="13">
      <c r="A13" s="934" t="s">
        <v>609</v>
      </c>
      <c r="B13" s="55">
        <v>19443.0</v>
      </c>
      <c r="C13" s="934" t="s">
        <v>7993</v>
      </c>
      <c r="D13" s="55">
        <v>19361.0</v>
      </c>
    </row>
    <row r="14">
      <c r="A14" s="934" t="s">
        <v>5619</v>
      </c>
      <c r="B14" s="55">
        <v>37904.148</v>
      </c>
      <c r="C14" s="934" t="s">
        <v>7994</v>
      </c>
      <c r="D14" s="55">
        <v>213667.63999999996</v>
      </c>
    </row>
    <row r="15">
      <c r="A15" s="934" t="s">
        <v>1122</v>
      </c>
      <c r="B15" s="55">
        <v>2505.13</v>
      </c>
      <c r="C15" s="934" t="s">
        <v>7995</v>
      </c>
      <c r="D15" s="55">
        <v>14218.600000000002</v>
      </c>
    </row>
    <row r="16">
      <c r="A16" s="934" t="s">
        <v>1136</v>
      </c>
      <c r="B16" s="55">
        <v>168999.44</v>
      </c>
      <c r="C16" s="934" t="s">
        <v>7996</v>
      </c>
      <c r="D16" s="55">
        <v>267431.0502</v>
      </c>
    </row>
    <row r="17">
      <c r="A17" s="934" t="s">
        <v>1267</v>
      </c>
      <c r="B17" s="55">
        <v>211533.09</v>
      </c>
    </row>
    <row r="18">
      <c r="A18" s="934" t="s">
        <v>5657</v>
      </c>
      <c r="B18" s="55">
        <v>9077.0</v>
      </c>
    </row>
    <row r="19">
      <c r="A19" s="934" t="s">
        <v>1589</v>
      </c>
      <c r="B19" s="55">
        <v>38085.0</v>
      </c>
    </row>
    <row r="20">
      <c r="A20" s="934" t="s">
        <v>1617</v>
      </c>
      <c r="B20" s="55">
        <v>0.0</v>
      </c>
    </row>
    <row r="21" ht="15.75" customHeight="1">
      <c r="A21" s="934" t="s">
        <v>592</v>
      </c>
      <c r="B21" s="55">
        <v>10648.0</v>
      </c>
    </row>
    <row r="22" ht="15.75" customHeight="1">
      <c r="A22" s="934" t="s">
        <v>5661</v>
      </c>
      <c r="B22" s="55">
        <v>0.0</v>
      </c>
    </row>
    <row r="23" ht="15.75" customHeight="1">
      <c r="A23" s="934" t="s">
        <v>5665</v>
      </c>
      <c r="B23" s="55">
        <v>0.0</v>
      </c>
    </row>
    <row r="24" ht="15.75" customHeight="1">
      <c r="A24" s="934" t="s">
        <v>5668</v>
      </c>
      <c r="B24" s="55">
        <v>0.0</v>
      </c>
    </row>
    <row r="25" ht="15.75" customHeight="1">
      <c r="A25" s="934" t="s">
        <v>725</v>
      </c>
      <c r="B25" s="55">
        <v>40186.18</v>
      </c>
    </row>
    <row r="26" ht="15.75" customHeight="1">
      <c r="A26" s="934" t="s">
        <v>665</v>
      </c>
      <c r="B26" s="55">
        <v>25469.0</v>
      </c>
    </row>
    <row r="27" ht="15.75" customHeight="1">
      <c r="A27" s="934" t="s">
        <v>1035</v>
      </c>
      <c r="B27" s="55">
        <v>70131.06999999999</v>
      </c>
      <c r="C27" s="934"/>
      <c r="D27" s="934"/>
      <c r="E27" s="934"/>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44.5"/>
    <col customWidth="1" min="3" max="3" width="50.88"/>
    <col customWidth="1" min="4" max="9" width="9.25"/>
    <col customWidth="1" min="10" max="26" width="11.0"/>
  </cols>
  <sheetData>
    <row r="1" ht="12.75" customHeight="1">
      <c r="A1" s="89" t="s">
        <v>3859</v>
      </c>
      <c r="B1" s="90" t="s">
        <v>3860</v>
      </c>
      <c r="C1" s="96" t="s">
        <v>4753</v>
      </c>
      <c r="D1" s="90"/>
      <c r="F1" s="79"/>
      <c r="G1" s="80"/>
      <c r="H1" s="80"/>
    </row>
    <row r="2" ht="12.75" customHeight="1">
      <c r="C2" s="90"/>
      <c r="F2" s="79"/>
      <c r="G2" s="80"/>
      <c r="H2" s="80"/>
    </row>
    <row r="3" ht="12.75" customHeight="1">
      <c r="A3" s="89" t="s">
        <v>381</v>
      </c>
      <c r="B3" s="90" t="s">
        <v>3861</v>
      </c>
      <c r="C3" s="96" t="s">
        <v>4754</v>
      </c>
      <c r="D3" s="90"/>
      <c r="F3" s="79"/>
      <c r="G3" s="80"/>
      <c r="H3" s="80"/>
    </row>
    <row r="4" ht="12.75" customHeight="1">
      <c r="C4" s="90"/>
      <c r="F4" s="79"/>
      <c r="G4" s="80"/>
      <c r="H4" s="80"/>
    </row>
    <row r="5" ht="12.75" customHeight="1">
      <c r="A5" s="89" t="s">
        <v>384</v>
      </c>
      <c r="B5" s="90" t="s">
        <v>3862</v>
      </c>
      <c r="C5" s="96" t="s">
        <v>4755</v>
      </c>
      <c r="D5" s="90"/>
      <c r="F5" s="79"/>
      <c r="G5" s="80"/>
      <c r="H5" s="80"/>
    </row>
    <row r="6" ht="12.75" customHeight="1">
      <c r="C6" s="90"/>
      <c r="F6" s="79"/>
      <c r="G6" s="80"/>
      <c r="H6" s="80"/>
    </row>
    <row r="7" ht="12.75" customHeight="1">
      <c r="A7" s="89" t="s">
        <v>386</v>
      </c>
      <c r="B7" s="90" t="s">
        <v>3863</v>
      </c>
      <c r="C7" s="96" t="s">
        <v>4756</v>
      </c>
      <c r="D7" s="90"/>
      <c r="E7" s="89" t="s">
        <v>75</v>
      </c>
      <c r="F7" s="91">
        <v>1.0</v>
      </c>
      <c r="G7" s="92"/>
      <c r="H7" s="92"/>
    </row>
    <row r="8" ht="12.75" customHeight="1">
      <c r="C8" s="90"/>
      <c r="F8" s="79"/>
      <c r="G8" s="80"/>
      <c r="H8" s="80"/>
    </row>
    <row r="9" ht="12.75" customHeight="1">
      <c r="A9" s="89" t="s">
        <v>388</v>
      </c>
      <c r="B9" s="90" t="s">
        <v>3864</v>
      </c>
      <c r="C9" s="96" t="s">
        <v>4757</v>
      </c>
      <c r="D9" s="90"/>
      <c r="E9" s="89" t="s">
        <v>75</v>
      </c>
      <c r="F9" s="91">
        <v>1.0</v>
      </c>
      <c r="G9" s="92"/>
      <c r="H9" s="92"/>
    </row>
    <row r="10" ht="12.75" customHeight="1">
      <c r="C10" s="90"/>
      <c r="F10" s="79"/>
      <c r="G10" s="80"/>
      <c r="H10" s="80"/>
    </row>
    <row r="11" ht="12.75" customHeight="1">
      <c r="A11" s="89" t="s">
        <v>390</v>
      </c>
      <c r="B11" s="90" t="s">
        <v>3865</v>
      </c>
      <c r="C11" s="96" t="s">
        <v>4758</v>
      </c>
      <c r="D11" s="90"/>
      <c r="E11" s="89" t="s">
        <v>75</v>
      </c>
      <c r="F11" s="91">
        <v>1.0</v>
      </c>
      <c r="G11" s="92"/>
      <c r="H11" s="92"/>
    </row>
    <row r="12" ht="12.75" customHeight="1">
      <c r="C12" s="90"/>
      <c r="F12" s="79"/>
      <c r="G12" s="80"/>
      <c r="H12" s="80"/>
    </row>
    <row r="13" ht="12.75" customHeight="1">
      <c r="A13" s="89" t="s">
        <v>392</v>
      </c>
      <c r="B13" s="90" t="s">
        <v>3866</v>
      </c>
      <c r="C13" s="96" t="s">
        <v>4759</v>
      </c>
      <c r="D13" s="90"/>
      <c r="E13" s="89" t="s">
        <v>75</v>
      </c>
      <c r="F13" s="91">
        <v>1.0</v>
      </c>
      <c r="G13" s="92"/>
      <c r="H13" s="92"/>
    </row>
    <row r="14" ht="12.75" customHeight="1">
      <c r="C14" s="90"/>
      <c r="F14" s="79"/>
      <c r="G14" s="80"/>
      <c r="H14" s="80"/>
    </row>
    <row r="15" ht="12.75" customHeight="1">
      <c r="A15" s="89" t="s">
        <v>394</v>
      </c>
      <c r="B15" s="90" t="s">
        <v>3867</v>
      </c>
      <c r="C15" s="96" t="s">
        <v>4760</v>
      </c>
      <c r="D15" s="90"/>
      <c r="E15" s="89" t="s">
        <v>75</v>
      </c>
      <c r="F15" s="91">
        <v>1.0</v>
      </c>
      <c r="G15" s="92"/>
      <c r="H15" s="92"/>
    </row>
    <row r="16" ht="12.75" customHeight="1">
      <c r="C16" s="90"/>
      <c r="F16" s="79"/>
      <c r="G16" s="80"/>
      <c r="H16" s="80"/>
    </row>
    <row r="17" ht="12.75" customHeight="1">
      <c r="A17" s="89" t="s">
        <v>396</v>
      </c>
      <c r="B17" s="90" t="s">
        <v>3868</v>
      </c>
      <c r="C17" s="96" t="s">
        <v>4761</v>
      </c>
      <c r="D17" s="90"/>
      <c r="E17" s="89" t="s">
        <v>75</v>
      </c>
      <c r="F17" s="91">
        <v>1.0</v>
      </c>
      <c r="G17" s="92"/>
      <c r="H17" s="92"/>
    </row>
    <row r="18" ht="12.75" customHeight="1">
      <c r="C18" s="90"/>
      <c r="F18" s="79"/>
      <c r="G18" s="80"/>
      <c r="H18" s="80"/>
    </row>
    <row r="19" ht="12.75" customHeight="1">
      <c r="A19" s="89" t="s">
        <v>398</v>
      </c>
      <c r="B19" s="90" t="s">
        <v>3869</v>
      </c>
      <c r="C19" s="96" t="s">
        <v>4762</v>
      </c>
      <c r="D19" s="90"/>
      <c r="E19" s="89" t="s">
        <v>75</v>
      </c>
      <c r="F19" s="91">
        <v>1.0</v>
      </c>
      <c r="G19" s="92"/>
      <c r="H19" s="92"/>
    </row>
    <row r="20" ht="12.75" customHeight="1">
      <c r="C20" s="90"/>
      <c r="F20" s="79"/>
      <c r="G20" s="80"/>
      <c r="H20" s="80"/>
    </row>
    <row r="21" ht="12.75" customHeight="1">
      <c r="A21" s="89" t="s">
        <v>400</v>
      </c>
      <c r="B21" s="90" t="s">
        <v>3870</v>
      </c>
      <c r="C21" s="96" t="s">
        <v>4763</v>
      </c>
      <c r="D21" s="90"/>
      <c r="E21" s="89" t="s">
        <v>75</v>
      </c>
      <c r="F21" s="91">
        <v>1.0</v>
      </c>
      <c r="G21" s="92"/>
      <c r="H21" s="92"/>
    </row>
    <row r="22" ht="12.75" customHeight="1">
      <c r="C22" s="90"/>
      <c r="F22" s="79"/>
      <c r="G22" s="80"/>
      <c r="H22" s="80"/>
    </row>
    <row r="23" ht="12.75" customHeight="1">
      <c r="A23" s="89" t="s">
        <v>402</v>
      </c>
      <c r="B23" s="90" t="s">
        <v>3871</v>
      </c>
      <c r="C23" s="96" t="s">
        <v>4764</v>
      </c>
      <c r="D23" s="90"/>
      <c r="E23" s="89" t="s">
        <v>75</v>
      </c>
      <c r="F23" s="91">
        <v>1.0</v>
      </c>
      <c r="G23" s="92"/>
      <c r="H23" s="92"/>
    </row>
    <row r="24" ht="12.75" customHeight="1">
      <c r="C24" s="90"/>
      <c r="F24" s="79"/>
      <c r="G24" s="80"/>
      <c r="H24" s="80"/>
    </row>
    <row r="25" ht="12.75" customHeight="1">
      <c r="A25" s="89" t="s">
        <v>404</v>
      </c>
      <c r="B25" s="90" t="s">
        <v>3872</v>
      </c>
      <c r="C25" s="96" t="s">
        <v>4765</v>
      </c>
      <c r="D25" s="90"/>
      <c r="E25" s="89" t="s">
        <v>75</v>
      </c>
      <c r="F25" s="91">
        <v>1.0</v>
      </c>
      <c r="G25" s="92"/>
      <c r="H25" s="92"/>
    </row>
    <row r="26" ht="12.75" customHeight="1">
      <c r="C26" s="90"/>
      <c r="F26" s="79"/>
      <c r="G26" s="80"/>
      <c r="H26" s="80"/>
    </row>
    <row r="27" ht="12.75" customHeight="1">
      <c r="A27" s="89" t="s">
        <v>406</v>
      </c>
      <c r="B27" s="90" t="s">
        <v>3873</v>
      </c>
      <c r="C27" s="96" t="s">
        <v>4766</v>
      </c>
      <c r="D27" s="90"/>
      <c r="E27" s="89" t="s">
        <v>75</v>
      </c>
      <c r="F27" s="91">
        <v>1.0</v>
      </c>
      <c r="G27" s="92"/>
      <c r="H27" s="92"/>
    </row>
    <row r="28" ht="12.75" customHeight="1">
      <c r="C28" s="90"/>
      <c r="F28" s="79"/>
      <c r="G28" s="80"/>
      <c r="H28" s="80"/>
    </row>
    <row r="29" ht="12.75" customHeight="1">
      <c r="A29" s="89" t="s">
        <v>408</v>
      </c>
      <c r="B29" s="90" t="s">
        <v>3874</v>
      </c>
      <c r="C29" s="96" t="s">
        <v>4767</v>
      </c>
      <c r="D29" s="90"/>
      <c r="E29" s="89" t="s">
        <v>75</v>
      </c>
      <c r="F29" s="91">
        <v>1.0</v>
      </c>
      <c r="G29" s="92"/>
      <c r="H29" s="92"/>
    </row>
    <row r="30" ht="12.75" customHeight="1">
      <c r="C30" s="90"/>
      <c r="F30" s="79"/>
      <c r="G30" s="80"/>
      <c r="H30" s="80"/>
    </row>
    <row r="31" ht="12.75" customHeight="1">
      <c r="A31" s="89" t="s">
        <v>410</v>
      </c>
      <c r="B31" s="90" t="s">
        <v>3875</v>
      </c>
      <c r="C31" s="96" t="s">
        <v>4768</v>
      </c>
      <c r="D31" s="90"/>
      <c r="E31" s="89" t="s">
        <v>75</v>
      </c>
      <c r="F31" s="91">
        <v>1.0</v>
      </c>
      <c r="G31" s="92"/>
      <c r="H31" s="92"/>
    </row>
    <row r="32" ht="12.75" customHeight="1">
      <c r="C32" s="90"/>
      <c r="F32" s="79"/>
      <c r="G32" s="80"/>
      <c r="H32" s="80"/>
    </row>
    <row r="33" ht="12.75" customHeight="1">
      <c r="A33" s="89" t="s">
        <v>412</v>
      </c>
      <c r="B33" s="90" t="s">
        <v>3876</v>
      </c>
      <c r="C33" s="96" t="s">
        <v>4769</v>
      </c>
      <c r="D33" s="90"/>
      <c r="E33" s="89" t="s">
        <v>75</v>
      </c>
      <c r="F33" s="91">
        <v>1.0</v>
      </c>
      <c r="G33" s="92"/>
      <c r="H33" s="92"/>
    </row>
    <row r="34" ht="12.75" customHeight="1">
      <c r="C34" s="90"/>
      <c r="F34" s="79"/>
      <c r="G34" s="80"/>
      <c r="H34" s="80"/>
    </row>
    <row r="35" ht="12.75" customHeight="1">
      <c r="A35" s="89" t="s">
        <v>414</v>
      </c>
      <c r="B35" s="90" t="s">
        <v>3877</v>
      </c>
      <c r="C35" s="96" t="s">
        <v>4770</v>
      </c>
      <c r="D35" s="90"/>
      <c r="E35" s="89" t="s">
        <v>75</v>
      </c>
      <c r="F35" s="91">
        <v>1.0</v>
      </c>
      <c r="G35" s="92"/>
      <c r="H35" s="92"/>
    </row>
    <row r="36" ht="12.75" customHeight="1">
      <c r="C36" s="90"/>
      <c r="F36" s="79"/>
      <c r="G36" s="80"/>
      <c r="H36" s="80"/>
    </row>
    <row r="37" ht="12.75" customHeight="1">
      <c r="A37" s="89" t="s">
        <v>416</v>
      </c>
      <c r="B37" s="90" t="s">
        <v>3878</v>
      </c>
      <c r="C37" s="96" t="s">
        <v>4771</v>
      </c>
      <c r="D37" s="90"/>
      <c r="E37" s="89" t="s">
        <v>75</v>
      </c>
      <c r="F37" s="91">
        <v>1.0</v>
      </c>
      <c r="G37" s="92"/>
      <c r="H37" s="92"/>
    </row>
    <row r="38" ht="12.75" customHeight="1">
      <c r="C38" s="90"/>
      <c r="F38" s="79"/>
      <c r="G38" s="80"/>
      <c r="H38" s="80"/>
    </row>
    <row r="39" ht="12.75" customHeight="1">
      <c r="A39" s="89" t="s">
        <v>418</v>
      </c>
      <c r="B39" s="90" t="s">
        <v>3879</v>
      </c>
      <c r="C39" s="96" t="s">
        <v>4772</v>
      </c>
      <c r="D39" s="90"/>
      <c r="E39" s="89" t="s">
        <v>75</v>
      </c>
      <c r="F39" s="91">
        <v>1.0</v>
      </c>
      <c r="G39" s="92"/>
      <c r="H39" s="92"/>
    </row>
    <row r="40" ht="12.75" customHeight="1">
      <c r="C40" s="90"/>
      <c r="F40" s="79"/>
      <c r="G40" s="80"/>
      <c r="H40" s="80"/>
    </row>
    <row r="41" ht="12.75" customHeight="1">
      <c r="A41" s="89" t="s">
        <v>420</v>
      </c>
      <c r="B41" s="90" t="s">
        <v>3880</v>
      </c>
      <c r="C41" s="96" t="s">
        <v>4773</v>
      </c>
      <c r="D41" s="90"/>
      <c r="E41" s="89" t="s">
        <v>75</v>
      </c>
      <c r="F41" s="91">
        <v>1.0</v>
      </c>
      <c r="G41" s="92"/>
      <c r="H41" s="92"/>
    </row>
    <row r="42" ht="12.75" customHeight="1">
      <c r="C42" s="90"/>
      <c r="F42" s="79"/>
      <c r="G42" s="80"/>
      <c r="H42" s="80"/>
    </row>
    <row r="43" ht="12.75" customHeight="1">
      <c r="A43" s="89" t="s">
        <v>422</v>
      </c>
      <c r="B43" s="90" t="s">
        <v>3881</v>
      </c>
      <c r="C43" s="96" t="s">
        <v>4774</v>
      </c>
      <c r="D43" s="90"/>
      <c r="E43" s="89" t="s">
        <v>75</v>
      </c>
      <c r="F43" s="91">
        <v>1.0</v>
      </c>
      <c r="G43" s="92"/>
      <c r="H43" s="92"/>
    </row>
    <row r="44" ht="12.75" customHeight="1">
      <c r="C44" s="90"/>
      <c r="F44" s="79"/>
      <c r="G44" s="80"/>
      <c r="H44" s="80"/>
    </row>
    <row r="45" ht="12.75" customHeight="1">
      <c r="A45" s="89" t="s">
        <v>424</v>
      </c>
      <c r="B45" s="90" t="s">
        <v>3882</v>
      </c>
      <c r="C45" s="96" t="s">
        <v>4775</v>
      </c>
      <c r="D45" s="90"/>
      <c r="E45" s="89" t="s">
        <v>75</v>
      </c>
      <c r="F45" s="91">
        <v>1.0</v>
      </c>
      <c r="G45" s="92"/>
      <c r="H45" s="92"/>
    </row>
    <row r="46" ht="12.75" customHeight="1">
      <c r="C46" s="90"/>
      <c r="F46" s="79"/>
      <c r="G46" s="80"/>
      <c r="H46" s="80"/>
    </row>
    <row r="47" ht="12.75" customHeight="1">
      <c r="A47" s="89" t="s">
        <v>426</v>
      </c>
      <c r="B47" s="90" t="s">
        <v>3883</v>
      </c>
      <c r="C47" s="96" t="s">
        <v>4776</v>
      </c>
      <c r="D47" s="90"/>
      <c r="E47" s="89" t="s">
        <v>75</v>
      </c>
      <c r="F47" s="91">
        <v>1.0</v>
      </c>
      <c r="G47" s="92"/>
      <c r="H47" s="92"/>
    </row>
    <row r="48" ht="12.75" customHeight="1">
      <c r="C48" s="90"/>
      <c r="F48" s="79"/>
      <c r="G48" s="80"/>
      <c r="H48" s="80"/>
    </row>
    <row r="49" ht="12.75" customHeight="1">
      <c r="A49" s="89" t="s">
        <v>428</v>
      </c>
      <c r="B49" s="90" t="s">
        <v>3884</v>
      </c>
      <c r="C49" s="96" t="s">
        <v>4777</v>
      </c>
      <c r="D49" s="90"/>
      <c r="F49" s="79"/>
      <c r="G49" s="80"/>
      <c r="H49" s="80"/>
    </row>
    <row r="50" ht="12.75" customHeight="1">
      <c r="C50" s="90"/>
      <c r="F50" s="79"/>
      <c r="G50" s="80"/>
      <c r="H50" s="80"/>
    </row>
    <row r="51" ht="12.75" customHeight="1">
      <c r="A51" s="89" t="s">
        <v>430</v>
      </c>
      <c r="B51" s="90" t="s">
        <v>3885</v>
      </c>
      <c r="C51" s="96" t="s">
        <v>4778</v>
      </c>
      <c r="D51" s="90"/>
      <c r="E51" s="89" t="s">
        <v>75</v>
      </c>
      <c r="F51" s="91">
        <v>1.0</v>
      </c>
      <c r="G51" s="92"/>
      <c r="H51" s="92"/>
    </row>
    <row r="52" ht="12.75" customHeight="1">
      <c r="C52" s="90"/>
      <c r="F52" s="79"/>
      <c r="G52" s="80"/>
      <c r="H52" s="80"/>
    </row>
    <row r="53" ht="12.75" customHeight="1">
      <c r="A53" s="89" t="s">
        <v>432</v>
      </c>
      <c r="B53" s="90" t="s">
        <v>2313</v>
      </c>
      <c r="C53" s="96" t="s">
        <v>4779</v>
      </c>
      <c r="D53" s="90"/>
      <c r="F53" s="79"/>
      <c r="G53" s="80"/>
      <c r="H53" s="80"/>
    </row>
    <row r="54" ht="12.75" customHeight="1">
      <c r="C54" s="90"/>
      <c r="F54" s="79"/>
      <c r="G54" s="80"/>
      <c r="H54" s="80"/>
    </row>
    <row r="55" ht="12.75" customHeight="1">
      <c r="A55" s="89" t="s">
        <v>434</v>
      </c>
      <c r="B55" s="90" t="s">
        <v>3886</v>
      </c>
      <c r="C55" s="96" t="s">
        <v>4780</v>
      </c>
      <c r="D55" s="90"/>
      <c r="F55" s="79"/>
      <c r="G55" s="80"/>
      <c r="H55" s="80"/>
    </row>
    <row r="56" ht="12.75" customHeight="1">
      <c r="C56" s="90"/>
      <c r="F56" s="79"/>
      <c r="G56" s="80"/>
      <c r="H56" s="80"/>
    </row>
    <row r="57" ht="12.75" customHeight="1">
      <c r="A57" s="89" t="s">
        <v>436</v>
      </c>
      <c r="B57" s="90" t="s">
        <v>3887</v>
      </c>
      <c r="C57" s="96" t="s">
        <v>4781</v>
      </c>
      <c r="D57" s="90"/>
      <c r="E57" s="89" t="s">
        <v>75</v>
      </c>
      <c r="F57" s="91">
        <v>1.0</v>
      </c>
      <c r="G57" s="92"/>
      <c r="H57" s="92"/>
    </row>
    <row r="58" ht="12.75" customHeight="1">
      <c r="C58" s="90"/>
      <c r="F58" s="79"/>
      <c r="G58" s="80"/>
      <c r="H58" s="80"/>
    </row>
    <row r="59" ht="12.75" customHeight="1">
      <c r="A59" s="89" t="s">
        <v>438</v>
      </c>
      <c r="B59" s="90" t="s">
        <v>3888</v>
      </c>
      <c r="C59" s="96" t="s">
        <v>4782</v>
      </c>
      <c r="D59" s="90"/>
      <c r="F59" s="79"/>
      <c r="G59" s="80"/>
      <c r="H59" s="80"/>
    </row>
    <row r="60" ht="12.75" customHeight="1">
      <c r="C60" s="90"/>
      <c r="F60" s="79"/>
      <c r="G60" s="80"/>
      <c r="H60" s="80"/>
    </row>
    <row r="61" ht="12.75" customHeight="1">
      <c r="A61" s="89" t="s">
        <v>440</v>
      </c>
      <c r="B61" s="90" t="s">
        <v>3889</v>
      </c>
      <c r="C61" s="96" t="s">
        <v>4783</v>
      </c>
      <c r="D61" s="90"/>
      <c r="E61" s="89" t="s">
        <v>75</v>
      </c>
      <c r="F61" s="91">
        <v>1.0</v>
      </c>
      <c r="G61" s="92"/>
      <c r="H61" s="92"/>
    </row>
    <row r="62" ht="12.75" customHeight="1">
      <c r="C62" s="90"/>
      <c r="F62" s="79"/>
      <c r="G62" s="80"/>
      <c r="H62" s="80"/>
    </row>
    <row r="63" ht="12.75" customHeight="1">
      <c r="A63" s="89" t="s">
        <v>442</v>
      </c>
      <c r="B63" s="90" t="s">
        <v>3890</v>
      </c>
      <c r="C63" s="96" t="s">
        <v>4784</v>
      </c>
      <c r="D63" s="90"/>
      <c r="F63" s="79"/>
      <c r="G63" s="80"/>
      <c r="H63" s="80"/>
    </row>
    <row r="64" ht="12.75" customHeight="1">
      <c r="C64" s="90"/>
      <c r="F64" s="79"/>
      <c r="G64" s="80"/>
      <c r="H64" s="80"/>
    </row>
    <row r="65" ht="12.75" customHeight="1">
      <c r="A65" s="89" t="s">
        <v>444</v>
      </c>
      <c r="B65" s="90" t="s">
        <v>3891</v>
      </c>
      <c r="C65" s="96" t="s">
        <v>4785</v>
      </c>
      <c r="D65" s="90"/>
      <c r="E65" s="89" t="s">
        <v>75</v>
      </c>
      <c r="F65" s="91">
        <v>1.0</v>
      </c>
      <c r="G65" s="92"/>
      <c r="H65" s="92"/>
    </row>
    <row r="66" ht="12.75" customHeight="1">
      <c r="C66" s="90"/>
      <c r="F66" s="79"/>
      <c r="G66" s="80"/>
      <c r="H66" s="80"/>
    </row>
    <row r="67" ht="12.75" customHeight="1">
      <c r="A67" s="89" t="s">
        <v>446</v>
      </c>
      <c r="B67" s="90" t="s">
        <v>3892</v>
      </c>
      <c r="C67" s="96" t="s">
        <v>4786</v>
      </c>
      <c r="D67" s="90"/>
      <c r="E67" s="89" t="s">
        <v>75</v>
      </c>
      <c r="F67" s="91">
        <v>1.0</v>
      </c>
      <c r="G67" s="92"/>
      <c r="H67" s="92"/>
    </row>
    <row r="68" ht="12.75" customHeight="1">
      <c r="C68" s="90"/>
      <c r="F68" s="79"/>
      <c r="G68" s="80"/>
      <c r="H68" s="80"/>
    </row>
    <row r="69" ht="12.75" customHeight="1">
      <c r="A69" s="89" t="s">
        <v>448</v>
      </c>
      <c r="B69" s="90" t="s">
        <v>3893</v>
      </c>
      <c r="C69" s="96" t="s">
        <v>4787</v>
      </c>
      <c r="D69" s="90"/>
      <c r="F69" s="79"/>
      <c r="G69" s="80"/>
      <c r="H69" s="80"/>
    </row>
    <row r="70" ht="12.75" customHeight="1">
      <c r="C70" s="90"/>
      <c r="F70" s="79"/>
      <c r="G70" s="80"/>
      <c r="H70" s="80"/>
    </row>
    <row r="71" ht="12.75" customHeight="1">
      <c r="A71" s="89" t="s">
        <v>450</v>
      </c>
      <c r="B71" s="90" t="s">
        <v>3894</v>
      </c>
      <c r="C71" s="96" t="s">
        <v>4788</v>
      </c>
      <c r="D71" s="90"/>
      <c r="E71" s="89" t="s">
        <v>75</v>
      </c>
      <c r="F71" s="91">
        <v>1.0</v>
      </c>
      <c r="G71" s="92"/>
      <c r="H71" s="92"/>
    </row>
    <row r="72" ht="12.75" customHeight="1">
      <c r="C72" s="90"/>
      <c r="F72" s="79"/>
      <c r="G72" s="80"/>
      <c r="H72" s="80"/>
    </row>
    <row r="73" ht="12.75" customHeight="1">
      <c r="A73" s="89" t="s">
        <v>452</v>
      </c>
      <c r="B73" s="90" t="s">
        <v>3895</v>
      </c>
      <c r="C73" s="96" t="s">
        <v>4789</v>
      </c>
      <c r="D73" s="90"/>
      <c r="F73" s="79"/>
      <c r="G73" s="80"/>
      <c r="H73" s="80"/>
    </row>
    <row r="74" ht="12.75" customHeight="1">
      <c r="C74" s="90"/>
      <c r="F74" s="79"/>
      <c r="G74" s="80"/>
      <c r="H74" s="80"/>
    </row>
    <row r="75" ht="12.75" customHeight="1">
      <c r="A75" s="89" t="s">
        <v>454</v>
      </c>
      <c r="B75" s="90" t="s">
        <v>3896</v>
      </c>
      <c r="C75" s="96" t="s">
        <v>4790</v>
      </c>
      <c r="D75" s="90"/>
      <c r="E75" s="89" t="s">
        <v>75</v>
      </c>
      <c r="F75" s="91">
        <v>1.0</v>
      </c>
      <c r="G75" s="92"/>
      <c r="H75" s="92"/>
    </row>
    <row r="76" ht="12.75" customHeight="1">
      <c r="C76" s="90"/>
      <c r="F76" s="79"/>
      <c r="G76" s="80"/>
      <c r="H76" s="80"/>
    </row>
    <row r="77" ht="12.75" customHeight="1">
      <c r="A77" s="89" t="s">
        <v>456</v>
      </c>
      <c r="B77" s="90" t="s">
        <v>3897</v>
      </c>
      <c r="C77" s="96" t="s">
        <v>4791</v>
      </c>
      <c r="D77" s="90"/>
      <c r="F77" s="79"/>
      <c r="G77" s="80"/>
      <c r="H77" s="80"/>
    </row>
    <row r="78" ht="12.75" customHeight="1">
      <c r="C78" s="90"/>
      <c r="F78" s="79"/>
      <c r="G78" s="80"/>
      <c r="H78" s="80"/>
    </row>
    <row r="79" ht="12.75" customHeight="1">
      <c r="A79" s="89" t="s">
        <v>458</v>
      </c>
      <c r="B79" s="90" t="s">
        <v>3898</v>
      </c>
      <c r="C79" s="96" t="s">
        <v>4792</v>
      </c>
      <c r="D79" s="90"/>
      <c r="E79" s="89" t="s">
        <v>75</v>
      </c>
      <c r="F79" s="91">
        <v>1.0</v>
      </c>
      <c r="G79" s="92"/>
      <c r="H79" s="92"/>
    </row>
    <row r="80" ht="12.75" customHeight="1">
      <c r="C80" s="90"/>
      <c r="F80" s="79"/>
      <c r="G80" s="80"/>
      <c r="H80" s="80"/>
    </row>
    <row r="81" ht="12.75" customHeight="1">
      <c r="A81" s="89" t="s">
        <v>460</v>
      </c>
      <c r="B81" s="90" t="s">
        <v>3899</v>
      </c>
      <c r="C81" s="96" t="s">
        <v>4793</v>
      </c>
      <c r="D81" s="90"/>
      <c r="E81" s="89" t="s">
        <v>75</v>
      </c>
      <c r="F81" s="91">
        <v>1.0</v>
      </c>
      <c r="G81" s="92"/>
      <c r="H81" s="92"/>
    </row>
    <row r="82" ht="12.75" customHeight="1">
      <c r="C82" s="90"/>
      <c r="F82" s="79"/>
      <c r="G82" s="80"/>
      <c r="H82" s="80"/>
    </row>
    <row r="83" ht="12.75" customHeight="1">
      <c r="A83" s="89" t="s">
        <v>462</v>
      </c>
      <c r="B83" s="90" t="s">
        <v>3900</v>
      </c>
      <c r="C83" s="96" t="s">
        <v>4794</v>
      </c>
      <c r="D83" s="90"/>
      <c r="E83" s="89" t="s">
        <v>75</v>
      </c>
      <c r="F83" s="91">
        <v>1.0</v>
      </c>
      <c r="G83" s="92"/>
      <c r="H83" s="92"/>
    </row>
    <row r="84" ht="12.75" customHeight="1">
      <c r="C84" s="90"/>
      <c r="F84" s="79"/>
      <c r="G84" s="80"/>
      <c r="H84" s="80"/>
    </row>
    <row r="85" ht="12.75" customHeight="1">
      <c r="A85" s="89" t="s">
        <v>464</v>
      </c>
      <c r="B85" s="90" t="s">
        <v>2344</v>
      </c>
      <c r="C85" s="96" t="s">
        <v>4795</v>
      </c>
      <c r="D85" s="90"/>
      <c r="F85" s="79"/>
      <c r="G85" s="80"/>
      <c r="H85" s="80"/>
    </row>
    <row r="86" ht="12.75" customHeight="1">
      <c r="C86" s="90"/>
      <c r="F86" s="79"/>
      <c r="G86" s="80"/>
      <c r="H86" s="80"/>
    </row>
    <row r="87" ht="12.75" customHeight="1">
      <c r="A87" s="89" t="s">
        <v>466</v>
      </c>
      <c r="B87" s="90" t="s">
        <v>3901</v>
      </c>
      <c r="C87" s="96" t="s">
        <v>4796</v>
      </c>
      <c r="D87" s="90"/>
      <c r="F87" s="79"/>
      <c r="G87" s="80"/>
      <c r="H87" s="80"/>
    </row>
    <row r="88" ht="12.75" customHeight="1">
      <c r="C88" s="90"/>
      <c r="F88" s="79"/>
      <c r="G88" s="80"/>
      <c r="H88" s="80"/>
    </row>
    <row r="89" ht="12.75" customHeight="1">
      <c r="A89" s="89" t="s">
        <v>468</v>
      </c>
      <c r="B89" s="90" t="s">
        <v>3902</v>
      </c>
      <c r="C89" s="96" t="s">
        <v>4797</v>
      </c>
      <c r="D89" s="90"/>
      <c r="E89" s="89" t="s">
        <v>75</v>
      </c>
      <c r="F89" s="91">
        <v>1.0</v>
      </c>
      <c r="G89" s="92"/>
      <c r="H89" s="92"/>
    </row>
    <row r="90" ht="12.75" customHeight="1">
      <c r="C90" s="90"/>
      <c r="F90" s="79"/>
      <c r="G90" s="80"/>
      <c r="H90" s="80"/>
    </row>
    <row r="91" ht="12.75" customHeight="1">
      <c r="A91" s="89" t="s">
        <v>470</v>
      </c>
      <c r="B91" s="90" t="s">
        <v>2349</v>
      </c>
      <c r="C91" s="96" t="s">
        <v>4798</v>
      </c>
      <c r="D91" s="90"/>
      <c r="F91" s="79"/>
      <c r="G91" s="80"/>
      <c r="H91" s="80"/>
    </row>
    <row r="92" ht="12.75" customHeight="1">
      <c r="C92" s="90"/>
      <c r="F92" s="79"/>
      <c r="G92" s="80"/>
      <c r="H92" s="80"/>
    </row>
    <row r="93" ht="12.75" customHeight="1">
      <c r="A93" s="89" t="s">
        <v>472</v>
      </c>
      <c r="B93" s="90" t="s">
        <v>3903</v>
      </c>
      <c r="C93" s="96" t="s">
        <v>4799</v>
      </c>
      <c r="D93" s="90"/>
      <c r="F93" s="79"/>
      <c r="G93" s="80"/>
      <c r="H93" s="80"/>
    </row>
    <row r="94" ht="12.75" customHeight="1">
      <c r="C94" s="90"/>
      <c r="F94" s="79"/>
      <c r="G94" s="80"/>
      <c r="H94" s="80"/>
    </row>
    <row r="95" ht="12.75" customHeight="1">
      <c r="A95" s="89" t="s">
        <v>474</v>
      </c>
      <c r="B95" s="90" t="s">
        <v>3904</v>
      </c>
      <c r="C95" s="96" t="s">
        <v>4800</v>
      </c>
      <c r="D95" s="90"/>
      <c r="E95" s="89" t="s">
        <v>75</v>
      </c>
      <c r="F95" s="91">
        <v>1.0</v>
      </c>
      <c r="G95" s="92"/>
      <c r="H95" s="92"/>
    </row>
    <row r="96" ht="12.75" customHeight="1">
      <c r="C96" s="90"/>
      <c r="F96" s="79"/>
      <c r="G96" s="80"/>
      <c r="H96" s="80"/>
    </row>
    <row r="97" ht="12.75" customHeight="1">
      <c r="A97" s="89" t="s">
        <v>476</v>
      </c>
      <c r="B97" s="90" t="s">
        <v>2353</v>
      </c>
      <c r="C97" s="96" t="s">
        <v>4801</v>
      </c>
      <c r="D97" s="90"/>
      <c r="F97" s="79"/>
      <c r="G97" s="80"/>
      <c r="H97" s="80"/>
    </row>
    <row r="98" ht="12.75" customHeight="1">
      <c r="C98" s="90"/>
      <c r="F98" s="79"/>
      <c r="G98" s="80"/>
      <c r="H98" s="80"/>
    </row>
    <row r="99" ht="12.75" customHeight="1">
      <c r="A99" s="89" t="s">
        <v>478</v>
      </c>
      <c r="B99" s="90" t="s">
        <v>3905</v>
      </c>
      <c r="C99" s="96" t="s">
        <v>4802</v>
      </c>
      <c r="D99" s="90"/>
      <c r="E99" s="89" t="s">
        <v>227</v>
      </c>
      <c r="F99" s="91">
        <v>1.0</v>
      </c>
      <c r="G99" s="92"/>
      <c r="H99" s="92"/>
    </row>
    <row r="100" ht="12.75" customHeight="1">
      <c r="C100" s="96" t="s">
        <v>4803</v>
      </c>
      <c r="F100" s="79"/>
      <c r="G100" s="80"/>
      <c r="H100" s="80"/>
    </row>
    <row r="101" ht="12.75" customHeight="1">
      <c r="A101" s="89" t="s">
        <v>480</v>
      </c>
      <c r="B101" s="90" t="s">
        <v>2356</v>
      </c>
      <c r="C101" s="90"/>
      <c r="D101" s="90"/>
      <c r="F101" s="79"/>
      <c r="G101" s="80"/>
      <c r="H101" s="80"/>
    </row>
    <row r="102" ht="12.75" customHeight="1">
      <c r="C102" s="96" t="s">
        <v>4804</v>
      </c>
      <c r="F102" s="79"/>
      <c r="G102" s="80"/>
      <c r="H102" s="80"/>
    </row>
    <row r="103" ht="12.75" customHeight="1">
      <c r="A103" s="89" t="s">
        <v>482</v>
      </c>
      <c r="B103" s="90" t="s">
        <v>3906</v>
      </c>
      <c r="C103" s="96" t="s">
        <v>4805</v>
      </c>
      <c r="D103" s="90"/>
      <c r="F103" s="79"/>
      <c r="G103" s="80"/>
      <c r="H103" s="80"/>
    </row>
    <row r="104" ht="12.75" customHeight="1">
      <c r="C104" s="90"/>
      <c r="F104" s="79"/>
      <c r="G104" s="80"/>
      <c r="H104" s="80"/>
    </row>
    <row r="105" ht="12.75" customHeight="1">
      <c r="A105" s="89" t="s">
        <v>484</v>
      </c>
      <c r="B105" s="90" t="s">
        <v>3907</v>
      </c>
      <c r="C105" s="96" t="s">
        <v>4806</v>
      </c>
      <c r="D105" s="90"/>
      <c r="E105" s="89" t="s">
        <v>75</v>
      </c>
      <c r="F105" s="91">
        <v>1.0</v>
      </c>
      <c r="G105" s="92"/>
      <c r="H105" s="92"/>
    </row>
    <row r="106" ht="12.75" customHeight="1">
      <c r="C106" s="90"/>
      <c r="F106" s="79"/>
      <c r="G106" s="80"/>
      <c r="H106" s="80"/>
    </row>
    <row r="107" ht="12.75" customHeight="1">
      <c r="A107" s="89" t="s">
        <v>486</v>
      </c>
      <c r="B107" s="90" t="s">
        <v>3908</v>
      </c>
      <c r="C107" s="96" t="s">
        <v>4807</v>
      </c>
      <c r="D107" s="90"/>
      <c r="E107" s="89" t="s">
        <v>75</v>
      </c>
      <c r="F107" s="91">
        <v>1.0</v>
      </c>
      <c r="G107" s="92"/>
      <c r="H107" s="92"/>
    </row>
    <row r="108" ht="12.75" customHeight="1">
      <c r="C108" s="90"/>
      <c r="F108" s="79"/>
      <c r="G108" s="80"/>
      <c r="H108" s="80"/>
    </row>
    <row r="109" ht="12.75" customHeight="1">
      <c r="A109" s="89" t="s">
        <v>488</v>
      </c>
      <c r="B109" s="90" t="s">
        <v>3909</v>
      </c>
      <c r="C109" s="96" t="s">
        <v>4808</v>
      </c>
      <c r="D109" s="90"/>
      <c r="E109" s="89" t="s">
        <v>75</v>
      </c>
      <c r="F109" s="91">
        <v>1.0</v>
      </c>
      <c r="G109" s="92"/>
      <c r="H109" s="92"/>
    </row>
    <row r="110" ht="12.75" customHeight="1">
      <c r="C110" s="90"/>
      <c r="F110" s="79"/>
      <c r="G110" s="80"/>
      <c r="H110" s="80"/>
    </row>
    <row r="111" ht="12.75" customHeight="1">
      <c r="A111" s="89" t="s">
        <v>490</v>
      </c>
      <c r="B111" s="90" t="s">
        <v>3910</v>
      </c>
      <c r="C111" s="96" t="s">
        <v>4809</v>
      </c>
      <c r="D111" s="90"/>
      <c r="E111" s="89" t="s">
        <v>75</v>
      </c>
      <c r="F111" s="91">
        <v>1.0</v>
      </c>
      <c r="G111" s="92"/>
      <c r="H111" s="92"/>
    </row>
    <row r="112" ht="12.75" customHeight="1">
      <c r="C112" s="90"/>
      <c r="F112" s="79"/>
      <c r="G112" s="80"/>
      <c r="H112" s="80"/>
    </row>
    <row r="113" ht="12.75" customHeight="1">
      <c r="A113" s="89" t="s">
        <v>492</v>
      </c>
      <c r="B113" s="90" t="s">
        <v>3911</v>
      </c>
      <c r="C113" s="96" t="s">
        <v>4810</v>
      </c>
      <c r="D113" s="90"/>
      <c r="E113" s="89" t="s">
        <v>75</v>
      </c>
      <c r="F113" s="91">
        <v>1.0</v>
      </c>
      <c r="G113" s="92"/>
      <c r="H113" s="92"/>
    </row>
    <row r="114" ht="12.75" customHeight="1">
      <c r="C114" s="90"/>
      <c r="F114" s="79"/>
      <c r="G114" s="80"/>
      <c r="H114" s="80"/>
    </row>
    <row r="115" ht="12.75" customHeight="1">
      <c r="A115" s="89" t="s">
        <v>494</v>
      </c>
      <c r="B115" s="90" t="s">
        <v>3912</v>
      </c>
      <c r="C115" s="96" t="s">
        <v>4811</v>
      </c>
      <c r="D115" s="90"/>
      <c r="E115" s="89" t="s">
        <v>75</v>
      </c>
      <c r="F115" s="91">
        <v>1.0</v>
      </c>
      <c r="G115" s="92"/>
      <c r="H115" s="92"/>
    </row>
    <row r="116" ht="12.75" customHeight="1">
      <c r="C116" s="90"/>
      <c r="F116" s="79"/>
      <c r="G116" s="80"/>
      <c r="H116" s="80"/>
    </row>
    <row r="117" ht="12.75" customHeight="1">
      <c r="A117" s="89" t="s">
        <v>470</v>
      </c>
      <c r="B117" s="90" t="s">
        <v>2370</v>
      </c>
      <c r="C117" s="96" t="s">
        <v>4812</v>
      </c>
      <c r="D117" s="90"/>
      <c r="F117" s="79"/>
      <c r="G117" s="80"/>
      <c r="H117" s="80"/>
    </row>
    <row r="118" ht="12.75" customHeight="1">
      <c r="C118" s="90"/>
      <c r="F118" s="79"/>
      <c r="G118" s="80"/>
      <c r="H118" s="80"/>
    </row>
    <row r="119" ht="12.75" customHeight="1">
      <c r="A119" s="89" t="s">
        <v>472</v>
      </c>
      <c r="B119" s="90" t="s">
        <v>3913</v>
      </c>
      <c r="C119" s="96" t="s">
        <v>4813</v>
      </c>
      <c r="D119" s="90"/>
      <c r="F119" s="79"/>
      <c r="G119" s="80"/>
      <c r="H119" s="80"/>
    </row>
    <row r="120" ht="12.75" customHeight="1">
      <c r="C120" s="90"/>
      <c r="F120" s="79"/>
      <c r="G120" s="80"/>
      <c r="H120" s="80"/>
    </row>
    <row r="121" ht="12.75" customHeight="1">
      <c r="A121" s="89" t="s">
        <v>474</v>
      </c>
      <c r="B121" s="90" t="s">
        <v>3914</v>
      </c>
      <c r="C121" s="96" t="s">
        <v>4814</v>
      </c>
      <c r="D121" s="90"/>
      <c r="E121" s="89" t="s">
        <v>161</v>
      </c>
      <c r="F121" s="91">
        <v>4.53</v>
      </c>
      <c r="G121" s="92"/>
      <c r="H121" s="92"/>
    </row>
    <row r="122" ht="12.75" customHeight="1">
      <c r="C122" s="90"/>
      <c r="F122" s="79"/>
      <c r="G122" s="80"/>
      <c r="H122" s="80"/>
    </row>
    <row r="123" ht="12.75" customHeight="1">
      <c r="A123" s="89" t="s">
        <v>499</v>
      </c>
      <c r="B123" s="90" t="s">
        <v>3915</v>
      </c>
      <c r="C123" s="96" t="s">
        <v>4815</v>
      </c>
      <c r="D123" s="90"/>
      <c r="E123" s="89" t="s">
        <v>161</v>
      </c>
      <c r="F123" s="91">
        <v>8.7</v>
      </c>
      <c r="G123" s="92"/>
      <c r="H123" s="92"/>
    </row>
    <row r="124" ht="12.75" customHeight="1">
      <c r="C124" s="90"/>
      <c r="F124" s="79"/>
      <c r="G124" s="80"/>
      <c r="H124" s="80"/>
    </row>
    <row r="125" ht="12.75" customHeight="1">
      <c r="A125" s="89" t="s">
        <v>501</v>
      </c>
      <c r="B125" s="90" t="s">
        <v>3916</v>
      </c>
      <c r="C125" s="96" t="s">
        <v>4816</v>
      </c>
      <c r="D125" s="90"/>
      <c r="E125" s="89" t="s">
        <v>161</v>
      </c>
      <c r="F125" s="91">
        <v>14.0</v>
      </c>
      <c r="G125" s="92"/>
      <c r="H125" s="92"/>
    </row>
    <row r="126" ht="12.75" customHeight="1">
      <c r="C126" s="90"/>
      <c r="F126" s="79"/>
      <c r="G126" s="80"/>
      <c r="H126" s="80"/>
    </row>
    <row r="127" ht="12.75" customHeight="1">
      <c r="A127" s="89" t="s">
        <v>503</v>
      </c>
      <c r="B127" s="90" t="s">
        <v>3917</v>
      </c>
      <c r="C127" s="96" t="s">
        <v>4817</v>
      </c>
      <c r="D127" s="90"/>
      <c r="E127" s="89" t="s">
        <v>161</v>
      </c>
      <c r="F127" s="91">
        <v>8.44</v>
      </c>
      <c r="G127" s="92"/>
      <c r="H127" s="92"/>
    </row>
    <row r="128" ht="12.75" customHeight="1">
      <c r="C128" s="90"/>
      <c r="F128" s="79"/>
      <c r="G128" s="80"/>
      <c r="H128" s="80"/>
    </row>
    <row r="129" ht="12.75" customHeight="1">
      <c r="A129" s="89" t="s">
        <v>505</v>
      </c>
      <c r="B129" s="90" t="s">
        <v>3918</v>
      </c>
      <c r="C129" s="96" t="s">
        <v>4818</v>
      </c>
      <c r="D129" s="90"/>
      <c r="F129" s="79"/>
      <c r="G129" s="80"/>
      <c r="H129" s="80"/>
    </row>
    <row r="130" ht="12.75" customHeight="1">
      <c r="C130" s="90"/>
      <c r="F130" s="79"/>
      <c r="G130" s="80"/>
      <c r="H130" s="80"/>
    </row>
    <row r="131" ht="12.75" customHeight="1">
      <c r="A131" s="89" t="s">
        <v>507</v>
      </c>
      <c r="B131" s="90" t="s">
        <v>3919</v>
      </c>
      <c r="C131" s="96" t="s">
        <v>4819</v>
      </c>
      <c r="D131" s="90"/>
      <c r="E131" s="89" t="s">
        <v>161</v>
      </c>
      <c r="F131" s="91">
        <v>2.65</v>
      </c>
      <c r="G131" s="92"/>
      <c r="H131" s="92"/>
    </row>
    <row r="132" ht="12.75" customHeight="1">
      <c r="C132" s="90"/>
      <c r="F132" s="79"/>
      <c r="G132" s="80"/>
      <c r="H132" s="80"/>
    </row>
    <row r="133" ht="12.75" customHeight="1">
      <c r="A133" s="89" t="s">
        <v>509</v>
      </c>
      <c r="B133" s="90" t="s">
        <v>3920</v>
      </c>
      <c r="C133" s="96" t="s">
        <v>4820</v>
      </c>
      <c r="D133" s="90"/>
      <c r="E133" s="89" t="s">
        <v>161</v>
      </c>
      <c r="F133" s="91">
        <v>25.15</v>
      </c>
      <c r="G133" s="92"/>
      <c r="H133" s="92"/>
    </row>
    <row r="134" ht="12.75" customHeight="1">
      <c r="C134" s="90"/>
      <c r="F134" s="79"/>
      <c r="G134" s="80"/>
      <c r="H134" s="80"/>
    </row>
    <row r="135" ht="12.75" customHeight="1">
      <c r="A135" s="89" t="s">
        <v>476</v>
      </c>
      <c r="B135" s="90" t="s">
        <v>3921</v>
      </c>
      <c r="C135" s="96" t="s">
        <v>4821</v>
      </c>
      <c r="D135" s="90"/>
      <c r="F135" s="79"/>
      <c r="G135" s="80"/>
      <c r="H135" s="80"/>
    </row>
    <row r="136" ht="12.75" customHeight="1">
      <c r="C136" s="90"/>
      <c r="F136" s="79"/>
      <c r="G136" s="80"/>
      <c r="H136" s="80"/>
    </row>
    <row r="137" ht="12.75" customHeight="1">
      <c r="A137" s="89" t="s">
        <v>478</v>
      </c>
      <c r="B137" s="90" t="s">
        <v>3922</v>
      </c>
      <c r="C137" s="96" t="s">
        <v>4822</v>
      </c>
      <c r="D137" s="90"/>
      <c r="F137" s="79"/>
      <c r="G137" s="80"/>
      <c r="H137" s="80"/>
    </row>
    <row r="138" ht="12.75" customHeight="1">
      <c r="C138" s="90"/>
      <c r="F138" s="79"/>
      <c r="G138" s="80"/>
      <c r="H138" s="80"/>
    </row>
    <row r="139" ht="12.75" customHeight="1">
      <c r="A139" s="89" t="s">
        <v>513</v>
      </c>
      <c r="B139" s="90" t="s">
        <v>3923</v>
      </c>
      <c r="C139" s="96" t="s">
        <v>4823</v>
      </c>
      <c r="D139" s="90"/>
      <c r="E139" s="89" t="s">
        <v>40</v>
      </c>
      <c r="F139" s="91">
        <v>70.44</v>
      </c>
      <c r="G139" s="92"/>
      <c r="H139" s="92"/>
    </row>
    <row r="140" ht="12.75" customHeight="1">
      <c r="C140" s="90"/>
      <c r="F140" s="79"/>
      <c r="G140" s="80"/>
      <c r="H140" s="80"/>
    </row>
    <row r="141" ht="12.75" customHeight="1">
      <c r="A141" s="89" t="s">
        <v>515</v>
      </c>
      <c r="B141" s="90" t="s">
        <v>3924</v>
      </c>
      <c r="C141" s="96" t="s">
        <v>4824</v>
      </c>
      <c r="D141" s="90"/>
      <c r="F141" s="79"/>
      <c r="G141" s="80"/>
      <c r="H141" s="80"/>
    </row>
    <row r="142" ht="12.75" customHeight="1">
      <c r="C142" s="90"/>
      <c r="F142" s="79"/>
      <c r="G142" s="80"/>
      <c r="H142" s="80"/>
    </row>
    <row r="143" ht="12.75" customHeight="1">
      <c r="A143" s="89" t="s">
        <v>517</v>
      </c>
      <c r="B143" s="90" t="s">
        <v>3925</v>
      </c>
      <c r="C143" s="96" t="s">
        <v>4825</v>
      </c>
      <c r="D143" s="90"/>
      <c r="E143" s="89" t="s">
        <v>40</v>
      </c>
      <c r="F143" s="91">
        <v>39.46</v>
      </c>
      <c r="G143" s="92"/>
      <c r="H143" s="92"/>
    </row>
    <row r="144" ht="12.75" customHeight="1">
      <c r="C144" s="90"/>
      <c r="F144" s="79"/>
      <c r="G144" s="80"/>
      <c r="H144" s="80"/>
    </row>
    <row r="145" ht="12.75" customHeight="1">
      <c r="A145" s="89" t="s">
        <v>519</v>
      </c>
      <c r="B145" s="90" t="s">
        <v>3926</v>
      </c>
      <c r="C145" s="96" t="s">
        <v>4826</v>
      </c>
      <c r="D145" s="90"/>
      <c r="F145" s="79"/>
      <c r="G145" s="80"/>
      <c r="H145" s="80"/>
    </row>
    <row r="146" ht="12.75" customHeight="1">
      <c r="C146" s="90"/>
      <c r="F146" s="79"/>
      <c r="G146" s="80"/>
      <c r="H146" s="80"/>
    </row>
    <row r="147" ht="12.75" customHeight="1">
      <c r="A147" s="89" t="s">
        <v>521</v>
      </c>
      <c r="B147" s="90" t="s">
        <v>3927</v>
      </c>
      <c r="C147" s="96" t="s">
        <v>4827</v>
      </c>
      <c r="D147" s="90"/>
      <c r="E147" s="89" t="s">
        <v>40</v>
      </c>
      <c r="F147" s="91">
        <v>40.81</v>
      </c>
      <c r="G147" s="92"/>
      <c r="H147" s="92"/>
    </row>
    <row r="148" ht="12.75" customHeight="1">
      <c r="C148" s="90"/>
      <c r="F148" s="79"/>
      <c r="G148" s="80"/>
      <c r="H148" s="80"/>
    </row>
    <row r="149" ht="12.75" customHeight="1">
      <c r="A149" s="89" t="s">
        <v>523</v>
      </c>
      <c r="B149" s="90" t="s">
        <v>3928</v>
      </c>
      <c r="C149" s="96" t="s">
        <v>4828</v>
      </c>
      <c r="D149" s="90"/>
      <c r="F149" s="79"/>
      <c r="G149" s="80"/>
      <c r="H149" s="80"/>
    </row>
    <row r="150" ht="12.75" customHeight="1">
      <c r="C150" s="90"/>
      <c r="F150" s="79"/>
      <c r="G150" s="80"/>
      <c r="H150" s="80"/>
    </row>
    <row r="151" ht="12.75" customHeight="1">
      <c r="A151" s="89" t="s">
        <v>525</v>
      </c>
      <c r="B151" s="90" t="s">
        <v>3929</v>
      </c>
      <c r="C151" s="96" t="s">
        <v>4829</v>
      </c>
      <c r="D151" s="90"/>
      <c r="E151" s="89" t="s">
        <v>40</v>
      </c>
      <c r="F151" s="91">
        <v>7.9</v>
      </c>
      <c r="G151" s="92"/>
      <c r="H151" s="92"/>
    </row>
    <row r="152" ht="12.75" customHeight="1">
      <c r="C152" s="90"/>
      <c r="F152" s="79"/>
      <c r="G152" s="80"/>
      <c r="H152" s="80"/>
    </row>
    <row r="153" ht="12.75" customHeight="1">
      <c r="A153" s="89" t="s">
        <v>480</v>
      </c>
      <c r="B153" s="90" t="s">
        <v>2399</v>
      </c>
      <c r="C153" s="96" t="s">
        <v>4830</v>
      </c>
      <c r="D153" s="90"/>
      <c r="F153" s="79"/>
      <c r="G153" s="80"/>
      <c r="H153" s="80"/>
    </row>
    <row r="154" ht="12.75" customHeight="1">
      <c r="C154" s="90"/>
      <c r="F154" s="79"/>
      <c r="G154" s="80"/>
      <c r="H154" s="80"/>
    </row>
    <row r="155" ht="12.75" customHeight="1">
      <c r="A155" s="89" t="s">
        <v>482</v>
      </c>
      <c r="B155" s="90" t="s">
        <v>3930</v>
      </c>
      <c r="C155" s="96" t="s">
        <v>4831</v>
      </c>
      <c r="D155" s="90"/>
      <c r="F155" s="79"/>
      <c r="G155" s="80"/>
      <c r="H155" s="80"/>
    </row>
    <row r="156" ht="12.75" customHeight="1">
      <c r="C156" s="90"/>
      <c r="F156" s="79"/>
      <c r="G156" s="80"/>
      <c r="H156" s="80"/>
    </row>
    <row r="157" ht="12.75" customHeight="1">
      <c r="A157" s="89" t="s">
        <v>484</v>
      </c>
      <c r="B157" s="90" t="s">
        <v>3931</v>
      </c>
      <c r="C157" s="96" t="s">
        <v>4832</v>
      </c>
      <c r="D157" s="90"/>
      <c r="E157" s="89" t="s">
        <v>161</v>
      </c>
      <c r="F157" s="91">
        <v>3.6</v>
      </c>
      <c r="G157" s="92"/>
      <c r="H157" s="92"/>
    </row>
    <row r="158" ht="12.75" customHeight="1">
      <c r="C158" s="90"/>
      <c r="F158" s="79"/>
      <c r="G158" s="80"/>
      <c r="H158" s="80"/>
    </row>
    <row r="159" ht="12.75" customHeight="1">
      <c r="A159" s="89" t="s">
        <v>486</v>
      </c>
      <c r="B159" s="90" t="s">
        <v>3932</v>
      </c>
      <c r="C159" s="96" t="s">
        <v>4833</v>
      </c>
      <c r="D159" s="90"/>
      <c r="E159" s="89" t="s">
        <v>161</v>
      </c>
      <c r="F159" s="91">
        <v>22.07</v>
      </c>
      <c r="G159" s="92"/>
      <c r="H159" s="92"/>
    </row>
    <row r="160" ht="12.75" customHeight="1">
      <c r="C160" s="90"/>
      <c r="F160" s="79"/>
      <c r="G160" s="80"/>
      <c r="H160" s="80"/>
    </row>
    <row r="161" ht="12.75" customHeight="1">
      <c r="A161" s="89" t="s">
        <v>488</v>
      </c>
      <c r="B161" s="90" t="s">
        <v>3933</v>
      </c>
      <c r="C161" s="96" t="s">
        <v>4834</v>
      </c>
      <c r="D161" s="90"/>
      <c r="E161" s="89" t="s">
        <v>161</v>
      </c>
      <c r="F161" s="91">
        <v>0.85</v>
      </c>
      <c r="G161" s="92"/>
      <c r="H161" s="92"/>
    </row>
    <row r="162" ht="12.75" customHeight="1">
      <c r="C162" s="90"/>
      <c r="F162" s="79"/>
      <c r="G162" s="80"/>
      <c r="H162" s="80"/>
    </row>
    <row r="163" ht="12.75" customHeight="1">
      <c r="A163" s="89" t="s">
        <v>532</v>
      </c>
      <c r="B163" s="90" t="s">
        <v>2407</v>
      </c>
      <c r="C163" s="96" t="s">
        <v>4835</v>
      </c>
      <c r="D163" s="90"/>
      <c r="F163" s="79"/>
      <c r="G163" s="80"/>
      <c r="H163" s="80"/>
    </row>
    <row r="164" ht="12.75" customHeight="1">
      <c r="C164" s="90"/>
      <c r="F164" s="79"/>
      <c r="G164" s="80"/>
      <c r="H164" s="80"/>
    </row>
    <row r="165" ht="12.75" customHeight="1">
      <c r="A165" s="89" t="s">
        <v>534</v>
      </c>
      <c r="B165" s="90" t="s">
        <v>3934</v>
      </c>
      <c r="C165" s="96" t="s">
        <v>4836</v>
      </c>
      <c r="D165" s="90"/>
      <c r="E165" s="89" t="s">
        <v>75</v>
      </c>
      <c r="F165" s="91">
        <v>1.0</v>
      </c>
      <c r="G165" s="92"/>
      <c r="H165" s="92"/>
    </row>
    <row r="166" ht="12.75" customHeight="1">
      <c r="C166" s="96"/>
      <c r="F166" s="79"/>
      <c r="G166" s="80"/>
      <c r="H166" s="80"/>
    </row>
    <row r="167" ht="12.75" customHeight="1">
      <c r="A167" s="89" t="s">
        <v>3859</v>
      </c>
      <c r="B167" s="90" t="s">
        <v>3860</v>
      </c>
      <c r="C167" s="96" t="s">
        <v>4837</v>
      </c>
      <c r="D167" s="90"/>
      <c r="F167" s="79"/>
      <c r="G167" s="80"/>
      <c r="H167" s="92"/>
      <c r="I167" s="80" t="str">
        <f>H167</f>
        <v/>
      </c>
    </row>
    <row r="168" ht="12.75" customHeight="1">
      <c r="C168" s="90"/>
      <c r="F168" s="79"/>
      <c r="G168" s="80"/>
      <c r="H168" s="80"/>
    </row>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5"/>
    <col customWidth="1" min="2" max="6" width="9.25"/>
    <col customWidth="1" min="7" max="26" width="11.0"/>
  </cols>
  <sheetData>
    <row r="1" ht="12.75" customHeight="1">
      <c r="A1" s="90"/>
    </row>
    <row r="2" ht="12.75" customHeight="1">
      <c r="A2" s="90"/>
    </row>
    <row r="3" ht="12.75" customHeight="1">
      <c r="A3" s="90"/>
    </row>
    <row r="4" ht="12.75" customHeight="1">
      <c r="A4" s="417" t="s">
        <v>4578</v>
      </c>
    </row>
    <row r="5" ht="12.75" customHeight="1">
      <c r="A5" s="417"/>
    </row>
    <row r="6" ht="12.75" customHeight="1">
      <c r="A6" s="90"/>
    </row>
    <row r="7" ht="12.75" customHeight="1">
      <c r="A7" s="96" t="s">
        <v>4579</v>
      </c>
    </row>
    <row r="8" ht="12.75" customHeight="1">
      <c r="A8" s="90"/>
    </row>
    <row r="9" ht="12.75" customHeight="1">
      <c r="A9" s="96" t="s">
        <v>7997</v>
      </c>
    </row>
    <row r="10" ht="12.75" customHeight="1">
      <c r="A10" s="90"/>
    </row>
    <row r="11" ht="12.75" customHeight="1">
      <c r="A11" s="96" t="s">
        <v>7998</v>
      </c>
    </row>
    <row r="12" ht="12.75" customHeight="1">
      <c r="A12" s="90"/>
    </row>
    <row r="13" ht="12.75" customHeight="1">
      <c r="A13" s="96" t="s">
        <v>4582</v>
      </c>
    </row>
    <row r="14" ht="12.75" customHeight="1">
      <c r="A14" s="90"/>
    </row>
    <row r="15" ht="12.75" customHeight="1">
      <c r="A15" s="96" t="s">
        <v>7998</v>
      </c>
    </row>
    <row r="16" ht="12.75" customHeight="1">
      <c r="A16" s="90"/>
    </row>
    <row r="17" ht="12.75" customHeight="1">
      <c r="A17" s="96" t="s">
        <v>7997</v>
      </c>
    </row>
    <row r="18" ht="12.75" customHeight="1">
      <c r="A18" s="90"/>
    </row>
    <row r="19" ht="12.75" customHeight="1">
      <c r="A19" s="90"/>
    </row>
    <row r="20" ht="12.75" customHeight="1">
      <c r="A20" s="96" t="s">
        <v>4584</v>
      </c>
    </row>
    <row r="21" ht="12.75" customHeight="1">
      <c r="A21" s="90"/>
    </row>
    <row r="22" ht="12.75" customHeight="1">
      <c r="A22" s="96" t="s">
        <v>4585</v>
      </c>
    </row>
    <row r="23" ht="12.75" customHeight="1">
      <c r="A23" s="90"/>
    </row>
    <row r="24" ht="12.75" customHeight="1">
      <c r="A24" s="96" t="s">
        <v>4586</v>
      </c>
    </row>
    <row r="25" ht="12.75" customHeight="1">
      <c r="A25" s="90"/>
    </row>
    <row r="26" ht="12.75" customHeight="1">
      <c r="A26" s="96" t="s">
        <v>4587</v>
      </c>
    </row>
    <row r="27" ht="12.75" customHeight="1">
      <c r="A27" s="90"/>
    </row>
    <row r="28" ht="12.75" customHeight="1">
      <c r="A28" s="96" t="s">
        <v>4588</v>
      </c>
    </row>
    <row r="29" ht="12.75" customHeight="1">
      <c r="A29" s="90"/>
    </row>
    <row r="30" ht="12.75" customHeight="1">
      <c r="A30" s="96" t="s">
        <v>4589</v>
      </c>
    </row>
    <row r="31" ht="12.75" customHeight="1">
      <c r="A31" s="90"/>
    </row>
    <row r="32" ht="12.75" customHeight="1">
      <c r="A32" s="96" t="s">
        <v>4590</v>
      </c>
    </row>
    <row r="33" ht="12.75" customHeight="1">
      <c r="A33" s="90"/>
    </row>
    <row r="34" ht="12.75" customHeight="1">
      <c r="A34" s="96" t="s">
        <v>4591</v>
      </c>
    </row>
    <row r="35" ht="12.75" customHeight="1">
      <c r="A35" s="90"/>
    </row>
    <row r="36" ht="12.75" customHeight="1">
      <c r="A36" s="96" t="s">
        <v>4592</v>
      </c>
    </row>
    <row r="37" ht="12.75" customHeight="1">
      <c r="A37" s="90"/>
    </row>
    <row r="38" ht="12.75" customHeight="1">
      <c r="A38" s="96" t="s">
        <v>4593</v>
      </c>
    </row>
    <row r="39" ht="12.75" customHeight="1">
      <c r="A39" s="90"/>
    </row>
    <row r="40" ht="12.75" customHeight="1">
      <c r="A40" s="96" t="s">
        <v>4594</v>
      </c>
    </row>
    <row r="41" ht="12.75" customHeight="1">
      <c r="A41" s="90"/>
    </row>
    <row r="42" ht="12.75" customHeight="1">
      <c r="A42" s="96" t="s">
        <v>4595</v>
      </c>
    </row>
    <row r="43" ht="12.75" customHeight="1">
      <c r="A43" s="90"/>
    </row>
    <row r="44" ht="12.75" customHeight="1">
      <c r="A44" s="96" t="s">
        <v>4596</v>
      </c>
    </row>
    <row r="45" ht="12.75" customHeight="1">
      <c r="A45" s="90"/>
    </row>
    <row r="46" ht="12.75" customHeight="1">
      <c r="A46" s="96" t="s">
        <v>4597</v>
      </c>
    </row>
    <row r="47" ht="12.75" customHeight="1">
      <c r="A47" s="90"/>
    </row>
    <row r="48" ht="12.75" customHeight="1">
      <c r="A48" s="96" t="s">
        <v>4598</v>
      </c>
    </row>
    <row r="49" ht="12.75" customHeight="1">
      <c r="A49" s="90"/>
    </row>
    <row r="50" ht="12.75" customHeight="1">
      <c r="A50" s="96" t="s">
        <v>4599</v>
      </c>
    </row>
    <row r="51" ht="12.75" customHeight="1">
      <c r="A51" s="90"/>
    </row>
    <row r="52" ht="12.75" customHeight="1">
      <c r="A52" s="96" t="s">
        <v>4600</v>
      </c>
    </row>
    <row r="53" ht="12.75" customHeight="1">
      <c r="A53" s="90"/>
    </row>
    <row r="54" ht="12.75" customHeight="1">
      <c r="A54" s="96" t="s">
        <v>4585</v>
      </c>
    </row>
    <row r="55" ht="12.75" customHeight="1">
      <c r="A55" s="90"/>
    </row>
    <row r="56" ht="12.75" customHeight="1">
      <c r="A56" s="90"/>
    </row>
    <row r="57" ht="12.75" customHeight="1">
      <c r="A57" s="96" t="s">
        <v>4601</v>
      </c>
    </row>
    <row r="58" ht="12.75" customHeight="1">
      <c r="A58" s="90"/>
    </row>
    <row r="59" ht="12.75" customHeight="1">
      <c r="A59" s="96" t="s">
        <v>4601</v>
      </c>
    </row>
    <row r="60" ht="12.75" customHeight="1">
      <c r="A60" s="90"/>
    </row>
    <row r="61" ht="12.75" customHeight="1">
      <c r="A61" s="96" t="s">
        <v>4602</v>
      </c>
    </row>
    <row r="62" ht="12.75" customHeight="1">
      <c r="A62" s="90"/>
    </row>
    <row r="63" ht="12.75" customHeight="1">
      <c r="A63" s="96" t="s">
        <v>4603</v>
      </c>
    </row>
    <row r="64" ht="12.75" customHeight="1">
      <c r="A64" s="90"/>
    </row>
    <row r="65" ht="12.75" customHeight="1">
      <c r="A65" s="96" t="s">
        <v>4604</v>
      </c>
    </row>
    <row r="66" ht="12.75" customHeight="1">
      <c r="A66" s="90"/>
    </row>
    <row r="67" ht="12.75" customHeight="1">
      <c r="A67" s="96" t="s">
        <v>4605</v>
      </c>
    </row>
    <row r="68" ht="12.75" customHeight="1">
      <c r="A68" s="90"/>
    </row>
    <row r="69" ht="12.75" customHeight="1">
      <c r="A69" s="96" t="s">
        <v>4606</v>
      </c>
    </row>
    <row r="70" ht="12.75" customHeight="1">
      <c r="A70" s="90"/>
    </row>
    <row r="71" ht="12.75" customHeight="1">
      <c r="A71" s="96" t="s">
        <v>4607</v>
      </c>
    </row>
    <row r="72" ht="12.75" customHeight="1">
      <c r="A72" s="90"/>
    </row>
    <row r="73" ht="12.75" customHeight="1">
      <c r="A73" s="96" t="s">
        <v>4608</v>
      </c>
    </row>
    <row r="74" ht="12.75" customHeight="1">
      <c r="A74" s="90"/>
    </row>
    <row r="75" ht="12.75" customHeight="1">
      <c r="A75" s="96" t="s">
        <v>4609</v>
      </c>
    </row>
    <row r="76" ht="12.75" customHeight="1">
      <c r="A76" s="90"/>
    </row>
    <row r="77" ht="12.75" customHeight="1">
      <c r="A77" s="96" t="s">
        <v>4610</v>
      </c>
    </row>
    <row r="78" ht="12.75" customHeight="1">
      <c r="A78" s="90"/>
    </row>
    <row r="79" ht="12.75" customHeight="1">
      <c r="A79" s="96" t="s">
        <v>4611</v>
      </c>
    </row>
    <row r="80" ht="12.75" customHeight="1">
      <c r="A80" s="90"/>
    </row>
    <row r="81" ht="12.75" customHeight="1">
      <c r="A81" s="96" t="s">
        <v>4612</v>
      </c>
    </row>
    <row r="82" ht="12.75" customHeight="1">
      <c r="A82" s="90"/>
    </row>
    <row r="83" ht="12.75" customHeight="1">
      <c r="A83" s="96" t="s">
        <v>4601</v>
      </c>
    </row>
    <row r="84" ht="12.75" customHeight="1">
      <c r="A84" s="90"/>
    </row>
    <row r="85" ht="12.75" customHeight="1">
      <c r="A85" s="90"/>
    </row>
    <row r="86" ht="12.75" customHeight="1">
      <c r="A86" s="96" t="s">
        <v>4613</v>
      </c>
    </row>
    <row r="87" ht="12.75" customHeight="1">
      <c r="A87" s="90"/>
    </row>
    <row r="88" ht="12.75" customHeight="1">
      <c r="A88" s="96" t="s">
        <v>4614</v>
      </c>
    </row>
    <row r="89" ht="12.75" customHeight="1">
      <c r="A89" s="90"/>
    </row>
    <row r="90" ht="12.75" customHeight="1">
      <c r="A90" s="96" t="s">
        <v>4615</v>
      </c>
    </row>
    <row r="91" ht="12.75" customHeight="1">
      <c r="A91" s="90"/>
    </row>
    <row r="92" ht="12.75" customHeight="1">
      <c r="A92" s="96" t="s">
        <v>4616</v>
      </c>
    </row>
    <row r="93" ht="12.75" customHeight="1">
      <c r="A93" s="90"/>
    </row>
    <row r="94" ht="12.75" customHeight="1">
      <c r="A94" s="96" t="s">
        <v>4617</v>
      </c>
    </row>
    <row r="95" ht="12.75" customHeight="1">
      <c r="A95" s="90"/>
    </row>
    <row r="96" ht="12.75" customHeight="1">
      <c r="A96" s="96" t="s">
        <v>4618</v>
      </c>
    </row>
    <row r="97" ht="12.75" customHeight="1">
      <c r="A97" s="90"/>
    </row>
    <row r="98" ht="12.75" customHeight="1">
      <c r="A98" s="96" t="s">
        <v>4619</v>
      </c>
    </row>
    <row r="99" ht="12.75" customHeight="1">
      <c r="A99" s="90"/>
    </row>
    <row r="100" ht="12.75" customHeight="1">
      <c r="A100" s="96" t="s">
        <v>4620</v>
      </c>
    </row>
    <row r="101" ht="12.75" customHeight="1">
      <c r="A101" s="90"/>
    </row>
    <row r="102" ht="12.75" customHeight="1">
      <c r="A102" s="96" t="s">
        <v>4616</v>
      </c>
    </row>
    <row r="103" ht="12.75" customHeight="1">
      <c r="A103" s="90"/>
    </row>
    <row r="104" ht="12.75" customHeight="1">
      <c r="A104" s="96" t="s">
        <v>4621</v>
      </c>
    </row>
    <row r="105" ht="12.75" customHeight="1">
      <c r="A105" s="90"/>
    </row>
    <row r="106" ht="12.75" customHeight="1">
      <c r="A106" s="96" t="s">
        <v>4622</v>
      </c>
    </row>
    <row r="107" ht="12.75" customHeight="1">
      <c r="A107" s="90"/>
    </row>
    <row r="108" ht="12.75" customHeight="1">
      <c r="A108" s="96" t="s">
        <v>4623</v>
      </c>
    </row>
    <row r="109" ht="12.75" customHeight="1">
      <c r="A109" s="90"/>
    </row>
    <row r="110" ht="12.75" customHeight="1">
      <c r="A110" s="96" t="s">
        <v>4624</v>
      </c>
    </row>
    <row r="111" ht="12.75" customHeight="1">
      <c r="A111" s="90"/>
    </row>
    <row r="112" ht="12.75" customHeight="1">
      <c r="A112" s="96" t="s">
        <v>4621</v>
      </c>
    </row>
    <row r="113" ht="12.75" customHeight="1">
      <c r="A113" s="90"/>
    </row>
    <row r="114" ht="12.75" customHeight="1">
      <c r="A114" s="96" t="s">
        <v>4622</v>
      </c>
    </row>
    <row r="115" ht="12.75" customHeight="1">
      <c r="A115" s="90"/>
    </row>
    <row r="116" ht="12.75" customHeight="1">
      <c r="A116" s="96" t="s">
        <v>4625</v>
      </c>
    </row>
    <row r="117" ht="12.75" customHeight="1">
      <c r="A117" s="90"/>
    </row>
    <row r="118" ht="12.75" customHeight="1">
      <c r="A118" s="96" t="s">
        <v>4626</v>
      </c>
    </row>
    <row r="119" ht="12.75" customHeight="1">
      <c r="A119" s="90"/>
    </row>
    <row r="120" ht="12.75" customHeight="1">
      <c r="A120" s="96" t="s">
        <v>4627</v>
      </c>
    </row>
    <row r="121" ht="12.75" customHeight="1">
      <c r="A121" s="90"/>
    </row>
    <row r="122" ht="12.75" customHeight="1">
      <c r="A122" s="96" t="s">
        <v>4628</v>
      </c>
    </row>
    <row r="123" ht="12.75" customHeight="1">
      <c r="A123" s="90"/>
    </row>
    <row r="124" ht="12.75" customHeight="1">
      <c r="A124" s="96" t="s">
        <v>4629</v>
      </c>
    </row>
    <row r="125" ht="12.75" customHeight="1">
      <c r="A125" s="90"/>
    </row>
    <row r="126" ht="12.75" customHeight="1">
      <c r="A126" s="96" t="s">
        <v>4630</v>
      </c>
    </row>
    <row r="127" ht="12.75" customHeight="1">
      <c r="A127" s="90"/>
    </row>
    <row r="128" ht="12.75" customHeight="1">
      <c r="A128" s="96" t="s">
        <v>4631</v>
      </c>
    </row>
    <row r="129" ht="12.75" customHeight="1">
      <c r="A129" s="90"/>
    </row>
    <row r="130" ht="12.75" customHeight="1">
      <c r="A130" s="96" t="s">
        <v>4632</v>
      </c>
    </row>
    <row r="131" ht="12.75" customHeight="1">
      <c r="A131" s="90"/>
    </row>
    <row r="132" ht="12.75" customHeight="1">
      <c r="A132" s="96" t="s">
        <v>4613</v>
      </c>
    </row>
    <row r="133" ht="12.75" customHeight="1">
      <c r="A133" s="90"/>
    </row>
    <row r="134" ht="12.75" customHeight="1">
      <c r="A134" s="90"/>
    </row>
    <row r="135" ht="12.75" customHeight="1">
      <c r="A135" s="96" t="s">
        <v>4633</v>
      </c>
    </row>
    <row r="136" ht="12.75" customHeight="1">
      <c r="A136" s="90"/>
    </row>
    <row r="137" ht="12.75" customHeight="1">
      <c r="A137" s="96" t="s">
        <v>4634</v>
      </c>
    </row>
    <row r="138" ht="12.75" customHeight="1">
      <c r="A138" s="90"/>
    </row>
    <row r="139" ht="12.75" customHeight="1">
      <c r="A139" s="96" t="s">
        <v>4635</v>
      </c>
    </row>
    <row r="140" ht="12.75" customHeight="1">
      <c r="A140" s="90"/>
    </row>
    <row r="141" ht="12.75" customHeight="1">
      <c r="A141" s="96" t="s">
        <v>4636</v>
      </c>
    </row>
    <row r="142" ht="12.75" customHeight="1">
      <c r="A142" s="90"/>
    </row>
    <row r="143" ht="12.75" customHeight="1">
      <c r="A143" s="96" t="s">
        <v>4637</v>
      </c>
    </row>
    <row r="144" ht="12.75" customHeight="1">
      <c r="A144" s="90"/>
    </row>
    <row r="145" ht="12.75" customHeight="1">
      <c r="A145" s="96" t="s">
        <v>4633</v>
      </c>
    </row>
    <row r="146" ht="12.75" customHeight="1">
      <c r="A146" s="90"/>
    </row>
    <row r="147" ht="12.75" customHeight="1">
      <c r="A147" s="90"/>
    </row>
    <row r="148" ht="12.75" customHeight="1">
      <c r="A148" s="96" t="s">
        <v>4638</v>
      </c>
    </row>
    <row r="149" ht="12.75" customHeight="1">
      <c r="A149" s="90"/>
    </row>
    <row r="150" ht="12.75" customHeight="1">
      <c r="A150" s="96" t="s">
        <v>4639</v>
      </c>
    </row>
    <row r="151" ht="12.75" customHeight="1">
      <c r="A151" s="90"/>
    </row>
    <row r="152" ht="12.75" customHeight="1">
      <c r="A152" s="96" t="s">
        <v>4640</v>
      </c>
    </row>
    <row r="153" ht="12.75" customHeight="1">
      <c r="A153" s="90"/>
    </row>
    <row r="154" ht="12.75" customHeight="1">
      <c r="A154" s="96" t="s">
        <v>4641</v>
      </c>
    </row>
    <row r="155" ht="12.75" customHeight="1">
      <c r="A155" s="90"/>
    </row>
    <row r="156" ht="12.75" customHeight="1">
      <c r="A156" s="96" t="s">
        <v>4642</v>
      </c>
    </row>
    <row r="157" ht="12.75" customHeight="1">
      <c r="A157" s="90"/>
    </row>
    <row r="158" ht="12.75" customHeight="1">
      <c r="A158" s="96" t="s">
        <v>4643</v>
      </c>
    </row>
    <row r="159" ht="12.75" customHeight="1">
      <c r="A159" s="90"/>
    </row>
    <row r="160" ht="12.75" customHeight="1">
      <c r="A160" s="96" t="s">
        <v>4644</v>
      </c>
    </row>
    <row r="161" ht="12.75" customHeight="1">
      <c r="A161" s="90"/>
    </row>
    <row r="162" ht="12.75" customHeight="1">
      <c r="A162" s="96" t="s">
        <v>4645</v>
      </c>
    </row>
    <row r="163" ht="12.75" customHeight="1">
      <c r="A163" s="90"/>
    </row>
    <row r="164" ht="12.75" customHeight="1">
      <c r="A164" s="96" t="s">
        <v>4646</v>
      </c>
    </row>
    <row r="165" ht="12.75" customHeight="1">
      <c r="A165" s="90"/>
    </row>
    <row r="166" ht="12.75" customHeight="1">
      <c r="A166" s="96" t="s">
        <v>4638</v>
      </c>
    </row>
    <row r="167" ht="12.75" customHeight="1">
      <c r="A167" s="90"/>
    </row>
    <row r="168" ht="12.75" customHeight="1">
      <c r="A168" s="90"/>
    </row>
    <row r="169" ht="12.75" customHeight="1">
      <c r="A169" s="96" t="s">
        <v>4647</v>
      </c>
    </row>
    <row r="170" ht="12.75" customHeight="1">
      <c r="A170" s="90"/>
    </row>
    <row r="171" ht="12.75" customHeight="1">
      <c r="A171" s="96" t="s">
        <v>4648</v>
      </c>
    </row>
    <row r="172" ht="12.75" customHeight="1">
      <c r="A172" s="90"/>
    </row>
    <row r="173" ht="12.75" customHeight="1">
      <c r="A173" s="96" t="s">
        <v>4649</v>
      </c>
    </row>
    <row r="174" ht="12.75" customHeight="1">
      <c r="A174" s="90"/>
    </row>
    <row r="175" ht="12.75" customHeight="1">
      <c r="A175" s="96" t="s">
        <v>4650</v>
      </c>
    </row>
    <row r="176" ht="12.75" customHeight="1">
      <c r="A176" s="90"/>
    </row>
    <row r="177" ht="12.75" customHeight="1">
      <c r="A177" s="96" t="s">
        <v>4651</v>
      </c>
    </row>
    <row r="178" ht="12.75" customHeight="1">
      <c r="A178" s="90"/>
    </row>
    <row r="179" ht="12.75" customHeight="1">
      <c r="A179" s="96" t="s">
        <v>4652</v>
      </c>
    </row>
    <row r="180" ht="12.75" customHeight="1">
      <c r="A180" s="90"/>
    </row>
    <row r="181" ht="12.75" customHeight="1">
      <c r="A181" s="96" t="s">
        <v>4653</v>
      </c>
    </row>
    <row r="182" ht="12.75" customHeight="1">
      <c r="A182" s="90"/>
    </row>
    <row r="183" ht="12.75" customHeight="1">
      <c r="A183" s="96" t="s">
        <v>4654</v>
      </c>
    </row>
    <row r="184" ht="12.75" customHeight="1">
      <c r="A184" s="90"/>
    </row>
    <row r="185" ht="12.75" customHeight="1">
      <c r="A185" s="96" t="s">
        <v>4655</v>
      </c>
    </row>
    <row r="186" ht="12.75" customHeight="1">
      <c r="A186" s="90"/>
    </row>
    <row r="187" ht="12.75" customHeight="1">
      <c r="A187" s="96" t="s">
        <v>4656</v>
      </c>
    </row>
    <row r="188" ht="12.75" customHeight="1">
      <c r="A188" s="90"/>
    </row>
    <row r="189" ht="12.75" customHeight="1">
      <c r="A189" s="96" t="s">
        <v>4657</v>
      </c>
    </row>
    <row r="190" ht="12.75" customHeight="1">
      <c r="A190" s="90"/>
    </row>
    <row r="191" ht="12.75" customHeight="1">
      <c r="A191" s="96" t="s">
        <v>7999</v>
      </c>
    </row>
    <row r="192" ht="12.75" customHeight="1">
      <c r="A192" s="96" t="s">
        <v>8000</v>
      </c>
    </row>
    <row r="193" ht="12.75" customHeight="1">
      <c r="A193" s="90"/>
    </row>
    <row r="194" ht="12.75" customHeight="1">
      <c r="A194" s="96" t="s">
        <v>4659</v>
      </c>
    </row>
    <row r="195" ht="12.75" customHeight="1">
      <c r="A195" s="90"/>
    </row>
    <row r="196" ht="12.75" customHeight="1">
      <c r="A196" s="96" t="s">
        <v>4660</v>
      </c>
    </row>
    <row r="197" ht="12.75" customHeight="1">
      <c r="A197" s="90"/>
    </row>
    <row r="198" ht="12.75" customHeight="1">
      <c r="A198" s="96" t="s">
        <v>4661</v>
      </c>
    </row>
    <row r="199" ht="12.75" customHeight="1">
      <c r="A199" s="90"/>
    </row>
    <row r="200" ht="12.75" customHeight="1">
      <c r="A200" s="96" t="s">
        <v>4662</v>
      </c>
    </row>
    <row r="201" ht="12.75" customHeight="1">
      <c r="A201" s="90"/>
    </row>
    <row r="202" ht="12.75" customHeight="1">
      <c r="A202" s="96" t="s">
        <v>4647</v>
      </c>
    </row>
    <row r="203" ht="12.75" customHeight="1">
      <c r="A203" s="90"/>
    </row>
    <row r="204" ht="12.75" customHeight="1">
      <c r="A204" s="90"/>
    </row>
    <row r="205" ht="12.75" customHeight="1">
      <c r="A205" s="96" t="s">
        <v>4663</v>
      </c>
    </row>
    <row r="206" ht="12.75" customHeight="1">
      <c r="A206" s="90"/>
    </row>
    <row r="207" ht="12.75" customHeight="1">
      <c r="A207" s="96" t="s">
        <v>4664</v>
      </c>
    </row>
    <row r="208" ht="12.75" customHeight="1">
      <c r="A208" s="90"/>
    </row>
    <row r="209" ht="12.75" customHeight="1">
      <c r="A209" s="96" t="s">
        <v>4665</v>
      </c>
    </row>
    <row r="210" ht="12.75" customHeight="1">
      <c r="A210" s="90"/>
    </row>
    <row r="211" ht="12.75" customHeight="1">
      <c r="A211" s="96" t="s">
        <v>4666</v>
      </c>
    </row>
    <row r="212" ht="12.75" customHeight="1">
      <c r="A212" s="90"/>
    </row>
    <row r="213" ht="12.75" customHeight="1">
      <c r="A213" s="96" t="s">
        <v>4667</v>
      </c>
    </row>
    <row r="214" ht="12.75" customHeight="1">
      <c r="A214" s="90"/>
    </row>
    <row r="215" ht="12.75" customHeight="1">
      <c r="A215" s="96" t="s">
        <v>4668</v>
      </c>
    </row>
    <row r="216" ht="12.75" customHeight="1">
      <c r="A216" s="90"/>
    </row>
    <row r="217" ht="12.75" customHeight="1">
      <c r="A217" s="96" t="s">
        <v>4669</v>
      </c>
    </row>
    <row r="218" ht="12.75" customHeight="1">
      <c r="A218" s="90"/>
    </row>
    <row r="219" ht="12.75" customHeight="1">
      <c r="A219" s="96" t="s">
        <v>4670</v>
      </c>
    </row>
    <row r="220" ht="12.75" customHeight="1">
      <c r="A220" s="90"/>
    </row>
    <row r="221" ht="12.75" customHeight="1">
      <c r="A221" s="96" t="s">
        <v>4671</v>
      </c>
    </row>
    <row r="222" ht="12.75" customHeight="1">
      <c r="A222" s="90"/>
    </row>
    <row r="223" ht="12.75" customHeight="1">
      <c r="A223" s="96" t="s">
        <v>4672</v>
      </c>
    </row>
    <row r="224" ht="12.75" customHeight="1">
      <c r="A224" s="90"/>
    </row>
    <row r="225" ht="12.75" customHeight="1">
      <c r="A225" s="96" t="s">
        <v>4673</v>
      </c>
    </row>
    <row r="226" ht="12.75" customHeight="1">
      <c r="A226" s="90"/>
    </row>
    <row r="227" ht="12.75" customHeight="1">
      <c r="A227" s="96" t="s">
        <v>4674</v>
      </c>
    </row>
    <row r="228" ht="12.75" customHeight="1">
      <c r="A228" s="90"/>
    </row>
    <row r="229" ht="12.75" customHeight="1">
      <c r="A229" s="96" t="s">
        <v>4675</v>
      </c>
    </row>
    <row r="230" ht="12.75" customHeight="1">
      <c r="A230" s="90"/>
    </row>
    <row r="231" ht="12.75" customHeight="1">
      <c r="A231" s="96" t="s">
        <v>4676</v>
      </c>
    </row>
    <row r="232" ht="12.75" customHeight="1">
      <c r="A232" s="90"/>
    </row>
    <row r="233" ht="12.75" customHeight="1">
      <c r="A233" s="96" t="s">
        <v>4677</v>
      </c>
    </row>
    <row r="234" ht="12.75" customHeight="1">
      <c r="A234" s="90"/>
    </row>
    <row r="235" ht="12.75" customHeight="1">
      <c r="A235" s="96" t="s">
        <v>4678</v>
      </c>
    </row>
    <row r="236" ht="12.75" customHeight="1">
      <c r="A236" s="90"/>
    </row>
    <row r="237" ht="12.75" customHeight="1">
      <c r="A237" s="96" t="s">
        <v>4679</v>
      </c>
    </row>
    <row r="238" ht="12.75" customHeight="1">
      <c r="A238" s="90"/>
    </row>
    <row r="239" ht="12.75" customHeight="1">
      <c r="A239" s="96" t="s">
        <v>8001</v>
      </c>
    </row>
    <row r="240" ht="12.75" customHeight="1">
      <c r="A240" s="96" t="s">
        <v>8002</v>
      </c>
    </row>
    <row r="241" ht="12.75" customHeight="1">
      <c r="A241" s="90"/>
    </row>
    <row r="242" ht="12.75" customHeight="1">
      <c r="A242" s="96" t="s">
        <v>4681</v>
      </c>
    </row>
    <row r="243" ht="12.75" customHeight="1">
      <c r="A243" s="90"/>
    </row>
    <row r="244" ht="12.75" customHeight="1">
      <c r="A244" s="96" t="s">
        <v>4682</v>
      </c>
    </row>
    <row r="245" ht="12.75" customHeight="1">
      <c r="A245" s="90"/>
    </row>
    <row r="246" ht="12.75" customHeight="1">
      <c r="A246" s="96" t="s">
        <v>4683</v>
      </c>
    </row>
    <row r="247" ht="12.75" customHeight="1">
      <c r="A247" s="90"/>
    </row>
    <row r="248" ht="12.75" customHeight="1">
      <c r="A248" s="96" t="s">
        <v>4684</v>
      </c>
    </row>
    <row r="249" ht="12.75" customHeight="1">
      <c r="A249" s="90"/>
    </row>
    <row r="250" ht="12.75" customHeight="1">
      <c r="A250" s="96" t="s">
        <v>4685</v>
      </c>
    </row>
    <row r="251" ht="12.75" customHeight="1">
      <c r="A251" s="90"/>
    </row>
    <row r="252" ht="12.75" customHeight="1">
      <c r="A252" s="96" t="s">
        <v>4663</v>
      </c>
    </row>
    <row r="253" ht="12.75" customHeight="1">
      <c r="A253" s="90"/>
    </row>
    <row r="254" ht="12.75" customHeight="1">
      <c r="A254" s="90"/>
    </row>
    <row r="255" ht="12.75" customHeight="1">
      <c r="A255" s="96" t="s">
        <v>4686</v>
      </c>
    </row>
    <row r="256" ht="12.75" customHeight="1">
      <c r="A256" s="90"/>
    </row>
    <row r="257" ht="12.75" customHeight="1">
      <c r="A257" s="96" t="s">
        <v>4687</v>
      </c>
    </row>
    <row r="258" ht="12.75" customHeight="1">
      <c r="A258" s="90"/>
    </row>
    <row r="259" ht="12.75" customHeight="1">
      <c r="A259" s="96" t="s">
        <v>4688</v>
      </c>
    </row>
    <row r="260" ht="12.75" customHeight="1">
      <c r="A260" s="90"/>
    </row>
    <row r="261" ht="12.75" customHeight="1">
      <c r="A261" s="96" t="s">
        <v>4689</v>
      </c>
    </row>
    <row r="262" ht="12.75" customHeight="1">
      <c r="A262" s="90"/>
    </row>
    <row r="263" ht="12.75" customHeight="1">
      <c r="A263" s="96" t="s">
        <v>4690</v>
      </c>
    </row>
    <row r="264" ht="12.75" customHeight="1">
      <c r="A264" s="90"/>
    </row>
    <row r="265" ht="12.75" customHeight="1">
      <c r="A265" s="96" t="s">
        <v>4691</v>
      </c>
    </row>
    <row r="266" ht="12.75" customHeight="1">
      <c r="A266" s="90"/>
    </row>
    <row r="267" ht="12.75" customHeight="1">
      <c r="A267" s="96" t="s">
        <v>4692</v>
      </c>
    </row>
    <row r="268" ht="12.75" customHeight="1">
      <c r="A268" s="90"/>
    </row>
    <row r="269" ht="12.75" customHeight="1">
      <c r="A269" s="96" t="s">
        <v>4693</v>
      </c>
    </row>
    <row r="270" ht="12.75" customHeight="1">
      <c r="A270" s="90"/>
    </row>
    <row r="271" ht="12.75" customHeight="1">
      <c r="A271" s="96" t="s">
        <v>4694</v>
      </c>
    </row>
    <row r="272" ht="12.75" customHeight="1">
      <c r="A272" s="90"/>
    </row>
    <row r="273" ht="12.75" customHeight="1">
      <c r="A273" s="96" t="s">
        <v>4695</v>
      </c>
    </row>
    <row r="274" ht="12.75" customHeight="1">
      <c r="A274" s="90"/>
    </row>
    <row r="275" ht="12.75" customHeight="1">
      <c r="A275" s="96" t="s">
        <v>4696</v>
      </c>
    </row>
    <row r="276" ht="12.75" customHeight="1">
      <c r="A276" s="90"/>
    </row>
    <row r="277" ht="12.75" customHeight="1">
      <c r="A277" s="96" t="s">
        <v>4697</v>
      </c>
    </row>
    <row r="278" ht="12.75" customHeight="1">
      <c r="A278" s="90"/>
    </row>
    <row r="279" ht="12.75" customHeight="1">
      <c r="A279" s="96" t="s">
        <v>4698</v>
      </c>
    </row>
    <row r="280" ht="12.75" customHeight="1">
      <c r="A280" s="90"/>
    </row>
    <row r="281" ht="12.75" customHeight="1">
      <c r="A281" s="96" t="s">
        <v>4699</v>
      </c>
    </row>
    <row r="282" ht="12.75" customHeight="1">
      <c r="A282" s="90"/>
    </row>
    <row r="283" ht="12.75" customHeight="1">
      <c r="A283" s="96" t="s">
        <v>4700</v>
      </c>
    </row>
    <row r="284" ht="12.75" customHeight="1">
      <c r="A284" s="90"/>
    </row>
    <row r="285" ht="12.75" customHeight="1">
      <c r="A285" s="96" t="s">
        <v>4701</v>
      </c>
    </row>
    <row r="286" ht="12.75" customHeight="1">
      <c r="A286" s="90"/>
    </row>
    <row r="287" ht="12.75" customHeight="1">
      <c r="A287" s="96" t="s">
        <v>4702</v>
      </c>
    </row>
    <row r="288" ht="12.75" customHeight="1">
      <c r="A288" s="90"/>
    </row>
    <row r="289" ht="12.75" customHeight="1">
      <c r="A289" s="96" t="s">
        <v>4703</v>
      </c>
    </row>
    <row r="290" ht="12.75" customHeight="1">
      <c r="A290" s="90"/>
    </row>
    <row r="291" ht="12.75" customHeight="1">
      <c r="A291" s="96" t="s">
        <v>4704</v>
      </c>
    </row>
    <row r="292" ht="12.75" customHeight="1">
      <c r="A292" s="90"/>
    </row>
    <row r="293" ht="12.75" customHeight="1">
      <c r="A293" s="96" t="s">
        <v>4705</v>
      </c>
    </row>
    <row r="294" ht="12.75" customHeight="1">
      <c r="A294" s="90"/>
    </row>
    <row r="295" ht="12.75" customHeight="1">
      <c r="A295" s="96" t="s">
        <v>4706</v>
      </c>
    </row>
    <row r="296" ht="12.75" customHeight="1">
      <c r="A296" s="90"/>
    </row>
    <row r="297" ht="12.75" customHeight="1">
      <c r="A297" s="96" t="s">
        <v>4707</v>
      </c>
    </row>
    <row r="298" ht="12.75" customHeight="1">
      <c r="A298" s="90"/>
    </row>
    <row r="299" ht="12.75" customHeight="1">
      <c r="A299" s="96" t="s">
        <v>4708</v>
      </c>
    </row>
    <row r="300" ht="12.75" customHeight="1">
      <c r="A300" s="90"/>
    </row>
    <row r="301" ht="12.75" customHeight="1">
      <c r="A301" s="96" t="s">
        <v>4709</v>
      </c>
    </row>
    <row r="302" ht="12.75" customHeight="1">
      <c r="A302" s="90"/>
    </row>
    <row r="303" ht="12.75" customHeight="1">
      <c r="A303" s="96" t="s">
        <v>4710</v>
      </c>
    </row>
    <row r="304" ht="12.75" customHeight="1">
      <c r="A304" s="90"/>
    </row>
    <row r="305" ht="12.75" customHeight="1">
      <c r="A305" s="96" t="s">
        <v>4711</v>
      </c>
    </row>
    <row r="306" ht="12.75" customHeight="1">
      <c r="A306" s="90"/>
    </row>
    <row r="307" ht="12.75" customHeight="1">
      <c r="A307" s="96" t="s">
        <v>4712</v>
      </c>
    </row>
    <row r="308" ht="12.75" customHeight="1">
      <c r="A308" s="90"/>
    </row>
    <row r="309" ht="12.75" customHeight="1">
      <c r="A309" s="96" t="s">
        <v>4713</v>
      </c>
    </row>
    <row r="310" ht="12.75" customHeight="1">
      <c r="A310" s="90"/>
    </row>
    <row r="311" ht="12.75" customHeight="1">
      <c r="A311" s="96" t="s">
        <v>8003</v>
      </c>
    </row>
    <row r="312" ht="12.75" customHeight="1">
      <c r="A312" s="96" t="s">
        <v>8004</v>
      </c>
    </row>
    <row r="313" ht="12.75" customHeight="1">
      <c r="A313" s="96" t="s">
        <v>8005</v>
      </c>
    </row>
    <row r="314" ht="12.75" customHeight="1">
      <c r="A314" s="96" t="s">
        <v>8006</v>
      </c>
    </row>
    <row r="315" ht="12.75" customHeight="1">
      <c r="A315" s="90"/>
    </row>
    <row r="316" ht="12.75" customHeight="1">
      <c r="A316" s="96" t="s">
        <v>4715</v>
      </c>
    </row>
    <row r="317" ht="12.75" customHeight="1">
      <c r="A317" s="90"/>
    </row>
    <row r="318" ht="12.75" customHeight="1">
      <c r="A318" s="96" t="s">
        <v>4716</v>
      </c>
    </row>
    <row r="319" ht="12.75" customHeight="1">
      <c r="A319" s="90"/>
    </row>
    <row r="320" ht="12.75" customHeight="1">
      <c r="A320" s="96" t="s">
        <v>4717</v>
      </c>
    </row>
    <row r="321" ht="12.75" customHeight="1">
      <c r="A321" s="90"/>
    </row>
    <row r="322" ht="12.75" customHeight="1">
      <c r="A322" s="96" t="s">
        <v>4718</v>
      </c>
    </row>
    <row r="323" ht="12.75" customHeight="1">
      <c r="A323" s="90"/>
    </row>
    <row r="324" ht="12.75" customHeight="1">
      <c r="A324" s="96" t="s">
        <v>8007</v>
      </c>
    </row>
    <row r="325" ht="12.75" customHeight="1">
      <c r="A325" s="96" t="s">
        <v>8008</v>
      </c>
    </row>
    <row r="326" ht="12.75" customHeight="1">
      <c r="A326" s="90"/>
    </row>
    <row r="327" ht="12.75" customHeight="1">
      <c r="A327" s="96" t="s">
        <v>4720</v>
      </c>
    </row>
    <row r="328" ht="12.75" customHeight="1">
      <c r="A328" s="90"/>
    </row>
    <row r="329" ht="12.75" customHeight="1">
      <c r="A329" s="96" t="s">
        <v>4721</v>
      </c>
    </row>
    <row r="330" ht="12.75" customHeight="1">
      <c r="A330" s="90"/>
    </row>
    <row r="331" ht="12.75" customHeight="1">
      <c r="A331" s="96" t="s">
        <v>4722</v>
      </c>
    </row>
    <row r="332" ht="12.75" customHeight="1">
      <c r="A332" s="90"/>
    </row>
    <row r="333" ht="12.75" customHeight="1">
      <c r="A333" s="96" t="s">
        <v>4723</v>
      </c>
    </row>
    <row r="334" ht="12.75" customHeight="1">
      <c r="A334" s="90"/>
    </row>
    <row r="335" ht="12.75" customHeight="1">
      <c r="A335" s="96" t="s">
        <v>4724</v>
      </c>
    </row>
    <row r="336" ht="12.75" customHeight="1">
      <c r="A336" s="90"/>
    </row>
    <row r="337" ht="12.75" customHeight="1">
      <c r="A337" s="96" t="s">
        <v>4725</v>
      </c>
    </row>
    <row r="338" ht="12.75" customHeight="1">
      <c r="A338" s="90"/>
    </row>
    <row r="339" ht="12.75" customHeight="1">
      <c r="A339" s="96" t="s">
        <v>4726</v>
      </c>
    </row>
    <row r="340" ht="12.75" customHeight="1">
      <c r="A340" s="90"/>
    </row>
    <row r="341" ht="12.75" customHeight="1">
      <c r="A341" s="96" t="s">
        <v>8009</v>
      </c>
    </row>
    <row r="342" ht="12.75" customHeight="1">
      <c r="A342" s="96" t="s">
        <v>8010</v>
      </c>
    </row>
    <row r="343" ht="12.75" customHeight="1">
      <c r="A343" s="90"/>
    </row>
    <row r="344" ht="12.75" customHeight="1">
      <c r="A344" s="96" t="s">
        <v>4728</v>
      </c>
    </row>
    <row r="345" ht="12.75" customHeight="1">
      <c r="A345" s="90"/>
    </row>
    <row r="346" ht="12.75" customHeight="1">
      <c r="A346" s="96" t="s">
        <v>4729</v>
      </c>
    </row>
    <row r="347" ht="12.75" customHeight="1">
      <c r="A347" s="90"/>
    </row>
    <row r="348" ht="12.75" customHeight="1">
      <c r="A348" s="96" t="s">
        <v>4730</v>
      </c>
    </row>
    <row r="349" ht="12.75" customHeight="1">
      <c r="A349" s="90"/>
    </row>
    <row r="350" ht="12.75" customHeight="1">
      <c r="A350" s="96" t="s">
        <v>4731</v>
      </c>
    </row>
    <row r="351" ht="12.75" customHeight="1">
      <c r="A351" s="90"/>
    </row>
    <row r="352" ht="12.75" customHeight="1">
      <c r="A352" s="96" t="s">
        <v>8011</v>
      </c>
    </row>
    <row r="353" ht="12.75" customHeight="1">
      <c r="A353" s="96" t="s">
        <v>8012</v>
      </c>
    </row>
    <row r="354" ht="12.75" customHeight="1">
      <c r="A354" s="90"/>
    </row>
    <row r="355" ht="12.75" customHeight="1">
      <c r="A355" s="96" t="s">
        <v>4733</v>
      </c>
    </row>
    <row r="356" ht="12.75" customHeight="1">
      <c r="A356" s="90"/>
    </row>
    <row r="357" ht="12.75" customHeight="1">
      <c r="A357" s="96" t="s">
        <v>8013</v>
      </c>
    </row>
    <row r="358" ht="12.75" customHeight="1">
      <c r="A358" s="96" t="s">
        <v>8014</v>
      </c>
    </row>
    <row r="359" ht="12.75" customHeight="1">
      <c r="A359" s="90"/>
    </row>
    <row r="360" ht="12.75" customHeight="1">
      <c r="A360" s="96" t="s">
        <v>4735</v>
      </c>
    </row>
    <row r="361" ht="12.75" customHeight="1">
      <c r="A361" s="90"/>
    </row>
    <row r="362" ht="12.75" customHeight="1">
      <c r="A362" s="96" t="s">
        <v>8015</v>
      </c>
    </row>
    <row r="363" ht="12.75" customHeight="1">
      <c r="A363" s="96" t="s">
        <v>8016</v>
      </c>
    </row>
    <row r="364" ht="12.75" customHeight="1">
      <c r="A364" s="96" t="s">
        <v>8017</v>
      </c>
    </row>
    <row r="365" ht="12.75" customHeight="1">
      <c r="A365" s="90"/>
    </row>
    <row r="366" ht="12.75" customHeight="1">
      <c r="A366" s="96" t="s">
        <v>4737</v>
      </c>
    </row>
    <row r="367" ht="12.75" customHeight="1">
      <c r="A367" s="90"/>
    </row>
    <row r="368" ht="12.75" customHeight="1">
      <c r="A368" s="96" t="s">
        <v>4738</v>
      </c>
    </row>
    <row r="369" ht="12.75" customHeight="1">
      <c r="A369" s="90"/>
    </row>
    <row r="370" ht="12.75" customHeight="1">
      <c r="A370" s="96" t="s">
        <v>4739</v>
      </c>
    </row>
    <row r="371" ht="12.75" customHeight="1">
      <c r="A371" s="90"/>
    </row>
    <row r="372" ht="12.75" customHeight="1">
      <c r="A372" s="96" t="s">
        <v>4740</v>
      </c>
    </row>
    <row r="373" ht="12.75" customHeight="1">
      <c r="A373" s="90"/>
    </row>
    <row r="374" ht="12.75" customHeight="1">
      <c r="A374" s="96" t="s">
        <v>4741</v>
      </c>
    </row>
    <row r="375" ht="12.75" customHeight="1">
      <c r="A375" s="90"/>
    </row>
    <row r="376" ht="12.75" customHeight="1">
      <c r="A376" s="96" t="s">
        <v>4742</v>
      </c>
    </row>
    <row r="377" ht="12.75" customHeight="1">
      <c r="A377" s="90"/>
    </row>
    <row r="378" ht="12.75" customHeight="1">
      <c r="A378" s="96" t="s">
        <v>4743</v>
      </c>
    </row>
    <row r="379" ht="12.75" customHeight="1">
      <c r="A379" s="90"/>
    </row>
    <row r="380" ht="12.75" customHeight="1">
      <c r="A380" s="96" t="s">
        <v>4744</v>
      </c>
    </row>
    <row r="381" ht="12.75" customHeight="1">
      <c r="A381" s="90"/>
    </row>
    <row r="382" ht="12.75" customHeight="1">
      <c r="A382" s="96" t="s">
        <v>4745</v>
      </c>
    </row>
    <row r="383" ht="12.75" customHeight="1">
      <c r="A383" s="90"/>
    </row>
    <row r="384" ht="12.75" customHeight="1">
      <c r="A384" s="96" t="s">
        <v>4746</v>
      </c>
    </row>
    <row r="385" ht="12.75" customHeight="1">
      <c r="A385" s="90"/>
    </row>
    <row r="386" ht="12.75" customHeight="1">
      <c r="A386" s="96" t="s">
        <v>4747</v>
      </c>
    </row>
    <row r="387" ht="12.75" customHeight="1">
      <c r="A387" s="90"/>
    </row>
    <row r="388" ht="12.75" customHeight="1">
      <c r="A388" s="96" t="s">
        <v>4748</v>
      </c>
    </row>
    <row r="389" ht="12.75" customHeight="1">
      <c r="A389" s="90"/>
    </row>
    <row r="390" ht="12.75" customHeight="1">
      <c r="A390" s="96" t="s">
        <v>4749</v>
      </c>
    </row>
    <row r="391" ht="12.75" customHeight="1">
      <c r="A391" s="90"/>
    </row>
    <row r="392" ht="12.75" customHeight="1">
      <c r="A392" s="96" t="s">
        <v>4750</v>
      </c>
    </row>
    <row r="393" ht="12.75" customHeight="1">
      <c r="A393" s="90"/>
    </row>
    <row r="394" ht="12.75" customHeight="1">
      <c r="A394" s="96" t="s">
        <v>4751</v>
      </c>
    </row>
    <row r="395" ht="12.75" customHeight="1">
      <c r="A395" s="90"/>
    </row>
    <row r="396" ht="12.75" customHeight="1">
      <c r="A396" s="96" t="s">
        <v>4752</v>
      </c>
    </row>
    <row r="397" ht="12.75" customHeight="1">
      <c r="A397" s="90"/>
    </row>
    <row r="398" ht="12.75" customHeight="1">
      <c r="A398" s="96" t="s">
        <v>4686</v>
      </c>
    </row>
    <row r="399" ht="12.75" customHeight="1">
      <c r="A399" s="90"/>
    </row>
    <row r="400" ht="12.75" customHeight="1">
      <c r="A400" s="90"/>
    </row>
    <row r="401" ht="12.75" customHeight="1">
      <c r="A401" s="96" t="s">
        <v>4837</v>
      </c>
    </row>
    <row r="402" ht="12.75" customHeight="1">
      <c r="A402" s="90"/>
    </row>
    <row r="403" ht="12.75" customHeight="1">
      <c r="A403" s="96" t="s">
        <v>4754</v>
      </c>
    </row>
    <row r="404" ht="12.75" customHeight="1">
      <c r="A404" s="90"/>
    </row>
    <row r="405" ht="12.75" customHeight="1">
      <c r="A405" s="96" t="s">
        <v>4755</v>
      </c>
    </row>
    <row r="406" ht="12.75" customHeight="1">
      <c r="A406" s="90"/>
    </row>
    <row r="407" ht="12.75" customHeight="1">
      <c r="A407" s="96" t="s">
        <v>4756</v>
      </c>
    </row>
    <row r="408" ht="12.75" customHeight="1">
      <c r="A408" s="90"/>
    </row>
    <row r="409" ht="12.75" customHeight="1">
      <c r="A409" s="96" t="s">
        <v>4757</v>
      </c>
    </row>
    <row r="410" ht="12.75" customHeight="1">
      <c r="A410" s="90"/>
    </row>
    <row r="411" ht="12.75" customHeight="1">
      <c r="A411" s="96" t="s">
        <v>4758</v>
      </c>
    </row>
    <row r="412" ht="12.75" customHeight="1">
      <c r="A412" s="90"/>
    </row>
    <row r="413" ht="12.75" customHeight="1">
      <c r="A413" s="96" t="s">
        <v>4759</v>
      </c>
    </row>
    <row r="414" ht="12.75" customHeight="1">
      <c r="A414" s="90"/>
    </row>
    <row r="415" ht="12.75" customHeight="1">
      <c r="A415" s="96" t="s">
        <v>4760</v>
      </c>
    </row>
    <row r="416" ht="12.75" customHeight="1">
      <c r="A416" s="90"/>
    </row>
    <row r="417" ht="12.75" customHeight="1">
      <c r="A417" s="96" t="s">
        <v>4761</v>
      </c>
    </row>
    <row r="418" ht="12.75" customHeight="1">
      <c r="A418" s="90"/>
    </row>
    <row r="419" ht="12.75" customHeight="1">
      <c r="A419" s="96" t="s">
        <v>4762</v>
      </c>
    </row>
    <row r="420" ht="12.75" customHeight="1">
      <c r="A420" s="90"/>
    </row>
    <row r="421" ht="12.75" customHeight="1">
      <c r="A421" s="96" t="s">
        <v>4763</v>
      </c>
    </row>
    <row r="422" ht="12.75" customHeight="1">
      <c r="A422" s="90"/>
    </row>
    <row r="423" ht="12.75" customHeight="1">
      <c r="A423" s="96" t="s">
        <v>4764</v>
      </c>
    </row>
    <row r="424" ht="12.75" customHeight="1">
      <c r="A424" s="90"/>
    </row>
    <row r="425" ht="12.75" customHeight="1">
      <c r="A425" s="96" t="s">
        <v>4765</v>
      </c>
    </row>
    <row r="426" ht="12.75" customHeight="1">
      <c r="A426" s="90"/>
    </row>
    <row r="427" ht="12.75" customHeight="1">
      <c r="A427" s="96" t="s">
        <v>4766</v>
      </c>
    </row>
    <row r="428" ht="12.75" customHeight="1">
      <c r="A428" s="90"/>
    </row>
    <row r="429" ht="12.75" customHeight="1">
      <c r="A429" s="96" t="s">
        <v>4767</v>
      </c>
    </row>
    <row r="430" ht="12.75" customHeight="1">
      <c r="A430" s="90"/>
    </row>
    <row r="431" ht="12.75" customHeight="1">
      <c r="A431" s="96" t="s">
        <v>4768</v>
      </c>
    </row>
    <row r="432" ht="12.75" customHeight="1">
      <c r="A432" s="90"/>
    </row>
    <row r="433" ht="12.75" customHeight="1">
      <c r="A433" s="96" t="s">
        <v>4769</v>
      </c>
    </row>
    <row r="434" ht="12.75" customHeight="1">
      <c r="A434" s="90"/>
    </row>
    <row r="435" ht="12.75" customHeight="1">
      <c r="A435" s="96" t="s">
        <v>4770</v>
      </c>
    </row>
    <row r="436" ht="12.75" customHeight="1">
      <c r="A436" s="90"/>
    </row>
    <row r="437" ht="12.75" customHeight="1">
      <c r="A437" s="96" t="s">
        <v>4771</v>
      </c>
    </row>
    <row r="438" ht="12.75" customHeight="1">
      <c r="A438" s="90"/>
    </row>
    <row r="439" ht="12.75" customHeight="1">
      <c r="A439" s="96" t="s">
        <v>4772</v>
      </c>
    </row>
    <row r="440" ht="12.75" customHeight="1">
      <c r="A440" s="90"/>
    </row>
    <row r="441" ht="12.75" customHeight="1">
      <c r="A441" s="96" t="s">
        <v>4773</v>
      </c>
    </row>
    <row r="442" ht="12.75" customHeight="1">
      <c r="A442" s="90"/>
    </row>
    <row r="443" ht="12.75" customHeight="1">
      <c r="A443" s="96" t="s">
        <v>4774</v>
      </c>
    </row>
    <row r="444" ht="12.75" customHeight="1">
      <c r="A444" s="90"/>
    </row>
    <row r="445" ht="12.75" customHeight="1">
      <c r="A445" s="96" t="s">
        <v>4775</v>
      </c>
    </row>
    <row r="446" ht="12.75" customHeight="1">
      <c r="A446" s="90"/>
    </row>
    <row r="447" ht="12.75" customHeight="1">
      <c r="A447" s="96" t="s">
        <v>4776</v>
      </c>
    </row>
    <row r="448" ht="12.75" customHeight="1">
      <c r="A448" s="90"/>
    </row>
    <row r="449" ht="12.75" customHeight="1">
      <c r="A449" s="96" t="s">
        <v>4777</v>
      </c>
    </row>
    <row r="450" ht="12.75" customHeight="1">
      <c r="A450" s="90"/>
    </row>
    <row r="451" ht="12.75" customHeight="1">
      <c r="A451" s="96" t="s">
        <v>4778</v>
      </c>
    </row>
    <row r="452" ht="12.75" customHeight="1">
      <c r="A452" s="90"/>
    </row>
    <row r="453" ht="12.75" customHeight="1">
      <c r="A453" s="96" t="s">
        <v>4779</v>
      </c>
    </row>
    <row r="454" ht="12.75" customHeight="1">
      <c r="A454" s="90"/>
    </row>
    <row r="455" ht="12.75" customHeight="1">
      <c r="A455" s="96" t="s">
        <v>4780</v>
      </c>
    </row>
    <row r="456" ht="12.75" customHeight="1">
      <c r="A456" s="90"/>
    </row>
    <row r="457" ht="12.75" customHeight="1">
      <c r="A457" s="96" t="s">
        <v>4781</v>
      </c>
    </row>
    <row r="458" ht="12.75" customHeight="1">
      <c r="A458" s="90"/>
    </row>
    <row r="459" ht="12.75" customHeight="1">
      <c r="A459" s="96" t="s">
        <v>4782</v>
      </c>
    </row>
    <row r="460" ht="12.75" customHeight="1">
      <c r="A460" s="90"/>
    </row>
    <row r="461" ht="12.75" customHeight="1">
      <c r="A461" s="96" t="s">
        <v>4783</v>
      </c>
    </row>
    <row r="462" ht="12.75" customHeight="1">
      <c r="A462" s="90"/>
    </row>
    <row r="463" ht="12.75" customHeight="1">
      <c r="A463" s="96" t="s">
        <v>4784</v>
      </c>
    </row>
    <row r="464" ht="12.75" customHeight="1">
      <c r="A464" s="90"/>
    </row>
    <row r="465" ht="12.75" customHeight="1">
      <c r="A465" s="96" t="s">
        <v>4785</v>
      </c>
    </row>
    <row r="466" ht="12.75" customHeight="1">
      <c r="A466" s="90"/>
    </row>
    <row r="467" ht="12.75" customHeight="1">
      <c r="A467" s="96" t="s">
        <v>4786</v>
      </c>
    </row>
    <row r="468" ht="12.75" customHeight="1">
      <c r="A468" s="90"/>
    </row>
    <row r="469" ht="12.75" customHeight="1">
      <c r="A469" s="96" t="s">
        <v>4787</v>
      </c>
    </row>
    <row r="470" ht="12.75" customHeight="1">
      <c r="A470" s="90"/>
    </row>
    <row r="471" ht="12.75" customHeight="1">
      <c r="A471" s="96" t="s">
        <v>4788</v>
      </c>
    </row>
    <row r="472" ht="12.75" customHeight="1">
      <c r="A472" s="90"/>
    </row>
    <row r="473" ht="12.75" customHeight="1">
      <c r="A473" s="96" t="s">
        <v>4789</v>
      </c>
    </row>
    <row r="474" ht="12.75" customHeight="1">
      <c r="A474" s="90"/>
    </row>
    <row r="475" ht="12.75" customHeight="1">
      <c r="A475" s="96" t="s">
        <v>4790</v>
      </c>
    </row>
    <row r="476" ht="12.75" customHeight="1">
      <c r="A476" s="90"/>
    </row>
    <row r="477" ht="12.75" customHeight="1">
      <c r="A477" s="96" t="s">
        <v>4791</v>
      </c>
    </row>
    <row r="478" ht="12.75" customHeight="1">
      <c r="A478" s="90"/>
    </row>
    <row r="479" ht="12.75" customHeight="1">
      <c r="A479" s="96" t="s">
        <v>4792</v>
      </c>
    </row>
    <row r="480" ht="12.75" customHeight="1">
      <c r="A480" s="90"/>
    </row>
    <row r="481" ht="12.75" customHeight="1">
      <c r="A481" s="96" t="s">
        <v>4793</v>
      </c>
    </row>
    <row r="482" ht="12.75" customHeight="1">
      <c r="A482" s="90"/>
    </row>
    <row r="483" ht="12.75" customHeight="1">
      <c r="A483" s="96" t="s">
        <v>4794</v>
      </c>
    </row>
    <row r="484" ht="12.75" customHeight="1">
      <c r="A484" s="90"/>
    </row>
    <row r="485" ht="12.75" customHeight="1">
      <c r="A485" s="96" t="s">
        <v>4795</v>
      </c>
    </row>
    <row r="486" ht="12.75" customHeight="1">
      <c r="A486" s="90"/>
    </row>
    <row r="487" ht="12.75" customHeight="1">
      <c r="A487" s="96" t="s">
        <v>4796</v>
      </c>
    </row>
    <row r="488" ht="12.75" customHeight="1">
      <c r="A488" s="90"/>
    </row>
    <row r="489" ht="12.75" customHeight="1">
      <c r="A489" s="96" t="s">
        <v>4797</v>
      </c>
    </row>
    <row r="490" ht="12.75" customHeight="1">
      <c r="A490" s="90"/>
    </row>
    <row r="491" ht="12.75" customHeight="1">
      <c r="A491" s="96" t="s">
        <v>4798</v>
      </c>
    </row>
    <row r="492" ht="12.75" customHeight="1">
      <c r="A492" s="90"/>
    </row>
    <row r="493" ht="12.75" customHeight="1">
      <c r="A493" s="96" t="s">
        <v>4799</v>
      </c>
    </row>
    <row r="494" ht="12.75" customHeight="1">
      <c r="A494" s="90"/>
    </row>
    <row r="495" ht="12.75" customHeight="1">
      <c r="A495" s="96" t="s">
        <v>4800</v>
      </c>
    </row>
    <row r="496" ht="12.75" customHeight="1">
      <c r="A496" s="90"/>
    </row>
    <row r="497" ht="12.75" customHeight="1">
      <c r="A497" s="96" t="s">
        <v>4801</v>
      </c>
    </row>
    <row r="498" ht="12.75" customHeight="1">
      <c r="A498" s="90"/>
    </row>
    <row r="499" ht="12.75" customHeight="1">
      <c r="A499" s="96" t="s">
        <v>8018</v>
      </c>
    </row>
    <row r="500" ht="12.75" customHeight="1">
      <c r="A500" s="96" t="s">
        <v>8019</v>
      </c>
    </row>
    <row r="501" ht="12.75" customHeight="1">
      <c r="A501" s="90"/>
    </row>
    <row r="502" ht="12.75" customHeight="1">
      <c r="A502" s="96" t="s">
        <v>4804</v>
      </c>
    </row>
    <row r="503" ht="12.75" customHeight="1">
      <c r="A503" s="90"/>
    </row>
    <row r="504" ht="12.75" customHeight="1">
      <c r="A504" s="96" t="s">
        <v>4805</v>
      </c>
    </row>
    <row r="505" ht="12.75" customHeight="1">
      <c r="A505" s="90"/>
    </row>
    <row r="506" ht="12.75" customHeight="1">
      <c r="A506" s="96" t="s">
        <v>4806</v>
      </c>
    </row>
    <row r="507" ht="12.75" customHeight="1">
      <c r="A507" s="90"/>
    </row>
    <row r="508" ht="12.75" customHeight="1">
      <c r="A508" s="96" t="s">
        <v>4807</v>
      </c>
    </row>
    <row r="509" ht="12.75" customHeight="1">
      <c r="A509" s="90"/>
    </row>
    <row r="510" ht="12.75" customHeight="1">
      <c r="A510" s="96" t="s">
        <v>4808</v>
      </c>
    </row>
    <row r="511" ht="12.75" customHeight="1">
      <c r="A511" s="90"/>
    </row>
    <row r="512" ht="12.75" customHeight="1">
      <c r="A512" s="96" t="s">
        <v>4809</v>
      </c>
    </row>
    <row r="513" ht="12.75" customHeight="1">
      <c r="A513" s="90"/>
    </row>
    <row r="514" ht="12.75" customHeight="1">
      <c r="A514" s="96" t="s">
        <v>4810</v>
      </c>
    </row>
    <row r="515" ht="12.75" customHeight="1">
      <c r="A515" s="90"/>
    </row>
    <row r="516" ht="12.75" customHeight="1">
      <c r="A516" s="96" t="s">
        <v>4811</v>
      </c>
    </row>
    <row r="517" ht="12.75" customHeight="1">
      <c r="A517" s="90"/>
    </row>
    <row r="518" ht="12.75" customHeight="1">
      <c r="A518" s="96" t="s">
        <v>8020</v>
      </c>
    </row>
    <row r="519" ht="12.75" customHeight="1">
      <c r="A519" s="90"/>
    </row>
    <row r="520" ht="12.75" customHeight="1">
      <c r="A520" s="96" t="s">
        <v>4813</v>
      </c>
    </row>
    <row r="521" ht="12.75" customHeight="1">
      <c r="A521" s="90"/>
    </row>
    <row r="522" ht="12.75" customHeight="1">
      <c r="A522" s="96" t="s">
        <v>4814</v>
      </c>
    </row>
    <row r="523" ht="12.75" customHeight="1">
      <c r="A523" s="90"/>
    </row>
    <row r="524" ht="12.75" customHeight="1">
      <c r="A524" s="96" t="s">
        <v>4815</v>
      </c>
    </row>
    <row r="525" ht="12.75" customHeight="1">
      <c r="A525" s="90"/>
    </row>
    <row r="526" ht="12.75" customHeight="1">
      <c r="A526" s="96" t="s">
        <v>4816</v>
      </c>
    </row>
    <row r="527" ht="12.75" customHeight="1">
      <c r="A527" s="90"/>
    </row>
    <row r="528" ht="12.75" customHeight="1">
      <c r="A528" s="96" t="s">
        <v>4817</v>
      </c>
    </row>
    <row r="529" ht="12.75" customHeight="1">
      <c r="A529" s="90"/>
    </row>
    <row r="530" ht="12.75" customHeight="1">
      <c r="A530" s="96" t="s">
        <v>4818</v>
      </c>
    </row>
    <row r="531" ht="12.75" customHeight="1">
      <c r="A531" s="90"/>
    </row>
    <row r="532" ht="12.75" customHeight="1">
      <c r="A532" s="96" t="s">
        <v>4819</v>
      </c>
    </row>
    <row r="533" ht="12.75" customHeight="1">
      <c r="A533" s="90"/>
    </row>
    <row r="534" ht="12.75" customHeight="1">
      <c r="A534" s="96" t="s">
        <v>4820</v>
      </c>
    </row>
    <row r="535" ht="12.75" customHeight="1">
      <c r="A535" s="90"/>
    </row>
    <row r="536" ht="12.75" customHeight="1">
      <c r="A536" s="96" t="s">
        <v>8021</v>
      </c>
    </row>
    <row r="537" ht="12.75" customHeight="1">
      <c r="A537" s="90"/>
    </row>
    <row r="538" ht="12.75" customHeight="1">
      <c r="A538" s="96" t="s">
        <v>4822</v>
      </c>
    </row>
    <row r="539" ht="12.75" customHeight="1">
      <c r="A539" s="90"/>
    </row>
    <row r="540" ht="12.75" customHeight="1">
      <c r="A540" s="96" t="s">
        <v>4823</v>
      </c>
    </row>
    <row r="541" ht="12.75" customHeight="1">
      <c r="A541" s="90"/>
    </row>
    <row r="542" ht="12.75" customHeight="1">
      <c r="A542" s="96" t="s">
        <v>4824</v>
      </c>
    </row>
    <row r="543" ht="12.75" customHeight="1">
      <c r="A543" s="90"/>
    </row>
    <row r="544" ht="12.75" customHeight="1">
      <c r="A544" s="96" t="s">
        <v>4825</v>
      </c>
    </row>
    <row r="545" ht="12.75" customHeight="1">
      <c r="A545" s="90"/>
    </row>
    <row r="546" ht="12.75" customHeight="1">
      <c r="A546" s="96" t="s">
        <v>4826</v>
      </c>
    </row>
    <row r="547" ht="12.75" customHeight="1">
      <c r="A547" s="90"/>
    </row>
    <row r="548" ht="12.75" customHeight="1">
      <c r="A548" s="96" t="s">
        <v>4827</v>
      </c>
    </row>
    <row r="549" ht="12.75" customHeight="1">
      <c r="A549" s="90"/>
    </row>
    <row r="550" ht="12.75" customHeight="1">
      <c r="A550" s="96" t="s">
        <v>4828</v>
      </c>
    </row>
    <row r="551" ht="12.75" customHeight="1">
      <c r="A551" s="90"/>
    </row>
    <row r="552" ht="12.75" customHeight="1">
      <c r="A552" s="96" t="s">
        <v>4829</v>
      </c>
    </row>
    <row r="553" ht="12.75" customHeight="1">
      <c r="A553" s="90"/>
    </row>
    <row r="554" ht="12.75" customHeight="1">
      <c r="A554" s="96" t="s">
        <v>4830</v>
      </c>
    </row>
    <row r="555" ht="12.75" customHeight="1">
      <c r="A555" s="90"/>
    </row>
    <row r="556" ht="12.75" customHeight="1">
      <c r="A556" s="96" t="s">
        <v>4831</v>
      </c>
    </row>
    <row r="557" ht="12.75" customHeight="1">
      <c r="A557" s="90"/>
    </row>
    <row r="558" ht="12.75" customHeight="1">
      <c r="A558" s="96" t="s">
        <v>4832</v>
      </c>
    </row>
    <row r="559" ht="12.75" customHeight="1">
      <c r="A559" s="90"/>
    </row>
    <row r="560" ht="12.75" customHeight="1">
      <c r="A560" s="96" t="s">
        <v>4833</v>
      </c>
    </row>
    <row r="561" ht="12.75" customHeight="1">
      <c r="A561" s="90"/>
    </row>
    <row r="562" ht="12.75" customHeight="1">
      <c r="A562" s="96" t="s">
        <v>4834</v>
      </c>
    </row>
    <row r="563" ht="12.75" customHeight="1">
      <c r="A563" s="90"/>
    </row>
    <row r="564" ht="12.75" customHeight="1">
      <c r="A564" s="96" t="s">
        <v>4835</v>
      </c>
    </row>
    <row r="565" ht="12.75" customHeight="1">
      <c r="A565" s="90"/>
    </row>
    <row r="566" ht="12.75" customHeight="1">
      <c r="A566" s="96" t="s">
        <v>8022</v>
      </c>
    </row>
    <row r="567" ht="12.75" customHeight="1">
      <c r="A567" s="96" t="s">
        <v>8023</v>
      </c>
    </row>
    <row r="568" ht="12.75" customHeight="1">
      <c r="A568" s="90"/>
    </row>
    <row r="569" ht="12.75" customHeight="1">
      <c r="A569" s="96" t="s">
        <v>4837</v>
      </c>
    </row>
    <row r="570" ht="12.75" customHeight="1">
      <c r="A570" s="90"/>
    </row>
    <row r="571" ht="12.75" customHeight="1">
      <c r="A571" s="90"/>
    </row>
    <row r="572" ht="12.75" customHeight="1">
      <c r="A572" s="96" t="s">
        <v>4838</v>
      </c>
    </row>
    <row r="573" ht="12.75" customHeight="1">
      <c r="A573" s="90"/>
    </row>
    <row r="574" ht="12.75" customHeight="1">
      <c r="A574" s="96" t="s">
        <v>4839</v>
      </c>
    </row>
    <row r="575" ht="12.75" customHeight="1">
      <c r="A575" s="90"/>
    </row>
    <row r="576" ht="12.75" customHeight="1">
      <c r="A576" s="96" t="s">
        <v>4840</v>
      </c>
    </row>
    <row r="577" ht="12.75" customHeight="1">
      <c r="A577" s="90"/>
    </row>
    <row r="578" ht="12.75" customHeight="1">
      <c r="A578" s="96" t="s">
        <v>4841</v>
      </c>
    </row>
    <row r="579" ht="12.75" customHeight="1">
      <c r="A579" s="90"/>
    </row>
    <row r="580" ht="12.75" customHeight="1">
      <c r="A580" s="96" t="s">
        <v>4842</v>
      </c>
    </row>
    <row r="581" ht="12.75" customHeight="1">
      <c r="A581" s="90"/>
    </row>
    <row r="582" ht="12.75" customHeight="1">
      <c r="A582" s="96" t="s">
        <v>4843</v>
      </c>
    </row>
    <row r="583" ht="12.75" customHeight="1">
      <c r="A583" s="90"/>
    </row>
    <row r="584" ht="12.75" customHeight="1">
      <c r="A584" s="96" t="s">
        <v>4844</v>
      </c>
    </row>
    <row r="585" ht="12.75" customHeight="1">
      <c r="A585" s="90"/>
    </row>
    <row r="586" ht="12.75" customHeight="1">
      <c r="A586" s="96" t="s">
        <v>4845</v>
      </c>
    </row>
    <row r="587" ht="12.75" customHeight="1">
      <c r="A587" s="90"/>
    </row>
    <row r="588" ht="12.75" customHeight="1">
      <c r="A588" s="96" t="s">
        <v>8024</v>
      </c>
    </row>
    <row r="589" ht="12.75" customHeight="1">
      <c r="A589" s="96" t="s">
        <v>8025</v>
      </c>
    </row>
    <row r="590" ht="12.75" customHeight="1">
      <c r="A590" s="90"/>
    </row>
    <row r="591" ht="12.75" customHeight="1">
      <c r="A591" s="96" t="s">
        <v>8026</v>
      </c>
    </row>
    <row r="592" ht="12.75" customHeight="1">
      <c r="A592" s="96" t="s">
        <v>8025</v>
      </c>
    </row>
    <row r="593" ht="12.75" customHeight="1">
      <c r="A593" s="90"/>
    </row>
    <row r="594" ht="12.75" customHeight="1">
      <c r="A594" s="96" t="s">
        <v>8027</v>
      </c>
    </row>
    <row r="595" ht="12.75" customHeight="1">
      <c r="A595" s="96" t="s">
        <v>8025</v>
      </c>
    </row>
    <row r="596" ht="12.75" customHeight="1">
      <c r="A596" s="90"/>
    </row>
    <row r="597" ht="12.75" customHeight="1">
      <c r="A597" s="96" t="s">
        <v>8028</v>
      </c>
    </row>
    <row r="598" ht="12.75" customHeight="1">
      <c r="A598" s="90"/>
    </row>
    <row r="599" ht="12.75" customHeight="1">
      <c r="A599" s="96" t="s">
        <v>4850</v>
      </c>
    </row>
    <row r="600" ht="12.75" customHeight="1">
      <c r="A600" s="90"/>
    </row>
    <row r="601" ht="12.75" customHeight="1">
      <c r="A601" s="96" t="s">
        <v>4851</v>
      </c>
    </row>
    <row r="602" ht="12.75" customHeight="1">
      <c r="A602" s="90"/>
    </row>
    <row r="603" ht="12.75" customHeight="1">
      <c r="A603" s="96" t="s">
        <v>4852</v>
      </c>
    </row>
    <row r="604" ht="12.75" customHeight="1">
      <c r="A604" s="90"/>
    </row>
    <row r="605" ht="12.75" customHeight="1">
      <c r="A605" s="96" t="s">
        <v>4853</v>
      </c>
    </row>
    <row r="606" ht="12.75" customHeight="1">
      <c r="A606" s="90"/>
    </row>
    <row r="607" ht="12.75" customHeight="1">
      <c r="A607" s="96" t="s">
        <v>4854</v>
      </c>
    </row>
    <row r="608" ht="12.75" customHeight="1">
      <c r="A608" s="90"/>
    </row>
    <row r="609" ht="12.75" customHeight="1">
      <c r="A609" s="96" t="s">
        <v>4855</v>
      </c>
    </row>
    <row r="610" ht="12.75" customHeight="1">
      <c r="A610" s="90"/>
    </row>
    <row r="611" ht="12.75" customHeight="1">
      <c r="A611" s="96" t="s">
        <v>4856</v>
      </c>
    </row>
    <row r="612" ht="12.75" customHeight="1">
      <c r="A612" s="90"/>
    </row>
    <row r="613" ht="12.75" customHeight="1">
      <c r="A613" s="96" t="s">
        <v>4857</v>
      </c>
    </row>
    <row r="614" ht="12.75" customHeight="1">
      <c r="A614" s="90"/>
    </row>
    <row r="615" ht="12.75" customHeight="1">
      <c r="A615" s="96" t="s">
        <v>4858</v>
      </c>
    </row>
    <row r="616" ht="12.75" customHeight="1">
      <c r="A616" s="90"/>
    </row>
    <row r="617" ht="12.75" customHeight="1">
      <c r="A617" s="96" t="s">
        <v>4859</v>
      </c>
    </row>
    <row r="618" ht="12.75" customHeight="1">
      <c r="A618" s="90"/>
    </row>
    <row r="619" ht="12.75" customHeight="1">
      <c r="A619" s="96" t="s">
        <v>4860</v>
      </c>
    </row>
    <row r="620" ht="12.75" customHeight="1">
      <c r="A620" s="90"/>
    </row>
    <row r="621" ht="12.75" customHeight="1">
      <c r="A621" s="96" t="s">
        <v>4861</v>
      </c>
    </row>
    <row r="622" ht="12.75" customHeight="1">
      <c r="A622" s="90"/>
    </row>
    <row r="623" ht="12.75" customHeight="1">
      <c r="A623" s="96" t="s">
        <v>4862</v>
      </c>
    </row>
    <row r="624" ht="12.75" customHeight="1">
      <c r="A624" s="90"/>
    </row>
    <row r="625" ht="12.75" customHeight="1">
      <c r="A625" s="96" t="s">
        <v>4863</v>
      </c>
    </row>
    <row r="626" ht="12.75" customHeight="1">
      <c r="A626" s="90"/>
    </row>
    <row r="627" ht="12.75" customHeight="1">
      <c r="A627" s="96" t="s">
        <v>4864</v>
      </c>
    </row>
    <row r="628" ht="12.75" customHeight="1">
      <c r="A628" s="90"/>
    </row>
    <row r="629" ht="12.75" customHeight="1">
      <c r="A629" s="96" t="s">
        <v>4865</v>
      </c>
    </row>
    <row r="630" ht="12.75" customHeight="1">
      <c r="A630" s="90"/>
    </row>
    <row r="631" ht="12.75" customHeight="1">
      <c r="A631" s="96" t="s">
        <v>4866</v>
      </c>
    </row>
    <row r="632" ht="12.75" customHeight="1">
      <c r="A632" s="90"/>
    </row>
    <row r="633" ht="12.75" customHeight="1">
      <c r="A633" s="96" t="s">
        <v>4867</v>
      </c>
    </row>
    <row r="634" ht="12.75" customHeight="1">
      <c r="A634" s="90"/>
    </row>
    <row r="635" ht="12.75" customHeight="1">
      <c r="A635" s="96" t="s">
        <v>4868</v>
      </c>
    </row>
    <row r="636" ht="12.75" customHeight="1">
      <c r="A636" s="90"/>
    </row>
    <row r="637" ht="12.75" customHeight="1">
      <c r="A637" s="96" t="s">
        <v>4869</v>
      </c>
    </row>
    <row r="638" ht="12.75" customHeight="1">
      <c r="A638" s="90"/>
    </row>
    <row r="639" ht="12.75" customHeight="1">
      <c r="A639" s="96" t="s">
        <v>4870</v>
      </c>
    </row>
    <row r="640" ht="12.75" customHeight="1">
      <c r="A640" s="90"/>
    </row>
    <row r="641" ht="12.75" customHeight="1">
      <c r="A641" s="96" t="s">
        <v>4871</v>
      </c>
    </row>
    <row r="642" ht="12.75" customHeight="1">
      <c r="A642" s="90"/>
    </row>
    <row r="643" ht="12.75" customHeight="1">
      <c r="A643" s="96" t="s">
        <v>4872</v>
      </c>
    </row>
    <row r="644" ht="12.75" customHeight="1">
      <c r="A644" s="90"/>
    </row>
    <row r="645" ht="12.75" customHeight="1">
      <c r="A645" s="96" t="s">
        <v>4838</v>
      </c>
    </row>
    <row r="646" ht="12.75" customHeight="1">
      <c r="A646" s="90"/>
    </row>
    <row r="647" ht="12.75" customHeight="1">
      <c r="A647" s="90"/>
    </row>
    <row r="648" ht="12.75" customHeight="1">
      <c r="A648" s="96" t="s">
        <v>4873</v>
      </c>
    </row>
    <row r="649" ht="12.75" customHeight="1">
      <c r="A649" s="90"/>
    </row>
    <row r="650" ht="12.75" customHeight="1">
      <c r="A650" s="96" t="s">
        <v>4874</v>
      </c>
    </row>
    <row r="651" ht="12.75" customHeight="1">
      <c r="A651" s="90"/>
    </row>
    <row r="652" ht="12.75" customHeight="1">
      <c r="A652" s="96" t="s">
        <v>4875</v>
      </c>
    </row>
    <row r="653" ht="12.75" customHeight="1">
      <c r="A653" s="90"/>
    </row>
    <row r="654" ht="12.75" customHeight="1">
      <c r="A654" s="96" t="s">
        <v>4876</v>
      </c>
    </row>
    <row r="655" ht="12.75" customHeight="1">
      <c r="A655" s="90"/>
    </row>
    <row r="656" ht="12.75" customHeight="1">
      <c r="A656" s="96" t="s">
        <v>4877</v>
      </c>
    </row>
    <row r="657" ht="12.75" customHeight="1">
      <c r="A657" s="90"/>
    </row>
    <row r="658" ht="12.75" customHeight="1">
      <c r="A658" s="96" t="s">
        <v>4878</v>
      </c>
    </row>
    <row r="659" ht="12.75" customHeight="1">
      <c r="A659" s="90"/>
    </row>
    <row r="660" ht="12.75" customHeight="1">
      <c r="A660" s="96" t="s">
        <v>4879</v>
      </c>
    </row>
    <row r="661" ht="12.75" customHeight="1">
      <c r="A661" s="90"/>
    </row>
    <row r="662" ht="12.75" customHeight="1">
      <c r="A662" s="96" t="s">
        <v>4880</v>
      </c>
    </row>
    <row r="663" ht="12.75" customHeight="1">
      <c r="A663" s="90"/>
    </row>
    <row r="664" ht="12.75" customHeight="1">
      <c r="A664" s="96" t="s">
        <v>4881</v>
      </c>
    </row>
    <row r="665" ht="12.75" customHeight="1">
      <c r="A665" s="90"/>
    </row>
    <row r="666" ht="12.75" customHeight="1">
      <c r="A666" s="96" t="s">
        <v>4882</v>
      </c>
    </row>
    <row r="667" ht="12.75" customHeight="1">
      <c r="A667" s="90"/>
    </row>
    <row r="668" ht="12.75" customHeight="1">
      <c r="A668" s="96" t="s">
        <v>4883</v>
      </c>
    </row>
    <row r="669" ht="12.75" customHeight="1">
      <c r="A669" s="90"/>
    </row>
    <row r="670" ht="12.75" customHeight="1">
      <c r="A670" s="96" t="s">
        <v>4884</v>
      </c>
    </row>
    <row r="671" ht="12.75" customHeight="1">
      <c r="A671" s="90"/>
    </row>
    <row r="672" ht="12.75" customHeight="1">
      <c r="A672" s="96" t="s">
        <v>4885</v>
      </c>
    </row>
    <row r="673" ht="12.75" customHeight="1">
      <c r="A673" s="90"/>
    </row>
    <row r="674" ht="12.75" customHeight="1">
      <c r="A674" s="96" t="s">
        <v>4886</v>
      </c>
    </row>
    <row r="675" ht="12.75" customHeight="1">
      <c r="A675" s="90"/>
    </row>
    <row r="676" ht="12.75" customHeight="1">
      <c r="A676" s="96" t="s">
        <v>4887</v>
      </c>
    </row>
    <row r="677" ht="12.75" customHeight="1">
      <c r="A677" s="90"/>
    </row>
    <row r="678" ht="12.75" customHeight="1">
      <c r="A678" s="96" t="s">
        <v>4888</v>
      </c>
    </row>
    <row r="679" ht="12.75" customHeight="1">
      <c r="A679" s="90"/>
    </row>
    <row r="680" ht="12.75" customHeight="1">
      <c r="A680" s="96" t="s">
        <v>4889</v>
      </c>
    </row>
    <row r="681" ht="12.75" customHeight="1">
      <c r="A681" s="90"/>
    </row>
    <row r="682" ht="12.75" customHeight="1">
      <c r="A682" s="96" t="s">
        <v>4890</v>
      </c>
    </row>
    <row r="683" ht="12.75" customHeight="1">
      <c r="A683" s="90"/>
    </row>
    <row r="684" ht="12.75" customHeight="1">
      <c r="A684" s="96" t="s">
        <v>4891</v>
      </c>
    </row>
    <row r="685" ht="12.75" customHeight="1">
      <c r="A685" s="90"/>
    </row>
    <row r="686" ht="12.75" customHeight="1">
      <c r="A686" s="96" t="s">
        <v>4892</v>
      </c>
    </row>
    <row r="687" ht="12.75" customHeight="1">
      <c r="A687" s="90"/>
    </row>
    <row r="688" ht="12.75" customHeight="1">
      <c r="A688" s="96" t="s">
        <v>4893</v>
      </c>
    </row>
    <row r="689" ht="12.75" customHeight="1">
      <c r="A689" s="90"/>
    </row>
    <row r="690" ht="12.75" customHeight="1">
      <c r="A690" s="96" t="s">
        <v>4894</v>
      </c>
    </row>
    <row r="691" ht="12.75" customHeight="1">
      <c r="A691" s="90"/>
    </row>
    <row r="692" ht="12.75" customHeight="1">
      <c r="A692" s="96" t="s">
        <v>4895</v>
      </c>
    </row>
    <row r="693" ht="12.75" customHeight="1">
      <c r="A693" s="90"/>
    </row>
    <row r="694" ht="12.75" customHeight="1">
      <c r="A694" s="96" t="s">
        <v>4896</v>
      </c>
    </row>
    <row r="695" ht="12.75" customHeight="1">
      <c r="A695" s="90"/>
    </row>
    <row r="696" ht="12.75" customHeight="1">
      <c r="A696" s="96" t="s">
        <v>4873</v>
      </c>
    </row>
    <row r="697" ht="12.75" customHeight="1">
      <c r="A697" s="90"/>
    </row>
    <row r="698" ht="12.75" customHeight="1">
      <c r="A698" s="90"/>
    </row>
    <row r="699" ht="12.75" customHeight="1">
      <c r="A699" s="96" t="s">
        <v>4897</v>
      </c>
    </row>
    <row r="700" ht="12.75" customHeight="1">
      <c r="A700" s="90"/>
    </row>
    <row r="701" ht="12.75" customHeight="1">
      <c r="A701" s="96" t="s">
        <v>4864</v>
      </c>
    </row>
    <row r="702" ht="12.75" customHeight="1">
      <c r="A702" s="90"/>
    </row>
    <row r="703" ht="12.75" customHeight="1">
      <c r="A703" s="96" t="s">
        <v>4898</v>
      </c>
    </row>
    <row r="704" ht="12.75" customHeight="1">
      <c r="A704" s="90"/>
    </row>
    <row r="705" ht="12.75" customHeight="1">
      <c r="A705" s="96" t="s">
        <v>4899</v>
      </c>
    </row>
    <row r="706" ht="12.75" customHeight="1">
      <c r="A706" s="90"/>
    </row>
    <row r="707" ht="12.75" customHeight="1">
      <c r="A707" s="96" t="s">
        <v>4900</v>
      </c>
    </row>
    <row r="708" ht="12.75" customHeight="1">
      <c r="A708" s="90"/>
    </row>
    <row r="709" ht="12.75" customHeight="1">
      <c r="A709" s="96" t="s">
        <v>8029</v>
      </c>
    </row>
    <row r="710" ht="12.75" customHeight="1">
      <c r="A710" s="96" t="s">
        <v>8030</v>
      </c>
    </row>
    <row r="711" ht="12.75" customHeight="1">
      <c r="A711" s="90"/>
    </row>
    <row r="712" ht="12.75" customHeight="1">
      <c r="A712" s="96" t="s">
        <v>4902</v>
      </c>
    </row>
    <row r="713" ht="12.75" customHeight="1">
      <c r="A713" s="90"/>
    </row>
    <row r="714" ht="12.75" customHeight="1">
      <c r="A714" s="96" t="s">
        <v>4903</v>
      </c>
    </row>
    <row r="715" ht="12.75" customHeight="1">
      <c r="A715" s="90"/>
    </row>
    <row r="716" ht="12.75" customHeight="1">
      <c r="A716" s="96" t="s">
        <v>4904</v>
      </c>
    </row>
    <row r="717" ht="12.75" customHeight="1">
      <c r="A717" s="90"/>
    </row>
    <row r="718" ht="12.75" customHeight="1">
      <c r="A718" s="96" t="s">
        <v>4905</v>
      </c>
    </row>
    <row r="719" ht="12.75" customHeight="1">
      <c r="A719" s="90"/>
    </row>
    <row r="720" ht="12.75" customHeight="1">
      <c r="A720" s="96" t="s">
        <v>4906</v>
      </c>
    </row>
    <row r="721" ht="12.75" customHeight="1">
      <c r="A721" s="90"/>
    </row>
    <row r="722" ht="12.75" customHeight="1">
      <c r="A722" s="96" t="s">
        <v>4907</v>
      </c>
    </row>
    <row r="723" ht="12.75" customHeight="1">
      <c r="A723" s="90"/>
    </row>
    <row r="724" ht="12.75" customHeight="1">
      <c r="A724" s="96" t="s">
        <v>4908</v>
      </c>
    </row>
    <row r="725" ht="12.75" customHeight="1">
      <c r="A725" s="90"/>
    </row>
    <row r="726" ht="12.75" customHeight="1">
      <c r="A726" s="96" t="s">
        <v>4909</v>
      </c>
    </row>
    <row r="727" ht="12.75" customHeight="1">
      <c r="A727" s="90"/>
    </row>
    <row r="728" ht="12.75" customHeight="1">
      <c r="A728" s="96" t="s">
        <v>4910</v>
      </c>
    </row>
    <row r="729" ht="12.75" customHeight="1">
      <c r="A729" s="90"/>
    </row>
    <row r="730" ht="12.75" customHeight="1">
      <c r="A730" s="96" t="s">
        <v>4911</v>
      </c>
    </row>
    <row r="731" ht="12.75" customHeight="1">
      <c r="A731" s="90"/>
    </row>
    <row r="732" ht="12.75" customHeight="1">
      <c r="A732" s="96" t="s">
        <v>4912</v>
      </c>
    </row>
    <row r="733" ht="12.75" customHeight="1">
      <c r="A733" s="90"/>
    </row>
    <row r="734" ht="12.75" customHeight="1">
      <c r="A734" s="96" t="s">
        <v>4913</v>
      </c>
    </row>
    <row r="735" ht="12.75" customHeight="1">
      <c r="A735" s="90"/>
    </row>
    <row r="736" ht="12.75" customHeight="1">
      <c r="A736" s="96" t="s">
        <v>4914</v>
      </c>
    </row>
    <row r="737" ht="12.75" customHeight="1">
      <c r="A737" s="90"/>
    </row>
    <row r="738" ht="12.75" customHeight="1">
      <c r="A738" s="96" t="s">
        <v>4915</v>
      </c>
    </row>
    <row r="739" ht="12.75" customHeight="1">
      <c r="A739" s="90"/>
    </row>
    <row r="740" ht="12.75" customHeight="1">
      <c r="A740" s="96" t="s">
        <v>4916</v>
      </c>
    </row>
    <row r="741" ht="12.75" customHeight="1">
      <c r="A741" s="90"/>
    </row>
    <row r="742" ht="12.75" customHeight="1">
      <c r="A742" s="96" t="s">
        <v>4917</v>
      </c>
    </row>
    <row r="743" ht="12.75" customHeight="1">
      <c r="A743" s="90"/>
    </row>
    <row r="744" ht="12.75" customHeight="1">
      <c r="A744" s="96" t="s">
        <v>4918</v>
      </c>
    </row>
    <row r="745" ht="12.75" customHeight="1">
      <c r="A745" s="90"/>
    </row>
    <row r="746" ht="12.75" customHeight="1">
      <c r="A746" s="96" t="s">
        <v>4919</v>
      </c>
    </row>
    <row r="747" ht="12.75" customHeight="1">
      <c r="A747" s="90"/>
    </row>
    <row r="748" ht="12.75" customHeight="1">
      <c r="A748" s="96" t="s">
        <v>4920</v>
      </c>
    </row>
    <row r="749" ht="12.75" customHeight="1">
      <c r="A749" s="90"/>
    </row>
    <row r="750" ht="12.75" customHeight="1">
      <c r="A750" s="96" t="s">
        <v>4921</v>
      </c>
    </row>
    <row r="751" ht="12.75" customHeight="1">
      <c r="A751" s="90"/>
    </row>
    <row r="752" ht="12.75" customHeight="1">
      <c r="A752" s="96" t="s">
        <v>4922</v>
      </c>
    </row>
    <row r="753" ht="12.75" customHeight="1">
      <c r="A753" s="90"/>
    </row>
    <row r="754" ht="12.75" customHeight="1">
      <c r="A754" s="96" t="s">
        <v>4923</v>
      </c>
    </row>
    <row r="755" ht="12.75" customHeight="1">
      <c r="A755" s="90"/>
    </row>
    <row r="756" ht="12.75" customHeight="1">
      <c r="A756" s="96" t="s">
        <v>4015</v>
      </c>
    </row>
    <row r="757" ht="12.75" customHeight="1">
      <c r="A757" s="90"/>
    </row>
    <row r="758" ht="12.75" customHeight="1">
      <c r="A758" s="96" t="s">
        <v>4924</v>
      </c>
    </row>
    <row r="759" ht="12.75" customHeight="1">
      <c r="A759" s="90"/>
    </row>
    <row r="760" ht="12.75" customHeight="1">
      <c r="A760" s="96" t="s">
        <v>4897</v>
      </c>
    </row>
    <row r="761" ht="12.75" customHeight="1">
      <c r="A761" s="90"/>
    </row>
    <row r="762" ht="12.75" customHeight="1">
      <c r="A762" s="90"/>
    </row>
    <row r="763" ht="12.75" customHeight="1">
      <c r="A763" s="96" t="s">
        <v>4925</v>
      </c>
    </row>
    <row r="764" ht="12.75" customHeight="1">
      <c r="A764" s="90"/>
    </row>
    <row r="765" ht="12.75" customHeight="1">
      <c r="A765" s="96" t="s">
        <v>4926</v>
      </c>
    </row>
    <row r="766" ht="12.75" customHeight="1">
      <c r="A766" s="90"/>
    </row>
    <row r="767" ht="12.75" customHeight="1">
      <c r="A767" s="96" t="s">
        <v>4927</v>
      </c>
    </row>
    <row r="768" ht="12.75" customHeight="1">
      <c r="A768" s="90"/>
    </row>
    <row r="769" ht="12.75" customHeight="1">
      <c r="A769" s="96" t="s">
        <v>4928</v>
      </c>
    </row>
    <row r="770" ht="12.75" customHeight="1">
      <c r="A770" s="90"/>
    </row>
    <row r="771" ht="12.75" customHeight="1">
      <c r="A771" s="96" t="s">
        <v>4929</v>
      </c>
    </row>
    <row r="772" ht="12.75" customHeight="1">
      <c r="A772" s="90"/>
    </row>
    <row r="773" ht="12.75" customHeight="1">
      <c r="A773" s="96" t="s">
        <v>4930</v>
      </c>
    </row>
    <row r="774" ht="12.75" customHeight="1">
      <c r="A774" s="90"/>
    </row>
    <row r="775" ht="12.75" customHeight="1">
      <c r="A775" s="96" t="s">
        <v>4931</v>
      </c>
    </row>
    <row r="776" ht="12.75" customHeight="1">
      <c r="A776" s="90"/>
    </row>
    <row r="777" ht="12.75" customHeight="1">
      <c r="A777" s="96" t="s">
        <v>4932</v>
      </c>
    </row>
    <row r="778" ht="12.75" customHeight="1">
      <c r="A778" s="90"/>
    </row>
    <row r="779" ht="12.75" customHeight="1">
      <c r="A779" s="96" t="s">
        <v>4933</v>
      </c>
    </row>
    <row r="780" ht="12.75" customHeight="1">
      <c r="A780" s="90"/>
    </row>
    <row r="781" ht="12.75" customHeight="1">
      <c r="A781" s="96" t="s">
        <v>4934</v>
      </c>
    </row>
    <row r="782" ht="12.75" customHeight="1">
      <c r="A782" s="90"/>
    </row>
    <row r="783" ht="12.75" customHeight="1">
      <c r="A783" s="96" t="s">
        <v>4935</v>
      </c>
    </row>
    <row r="784" ht="12.75" customHeight="1">
      <c r="A784" s="90"/>
    </row>
    <row r="785" ht="12.75" customHeight="1">
      <c r="A785" s="96" t="s">
        <v>4588</v>
      </c>
    </row>
    <row r="786" ht="12.75" customHeight="1">
      <c r="A786" s="90"/>
    </row>
    <row r="787" ht="12.75" customHeight="1">
      <c r="A787" s="96" t="s">
        <v>4928</v>
      </c>
    </row>
    <row r="788" ht="12.75" customHeight="1">
      <c r="A788" s="90"/>
    </row>
    <row r="789" ht="12.75" customHeight="1">
      <c r="A789" s="96" t="s">
        <v>4929</v>
      </c>
    </row>
    <row r="790" ht="12.75" customHeight="1">
      <c r="A790" s="90"/>
    </row>
    <row r="791" ht="12.75" customHeight="1">
      <c r="A791" s="96" t="s">
        <v>4936</v>
      </c>
    </row>
    <row r="792" ht="12.75" customHeight="1">
      <c r="A792" s="90"/>
    </row>
    <row r="793" ht="12.75" customHeight="1">
      <c r="A793" s="96" t="s">
        <v>4937</v>
      </c>
    </row>
    <row r="794" ht="12.75" customHeight="1">
      <c r="A794" s="90"/>
    </row>
    <row r="795" ht="12.75" customHeight="1">
      <c r="A795" s="96" t="s">
        <v>4938</v>
      </c>
    </row>
    <row r="796" ht="12.75" customHeight="1">
      <c r="A796" s="90"/>
    </row>
    <row r="797" ht="12.75" customHeight="1">
      <c r="A797" s="96" t="s">
        <v>4939</v>
      </c>
    </row>
    <row r="798" ht="12.75" customHeight="1">
      <c r="A798" s="90"/>
    </row>
    <row r="799" ht="12.75" customHeight="1">
      <c r="A799" s="96" t="s">
        <v>4940</v>
      </c>
    </row>
    <row r="800" ht="12.75" customHeight="1">
      <c r="A800" s="90"/>
    </row>
    <row r="801" ht="12.75" customHeight="1">
      <c r="A801" s="96" t="s">
        <v>4941</v>
      </c>
    </row>
    <row r="802" ht="12.75" customHeight="1">
      <c r="A802" s="90"/>
    </row>
    <row r="803" ht="12.75" customHeight="1">
      <c r="A803" s="96" t="s">
        <v>8031</v>
      </c>
    </row>
    <row r="804" ht="12.75" customHeight="1">
      <c r="A804" s="96" t="s">
        <v>8032</v>
      </c>
    </row>
    <row r="805" ht="12.75" customHeight="1">
      <c r="A805" s="96" t="s">
        <v>8033</v>
      </c>
    </row>
    <row r="806" ht="12.75" customHeight="1">
      <c r="A806" s="96" t="s">
        <v>8034</v>
      </c>
    </row>
    <row r="807" ht="12.75" customHeight="1">
      <c r="A807" s="96" t="s">
        <v>8035</v>
      </c>
    </row>
    <row r="808" ht="12.75" customHeight="1">
      <c r="A808" s="90"/>
    </row>
    <row r="809" ht="12.75" customHeight="1">
      <c r="A809" s="96" t="s">
        <v>4943</v>
      </c>
    </row>
    <row r="810" ht="12.75" customHeight="1">
      <c r="A810" s="90"/>
    </row>
    <row r="811" ht="12.75" customHeight="1">
      <c r="A811" s="96" t="s">
        <v>4944</v>
      </c>
    </row>
    <row r="812" ht="12.75" customHeight="1">
      <c r="A812" s="90"/>
    </row>
    <row r="813" ht="12.75" customHeight="1">
      <c r="A813" s="96" t="s">
        <v>4945</v>
      </c>
    </row>
    <row r="814" ht="12.75" customHeight="1">
      <c r="A814" s="90"/>
    </row>
    <row r="815" ht="12.75" customHeight="1">
      <c r="A815" s="96" t="s">
        <v>4925</v>
      </c>
    </row>
    <row r="816" ht="12.75" customHeight="1">
      <c r="A816" s="90"/>
    </row>
    <row r="817" ht="12.75" customHeight="1">
      <c r="A817" s="96" t="s">
        <v>4584</v>
      </c>
    </row>
    <row r="818" ht="12.75" customHeight="1">
      <c r="A818" s="90"/>
    </row>
    <row r="819" ht="12.75" customHeight="1">
      <c r="A819" s="90"/>
    </row>
    <row r="820" ht="12.75" customHeight="1">
      <c r="A820" s="96" t="s">
        <v>4946</v>
      </c>
    </row>
    <row r="821" ht="12.75" customHeight="1">
      <c r="A821" s="90"/>
    </row>
    <row r="822" ht="12.75" customHeight="1">
      <c r="A822" s="96" t="s">
        <v>4947</v>
      </c>
    </row>
    <row r="823" ht="12.75" customHeight="1">
      <c r="A823" s="90"/>
    </row>
    <row r="824" ht="12.75" customHeight="1">
      <c r="A824" s="96" t="s">
        <v>4948</v>
      </c>
    </row>
    <row r="825" ht="12.75" customHeight="1">
      <c r="A825" s="90"/>
    </row>
    <row r="826" ht="12.75" customHeight="1">
      <c r="A826" s="96" t="s">
        <v>4949</v>
      </c>
    </row>
    <row r="827" ht="12.75" customHeight="1">
      <c r="A827" s="90"/>
    </row>
    <row r="828" ht="12.75" customHeight="1">
      <c r="A828" s="96" t="s">
        <v>4950</v>
      </c>
    </row>
    <row r="829" ht="12.75" customHeight="1">
      <c r="A829" s="90"/>
    </row>
    <row r="830" ht="12.75" customHeight="1">
      <c r="A830" s="96" t="s">
        <v>4951</v>
      </c>
    </row>
    <row r="831" ht="12.75" customHeight="1">
      <c r="A831" s="90"/>
    </row>
    <row r="832" ht="12.75" customHeight="1">
      <c r="A832" s="96" t="s">
        <v>4952</v>
      </c>
    </row>
    <row r="833" ht="12.75" customHeight="1">
      <c r="A833" s="90"/>
    </row>
    <row r="834" ht="12.75" customHeight="1">
      <c r="A834" s="96" t="s">
        <v>4947</v>
      </c>
    </row>
    <row r="835" ht="12.75" customHeight="1">
      <c r="A835" s="90"/>
    </row>
    <row r="836" ht="12.75" customHeight="1">
      <c r="A836" s="90"/>
    </row>
    <row r="837" ht="12.75" customHeight="1">
      <c r="A837" s="96" t="s">
        <v>4953</v>
      </c>
    </row>
    <row r="838" ht="12.75" customHeight="1">
      <c r="A838" s="90"/>
    </row>
    <row r="839" ht="12.75" customHeight="1">
      <c r="A839" s="96" t="s">
        <v>4954</v>
      </c>
    </row>
    <row r="840" ht="12.75" customHeight="1">
      <c r="A840" s="90"/>
    </row>
    <row r="841" ht="12.75" customHeight="1">
      <c r="A841" s="96" t="s">
        <v>4955</v>
      </c>
    </row>
    <row r="842" ht="12.75" customHeight="1">
      <c r="A842" s="90"/>
    </row>
    <row r="843" ht="12.75" customHeight="1">
      <c r="A843" s="96" t="s">
        <v>4956</v>
      </c>
    </row>
    <row r="844" ht="12.75" customHeight="1">
      <c r="A844" s="90"/>
    </row>
    <row r="845" ht="12.75" customHeight="1">
      <c r="A845" s="96" t="s">
        <v>4957</v>
      </c>
    </row>
    <row r="846" ht="12.75" customHeight="1">
      <c r="A846" s="90"/>
    </row>
    <row r="847" ht="12.75" customHeight="1">
      <c r="A847" s="96" t="s">
        <v>4958</v>
      </c>
    </row>
    <row r="848" ht="12.75" customHeight="1">
      <c r="A848" s="90"/>
    </row>
    <row r="849" ht="12.75" customHeight="1">
      <c r="A849" s="96" t="s">
        <v>4959</v>
      </c>
    </row>
    <row r="850" ht="12.75" customHeight="1">
      <c r="A850" s="90"/>
    </row>
    <row r="851" ht="12.75" customHeight="1">
      <c r="A851" s="96" t="s">
        <v>4960</v>
      </c>
    </row>
    <row r="852" ht="12.75" customHeight="1">
      <c r="A852" s="90"/>
    </row>
    <row r="853" ht="12.75" customHeight="1">
      <c r="A853" s="96" t="s">
        <v>4961</v>
      </c>
    </row>
    <row r="854" ht="12.75" customHeight="1">
      <c r="A854" s="90"/>
    </row>
    <row r="855" ht="12.75" customHeight="1">
      <c r="A855" s="96" t="s">
        <v>4962</v>
      </c>
    </row>
    <row r="856" ht="12.75" customHeight="1">
      <c r="A856" s="90"/>
    </row>
    <row r="857" ht="12.75" customHeight="1">
      <c r="A857" s="96" t="s">
        <v>4963</v>
      </c>
    </row>
    <row r="858" ht="12.75" customHeight="1">
      <c r="A858" s="90"/>
    </row>
    <row r="859" ht="12.75" customHeight="1">
      <c r="A859" s="96" t="s">
        <v>4964</v>
      </c>
    </row>
    <row r="860" ht="12.75" customHeight="1">
      <c r="A860" s="90"/>
    </row>
    <row r="861" ht="12.75" customHeight="1">
      <c r="A861" s="96" t="s">
        <v>4965</v>
      </c>
    </row>
    <row r="862" ht="12.75" customHeight="1">
      <c r="A862" s="90"/>
    </row>
    <row r="863" ht="12.75" customHeight="1">
      <c r="A863" s="96" t="s">
        <v>4966</v>
      </c>
    </row>
    <row r="864" ht="12.75" customHeight="1">
      <c r="A864" s="90"/>
    </row>
    <row r="865" ht="12.75" customHeight="1">
      <c r="A865" s="96" t="s">
        <v>4967</v>
      </c>
    </row>
    <row r="866" ht="12.75" customHeight="1">
      <c r="A866" s="90"/>
    </row>
    <row r="867" ht="12.75" customHeight="1">
      <c r="A867" s="96" t="s">
        <v>4968</v>
      </c>
    </row>
    <row r="868" ht="12.75" customHeight="1">
      <c r="A868" s="90"/>
    </row>
    <row r="869" ht="12.75" customHeight="1">
      <c r="A869" s="96" t="s">
        <v>4969</v>
      </c>
    </row>
    <row r="870" ht="12.75" customHeight="1">
      <c r="A870" s="90"/>
    </row>
    <row r="871" ht="12.75" customHeight="1">
      <c r="A871" s="96" t="s">
        <v>4970</v>
      </c>
    </row>
    <row r="872" ht="12.75" customHeight="1">
      <c r="A872" s="90"/>
    </row>
    <row r="873" ht="12.75" customHeight="1">
      <c r="A873" s="96" t="s">
        <v>4971</v>
      </c>
    </row>
    <row r="874" ht="12.75" customHeight="1">
      <c r="A874" s="90"/>
    </row>
    <row r="875" ht="12.75" customHeight="1">
      <c r="A875" s="96" t="s">
        <v>4972</v>
      </c>
    </row>
    <row r="876" ht="12.75" customHeight="1">
      <c r="A876" s="90"/>
    </row>
    <row r="877" ht="12.75" customHeight="1">
      <c r="A877" s="96" t="s">
        <v>4973</v>
      </c>
    </row>
    <row r="878" ht="12.75" customHeight="1">
      <c r="A878" s="90"/>
    </row>
    <row r="879" ht="12.75" customHeight="1">
      <c r="A879" s="96" t="s">
        <v>4974</v>
      </c>
    </row>
    <row r="880" ht="12.75" customHeight="1">
      <c r="A880" s="90"/>
    </row>
    <row r="881" ht="12.75" customHeight="1">
      <c r="A881" s="96" t="s">
        <v>4968</v>
      </c>
    </row>
    <row r="882" ht="12.75" customHeight="1">
      <c r="A882" s="90"/>
    </row>
    <row r="883" ht="12.75" customHeight="1">
      <c r="A883" s="96" t="s">
        <v>4975</v>
      </c>
    </row>
    <row r="884" ht="12.75" customHeight="1">
      <c r="A884" s="90"/>
    </row>
    <row r="885" ht="12.75" customHeight="1">
      <c r="A885" s="96" t="s">
        <v>4976</v>
      </c>
    </row>
    <row r="886" ht="12.75" customHeight="1">
      <c r="A886" s="90"/>
    </row>
    <row r="887" ht="12.75" customHeight="1">
      <c r="A887" s="96" t="s">
        <v>4977</v>
      </c>
    </row>
    <row r="888" ht="12.75" customHeight="1">
      <c r="A888" s="90"/>
    </row>
    <row r="889" ht="12.75" customHeight="1">
      <c r="A889" s="96" t="s">
        <v>4954</v>
      </c>
    </row>
    <row r="890" ht="12.75" customHeight="1">
      <c r="A890" s="90"/>
    </row>
    <row r="891" ht="12.75" customHeight="1">
      <c r="A891" s="90"/>
    </row>
    <row r="892" ht="12.75" customHeight="1">
      <c r="A892" s="96" t="s">
        <v>4991</v>
      </c>
    </row>
    <row r="893" ht="12.75" customHeight="1">
      <c r="A893" s="90"/>
    </row>
    <row r="894" ht="12.75" customHeight="1">
      <c r="A894" s="96" t="s">
        <v>4979</v>
      </c>
    </row>
    <row r="895" ht="12.75" customHeight="1">
      <c r="A895" s="90"/>
    </row>
    <row r="896" ht="12.75" customHeight="1">
      <c r="A896" s="96" t="s">
        <v>4980</v>
      </c>
    </row>
    <row r="897" ht="12.75" customHeight="1">
      <c r="A897" s="90"/>
    </row>
    <row r="898" ht="12.75" customHeight="1">
      <c r="A898" s="96" t="s">
        <v>826</v>
      </c>
    </row>
    <row r="899" ht="12.75" customHeight="1">
      <c r="A899" s="90"/>
    </row>
    <row r="900" ht="12.75" customHeight="1">
      <c r="A900" s="96" t="s">
        <v>4981</v>
      </c>
    </row>
    <row r="901" ht="12.75" customHeight="1">
      <c r="A901" s="90"/>
    </row>
    <row r="902" ht="12.75" customHeight="1">
      <c r="A902" s="96" t="s">
        <v>829</v>
      </c>
    </row>
    <row r="903" ht="12.75" customHeight="1">
      <c r="A903" s="90"/>
    </row>
    <row r="904" ht="12.75" customHeight="1">
      <c r="A904" s="96" t="s">
        <v>826</v>
      </c>
    </row>
    <row r="905" ht="12.75" customHeight="1">
      <c r="A905" s="90"/>
    </row>
    <row r="906" ht="12.75" customHeight="1">
      <c r="A906" s="96" t="s">
        <v>4982</v>
      </c>
    </row>
    <row r="907" ht="12.75" customHeight="1">
      <c r="A907" s="90"/>
    </row>
    <row r="908" ht="12.75" customHeight="1">
      <c r="A908" s="96" t="s">
        <v>826</v>
      </c>
    </row>
    <row r="909" ht="12.75" customHeight="1">
      <c r="A909" s="90"/>
    </row>
    <row r="910" ht="12.75" customHeight="1">
      <c r="A910" s="96" t="s">
        <v>832</v>
      </c>
    </row>
    <row r="911" ht="12.75" customHeight="1">
      <c r="A911" s="90"/>
    </row>
    <row r="912" ht="12.75" customHeight="1">
      <c r="A912" s="96" t="s">
        <v>4983</v>
      </c>
    </row>
    <row r="913" ht="12.75" customHeight="1">
      <c r="A913" s="90"/>
    </row>
    <row r="914" ht="12.75" customHeight="1">
      <c r="A914" s="96" t="s">
        <v>829</v>
      </c>
    </row>
    <row r="915" ht="12.75" customHeight="1">
      <c r="A915" s="90"/>
    </row>
    <row r="916" ht="12.75" customHeight="1">
      <c r="A916" s="96" t="s">
        <v>826</v>
      </c>
    </row>
    <row r="917" ht="12.75" customHeight="1">
      <c r="A917" s="90"/>
    </row>
    <row r="918" ht="12.75" customHeight="1">
      <c r="A918" s="96" t="s">
        <v>832</v>
      </c>
    </row>
    <row r="919" ht="12.75" customHeight="1">
      <c r="A919" s="90"/>
    </row>
    <row r="920" ht="12.75" customHeight="1">
      <c r="A920" s="96" t="s">
        <v>835</v>
      </c>
    </row>
    <row r="921" ht="12.75" customHeight="1">
      <c r="A921" s="90"/>
    </row>
    <row r="922" ht="12.75" customHeight="1">
      <c r="A922" s="96" t="s">
        <v>4984</v>
      </c>
    </row>
    <row r="923" ht="12.75" customHeight="1">
      <c r="A923" s="90"/>
    </row>
    <row r="924" ht="12.75" customHeight="1">
      <c r="A924" s="96" t="s">
        <v>829</v>
      </c>
    </row>
    <row r="925" ht="12.75" customHeight="1">
      <c r="A925" s="90"/>
    </row>
    <row r="926" ht="12.75" customHeight="1">
      <c r="A926" s="96" t="s">
        <v>826</v>
      </c>
    </row>
    <row r="927" ht="12.75" customHeight="1">
      <c r="A927" s="90"/>
    </row>
    <row r="928" ht="12.75" customHeight="1">
      <c r="A928" s="96" t="s">
        <v>832</v>
      </c>
    </row>
    <row r="929" ht="12.75" customHeight="1">
      <c r="A929" s="90"/>
    </row>
    <row r="930" ht="12.75" customHeight="1">
      <c r="A930" s="96" t="s">
        <v>4985</v>
      </c>
    </row>
    <row r="931" ht="12.75" customHeight="1">
      <c r="A931" s="90"/>
    </row>
    <row r="932" ht="12.75" customHeight="1">
      <c r="A932" s="96" t="s">
        <v>829</v>
      </c>
    </row>
    <row r="933" ht="12.75" customHeight="1">
      <c r="A933" s="90"/>
    </row>
    <row r="934" ht="12.75" customHeight="1">
      <c r="A934" s="96" t="s">
        <v>832</v>
      </c>
    </row>
    <row r="935" ht="12.75" customHeight="1">
      <c r="A935" s="90"/>
    </row>
    <row r="936" ht="12.75" customHeight="1">
      <c r="A936" s="96" t="s">
        <v>835</v>
      </c>
    </row>
    <row r="937" ht="12.75" customHeight="1">
      <c r="A937" s="90"/>
    </row>
    <row r="938" ht="12.75" customHeight="1">
      <c r="A938" s="96" t="s">
        <v>4986</v>
      </c>
    </row>
    <row r="939" ht="12.75" customHeight="1">
      <c r="A939" s="90"/>
    </row>
    <row r="940" ht="12.75" customHeight="1">
      <c r="A940" s="96" t="s">
        <v>829</v>
      </c>
    </row>
    <row r="941" ht="12.75" customHeight="1">
      <c r="A941" s="90"/>
    </row>
    <row r="942" ht="12.75" customHeight="1">
      <c r="A942" s="96" t="s">
        <v>826</v>
      </c>
    </row>
    <row r="943" ht="12.75" customHeight="1">
      <c r="A943" s="90"/>
    </row>
    <row r="944" ht="12.75" customHeight="1">
      <c r="A944" s="96" t="s">
        <v>832</v>
      </c>
    </row>
    <row r="945" ht="12.75" customHeight="1">
      <c r="A945" s="90"/>
    </row>
    <row r="946" ht="12.75" customHeight="1">
      <c r="A946" s="96" t="s">
        <v>835</v>
      </c>
    </row>
    <row r="947" ht="12.75" customHeight="1">
      <c r="A947" s="90"/>
    </row>
    <row r="948" ht="12.75" customHeight="1">
      <c r="A948" s="96" t="s">
        <v>4987</v>
      </c>
    </row>
    <row r="949" ht="12.75" customHeight="1">
      <c r="A949" s="90"/>
    </row>
    <row r="950" ht="12.75" customHeight="1">
      <c r="A950" s="96" t="s">
        <v>826</v>
      </c>
    </row>
    <row r="951" ht="12.75" customHeight="1">
      <c r="A951" s="90"/>
    </row>
    <row r="952" ht="12.75" customHeight="1">
      <c r="A952" s="96" t="s">
        <v>832</v>
      </c>
    </row>
    <row r="953" ht="12.75" customHeight="1">
      <c r="A953" s="90"/>
    </row>
    <row r="954" ht="12.75" customHeight="1">
      <c r="A954" s="96" t="s">
        <v>4988</v>
      </c>
    </row>
    <row r="955" ht="12.75" customHeight="1">
      <c r="A955" s="90"/>
    </row>
    <row r="956" ht="12.75" customHeight="1">
      <c r="A956" s="96" t="s">
        <v>826</v>
      </c>
    </row>
    <row r="957" ht="12.75" customHeight="1">
      <c r="A957" s="90"/>
    </row>
    <row r="958" ht="12.75" customHeight="1">
      <c r="A958" s="96" t="s">
        <v>4989</v>
      </c>
    </row>
    <row r="959" ht="12.75" customHeight="1">
      <c r="A959" s="90"/>
    </row>
    <row r="960" ht="12.75" customHeight="1">
      <c r="A960" s="96" t="s">
        <v>829</v>
      </c>
    </row>
    <row r="961" ht="12.75" customHeight="1">
      <c r="A961" s="90"/>
    </row>
    <row r="962" ht="12.75" customHeight="1">
      <c r="A962" s="96" t="s">
        <v>826</v>
      </c>
    </row>
    <row r="963" ht="12.75" customHeight="1">
      <c r="A963" s="90"/>
    </row>
    <row r="964" ht="12.75" customHeight="1">
      <c r="A964" s="96" t="s">
        <v>832</v>
      </c>
    </row>
    <row r="965" ht="12.75" customHeight="1">
      <c r="A965" s="90"/>
    </row>
    <row r="966" ht="12.75" customHeight="1">
      <c r="A966" s="96" t="s">
        <v>4990</v>
      </c>
    </row>
    <row r="967" ht="12.75" customHeight="1">
      <c r="A967" s="90"/>
    </row>
    <row r="968" ht="12.75" customHeight="1">
      <c r="A968" s="96" t="s">
        <v>829</v>
      </c>
    </row>
    <row r="969" ht="12.75" customHeight="1">
      <c r="A969" s="90"/>
    </row>
    <row r="970" ht="12.75" customHeight="1">
      <c r="A970" s="96" t="s">
        <v>832</v>
      </c>
    </row>
    <row r="971" ht="12.75" customHeight="1">
      <c r="A971" s="90"/>
    </row>
    <row r="972" ht="12.75" customHeight="1">
      <c r="A972" s="96" t="s">
        <v>4991</v>
      </c>
    </row>
    <row r="973" ht="12.75" customHeight="1">
      <c r="A973" s="90"/>
    </row>
    <row r="974" ht="12.75" customHeight="1">
      <c r="A974" s="90"/>
    </row>
    <row r="975" ht="12.75" customHeight="1">
      <c r="A975" s="96" t="s">
        <v>4992</v>
      </c>
    </row>
    <row r="976" ht="12.75" customHeight="1">
      <c r="A976" s="90"/>
    </row>
    <row r="977" ht="12.75" customHeight="1">
      <c r="A977" s="96" t="s">
        <v>4993</v>
      </c>
    </row>
    <row r="978" ht="12.75" customHeight="1">
      <c r="A978" s="90"/>
    </row>
    <row r="979" ht="12.75" customHeight="1">
      <c r="A979" s="96" t="s">
        <v>4958</v>
      </c>
    </row>
    <row r="980" ht="12.75" customHeight="1">
      <c r="A980" s="90"/>
    </row>
    <row r="981" ht="12.75" customHeight="1">
      <c r="A981" s="96" t="s">
        <v>4980</v>
      </c>
    </row>
    <row r="982" ht="12.75" customHeight="1">
      <c r="A982" s="90"/>
    </row>
    <row r="983" ht="12.75" customHeight="1">
      <c r="A983" s="96" t="s">
        <v>4994</v>
      </c>
    </row>
    <row r="984" ht="12.75" customHeight="1">
      <c r="A984" s="90"/>
    </row>
    <row r="985" ht="12.75" customHeight="1">
      <c r="A985" s="96" t="s">
        <v>4995</v>
      </c>
    </row>
    <row r="986" ht="12.75" customHeight="1">
      <c r="A986" s="90"/>
    </row>
    <row r="987" ht="12.75" customHeight="1">
      <c r="A987" s="96" t="s">
        <v>4967</v>
      </c>
    </row>
    <row r="988" ht="12.75" customHeight="1">
      <c r="A988" s="90"/>
    </row>
    <row r="989" ht="12.75" customHeight="1">
      <c r="A989" s="96" t="s">
        <v>4996</v>
      </c>
    </row>
    <row r="990" ht="12.75" customHeight="1">
      <c r="A990" s="90"/>
    </row>
    <row r="991" ht="12.75" customHeight="1">
      <c r="A991" s="96" t="s">
        <v>4975</v>
      </c>
    </row>
    <row r="992" ht="12.75" customHeight="1">
      <c r="A992" s="90"/>
    </row>
    <row r="993" ht="12.75" customHeight="1">
      <c r="A993" s="96" t="s">
        <v>4997</v>
      </c>
    </row>
    <row r="994" ht="12.75" customHeight="1">
      <c r="A994" s="90"/>
    </row>
    <row r="995" ht="12.75" customHeight="1">
      <c r="A995" s="96" t="s">
        <v>4998</v>
      </c>
    </row>
    <row r="996" ht="12.75" customHeight="1">
      <c r="A996" s="90"/>
    </row>
    <row r="997" ht="12.75" customHeight="1">
      <c r="A997" s="96" t="s">
        <v>4999</v>
      </c>
    </row>
    <row r="998" ht="12.75" customHeight="1">
      <c r="A998" s="90"/>
    </row>
    <row r="999" ht="12.75" customHeight="1">
      <c r="A999" s="96" t="s">
        <v>5000</v>
      </c>
    </row>
    <row r="1000" ht="12.75" customHeight="1">
      <c r="A1000" s="90"/>
    </row>
    <row r="1001" ht="12.75" customHeight="1">
      <c r="A1001" s="96" t="s">
        <v>5001</v>
      </c>
    </row>
    <row r="1002" ht="12.75" customHeight="1">
      <c r="A1002" s="90"/>
    </row>
    <row r="1003" ht="12.75" customHeight="1">
      <c r="A1003" s="96" t="s">
        <v>4996</v>
      </c>
    </row>
    <row r="1004" ht="12.75" customHeight="1">
      <c r="A1004" s="90"/>
    </row>
    <row r="1005" ht="12.75" customHeight="1">
      <c r="A1005" s="96" t="s">
        <v>4975</v>
      </c>
    </row>
    <row r="1006" ht="12.75" customHeight="1">
      <c r="A1006" s="90"/>
    </row>
    <row r="1007" ht="12.75" customHeight="1">
      <c r="A1007" s="96" t="s">
        <v>4992</v>
      </c>
    </row>
    <row r="1008" ht="12.75" customHeight="1">
      <c r="A1008" s="90"/>
    </row>
    <row r="1009" ht="12.75" customHeight="1">
      <c r="A1009" s="90"/>
    </row>
    <row r="1010" ht="12.75" customHeight="1">
      <c r="A1010" s="96" t="s">
        <v>5002</v>
      </c>
    </row>
    <row r="1011" ht="12.75" customHeight="1">
      <c r="A1011" s="90"/>
    </row>
    <row r="1012" ht="12.75" customHeight="1">
      <c r="A1012" s="96" t="s">
        <v>5003</v>
      </c>
    </row>
    <row r="1013" ht="12.75" customHeight="1">
      <c r="A1013" s="90"/>
    </row>
    <row r="1014" ht="12.75" customHeight="1">
      <c r="A1014" s="96" t="s">
        <v>5004</v>
      </c>
    </row>
    <row r="1015" ht="12.75" customHeight="1">
      <c r="A1015" s="90"/>
    </row>
    <row r="1016" ht="12.75" customHeight="1">
      <c r="A1016" s="96" t="s">
        <v>5005</v>
      </c>
    </row>
    <row r="1017" ht="12.75" customHeight="1">
      <c r="A1017" s="90"/>
    </row>
    <row r="1018" ht="12.75" customHeight="1">
      <c r="A1018" s="96" t="s">
        <v>5006</v>
      </c>
    </row>
    <row r="1019" ht="12.75" customHeight="1">
      <c r="A1019" s="90"/>
    </row>
    <row r="1020" ht="12.75" customHeight="1">
      <c r="A1020" s="96" t="s">
        <v>5002</v>
      </c>
    </row>
    <row r="1021" ht="12.75" customHeight="1">
      <c r="A1021" s="90"/>
    </row>
    <row r="1022" ht="12.75" customHeight="1">
      <c r="A1022" s="90"/>
    </row>
    <row r="1023" ht="12.75" customHeight="1">
      <c r="A1023" s="96" t="s">
        <v>5007</v>
      </c>
    </row>
    <row r="1024" ht="12.75" customHeight="1">
      <c r="A1024" s="90"/>
    </row>
    <row r="1025" ht="12.75" customHeight="1">
      <c r="A1025" s="96" t="s">
        <v>5008</v>
      </c>
    </row>
    <row r="1026" ht="12.75" customHeight="1">
      <c r="A1026" s="90"/>
    </row>
    <row r="1027" ht="12.75" customHeight="1">
      <c r="A1027" s="96" t="s">
        <v>5009</v>
      </c>
    </row>
    <row r="1028" ht="12.75" customHeight="1">
      <c r="A1028" s="90"/>
    </row>
    <row r="1029" ht="12.75" customHeight="1">
      <c r="A1029" s="96" t="s">
        <v>5007</v>
      </c>
    </row>
    <row r="1030" ht="12.75" customHeight="1">
      <c r="A1030" s="90"/>
    </row>
    <row r="1031" ht="12.75" customHeight="1">
      <c r="A1031" s="90"/>
    </row>
    <row r="1032" ht="12.75" customHeight="1">
      <c r="A1032" s="96" t="s">
        <v>5010</v>
      </c>
    </row>
    <row r="1033" ht="12.75" customHeight="1">
      <c r="A1033" s="90"/>
    </row>
    <row r="1034" ht="12.75" customHeight="1">
      <c r="A1034" s="96" t="s">
        <v>5011</v>
      </c>
    </row>
    <row r="1035" ht="12.75" customHeight="1">
      <c r="A1035" s="90"/>
    </row>
    <row r="1036" ht="12.75" customHeight="1">
      <c r="A1036" s="96" t="s">
        <v>5012</v>
      </c>
    </row>
    <row r="1037" ht="12.75" customHeight="1">
      <c r="A1037" s="90"/>
    </row>
    <row r="1038" ht="12.75" customHeight="1">
      <c r="A1038" s="96" t="s">
        <v>5013</v>
      </c>
    </row>
    <row r="1039" ht="12.75" customHeight="1">
      <c r="A1039" s="90"/>
    </row>
    <row r="1040" ht="12.75" customHeight="1">
      <c r="A1040" s="96" t="s">
        <v>5014</v>
      </c>
    </row>
    <row r="1041" ht="12.75" customHeight="1">
      <c r="A1041" s="90"/>
    </row>
    <row r="1042" ht="12.75" customHeight="1">
      <c r="A1042" s="96" t="s">
        <v>5015</v>
      </c>
    </row>
    <row r="1043" ht="12.75" customHeight="1">
      <c r="A1043" s="90"/>
    </row>
    <row r="1044" ht="12.75" customHeight="1">
      <c r="A1044" s="96" t="s">
        <v>5016</v>
      </c>
    </row>
    <row r="1045" ht="12.75" customHeight="1">
      <c r="A1045" s="90"/>
    </row>
    <row r="1046" ht="12.75" customHeight="1">
      <c r="A1046" s="96" t="s">
        <v>5017</v>
      </c>
    </row>
    <row r="1047" ht="12.75" customHeight="1">
      <c r="A1047" s="90"/>
    </row>
    <row r="1048" ht="12.75" customHeight="1">
      <c r="A1048" s="96" t="s">
        <v>5018</v>
      </c>
    </row>
    <row r="1049" ht="12.75" customHeight="1">
      <c r="A1049" s="90"/>
    </row>
    <row r="1050" ht="12.75" customHeight="1">
      <c r="A1050" s="96" t="s">
        <v>5019</v>
      </c>
    </row>
    <row r="1051" ht="12.75" customHeight="1">
      <c r="A1051" s="90"/>
    </row>
    <row r="1052" ht="12.75" customHeight="1">
      <c r="A1052" s="96" t="s">
        <v>900</v>
      </c>
    </row>
    <row r="1053" ht="12.75" customHeight="1">
      <c r="A1053" s="90"/>
    </row>
    <row r="1054" ht="12.75" customHeight="1">
      <c r="A1054" s="96" t="s">
        <v>901</v>
      </c>
    </row>
    <row r="1055" ht="12.75" customHeight="1">
      <c r="A1055" s="90"/>
    </row>
    <row r="1056" ht="12.75" customHeight="1">
      <c r="A1056" s="96" t="s">
        <v>902</v>
      </c>
    </row>
    <row r="1057" ht="12.75" customHeight="1">
      <c r="A1057" s="90"/>
    </row>
    <row r="1058" ht="12.75" customHeight="1">
      <c r="A1058" s="96" t="s">
        <v>903</v>
      </c>
    </row>
    <row r="1059" ht="12.75" customHeight="1">
      <c r="A1059" s="90"/>
    </row>
    <row r="1060" ht="12.75" customHeight="1">
      <c r="A1060" s="96" t="s">
        <v>5020</v>
      </c>
    </row>
    <row r="1061" ht="12.75" customHeight="1">
      <c r="A1061" s="90"/>
    </row>
    <row r="1062" ht="12.75" customHeight="1">
      <c r="A1062" s="96" t="s">
        <v>5010</v>
      </c>
    </row>
    <row r="1063" ht="12.75" customHeight="1">
      <c r="A1063" s="90"/>
    </row>
    <row r="1064" ht="12.75" customHeight="1">
      <c r="A1064" s="90"/>
    </row>
    <row r="1065" ht="12.75" customHeight="1">
      <c r="A1065" s="96" t="s">
        <v>5021</v>
      </c>
    </row>
    <row r="1066" ht="12.75" customHeight="1">
      <c r="A1066" s="90"/>
    </row>
    <row r="1067" ht="12.75" customHeight="1">
      <c r="A1067" s="96" t="s">
        <v>5022</v>
      </c>
    </row>
    <row r="1068" ht="12.75" customHeight="1">
      <c r="A1068" s="90"/>
    </row>
    <row r="1069" ht="12.75" customHeight="1">
      <c r="A1069" s="96" t="s">
        <v>5023</v>
      </c>
    </row>
    <row r="1070" ht="12.75" customHeight="1">
      <c r="A1070" s="90"/>
    </row>
    <row r="1071" ht="12.75" customHeight="1">
      <c r="A1071" s="96" t="s">
        <v>909</v>
      </c>
    </row>
    <row r="1072" ht="12.75" customHeight="1">
      <c r="A1072" s="90"/>
    </row>
    <row r="1073" ht="12.75" customHeight="1">
      <c r="A1073" s="96" t="s">
        <v>910</v>
      </c>
    </row>
    <row r="1074" ht="12.75" customHeight="1">
      <c r="A1074" s="90"/>
    </row>
    <row r="1075" ht="12.75" customHeight="1">
      <c r="A1075" s="96" t="s">
        <v>5024</v>
      </c>
    </row>
    <row r="1076" ht="12.75" customHeight="1">
      <c r="A1076" s="90"/>
    </row>
    <row r="1077" ht="12.75" customHeight="1">
      <c r="A1077" s="96" t="s">
        <v>912</v>
      </c>
    </row>
    <row r="1078" ht="12.75" customHeight="1">
      <c r="A1078" s="90"/>
    </row>
    <row r="1079" ht="12.75" customHeight="1">
      <c r="A1079" s="96" t="s">
        <v>913</v>
      </c>
    </row>
    <row r="1080" ht="12.75" customHeight="1">
      <c r="A1080" s="90"/>
    </row>
    <row r="1081" ht="12.75" customHeight="1">
      <c r="A1081" s="96" t="s">
        <v>914</v>
      </c>
    </row>
    <row r="1082" ht="12.75" customHeight="1">
      <c r="A1082" s="90"/>
    </row>
    <row r="1083" ht="12.75" customHeight="1">
      <c r="A1083" s="96" t="s">
        <v>915</v>
      </c>
    </row>
    <row r="1084" ht="12.75" customHeight="1">
      <c r="A1084" s="90"/>
    </row>
    <row r="1085" ht="12.75" customHeight="1">
      <c r="A1085" s="96" t="s">
        <v>5021</v>
      </c>
    </row>
    <row r="1086" ht="12.75" customHeight="1">
      <c r="A1086" s="90"/>
    </row>
    <row r="1087" ht="12.75" customHeight="1">
      <c r="A1087" s="90"/>
    </row>
    <row r="1088" ht="12.75" customHeight="1">
      <c r="A1088" s="96" t="s">
        <v>5025</v>
      </c>
    </row>
    <row r="1089" ht="12.75" customHeight="1">
      <c r="A1089" s="90"/>
    </row>
    <row r="1090" ht="12.75" customHeight="1">
      <c r="A1090" s="96" t="s">
        <v>5026</v>
      </c>
    </row>
    <row r="1091" ht="12.75" customHeight="1">
      <c r="A1091" s="90"/>
    </row>
    <row r="1092" ht="12.75" customHeight="1">
      <c r="A1092" s="96" t="s">
        <v>5027</v>
      </c>
    </row>
    <row r="1093" ht="12.75" customHeight="1">
      <c r="A1093" s="90"/>
    </row>
    <row r="1094" ht="12.75" customHeight="1">
      <c r="A1094" s="96" t="s">
        <v>920</v>
      </c>
    </row>
    <row r="1095" ht="12.75" customHeight="1">
      <c r="A1095" s="90"/>
    </row>
    <row r="1096" ht="12.75" customHeight="1">
      <c r="A1096" s="96" t="s">
        <v>921</v>
      </c>
    </row>
    <row r="1097" ht="12.75" customHeight="1">
      <c r="A1097" s="90"/>
    </row>
    <row r="1098" ht="12.75" customHeight="1">
      <c r="A1098" s="96" t="s">
        <v>922</v>
      </c>
    </row>
    <row r="1099" ht="12.75" customHeight="1">
      <c r="A1099" s="90"/>
    </row>
    <row r="1100" ht="12.75" customHeight="1">
      <c r="A1100" s="96" t="s">
        <v>923</v>
      </c>
    </row>
    <row r="1101" ht="12.75" customHeight="1">
      <c r="A1101" s="90"/>
    </row>
    <row r="1102" ht="12.75" customHeight="1">
      <c r="A1102" s="96" t="s">
        <v>5028</v>
      </c>
    </row>
    <row r="1103" ht="12.75" customHeight="1">
      <c r="A1103" s="90"/>
    </row>
    <row r="1104" ht="12.75" customHeight="1">
      <c r="A1104" s="96" t="s">
        <v>922</v>
      </c>
    </row>
    <row r="1105" ht="12.75" customHeight="1">
      <c r="A1105" s="90"/>
    </row>
    <row r="1106" ht="12.75" customHeight="1">
      <c r="A1106" s="96" t="s">
        <v>926</v>
      </c>
    </row>
    <row r="1107" ht="12.75" customHeight="1">
      <c r="A1107" s="90"/>
    </row>
    <row r="1108" ht="12.75" customHeight="1">
      <c r="A1108" s="96" t="s">
        <v>5025</v>
      </c>
    </row>
    <row r="1109" ht="12.75" customHeight="1">
      <c r="A1109" s="90"/>
    </row>
    <row r="1110" ht="12.75" customHeight="1">
      <c r="A1110" s="90"/>
    </row>
    <row r="1111" ht="12.75" customHeight="1">
      <c r="A1111" s="96" t="s">
        <v>5029</v>
      </c>
    </row>
    <row r="1112" ht="12.75" customHeight="1">
      <c r="A1112" s="90"/>
    </row>
    <row r="1113" ht="12.75" customHeight="1">
      <c r="A1113" s="96" t="s">
        <v>5030</v>
      </c>
    </row>
    <row r="1114" ht="12.75" customHeight="1">
      <c r="A1114" s="90"/>
    </row>
    <row r="1115" ht="12.75" customHeight="1">
      <c r="A1115" s="96" t="s">
        <v>5031</v>
      </c>
    </row>
    <row r="1116" ht="12.75" customHeight="1">
      <c r="A1116" s="90"/>
    </row>
    <row r="1117" ht="12.75" customHeight="1">
      <c r="A1117" s="96" t="s">
        <v>5032</v>
      </c>
    </row>
    <row r="1118" ht="12.75" customHeight="1">
      <c r="A1118" s="90"/>
    </row>
    <row r="1119" ht="12.75" customHeight="1">
      <c r="A1119" s="96" t="s">
        <v>5033</v>
      </c>
    </row>
    <row r="1120" ht="12.75" customHeight="1">
      <c r="A1120" s="90"/>
    </row>
    <row r="1121" ht="12.75" customHeight="1">
      <c r="A1121" s="96" t="s">
        <v>5034</v>
      </c>
    </row>
    <row r="1122" ht="12.75" customHeight="1">
      <c r="A1122" s="90"/>
    </row>
    <row r="1123" ht="12.75" customHeight="1">
      <c r="A1123" s="96" t="s">
        <v>5035</v>
      </c>
    </row>
    <row r="1124" ht="12.75" customHeight="1">
      <c r="A1124" s="90"/>
    </row>
    <row r="1125" ht="12.75" customHeight="1">
      <c r="A1125" s="96" t="s">
        <v>5029</v>
      </c>
    </row>
    <row r="1126" ht="12.75" customHeight="1">
      <c r="A1126" s="90"/>
    </row>
    <row r="1127" ht="12.75" customHeight="1">
      <c r="A1127" s="96" t="s">
        <v>4953</v>
      </c>
    </row>
    <row r="1128" ht="12.75" customHeight="1">
      <c r="A1128" s="90"/>
    </row>
    <row r="1129" ht="12.75" customHeight="1">
      <c r="A1129" s="90"/>
    </row>
    <row r="1130" ht="12.75" customHeight="1">
      <c r="A1130" s="96" t="s">
        <v>5036</v>
      </c>
    </row>
    <row r="1131" ht="12.75" customHeight="1">
      <c r="A1131" s="90"/>
    </row>
    <row r="1132" ht="12.75" customHeight="1">
      <c r="A1132" s="96" t="s">
        <v>5037</v>
      </c>
    </row>
    <row r="1133" ht="12.75" customHeight="1">
      <c r="A1133" s="90"/>
    </row>
    <row r="1134" ht="12.75" customHeight="1">
      <c r="A1134" s="96" t="s">
        <v>5038</v>
      </c>
    </row>
    <row r="1135" ht="12.75" customHeight="1">
      <c r="A1135" s="90"/>
    </row>
    <row r="1136" ht="12.75" customHeight="1">
      <c r="A1136" s="96" t="s">
        <v>5039</v>
      </c>
    </row>
    <row r="1137" ht="12.75" customHeight="1">
      <c r="A1137" s="90"/>
    </row>
    <row r="1138" ht="12.75" customHeight="1">
      <c r="A1138" s="96" t="s">
        <v>5040</v>
      </c>
    </row>
    <row r="1139" ht="12.75" customHeight="1">
      <c r="A1139" s="90"/>
    </row>
    <row r="1140" ht="12.75" customHeight="1">
      <c r="A1140" s="96" t="s">
        <v>5041</v>
      </c>
    </row>
    <row r="1141" ht="12.75" customHeight="1">
      <c r="A1141" s="90"/>
    </row>
    <row r="1142" ht="12.75" customHeight="1">
      <c r="A1142" s="96" t="s">
        <v>5042</v>
      </c>
    </row>
    <row r="1143" ht="12.75" customHeight="1">
      <c r="A1143" s="90"/>
    </row>
    <row r="1144" ht="12.75" customHeight="1">
      <c r="A1144" s="96" t="s">
        <v>5043</v>
      </c>
    </row>
    <row r="1145" ht="12.75" customHeight="1">
      <c r="A1145" s="90"/>
    </row>
    <row r="1146" ht="12.75" customHeight="1">
      <c r="A1146" s="96" t="s">
        <v>2620</v>
      </c>
    </row>
    <row r="1147" ht="12.75" customHeight="1">
      <c r="A1147" s="90"/>
    </row>
    <row r="1148" ht="12.75" customHeight="1">
      <c r="A1148" s="96" t="s">
        <v>2622</v>
      </c>
    </row>
    <row r="1149" ht="12.75" customHeight="1">
      <c r="A1149" s="90"/>
    </row>
    <row r="1150" ht="12.75" customHeight="1">
      <c r="A1150" s="96" t="s">
        <v>2624</v>
      </c>
    </row>
    <row r="1151" ht="12.75" customHeight="1">
      <c r="A1151" s="90"/>
    </row>
    <row r="1152" ht="12.75" customHeight="1">
      <c r="A1152" s="96" t="s">
        <v>2626</v>
      </c>
    </row>
    <row r="1153" ht="12.75" customHeight="1">
      <c r="A1153" s="90"/>
    </row>
    <row r="1154" ht="12.75" customHeight="1">
      <c r="A1154" s="96" t="s">
        <v>2628</v>
      </c>
    </row>
    <row r="1155" ht="12.75" customHeight="1">
      <c r="A1155" s="90"/>
    </row>
    <row r="1156" ht="12.75" customHeight="1">
      <c r="A1156" s="96" t="s">
        <v>5044</v>
      </c>
    </row>
    <row r="1157" ht="12.75" customHeight="1">
      <c r="A1157" s="90"/>
    </row>
    <row r="1158" ht="12.75" customHeight="1">
      <c r="A1158" s="96" t="s">
        <v>5045</v>
      </c>
    </row>
    <row r="1159" ht="12.75" customHeight="1">
      <c r="A1159" s="90"/>
    </row>
    <row r="1160" ht="12.75" customHeight="1">
      <c r="A1160" s="96" t="s">
        <v>2620</v>
      </c>
    </row>
    <row r="1161" ht="12.75" customHeight="1">
      <c r="A1161" s="90"/>
    </row>
    <row r="1162" ht="12.75" customHeight="1">
      <c r="A1162" s="96" t="s">
        <v>2622</v>
      </c>
    </row>
    <row r="1163" ht="12.75" customHeight="1">
      <c r="A1163" s="90"/>
    </row>
    <row r="1164" ht="12.75" customHeight="1">
      <c r="A1164" s="96" t="s">
        <v>2624</v>
      </c>
    </row>
    <row r="1165" ht="12.75" customHeight="1">
      <c r="A1165" s="90"/>
    </row>
    <row r="1166" ht="12.75" customHeight="1">
      <c r="A1166" s="96" t="s">
        <v>2626</v>
      </c>
    </row>
    <row r="1167" ht="12.75" customHeight="1">
      <c r="A1167" s="90"/>
    </row>
    <row r="1168" ht="12.75" customHeight="1">
      <c r="A1168" s="96" t="s">
        <v>5046</v>
      </c>
    </row>
    <row r="1169" ht="12.75" customHeight="1">
      <c r="A1169" s="90"/>
    </row>
    <row r="1170" ht="12.75" customHeight="1">
      <c r="A1170" s="96" t="s">
        <v>5047</v>
      </c>
    </row>
    <row r="1171" ht="12.75" customHeight="1">
      <c r="A1171" s="90"/>
    </row>
    <row r="1172" ht="12.75" customHeight="1">
      <c r="A1172" s="96" t="s">
        <v>2620</v>
      </c>
    </row>
    <row r="1173" ht="12.75" customHeight="1">
      <c r="A1173" s="90"/>
    </row>
    <row r="1174" ht="12.75" customHeight="1">
      <c r="A1174" s="96" t="s">
        <v>2622</v>
      </c>
    </row>
    <row r="1175" ht="12.75" customHeight="1">
      <c r="A1175" s="90"/>
    </row>
    <row r="1176" ht="12.75" customHeight="1">
      <c r="A1176" s="96" t="s">
        <v>5048</v>
      </c>
    </row>
    <row r="1177" ht="12.75" customHeight="1">
      <c r="A1177" s="90"/>
    </row>
    <row r="1178" ht="12.75" customHeight="1">
      <c r="A1178" s="96" t="s">
        <v>5049</v>
      </c>
    </row>
    <row r="1179" ht="12.75" customHeight="1">
      <c r="A1179" s="90"/>
    </row>
    <row r="1180" ht="12.75" customHeight="1">
      <c r="A1180" s="96" t="s">
        <v>5050</v>
      </c>
    </row>
    <row r="1181" ht="12.75" customHeight="1">
      <c r="A1181" s="90"/>
    </row>
    <row r="1182" ht="12.75" customHeight="1">
      <c r="A1182" s="96" t="s">
        <v>5051</v>
      </c>
    </row>
    <row r="1183" ht="12.75" customHeight="1">
      <c r="A1183" s="90"/>
    </row>
    <row r="1184" ht="12.75" customHeight="1">
      <c r="A1184" s="96" t="s">
        <v>5052</v>
      </c>
    </row>
    <row r="1185" ht="12.75" customHeight="1">
      <c r="A1185" s="90"/>
    </row>
    <row r="1186" ht="12.75" customHeight="1">
      <c r="A1186" s="96" t="s">
        <v>5053</v>
      </c>
    </row>
    <row r="1187" ht="12.75" customHeight="1">
      <c r="A1187" s="90"/>
    </row>
    <row r="1188" ht="12.75" customHeight="1">
      <c r="A1188" s="96" t="s">
        <v>5054</v>
      </c>
    </row>
    <row r="1189" ht="12.75" customHeight="1">
      <c r="A1189" s="90"/>
    </row>
    <row r="1190" ht="12.75" customHeight="1">
      <c r="A1190" s="96" t="s">
        <v>5055</v>
      </c>
    </row>
    <row r="1191" ht="12.75" customHeight="1">
      <c r="A1191" s="90"/>
    </row>
    <row r="1192" ht="12.75" customHeight="1">
      <c r="A1192" s="96" t="s">
        <v>5056</v>
      </c>
    </row>
    <row r="1193" ht="12.75" customHeight="1">
      <c r="A1193" s="90"/>
    </row>
    <row r="1194" ht="12.75" customHeight="1">
      <c r="A1194" s="96" t="s">
        <v>5057</v>
      </c>
    </row>
    <row r="1195" ht="12.75" customHeight="1">
      <c r="A1195" s="90"/>
    </row>
    <row r="1196" ht="12.75" customHeight="1">
      <c r="A1196" s="96" t="s">
        <v>5058</v>
      </c>
    </row>
    <row r="1197" ht="12.75" customHeight="1">
      <c r="A1197" s="90"/>
    </row>
    <row r="1198" ht="12.75" customHeight="1">
      <c r="A1198" s="96" t="s">
        <v>2659</v>
      </c>
    </row>
    <row r="1199" ht="12.75" customHeight="1">
      <c r="A1199" s="90"/>
    </row>
    <row r="1200" ht="12.75" customHeight="1">
      <c r="A1200" s="96" t="s">
        <v>5059</v>
      </c>
    </row>
    <row r="1201" ht="12.75" customHeight="1">
      <c r="A1201" s="90"/>
    </row>
    <row r="1202" ht="12.75" customHeight="1">
      <c r="A1202" s="96" t="s">
        <v>2663</v>
      </c>
    </row>
    <row r="1203" ht="12.75" customHeight="1">
      <c r="A1203" s="90"/>
    </row>
    <row r="1204" ht="12.75" customHeight="1">
      <c r="A1204" s="96" t="s">
        <v>5060</v>
      </c>
    </row>
    <row r="1205" ht="12.75" customHeight="1">
      <c r="A1205" s="90"/>
    </row>
    <row r="1206" ht="12.75" customHeight="1">
      <c r="A1206" s="96" t="s">
        <v>4126</v>
      </c>
    </row>
    <row r="1207" ht="12.75" customHeight="1">
      <c r="A1207" s="90"/>
    </row>
    <row r="1208" ht="12.75" customHeight="1">
      <c r="A1208" s="96" t="s">
        <v>5061</v>
      </c>
    </row>
    <row r="1209" ht="12.75" customHeight="1">
      <c r="A1209" s="90"/>
    </row>
    <row r="1210" ht="12.75" customHeight="1">
      <c r="A1210" s="96" t="s">
        <v>4128</v>
      </c>
    </row>
    <row r="1211" ht="12.75" customHeight="1">
      <c r="A1211" s="90"/>
    </row>
    <row r="1212" ht="12.75" customHeight="1">
      <c r="A1212" s="96" t="s">
        <v>5062</v>
      </c>
    </row>
    <row r="1213" ht="12.75" customHeight="1">
      <c r="A1213" s="90"/>
    </row>
    <row r="1214" ht="12.75" customHeight="1">
      <c r="A1214" s="96" t="s">
        <v>5063</v>
      </c>
    </row>
    <row r="1215" ht="12.75" customHeight="1">
      <c r="A1215" s="90"/>
    </row>
    <row r="1216" ht="12.75" customHeight="1">
      <c r="A1216" s="96" t="s">
        <v>5064</v>
      </c>
    </row>
    <row r="1217" ht="12.75" customHeight="1">
      <c r="A1217" s="90"/>
    </row>
    <row r="1218" ht="12.75" customHeight="1">
      <c r="A1218" s="96" t="s">
        <v>5065</v>
      </c>
    </row>
    <row r="1219" ht="12.75" customHeight="1">
      <c r="A1219" s="90"/>
    </row>
    <row r="1220" ht="12.75" customHeight="1">
      <c r="A1220" s="96" t="s">
        <v>5066</v>
      </c>
    </row>
    <row r="1221" ht="12.75" customHeight="1">
      <c r="A1221" s="90"/>
    </row>
    <row r="1222" ht="12.75" customHeight="1">
      <c r="A1222" s="96" t="s">
        <v>5067</v>
      </c>
    </row>
    <row r="1223" ht="12.75" customHeight="1">
      <c r="A1223" s="90"/>
    </row>
    <row r="1224" ht="12.75" customHeight="1">
      <c r="A1224" s="96" t="s">
        <v>5068</v>
      </c>
    </row>
    <row r="1225" ht="12.75" customHeight="1">
      <c r="A1225" s="90"/>
    </row>
    <row r="1226" ht="12.75" customHeight="1">
      <c r="A1226" s="96" t="s">
        <v>5069</v>
      </c>
    </row>
    <row r="1227" ht="12.75" customHeight="1">
      <c r="A1227" s="90"/>
    </row>
    <row r="1228" ht="12.75" customHeight="1">
      <c r="A1228" s="96" t="s">
        <v>5070</v>
      </c>
    </row>
    <row r="1229" ht="12.75" customHeight="1">
      <c r="A1229" s="90"/>
    </row>
    <row r="1230" ht="12.75" customHeight="1">
      <c r="A1230" s="96" t="s">
        <v>5071</v>
      </c>
    </row>
    <row r="1231" ht="12.75" customHeight="1">
      <c r="A1231" s="90"/>
    </row>
    <row r="1232" ht="12.75" customHeight="1">
      <c r="A1232" s="96" t="s">
        <v>5072</v>
      </c>
    </row>
    <row r="1233" ht="12.75" customHeight="1">
      <c r="A1233" s="90"/>
    </row>
    <row r="1234" ht="12.75" customHeight="1">
      <c r="A1234" s="96" t="s">
        <v>2659</v>
      </c>
    </row>
    <row r="1235" ht="12.75" customHeight="1">
      <c r="A1235" s="90"/>
    </row>
    <row r="1236" ht="12.75" customHeight="1">
      <c r="A1236" s="96" t="s">
        <v>5073</v>
      </c>
    </row>
    <row r="1237" ht="12.75" customHeight="1">
      <c r="A1237" s="90"/>
    </row>
    <row r="1238" ht="12.75" customHeight="1">
      <c r="A1238" s="96" t="s">
        <v>5074</v>
      </c>
    </row>
    <row r="1239" ht="12.75" customHeight="1">
      <c r="A1239" s="90"/>
    </row>
    <row r="1240" ht="12.75" customHeight="1">
      <c r="A1240" s="96" t="s">
        <v>5075</v>
      </c>
    </row>
    <row r="1241" ht="12.75" customHeight="1">
      <c r="A1241" s="90"/>
    </row>
    <row r="1242" ht="12.75" customHeight="1">
      <c r="A1242" s="96" t="s">
        <v>5076</v>
      </c>
    </row>
    <row r="1243" ht="12.75" customHeight="1">
      <c r="A1243" s="90"/>
    </row>
    <row r="1244" ht="12.75" customHeight="1">
      <c r="A1244" s="96" t="s">
        <v>5077</v>
      </c>
    </row>
    <row r="1245" ht="12.75" customHeight="1">
      <c r="A1245" s="90"/>
    </row>
    <row r="1246" ht="12.75" customHeight="1">
      <c r="A1246" s="96" t="s">
        <v>5078</v>
      </c>
    </row>
    <row r="1247" ht="12.75" customHeight="1">
      <c r="A1247" s="90"/>
    </row>
    <row r="1248" ht="12.75" customHeight="1">
      <c r="A1248" s="96" t="s">
        <v>5079</v>
      </c>
    </row>
    <row r="1249" ht="12.75" customHeight="1">
      <c r="A1249" s="90"/>
    </row>
    <row r="1250" ht="12.75" customHeight="1">
      <c r="A1250" s="96" t="s">
        <v>5055</v>
      </c>
    </row>
    <row r="1251" ht="12.75" customHeight="1">
      <c r="A1251" s="90"/>
    </row>
    <row r="1252" ht="12.75" customHeight="1">
      <c r="A1252" s="96" t="s">
        <v>5036</v>
      </c>
    </row>
    <row r="1253" ht="12.75" customHeight="1">
      <c r="A1253" s="90"/>
    </row>
    <row r="1254" ht="12.75" customHeight="1">
      <c r="A1254" s="90"/>
    </row>
    <row r="1255" ht="12.75" customHeight="1">
      <c r="A1255" s="96" t="s">
        <v>5080</v>
      </c>
    </row>
    <row r="1256" ht="12.75" customHeight="1">
      <c r="A1256" s="90"/>
    </row>
    <row r="1257" ht="12.75" customHeight="1">
      <c r="A1257" s="96" t="s">
        <v>5081</v>
      </c>
    </row>
    <row r="1258" ht="12.75" customHeight="1">
      <c r="A1258" s="90"/>
    </row>
    <row r="1259" ht="12.75" customHeight="1">
      <c r="A1259" s="96" t="s">
        <v>5082</v>
      </c>
    </row>
    <row r="1260" ht="12.75" customHeight="1">
      <c r="A1260" s="90"/>
    </row>
    <row r="1261" ht="12.75" customHeight="1">
      <c r="A1261" s="96" t="s">
        <v>4153</v>
      </c>
    </row>
    <row r="1262" ht="12.75" customHeight="1">
      <c r="A1262" s="90"/>
    </row>
    <row r="1263" ht="12.75" customHeight="1">
      <c r="A1263" s="96" t="s">
        <v>5083</v>
      </c>
    </row>
    <row r="1264" ht="12.75" customHeight="1">
      <c r="A1264" s="90"/>
    </row>
    <row r="1265" ht="12.75" customHeight="1">
      <c r="A1265" s="96" t="s">
        <v>4155</v>
      </c>
    </row>
    <row r="1266" ht="12.75" customHeight="1">
      <c r="A1266" s="90"/>
    </row>
    <row r="1267" ht="12.75" customHeight="1">
      <c r="A1267" s="96" t="s">
        <v>4156</v>
      </c>
    </row>
    <row r="1268" ht="12.75" customHeight="1">
      <c r="A1268" s="90"/>
    </row>
    <row r="1269" ht="12.75" customHeight="1">
      <c r="A1269" s="96" t="s">
        <v>4157</v>
      </c>
    </row>
    <row r="1270" ht="12.75" customHeight="1">
      <c r="A1270" s="90"/>
    </row>
    <row r="1271" ht="12.75" customHeight="1">
      <c r="A1271" s="96" t="s">
        <v>4158</v>
      </c>
    </row>
    <row r="1272" ht="12.75" customHeight="1">
      <c r="A1272" s="90"/>
    </row>
    <row r="1273" ht="12.75" customHeight="1">
      <c r="A1273" s="96" t="s">
        <v>5084</v>
      </c>
    </row>
    <row r="1274" ht="12.75" customHeight="1">
      <c r="A1274" s="90"/>
    </row>
    <row r="1275" ht="12.75" customHeight="1">
      <c r="A1275" s="96" t="s">
        <v>4157</v>
      </c>
    </row>
    <row r="1276" ht="12.75" customHeight="1">
      <c r="A1276" s="90"/>
    </row>
    <row r="1277" ht="12.75" customHeight="1">
      <c r="A1277" s="96" t="s">
        <v>4158</v>
      </c>
    </row>
    <row r="1278" ht="12.75" customHeight="1">
      <c r="A1278" s="90"/>
    </row>
    <row r="1279" ht="12.75" customHeight="1">
      <c r="A1279" s="96" t="s">
        <v>5085</v>
      </c>
    </row>
    <row r="1280" ht="12.75" customHeight="1">
      <c r="A1280" s="90"/>
    </row>
    <row r="1281" ht="12.75" customHeight="1">
      <c r="A1281" s="96" t="s">
        <v>5086</v>
      </c>
    </row>
    <row r="1282" ht="12.75" customHeight="1">
      <c r="A1282" s="90"/>
    </row>
    <row r="1283" ht="12.75" customHeight="1">
      <c r="A1283" s="96" t="s">
        <v>5087</v>
      </c>
    </row>
    <row r="1284" ht="12.75" customHeight="1">
      <c r="A1284" s="90"/>
    </row>
    <row r="1285" ht="12.75" customHeight="1">
      <c r="A1285" s="96" t="s">
        <v>5088</v>
      </c>
    </row>
    <row r="1286" ht="12.75" customHeight="1">
      <c r="A1286" s="90"/>
    </row>
    <row r="1287" ht="12.75" customHeight="1">
      <c r="A1287" s="96" t="s">
        <v>5089</v>
      </c>
    </row>
    <row r="1288" ht="12.75" customHeight="1">
      <c r="A1288" s="90"/>
    </row>
    <row r="1289" ht="12.75" customHeight="1">
      <c r="A1289" s="96" t="s">
        <v>5090</v>
      </c>
    </row>
    <row r="1290" ht="12.75" customHeight="1">
      <c r="A1290" s="90"/>
    </row>
    <row r="1291" ht="12.75" customHeight="1">
      <c r="A1291" s="96" t="s">
        <v>5091</v>
      </c>
    </row>
    <row r="1292" ht="12.75" customHeight="1">
      <c r="A1292" s="90"/>
    </row>
    <row r="1293" ht="12.75" customHeight="1">
      <c r="A1293" s="96" t="s">
        <v>5092</v>
      </c>
    </row>
    <row r="1294" ht="12.75" customHeight="1">
      <c r="A1294" s="90"/>
    </row>
    <row r="1295" ht="12.75" customHeight="1">
      <c r="A1295" s="96" t="s">
        <v>5093</v>
      </c>
    </row>
    <row r="1296" ht="12.75" customHeight="1">
      <c r="A1296" s="90"/>
    </row>
    <row r="1297" ht="12.75" customHeight="1">
      <c r="A1297" s="96" t="s">
        <v>5094</v>
      </c>
    </row>
    <row r="1298" ht="12.75" customHeight="1">
      <c r="A1298" s="90"/>
    </row>
    <row r="1299" ht="12.75" customHeight="1">
      <c r="A1299" s="96" t="s">
        <v>5095</v>
      </c>
    </row>
    <row r="1300" ht="12.75" customHeight="1">
      <c r="A1300" s="90"/>
    </row>
    <row r="1301" ht="12.75" customHeight="1">
      <c r="A1301" s="96" t="s">
        <v>5056</v>
      </c>
    </row>
    <row r="1302" ht="12.75" customHeight="1">
      <c r="A1302" s="90"/>
    </row>
    <row r="1303" ht="12.75" customHeight="1">
      <c r="A1303" s="96" t="s">
        <v>5096</v>
      </c>
    </row>
    <row r="1304" ht="12.75" customHeight="1">
      <c r="A1304" s="90"/>
    </row>
    <row r="1305" ht="12.75" customHeight="1">
      <c r="A1305" s="96" t="s">
        <v>5097</v>
      </c>
    </row>
    <row r="1306" ht="12.75" customHeight="1">
      <c r="A1306" s="90"/>
    </row>
    <row r="1307" ht="12.75" customHeight="1">
      <c r="A1307" s="96" t="s">
        <v>5082</v>
      </c>
    </row>
    <row r="1308" ht="12.75" customHeight="1">
      <c r="A1308" s="90"/>
    </row>
    <row r="1309" ht="12.75" customHeight="1">
      <c r="A1309" s="96" t="s">
        <v>4153</v>
      </c>
    </row>
    <row r="1310" ht="12.75" customHeight="1">
      <c r="A1310" s="90"/>
    </row>
    <row r="1311" ht="12.75" customHeight="1">
      <c r="A1311" s="96" t="s">
        <v>4180</v>
      </c>
    </row>
    <row r="1312" ht="12.75" customHeight="1">
      <c r="A1312" s="90"/>
    </row>
    <row r="1313" ht="12.75" customHeight="1">
      <c r="A1313" s="96" t="s">
        <v>5098</v>
      </c>
    </row>
    <row r="1314" ht="12.75" customHeight="1">
      <c r="A1314" s="90"/>
    </row>
    <row r="1315" ht="12.75" customHeight="1">
      <c r="A1315" s="96" t="s">
        <v>4156</v>
      </c>
    </row>
    <row r="1316" ht="12.75" customHeight="1">
      <c r="A1316" s="90"/>
    </row>
    <row r="1317" ht="12.75" customHeight="1">
      <c r="A1317" s="96" t="s">
        <v>4157</v>
      </c>
    </row>
    <row r="1318" ht="12.75" customHeight="1">
      <c r="A1318" s="90"/>
    </row>
    <row r="1319" ht="12.75" customHeight="1">
      <c r="A1319" s="96" t="s">
        <v>4158</v>
      </c>
    </row>
    <row r="1320" ht="12.75" customHeight="1">
      <c r="A1320" s="90"/>
    </row>
    <row r="1321" ht="12.75" customHeight="1">
      <c r="A1321" s="96" t="s">
        <v>4153</v>
      </c>
    </row>
    <row r="1322" ht="12.75" customHeight="1">
      <c r="A1322" s="90"/>
    </row>
    <row r="1323" ht="12.75" customHeight="1">
      <c r="A1323" s="96" t="s">
        <v>5084</v>
      </c>
    </row>
    <row r="1324" ht="12.75" customHeight="1">
      <c r="A1324" s="90"/>
    </row>
    <row r="1325" ht="12.75" customHeight="1">
      <c r="A1325" s="96" t="s">
        <v>4158</v>
      </c>
    </row>
    <row r="1326" ht="12.75" customHeight="1">
      <c r="A1326" s="90"/>
    </row>
    <row r="1327" ht="12.75" customHeight="1">
      <c r="A1327" s="96" t="s">
        <v>4153</v>
      </c>
    </row>
    <row r="1328" ht="12.75" customHeight="1">
      <c r="A1328" s="90"/>
    </row>
    <row r="1329" ht="12.75" customHeight="1">
      <c r="A1329" s="96" t="s">
        <v>5099</v>
      </c>
    </row>
    <row r="1330" ht="12.75" customHeight="1">
      <c r="A1330" s="90"/>
    </row>
    <row r="1331" ht="12.75" customHeight="1">
      <c r="A1331" s="96" t="s">
        <v>5100</v>
      </c>
    </row>
    <row r="1332" ht="12.75" customHeight="1">
      <c r="A1332" s="90"/>
    </row>
    <row r="1333" ht="12.75" customHeight="1">
      <c r="A1333" s="96" t="s">
        <v>5101</v>
      </c>
    </row>
    <row r="1334" ht="12.75" customHeight="1">
      <c r="A1334" s="90"/>
    </row>
    <row r="1335" ht="12.75" customHeight="1">
      <c r="A1335" s="96" t="s">
        <v>5102</v>
      </c>
    </row>
    <row r="1336" ht="12.75" customHeight="1">
      <c r="A1336" s="90"/>
    </row>
    <row r="1337" ht="12.75" customHeight="1">
      <c r="A1337" s="96" t="s">
        <v>5103</v>
      </c>
    </row>
    <row r="1338" ht="12.75" customHeight="1">
      <c r="A1338" s="90"/>
    </row>
    <row r="1339" ht="12.75" customHeight="1">
      <c r="A1339" s="96" t="s">
        <v>5104</v>
      </c>
    </row>
    <row r="1340" ht="12.75" customHeight="1">
      <c r="A1340" s="90"/>
    </row>
    <row r="1341" ht="12.75" customHeight="1">
      <c r="A1341" s="96" t="s">
        <v>5105</v>
      </c>
    </row>
    <row r="1342" ht="12.75" customHeight="1">
      <c r="A1342" s="90"/>
    </row>
    <row r="1343" ht="12.75" customHeight="1">
      <c r="A1343" s="96" t="s">
        <v>5087</v>
      </c>
    </row>
    <row r="1344" ht="12.75" customHeight="1">
      <c r="A1344" s="90"/>
    </row>
    <row r="1345" ht="12.75" customHeight="1">
      <c r="A1345" s="96" t="s">
        <v>5088</v>
      </c>
    </row>
    <row r="1346" ht="12.75" customHeight="1">
      <c r="A1346" s="90"/>
    </row>
    <row r="1347" ht="12.75" customHeight="1">
      <c r="A1347" s="96" t="s">
        <v>5089</v>
      </c>
    </row>
    <row r="1348" ht="12.75" customHeight="1">
      <c r="A1348" s="90"/>
    </row>
    <row r="1349" ht="12.75" customHeight="1">
      <c r="A1349" s="96" t="s">
        <v>5090</v>
      </c>
    </row>
    <row r="1350" ht="12.75" customHeight="1">
      <c r="A1350" s="90"/>
    </row>
    <row r="1351" ht="12.75" customHeight="1">
      <c r="A1351" s="96" t="s">
        <v>5091</v>
      </c>
    </row>
    <row r="1352" ht="12.75" customHeight="1">
      <c r="A1352" s="90"/>
    </row>
    <row r="1353" ht="12.75" customHeight="1">
      <c r="A1353" s="96" t="s">
        <v>5106</v>
      </c>
    </row>
    <row r="1354" ht="12.75" customHeight="1">
      <c r="A1354" s="90"/>
    </row>
    <row r="1355" ht="12.75" customHeight="1">
      <c r="A1355" s="96" t="s">
        <v>5092</v>
      </c>
    </row>
    <row r="1356" ht="12.75" customHeight="1">
      <c r="A1356" s="90"/>
    </row>
    <row r="1357" ht="12.75" customHeight="1">
      <c r="A1357" s="96" t="s">
        <v>5107</v>
      </c>
    </row>
    <row r="1358" ht="12.75" customHeight="1">
      <c r="A1358" s="90"/>
    </row>
    <row r="1359" ht="12.75" customHeight="1">
      <c r="A1359" s="96" t="s">
        <v>5108</v>
      </c>
    </row>
    <row r="1360" ht="12.75" customHeight="1">
      <c r="A1360" s="90"/>
    </row>
    <row r="1361" ht="12.75" customHeight="1">
      <c r="A1361" s="96" t="s">
        <v>5109</v>
      </c>
    </row>
    <row r="1362" ht="12.75" customHeight="1">
      <c r="A1362" s="90"/>
    </row>
    <row r="1363" ht="12.75" customHeight="1">
      <c r="A1363" s="96" t="s">
        <v>5110</v>
      </c>
    </row>
    <row r="1364" ht="12.75" customHeight="1">
      <c r="A1364" s="90"/>
    </row>
    <row r="1365" ht="12.75" customHeight="1">
      <c r="A1365" s="96" t="s">
        <v>5111</v>
      </c>
    </row>
    <row r="1366" ht="12.75" customHeight="1">
      <c r="A1366" s="90"/>
    </row>
    <row r="1367" ht="12.75" customHeight="1">
      <c r="A1367" s="96" t="s">
        <v>5112</v>
      </c>
    </row>
    <row r="1368" ht="12.75" customHeight="1">
      <c r="A1368" s="90"/>
    </row>
    <row r="1369" ht="12.75" customHeight="1">
      <c r="A1369" s="96" t="s">
        <v>5113</v>
      </c>
    </row>
    <row r="1370" ht="12.75" customHeight="1">
      <c r="A1370" s="90"/>
    </row>
    <row r="1371" ht="12.75" customHeight="1">
      <c r="A1371" s="96" t="s">
        <v>1115</v>
      </c>
    </row>
    <row r="1372" ht="12.75" customHeight="1">
      <c r="A1372" s="90"/>
    </row>
    <row r="1373" ht="12.75" customHeight="1">
      <c r="A1373" s="96" t="s">
        <v>1116</v>
      </c>
    </row>
    <row r="1374" ht="12.75" customHeight="1">
      <c r="A1374" s="90"/>
    </row>
    <row r="1375" ht="12.75" customHeight="1">
      <c r="A1375" s="96" t="s">
        <v>5114</v>
      </c>
    </row>
    <row r="1376" ht="12.75" customHeight="1">
      <c r="A1376" s="90"/>
    </row>
    <row r="1377" ht="12.75" customHeight="1">
      <c r="A1377" s="96" t="s">
        <v>5115</v>
      </c>
    </row>
    <row r="1378" ht="12.75" customHeight="1">
      <c r="A1378" s="90"/>
    </row>
    <row r="1379" ht="12.75" customHeight="1">
      <c r="A1379" s="96" t="s">
        <v>5116</v>
      </c>
    </row>
    <row r="1380" ht="12.75" customHeight="1">
      <c r="A1380" s="90"/>
    </row>
    <row r="1381" ht="12.75" customHeight="1">
      <c r="A1381" s="96" t="s">
        <v>5117</v>
      </c>
    </row>
    <row r="1382" ht="12.75" customHeight="1">
      <c r="A1382" s="90"/>
    </row>
    <row r="1383" ht="12.75" customHeight="1">
      <c r="A1383" s="96" t="s">
        <v>5056</v>
      </c>
    </row>
    <row r="1384" ht="12.75" customHeight="1">
      <c r="A1384" s="90"/>
    </row>
    <row r="1385" ht="12.75" customHeight="1">
      <c r="A1385" s="96" t="s">
        <v>5096</v>
      </c>
    </row>
    <row r="1386" ht="12.75" customHeight="1">
      <c r="A1386" s="90"/>
    </row>
    <row r="1387" ht="12.75" customHeight="1">
      <c r="A1387" s="96" t="s">
        <v>5080</v>
      </c>
    </row>
    <row r="1388" ht="12.75" customHeight="1">
      <c r="A1388" s="90"/>
    </row>
    <row r="1389" ht="12.75" customHeight="1">
      <c r="A1389" s="90"/>
    </row>
    <row r="1390" ht="12.75" customHeight="1">
      <c r="A1390" s="96" t="s">
        <v>5118</v>
      </c>
    </row>
    <row r="1391" ht="12.75" customHeight="1">
      <c r="A1391" s="90"/>
    </row>
    <row r="1392" ht="12.75" customHeight="1">
      <c r="A1392" s="96" t="s">
        <v>5119</v>
      </c>
    </row>
    <row r="1393" ht="12.75" customHeight="1">
      <c r="A1393" s="90"/>
    </row>
    <row r="1394" ht="12.75" customHeight="1">
      <c r="A1394" s="96" t="s">
        <v>5120</v>
      </c>
    </row>
    <row r="1395" ht="12.75" customHeight="1">
      <c r="A1395" s="90"/>
    </row>
    <row r="1396" ht="12.75" customHeight="1">
      <c r="A1396" s="96" t="s">
        <v>5121</v>
      </c>
    </row>
    <row r="1397" ht="12.75" customHeight="1">
      <c r="A1397" s="90"/>
    </row>
    <row r="1398" ht="12.75" customHeight="1">
      <c r="A1398" s="96" t="s">
        <v>5122</v>
      </c>
    </row>
    <row r="1399" ht="12.75" customHeight="1">
      <c r="A1399" s="90"/>
    </row>
    <row r="1400" ht="12.75" customHeight="1">
      <c r="A1400" s="96" t="s">
        <v>5123</v>
      </c>
    </row>
    <row r="1401" ht="12.75" customHeight="1">
      <c r="A1401" s="90"/>
    </row>
    <row r="1402" ht="12.75" customHeight="1">
      <c r="A1402" s="96" t="s">
        <v>5124</v>
      </c>
    </row>
    <row r="1403" ht="12.75" customHeight="1">
      <c r="A1403" s="90"/>
    </row>
    <row r="1404" ht="12.75" customHeight="1">
      <c r="A1404" s="96" t="s">
        <v>5029</v>
      </c>
    </row>
    <row r="1405" ht="12.75" customHeight="1">
      <c r="A1405" s="90"/>
    </row>
    <row r="1406" ht="12.75" customHeight="1">
      <c r="A1406" s="96" t="s">
        <v>5125</v>
      </c>
    </row>
    <row r="1407" ht="12.75" customHeight="1">
      <c r="A1407" s="90"/>
    </row>
    <row r="1408" ht="12.75" customHeight="1">
      <c r="A1408" s="96" t="s">
        <v>5126</v>
      </c>
    </row>
    <row r="1409" ht="12.75" customHeight="1">
      <c r="A1409" s="90"/>
    </row>
    <row r="1410" ht="12.75" customHeight="1">
      <c r="A1410" s="96" t="s">
        <v>5118</v>
      </c>
    </row>
    <row r="1411" ht="12.75" customHeight="1">
      <c r="A1411" s="90"/>
    </row>
    <row r="1412" ht="12.75" customHeight="1">
      <c r="A1412" s="90"/>
    </row>
    <row r="1413" ht="12.75" customHeight="1">
      <c r="A1413" s="96" t="s">
        <v>5127</v>
      </c>
    </row>
    <row r="1414" ht="12.75" customHeight="1">
      <c r="A1414" s="90"/>
    </row>
    <row r="1415" ht="12.75" customHeight="1">
      <c r="A1415" s="96" t="s">
        <v>5128</v>
      </c>
    </row>
    <row r="1416" ht="12.75" customHeight="1">
      <c r="A1416" s="90"/>
    </row>
    <row r="1417" ht="12.75" customHeight="1">
      <c r="A1417" s="96" t="s">
        <v>5129</v>
      </c>
    </row>
    <row r="1418" ht="12.75" customHeight="1">
      <c r="A1418" s="90"/>
    </row>
    <row r="1419" ht="12.75" customHeight="1">
      <c r="A1419" s="96" t="s">
        <v>1141</v>
      </c>
    </row>
    <row r="1420" ht="12.75" customHeight="1">
      <c r="A1420" s="90"/>
    </row>
    <row r="1421" ht="12.75" customHeight="1">
      <c r="A1421" s="96" t="s">
        <v>1142</v>
      </c>
    </row>
    <row r="1422" ht="12.75" customHeight="1">
      <c r="A1422" s="90"/>
    </row>
    <row r="1423" ht="12.75" customHeight="1">
      <c r="A1423" s="96" t="s">
        <v>1143</v>
      </c>
    </row>
    <row r="1424" ht="12.75" customHeight="1">
      <c r="A1424" s="90"/>
    </row>
    <row r="1425" ht="12.75" customHeight="1">
      <c r="A1425" s="96" t="s">
        <v>5130</v>
      </c>
    </row>
    <row r="1426" ht="12.75" customHeight="1">
      <c r="A1426" s="90"/>
    </row>
    <row r="1427" ht="12.75" customHeight="1">
      <c r="A1427" s="96" t="s">
        <v>5131</v>
      </c>
    </row>
    <row r="1428" ht="12.75" customHeight="1">
      <c r="A1428" s="90"/>
    </row>
    <row r="1429" ht="12.75" customHeight="1">
      <c r="A1429" s="96" t="s">
        <v>8036</v>
      </c>
    </row>
    <row r="1430" ht="12.75" customHeight="1">
      <c r="A1430" s="96" t="s">
        <v>8037</v>
      </c>
    </row>
    <row r="1431" ht="12.75" customHeight="1">
      <c r="A1431" s="90"/>
    </row>
    <row r="1432" ht="12.75" customHeight="1">
      <c r="A1432" s="96" t="s">
        <v>1149</v>
      </c>
    </row>
    <row r="1433" ht="12.75" customHeight="1">
      <c r="A1433" s="90"/>
    </row>
    <row r="1434" ht="12.75" customHeight="1">
      <c r="A1434" s="96" t="s">
        <v>5133</v>
      </c>
    </row>
    <row r="1435" ht="12.75" customHeight="1">
      <c r="A1435" s="90"/>
    </row>
    <row r="1436" ht="12.75" customHeight="1">
      <c r="A1436" s="96" t="s">
        <v>1152</v>
      </c>
    </row>
    <row r="1437" ht="12.75" customHeight="1">
      <c r="A1437" s="90"/>
    </row>
    <row r="1438" ht="12.75" customHeight="1">
      <c r="A1438" s="96" t="s">
        <v>5134</v>
      </c>
    </row>
    <row r="1439" ht="12.75" customHeight="1">
      <c r="A1439" s="90"/>
    </row>
    <row r="1440" ht="12.75" customHeight="1">
      <c r="A1440" s="96" t="s">
        <v>5135</v>
      </c>
    </row>
    <row r="1441" ht="12.75" customHeight="1">
      <c r="A1441" s="90"/>
    </row>
    <row r="1442" ht="12.75" customHeight="1">
      <c r="A1442" s="96" t="s">
        <v>5136</v>
      </c>
    </row>
    <row r="1443" ht="12.75" customHeight="1">
      <c r="A1443" s="90"/>
    </row>
    <row r="1444" ht="12.75" customHeight="1">
      <c r="A1444" s="96" t="s">
        <v>1159</v>
      </c>
    </row>
    <row r="1445" ht="12.75" customHeight="1">
      <c r="A1445" s="90"/>
    </row>
    <row r="1446" ht="12.75" customHeight="1">
      <c r="A1446" s="96" t="s">
        <v>1160</v>
      </c>
    </row>
    <row r="1447" ht="12.75" customHeight="1">
      <c r="A1447" s="90"/>
    </row>
    <row r="1448" ht="12.75" customHeight="1">
      <c r="A1448" s="96" t="s">
        <v>1161</v>
      </c>
    </row>
    <row r="1449" ht="12.75" customHeight="1">
      <c r="A1449" s="90"/>
    </row>
    <row r="1450" ht="12.75" customHeight="1">
      <c r="A1450" s="96" t="s">
        <v>1162</v>
      </c>
    </row>
    <row r="1451" ht="12.75" customHeight="1">
      <c r="A1451" s="90"/>
    </row>
    <row r="1452" ht="12.75" customHeight="1">
      <c r="A1452" s="96" t="s">
        <v>1163</v>
      </c>
    </row>
    <row r="1453" ht="12.75" customHeight="1">
      <c r="A1453" s="90"/>
    </row>
    <row r="1454" ht="12.75" customHeight="1">
      <c r="A1454" s="96" t="s">
        <v>1164</v>
      </c>
    </row>
    <row r="1455" ht="12.75" customHeight="1">
      <c r="A1455" s="90"/>
    </row>
    <row r="1456" ht="12.75" customHeight="1">
      <c r="A1456" s="96" t="s">
        <v>1165</v>
      </c>
    </row>
    <row r="1457" ht="12.75" customHeight="1">
      <c r="A1457" s="90"/>
    </row>
    <row r="1458" ht="12.75" customHeight="1">
      <c r="A1458" s="96" t="s">
        <v>5137</v>
      </c>
    </row>
    <row r="1459" ht="12.75" customHeight="1">
      <c r="A1459" s="90"/>
    </row>
    <row r="1460" ht="12.75" customHeight="1">
      <c r="A1460" s="96" t="s">
        <v>1167</v>
      </c>
    </row>
    <row r="1461" ht="12.75" customHeight="1">
      <c r="A1461" s="90"/>
    </row>
    <row r="1462" ht="12.75" customHeight="1">
      <c r="A1462" s="96" t="s">
        <v>5138</v>
      </c>
    </row>
    <row r="1463" ht="12.75" customHeight="1">
      <c r="A1463" s="90"/>
    </row>
    <row r="1464" ht="12.75" customHeight="1">
      <c r="A1464" s="96" t="s">
        <v>1169</v>
      </c>
    </row>
    <row r="1465" ht="12.75" customHeight="1">
      <c r="A1465" s="90"/>
    </row>
    <row r="1466" ht="12.75" customHeight="1">
      <c r="A1466" s="96" t="s">
        <v>1170</v>
      </c>
    </row>
    <row r="1467" ht="12.75" customHeight="1">
      <c r="A1467" s="90"/>
    </row>
    <row r="1468" ht="12.75" customHeight="1">
      <c r="A1468" s="96" t="s">
        <v>1167</v>
      </c>
    </row>
    <row r="1469" ht="12.75" customHeight="1">
      <c r="A1469" s="90"/>
    </row>
    <row r="1470" ht="12.75" customHeight="1">
      <c r="A1470" s="96" t="s">
        <v>1171</v>
      </c>
    </row>
    <row r="1471" ht="12.75" customHeight="1">
      <c r="A1471" s="90"/>
    </row>
    <row r="1472" ht="12.75" customHeight="1">
      <c r="A1472" s="96" t="s">
        <v>5139</v>
      </c>
    </row>
    <row r="1473" ht="12.75" customHeight="1">
      <c r="A1473" s="90"/>
    </row>
    <row r="1474" ht="12.75" customHeight="1">
      <c r="A1474" s="96" t="s">
        <v>1174</v>
      </c>
    </row>
    <row r="1475" ht="12.75" customHeight="1">
      <c r="A1475" s="90"/>
    </row>
    <row r="1476" ht="12.75" customHeight="1">
      <c r="A1476" s="96" t="s">
        <v>5140</v>
      </c>
    </row>
    <row r="1477" ht="12.75" customHeight="1">
      <c r="A1477" s="90"/>
    </row>
    <row r="1478" ht="12.75" customHeight="1">
      <c r="A1478" s="96" t="s">
        <v>5141</v>
      </c>
    </row>
    <row r="1479" ht="12.75" customHeight="1">
      <c r="A1479" s="90"/>
    </row>
    <row r="1480" ht="12.75" customHeight="1">
      <c r="A1480" s="96" t="s">
        <v>5142</v>
      </c>
    </row>
    <row r="1481" ht="12.75" customHeight="1">
      <c r="A1481" s="90"/>
    </row>
    <row r="1482" ht="12.75" customHeight="1">
      <c r="A1482" s="96" t="s">
        <v>5143</v>
      </c>
    </row>
    <row r="1483" ht="12.75" customHeight="1">
      <c r="A1483" s="90"/>
    </row>
    <row r="1484" ht="12.75" customHeight="1">
      <c r="A1484" s="96" t="s">
        <v>5144</v>
      </c>
    </row>
    <row r="1485" ht="12.75" customHeight="1">
      <c r="A1485" s="90"/>
    </row>
    <row r="1486" ht="12.75" customHeight="1">
      <c r="A1486" s="96" t="s">
        <v>5145</v>
      </c>
    </row>
    <row r="1487" ht="12.75" customHeight="1">
      <c r="A1487" s="90"/>
    </row>
    <row r="1488" ht="12.75" customHeight="1">
      <c r="A1488" s="96" t="s">
        <v>5146</v>
      </c>
    </row>
    <row r="1489" ht="12.75" customHeight="1">
      <c r="A1489" s="90"/>
    </row>
    <row r="1490" ht="12.75" customHeight="1">
      <c r="A1490" s="96" t="s">
        <v>5147</v>
      </c>
    </row>
    <row r="1491" ht="12.75" customHeight="1">
      <c r="A1491" s="90"/>
    </row>
    <row r="1492" ht="12.75" customHeight="1">
      <c r="A1492" s="96" t="s">
        <v>5148</v>
      </c>
    </row>
    <row r="1493" ht="12.75" customHeight="1">
      <c r="A1493" s="90"/>
    </row>
    <row r="1494" ht="12.75" customHeight="1">
      <c r="A1494" s="96" t="s">
        <v>5149</v>
      </c>
    </row>
    <row r="1495" ht="12.75" customHeight="1">
      <c r="A1495" s="90"/>
    </row>
    <row r="1496" ht="12.75" customHeight="1">
      <c r="A1496" s="96" t="s">
        <v>5150</v>
      </c>
    </row>
    <row r="1497" ht="12.75" customHeight="1">
      <c r="A1497" s="90"/>
    </row>
    <row r="1498" ht="12.75" customHeight="1">
      <c r="A1498" s="96" t="s">
        <v>4251</v>
      </c>
    </row>
    <row r="1499" ht="12.75" customHeight="1">
      <c r="A1499" s="90"/>
    </row>
    <row r="1500" ht="12.75" customHeight="1">
      <c r="A1500" s="96" t="s">
        <v>5151</v>
      </c>
    </row>
    <row r="1501" ht="12.75" customHeight="1">
      <c r="A1501" s="90"/>
    </row>
    <row r="1502" ht="12.75" customHeight="1">
      <c r="A1502" s="96" t="s">
        <v>5152</v>
      </c>
    </row>
    <row r="1503" ht="12.75" customHeight="1">
      <c r="A1503" s="90"/>
    </row>
    <row r="1504" ht="12.75" customHeight="1">
      <c r="A1504" s="96" t="s">
        <v>5153</v>
      </c>
    </row>
    <row r="1505" ht="12.75" customHeight="1">
      <c r="A1505" s="90"/>
    </row>
    <row r="1506" ht="12.75" customHeight="1">
      <c r="A1506" s="96" t="s">
        <v>5154</v>
      </c>
    </row>
    <row r="1507" ht="12.75" customHeight="1">
      <c r="A1507" s="90"/>
    </row>
    <row r="1508" ht="12.75" customHeight="1">
      <c r="A1508" s="96" t="s">
        <v>5155</v>
      </c>
    </row>
    <row r="1509" ht="12.75" customHeight="1">
      <c r="A1509" s="90"/>
    </row>
    <row r="1510" ht="12.75" customHeight="1">
      <c r="A1510" s="96" t="s">
        <v>5156</v>
      </c>
    </row>
    <row r="1511" ht="12.75" customHeight="1">
      <c r="A1511" s="90"/>
    </row>
    <row r="1512" ht="12.75" customHeight="1">
      <c r="A1512" s="96" t="s">
        <v>5157</v>
      </c>
    </row>
    <row r="1513" ht="12.75" customHeight="1">
      <c r="A1513" s="90"/>
    </row>
    <row r="1514" ht="12.75" customHeight="1">
      <c r="A1514" s="96" t="s">
        <v>5158</v>
      </c>
    </row>
    <row r="1515" ht="12.75" customHeight="1">
      <c r="A1515" s="90"/>
    </row>
    <row r="1516" ht="12.75" customHeight="1">
      <c r="A1516" s="96" t="s">
        <v>5159</v>
      </c>
    </row>
    <row r="1517" ht="12.75" customHeight="1">
      <c r="A1517" s="90"/>
    </row>
    <row r="1518" ht="12.75" customHeight="1">
      <c r="A1518" s="96" t="s">
        <v>2799</v>
      </c>
    </row>
    <row r="1519" ht="12.75" customHeight="1">
      <c r="A1519" s="90"/>
    </row>
    <row r="1520" ht="12.75" customHeight="1">
      <c r="A1520" s="96" t="s">
        <v>5160</v>
      </c>
    </row>
    <row r="1521" ht="12.75" customHeight="1">
      <c r="A1521" s="90"/>
    </row>
    <row r="1522" ht="12.75" customHeight="1">
      <c r="A1522" s="96" t="s">
        <v>5161</v>
      </c>
    </row>
    <row r="1523" ht="12.75" customHeight="1">
      <c r="A1523" s="90"/>
    </row>
    <row r="1524" ht="12.75" customHeight="1">
      <c r="A1524" s="96" t="s">
        <v>5162</v>
      </c>
    </row>
    <row r="1525" ht="12.75" customHeight="1">
      <c r="A1525" s="90"/>
    </row>
    <row r="1526" ht="12.75" customHeight="1">
      <c r="A1526" s="96" t="s">
        <v>5163</v>
      </c>
    </row>
    <row r="1527" ht="12.75" customHeight="1">
      <c r="A1527" s="90"/>
    </row>
    <row r="1528" ht="12.75" customHeight="1">
      <c r="A1528" s="96" t="s">
        <v>5164</v>
      </c>
    </row>
    <row r="1529" ht="12.75" customHeight="1">
      <c r="A1529" s="90"/>
    </row>
    <row r="1530" ht="12.75" customHeight="1">
      <c r="A1530" s="96" t="s">
        <v>5165</v>
      </c>
    </row>
    <row r="1531" ht="12.75" customHeight="1">
      <c r="A1531" s="90"/>
    </row>
    <row r="1532" ht="12.75" customHeight="1">
      <c r="A1532" s="96" t="s">
        <v>5166</v>
      </c>
    </row>
    <row r="1533" ht="12.75" customHeight="1">
      <c r="A1533" s="90"/>
    </row>
    <row r="1534" ht="12.75" customHeight="1">
      <c r="A1534" s="96" t="s">
        <v>5167</v>
      </c>
    </row>
    <row r="1535" ht="12.75" customHeight="1">
      <c r="A1535" s="90"/>
    </row>
    <row r="1536" ht="12.75" customHeight="1">
      <c r="A1536" s="96" t="s">
        <v>5168</v>
      </c>
    </row>
    <row r="1537" ht="12.75" customHeight="1">
      <c r="A1537" s="90"/>
    </row>
    <row r="1538" ht="12.75" customHeight="1">
      <c r="A1538" s="96" t="s">
        <v>5169</v>
      </c>
    </row>
    <row r="1539" ht="12.75" customHeight="1">
      <c r="A1539" s="90"/>
    </row>
    <row r="1540" ht="12.75" customHeight="1">
      <c r="A1540" s="96" t="s">
        <v>5170</v>
      </c>
    </row>
    <row r="1541" ht="12.75" customHeight="1">
      <c r="A1541" s="90"/>
    </row>
    <row r="1542" ht="12.75" customHeight="1">
      <c r="A1542" s="96" t="s">
        <v>5171</v>
      </c>
    </row>
    <row r="1543" ht="12.75" customHeight="1">
      <c r="A1543" s="90"/>
    </row>
    <row r="1544" ht="12.75" customHeight="1">
      <c r="A1544" s="96" t="s">
        <v>5172</v>
      </c>
    </row>
    <row r="1545" ht="12.75" customHeight="1">
      <c r="A1545" s="90"/>
    </row>
    <row r="1546" ht="12.75" customHeight="1">
      <c r="A1546" s="96" t="s">
        <v>5173</v>
      </c>
    </row>
    <row r="1547" ht="12.75" customHeight="1">
      <c r="A1547" s="90"/>
    </row>
    <row r="1548" ht="12.75" customHeight="1">
      <c r="A1548" s="96" t="s">
        <v>5174</v>
      </c>
    </row>
    <row r="1549" ht="12.75" customHeight="1">
      <c r="A1549" s="90"/>
    </row>
    <row r="1550" ht="12.75" customHeight="1">
      <c r="A1550" s="96" t="s">
        <v>5175</v>
      </c>
    </row>
    <row r="1551" ht="12.75" customHeight="1">
      <c r="A1551" s="90"/>
    </row>
    <row r="1552" ht="12.75" customHeight="1">
      <c r="A1552" s="96" t="s">
        <v>5176</v>
      </c>
    </row>
    <row r="1553" ht="12.75" customHeight="1">
      <c r="A1553" s="90"/>
    </row>
    <row r="1554" ht="12.75" customHeight="1">
      <c r="A1554" s="96" t="s">
        <v>5177</v>
      </c>
    </row>
    <row r="1555" ht="12.75" customHeight="1">
      <c r="A1555" s="90"/>
    </row>
    <row r="1556" ht="12.75" customHeight="1">
      <c r="A1556" s="96" t="s">
        <v>5178</v>
      </c>
    </row>
    <row r="1557" ht="12.75" customHeight="1">
      <c r="A1557" s="90"/>
    </row>
    <row r="1558" ht="12.75" customHeight="1">
      <c r="A1558" s="96" t="s">
        <v>5179</v>
      </c>
    </row>
    <row r="1559" ht="12.75" customHeight="1">
      <c r="A1559" s="90"/>
    </row>
    <row r="1560" ht="12.75" customHeight="1">
      <c r="A1560" s="96" t="s">
        <v>5180</v>
      </c>
    </row>
    <row r="1561" ht="12.75" customHeight="1">
      <c r="A1561" s="90"/>
    </row>
    <row r="1562" ht="12.75" customHeight="1">
      <c r="A1562" s="96" t="s">
        <v>5160</v>
      </c>
    </row>
    <row r="1563" ht="12.75" customHeight="1">
      <c r="A1563" s="90"/>
    </row>
    <row r="1564" ht="12.75" customHeight="1">
      <c r="A1564" s="96" t="s">
        <v>5181</v>
      </c>
    </row>
    <row r="1565" ht="12.75" customHeight="1">
      <c r="A1565" s="90"/>
    </row>
    <row r="1566" ht="12.75" customHeight="1">
      <c r="A1566" s="96" t="s">
        <v>1222</v>
      </c>
    </row>
    <row r="1567" ht="12.75" customHeight="1">
      <c r="A1567" s="90"/>
    </row>
    <row r="1568" ht="12.75" customHeight="1">
      <c r="A1568" s="96" t="s">
        <v>5182</v>
      </c>
    </row>
    <row r="1569" ht="12.75" customHeight="1">
      <c r="A1569" s="90"/>
    </row>
    <row r="1570" ht="12.75" customHeight="1">
      <c r="A1570" s="96" t="s">
        <v>1225</v>
      </c>
    </row>
    <row r="1571" ht="12.75" customHeight="1">
      <c r="A1571" s="90"/>
    </row>
    <row r="1572" ht="12.75" customHeight="1">
      <c r="A1572" s="96" t="s">
        <v>1226</v>
      </c>
    </row>
    <row r="1573" ht="12.75" customHeight="1">
      <c r="A1573" s="90"/>
    </row>
    <row r="1574" ht="12.75" customHeight="1">
      <c r="A1574" s="96" t="s">
        <v>5183</v>
      </c>
    </row>
    <row r="1575" ht="12.75" customHeight="1">
      <c r="A1575" s="90"/>
    </row>
    <row r="1576" ht="12.75" customHeight="1">
      <c r="A1576" s="96" t="s">
        <v>1229</v>
      </c>
    </row>
    <row r="1577" ht="12.75" customHeight="1">
      <c r="A1577" s="90"/>
    </row>
    <row r="1578" ht="12.75" customHeight="1">
      <c r="A1578" s="96" t="s">
        <v>5184</v>
      </c>
    </row>
    <row r="1579" ht="12.75" customHeight="1">
      <c r="A1579" s="90"/>
    </row>
    <row r="1580" ht="12.75" customHeight="1">
      <c r="A1580" s="96" t="s">
        <v>1232</v>
      </c>
    </row>
    <row r="1581" ht="12.75" customHeight="1">
      <c r="A1581" s="90"/>
    </row>
    <row r="1582" ht="12.75" customHeight="1">
      <c r="A1582" s="96" t="s">
        <v>1233</v>
      </c>
    </row>
    <row r="1583" ht="12.75" customHeight="1">
      <c r="A1583" s="90"/>
    </row>
    <row r="1584" ht="12.75" customHeight="1">
      <c r="A1584" s="96" t="s">
        <v>5185</v>
      </c>
    </row>
    <row r="1585" ht="12.75" customHeight="1">
      <c r="A1585" s="90"/>
    </row>
    <row r="1586" ht="12.75" customHeight="1">
      <c r="A1586" s="96" t="s">
        <v>5186</v>
      </c>
    </row>
    <row r="1587" ht="12.75" customHeight="1">
      <c r="A1587" s="90"/>
    </row>
    <row r="1588" ht="12.75" customHeight="1">
      <c r="A1588" s="96" t="s">
        <v>1239</v>
      </c>
    </row>
    <row r="1589" ht="12.75" customHeight="1">
      <c r="A1589" s="90"/>
    </row>
    <row r="1590" ht="12.75" customHeight="1">
      <c r="A1590" s="96" t="s">
        <v>5187</v>
      </c>
    </row>
    <row r="1591" ht="12.75" customHeight="1">
      <c r="A1591" s="90"/>
    </row>
    <row r="1592" ht="12.75" customHeight="1">
      <c r="A1592" s="96" t="s">
        <v>1242</v>
      </c>
    </row>
    <row r="1593" ht="12.75" customHeight="1">
      <c r="A1593" s="90"/>
    </row>
    <row r="1594" ht="12.75" customHeight="1">
      <c r="A1594" s="96" t="s">
        <v>5188</v>
      </c>
    </row>
    <row r="1595" ht="12.75" customHeight="1">
      <c r="A1595" s="90"/>
    </row>
    <row r="1596" ht="12.75" customHeight="1">
      <c r="A1596" s="96" t="s">
        <v>5189</v>
      </c>
    </row>
    <row r="1597" ht="12.75" customHeight="1">
      <c r="A1597" s="90"/>
    </row>
    <row r="1598" ht="12.75" customHeight="1">
      <c r="A1598" s="96" t="s">
        <v>1246</v>
      </c>
    </row>
    <row r="1599" ht="12.75" customHeight="1">
      <c r="A1599" s="90"/>
    </row>
    <row r="1600" ht="12.75" customHeight="1">
      <c r="A1600" s="96" t="s">
        <v>5190</v>
      </c>
    </row>
    <row r="1601" ht="12.75" customHeight="1">
      <c r="A1601" s="90"/>
    </row>
    <row r="1602" ht="12.75" customHeight="1">
      <c r="A1602" s="96" t="s">
        <v>1249</v>
      </c>
    </row>
    <row r="1603" ht="12.75" customHeight="1">
      <c r="A1603" s="90"/>
    </row>
    <row r="1604" ht="12.75" customHeight="1">
      <c r="A1604" s="96" t="s">
        <v>1250</v>
      </c>
    </row>
    <row r="1605" ht="12.75" customHeight="1">
      <c r="A1605" s="90"/>
    </row>
    <row r="1606" ht="12.75" customHeight="1">
      <c r="A1606" s="96" t="s">
        <v>1251</v>
      </c>
    </row>
    <row r="1607" ht="12.75" customHeight="1">
      <c r="A1607" s="90"/>
    </row>
    <row r="1608" ht="12.75" customHeight="1">
      <c r="A1608" s="96" t="s">
        <v>1252</v>
      </c>
    </row>
    <row r="1609" ht="12.75" customHeight="1">
      <c r="A1609" s="90"/>
    </row>
    <row r="1610" ht="12.75" customHeight="1">
      <c r="A1610" s="96" t="s">
        <v>1253</v>
      </c>
    </row>
    <row r="1611" ht="12.75" customHeight="1">
      <c r="A1611" s="90"/>
    </row>
    <row r="1612" ht="12.75" customHeight="1">
      <c r="A1612" s="96" t="s">
        <v>5191</v>
      </c>
    </row>
    <row r="1613" ht="12.75" customHeight="1">
      <c r="A1613" s="90"/>
    </row>
    <row r="1614" ht="12.75" customHeight="1">
      <c r="A1614" s="96" t="s">
        <v>1255</v>
      </c>
    </row>
    <row r="1615" ht="12.75" customHeight="1">
      <c r="A1615" s="90"/>
    </row>
    <row r="1616" ht="12.75" customHeight="1">
      <c r="A1616" s="96" t="s">
        <v>5192</v>
      </c>
    </row>
    <row r="1617" ht="12.75" customHeight="1">
      <c r="A1617" s="90"/>
    </row>
    <row r="1618" ht="12.75" customHeight="1">
      <c r="A1618" s="96" t="s">
        <v>1257</v>
      </c>
    </row>
    <row r="1619" ht="12.75" customHeight="1">
      <c r="A1619" s="90"/>
    </row>
    <row r="1620" ht="12.75" customHeight="1">
      <c r="A1620" s="96" t="s">
        <v>1258</v>
      </c>
    </row>
    <row r="1621" ht="12.75" customHeight="1">
      <c r="A1621" s="90"/>
    </row>
    <row r="1622" ht="12.75" customHeight="1">
      <c r="A1622" s="96" t="s">
        <v>2883</v>
      </c>
    </row>
    <row r="1623" ht="12.75" customHeight="1">
      <c r="A1623" s="90"/>
    </row>
    <row r="1624" ht="12.75" customHeight="1">
      <c r="A1624" s="96" t="s">
        <v>8038</v>
      </c>
    </row>
    <row r="1625" ht="12.75" customHeight="1">
      <c r="A1625" s="96" t="s">
        <v>8039</v>
      </c>
    </row>
    <row r="1626" ht="12.75" customHeight="1">
      <c r="A1626" s="90"/>
    </row>
    <row r="1627" ht="12.75" customHeight="1">
      <c r="A1627" s="96" t="s">
        <v>5194</v>
      </c>
    </row>
    <row r="1628" ht="12.75" customHeight="1">
      <c r="A1628" s="90"/>
    </row>
    <row r="1629" ht="12.75" customHeight="1">
      <c r="A1629" s="96" t="s">
        <v>5195</v>
      </c>
    </row>
    <row r="1630" ht="12.75" customHeight="1">
      <c r="A1630" s="90"/>
    </row>
    <row r="1631" ht="12.75" customHeight="1">
      <c r="A1631" s="96" t="s">
        <v>5196</v>
      </c>
    </row>
    <row r="1632" ht="12.75" customHeight="1">
      <c r="A1632" s="90"/>
    </row>
    <row r="1633" ht="12.75" customHeight="1">
      <c r="A1633" s="96" t="s">
        <v>5197</v>
      </c>
    </row>
    <row r="1634" ht="12.75" customHeight="1">
      <c r="A1634" s="90"/>
    </row>
    <row r="1635" ht="12.75" customHeight="1">
      <c r="A1635" s="96" t="s">
        <v>5127</v>
      </c>
    </row>
    <row r="1636" ht="12.75" customHeight="1">
      <c r="A1636" s="90"/>
    </row>
    <row r="1637" ht="12.75" customHeight="1">
      <c r="A1637" s="90"/>
    </row>
    <row r="1638" ht="12.75" customHeight="1">
      <c r="A1638" s="96" t="s">
        <v>5198</v>
      </c>
    </row>
    <row r="1639" ht="12.75" customHeight="1">
      <c r="A1639" s="90"/>
    </row>
    <row r="1640" ht="12.75" customHeight="1">
      <c r="A1640" s="96" t="s">
        <v>5199</v>
      </c>
    </row>
    <row r="1641" ht="12.75" customHeight="1">
      <c r="A1641" s="90"/>
    </row>
    <row r="1642" ht="12.75" customHeight="1">
      <c r="A1642" s="96" t="s">
        <v>5200</v>
      </c>
    </row>
    <row r="1643" ht="12.75" customHeight="1">
      <c r="A1643" s="90"/>
    </row>
    <row r="1644" ht="12.75" customHeight="1">
      <c r="A1644" s="96" t="s">
        <v>5201</v>
      </c>
    </row>
    <row r="1645" ht="12.75" customHeight="1">
      <c r="A1645" s="90"/>
    </row>
    <row r="1646" ht="12.75" customHeight="1">
      <c r="A1646" s="96" t="s">
        <v>5202</v>
      </c>
    </row>
    <row r="1647" ht="12.75" customHeight="1">
      <c r="A1647" s="90"/>
    </row>
    <row r="1648" ht="12.75" customHeight="1">
      <c r="A1648" s="96" t="s">
        <v>5203</v>
      </c>
    </row>
    <row r="1649" ht="12.75" customHeight="1">
      <c r="A1649" s="90"/>
    </row>
    <row r="1650" ht="12.75" customHeight="1">
      <c r="A1650" s="96" t="s">
        <v>5204</v>
      </c>
    </row>
    <row r="1651" ht="12.75" customHeight="1">
      <c r="A1651" s="90"/>
    </row>
    <row r="1652" ht="12.75" customHeight="1">
      <c r="A1652" s="96" t="s">
        <v>5205</v>
      </c>
    </row>
    <row r="1653" ht="12.75" customHeight="1">
      <c r="A1653" s="90"/>
    </row>
    <row r="1654" ht="12.75" customHeight="1">
      <c r="A1654" s="96" t="s">
        <v>5206</v>
      </c>
    </row>
    <row r="1655" ht="12.75" customHeight="1">
      <c r="A1655" s="90"/>
    </row>
    <row r="1656" ht="12.75" customHeight="1">
      <c r="A1656" s="96" t="s">
        <v>5207</v>
      </c>
    </row>
    <row r="1657" ht="12.75" customHeight="1">
      <c r="A1657" s="90"/>
    </row>
    <row r="1658" ht="12.75" customHeight="1">
      <c r="A1658" s="96" t="s">
        <v>5208</v>
      </c>
    </row>
    <row r="1659" ht="12.75" customHeight="1">
      <c r="A1659" s="90"/>
    </row>
    <row r="1660" ht="12.75" customHeight="1">
      <c r="A1660" s="96" t="s">
        <v>5209</v>
      </c>
    </row>
    <row r="1661" ht="12.75" customHeight="1">
      <c r="A1661" s="90"/>
    </row>
    <row r="1662" ht="12.75" customHeight="1">
      <c r="A1662" s="96" t="s">
        <v>5210</v>
      </c>
    </row>
    <row r="1663" ht="12.75" customHeight="1">
      <c r="A1663" s="90"/>
    </row>
    <row r="1664" ht="12.75" customHeight="1">
      <c r="A1664" s="96" t="s">
        <v>5211</v>
      </c>
    </row>
    <row r="1665" ht="12.75" customHeight="1">
      <c r="A1665" s="90"/>
    </row>
    <row r="1666" ht="12.75" customHeight="1">
      <c r="A1666" s="96" t="s">
        <v>5212</v>
      </c>
    </row>
    <row r="1667" ht="12.75" customHeight="1">
      <c r="A1667" s="90"/>
    </row>
    <row r="1668" ht="12.75" customHeight="1">
      <c r="A1668" s="96" t="s">
        <v>5213</v>
      </c>
    </row>
    <row r="1669" ht="12.75" customHeight="1">
      <c r="A1669" s="90"/>
    </row>
    <row r="1670" ht="12.75" customHeight="1">
      <c r="A1670" s="96" t="s">
        <v>5214</v>
      </c>
    </row>
    <row r="1671" ht="12.75" customHeight="1">
      <c r="A1671" s="90"/>
    </row>
    <row r="1672" ht="12.75" customHeight="1">
      <c r="A1672" s="96" t="s">
        <v>5215</v>
      </c>
    </row>
    <row r="1673" ht="12.75" customHeight="1">
      <c r="A1673" s="90"/>
    </row>
    <row r="1674" ht="12.75" customHeight="1">
      <c r="A1674" s="96" t="s">
        <v>4308</v>
      </c>
    </row>
    <row r="1675" ht="12.75" customHeight="1">
      <c r="A1675" s="90"/>
    </row>
    <row r="1676" ht="12.75" customHeight="1">
      <c r="A1676" s="96" t="s">
        <v>5216</v>
      </c>
    </row>
    <row r="1677" ht="12.75" customHeight="1">
      <c r="A1677" s="90"/>
    </row>
    <row r="1678" ht="12.75" customHeight="1">
      <c r="A1678" s="96" t="s">
        <v>4310</v>
      </c>
    </row>
    <row r="1679" ht="12.75" customHeight="1">
      <c r="A1679" s="90"/>
    </row>
    <row r="1680" ht="12.75" customHeight="1">
      <c r="A1680" s="96" t="s">
        <v>4311</v>
      </c>
    </row>
    <row r="1681" ht="12.75" customHeight="1">
      <c r="A1681" s="90"/>
    </row>
    <row r="1682" ht="12.75" customHeight="1">
      <c r="A1682" s="96" t="s">
        <v>4312</v>
      </c>
    </row>
    <row r="1683" ht="12.75" customHeight="1">
      <c r="A1683" s="90"/>
    </row>
    <row r="1684" ht="12.75" customHeight="1">
      <c r="A1684" s="96" t="s">
        <v>4313</v>
      </c>
    </row>
    <row r="1685" ht="12.75" customHeight="1">
      <c r="A1685" s="90"/>
    </row>
    <row r="1686" ht="12.75" customHeight="1">
      <c r="A1686" s="96" t="s">
        <v>4314</v>
      </c>
    </row>
    <row r="1687" ht="12.75" customHeight="1">
      <c r="A1687" s="90"/>
    </row>
    <row r="1688" ht="12.75" customHeight="1">
      <c r="A1688" s="96" t="s">
        <v>5217</v>
      </c>
    </row>
    <row r="1689" ht="12.75" customHeight="1">
      <c r="A1689" s="90"/>
    </row>
    <row r="1690" ht="12.75" customHeight="1">
      <c r="A1690" s="96" t="s">
        <v>5218</v>
      </c>
    </row>
    <row r="1691" ht="12.75" customHeight="1">
      <c r="A1691" s="90"/>
    </row>
    <row r="1692" ht="12.75" customHeight="1">
      <c r="A1692" s="96" t="s">
        <v>5219</v>
      </c>
    </row>
    <row r="1693" ht="12.75" customHeight="1">
      <c r="A1693" s="90"/>
    </row>
    <row r="1694" ht="12.75" customHeight="1">
      <c r="A1694" s="96" t="s">
        <v>5220</v>
      </c>
    </row>
    <row r="1695" ht="12.75" customHeight="1">
      <c r="A1695" s="90"/>
    </row>
    <row r="1696" ht="12.75" customHeight="1">
      <c r="A1696" s="96" t="s">
        <v>5221</v>
      </c>
    </row>
    <row r="1697" ht="12.75" customHeight="1">
      <c r="A1697" s="90"/>
    </row>
    <row r="1698" ht="12.75" customHeight="1">
      <c r="A1698" s="96" t="s">
        <v>5222</v>
      </c>
    </row>
    <row r="1699" ht="12.75" customHeight="1">
      <c r="A1699" s="90"/>
    </row>
    <row r="1700" ht="12.75" customHeight="1">
      <c r="A1700" s="96" t="s">
        <v>5223</v>
      </c>
    </row>
    <row r="1701" ht="12.75" customHeight="1">
      <c r="A1701" s="90"/>
    </row>
    <row r="1702" ht="12.75" customHeight="1">
      <c r="A1702" s="96" t="s">
        <v>5224</v>
      </c>
    </row>
    <row r="1703" ht="12.75" customHeight="1">
      <c r="A1703" s="90"/>
    </row>
    <row r="1704" ht="12.75" customHeight="1">
      <c r="A1704" s="96" t="s">
        <v>5225</v>
      </c>
    </row>
    <row r="1705" ht="12.75" customHeight="1">
      <c r="A1705" s="90"/>
    </row>
    <row r="1706" ht="12.75" customHeight="1">
      <c r="A1706" s="96" t="s">
        <v>5226</v>
      </c>
    </row>
    <row r="1707" ht="12.75" customHeight="1">
      <c r="A1707" s="90"/>
    </row>
    <row r="1708" ht="12.75" customHeight="1">
      <c r="A1708" s="96" t="s">
        <v>5227</v>
      </c>
    </row>
    <row r="1709" ht="12.75" customHeight="1">
      <c r="A1709" s="90"/>
    </row>
    <row r="1710" ht="12.75" customHeight="1">
      <c r="A1710" s="96" t="s">
        <v>5228</v>
      </c>
    </row>
    <row r="1711" ht="12.75" customHeight="1">
      <c r="A1711" s="90"/>
    </row>
    <row r="1712" ht="12.75" customHeight="1">
      <c r="A1712" s="96" t="s">
        <v>5119</v>
      </c>
    </row>
    <row r="1713" ht="12.75" customHeight="1">
      <c r="A1713" s="90"/>
    </row>
    <row r="1714" ht="12.75" customHeight="1">
      <c r="A1714" s="96" t="s">
        <v>5229</v>
      </c>
    </row>
    <row r="1715" ht="12.75" customHeight="1">
      <c r="A1715" s="90"/>
    </row>
    <row r="1716" ht="12.75" customHeight="1">
      <c r="A1716" s="96" t="s">
        <v>5230</v>
      </c>
    </row>
    <row r="1717" ht="12.75" customHeight="1">
      <c r="A1717" s="90"/>
    </row>
    <row r="1718" ht="12.75" customHeight="1">
      <c r="A1718" s="96" t="s">
        <v>5231</v>
      </c>
    </row>
    <row r="1719" ht="12.75" customHeight="1">
      <c r="A1719" s="90"/>
    </row>
    <row r="1720" ht="12.75" customHeight="1">
      <c r="A1720" s="96" t="s">
        <v>5232</v>
      </c>
    </row>
    <row r="1721" ht="12.75" customHeight="1">
      <c r="A1721" s="90"/>
    </row>
    <row r="1722" ht="12.75" customHeight="1">
      <c r="A1722" s="96" t="s">
        <v>5233</v>
      </c>
    </row>
    <row r="1723" ht="12.75" customHeight="1">
      <c r="A1723" s="90"/>
    </row>
    <row r="1724" ht="12.75" customHeight="1">
      <c r="A1724" s="96" t="s">
        <v>5234</v>
      </c>
    </row>
    <row r="1725" ht="12.75" customHeight="1">
      <c r="A1725" s="90"/>
    </row>
    <row r="1726" ht="12.75" customHeight="1">
      <c r="A1726" s="96" t="s">
        <v>5235</v>
      </c>
    </row>
    <row r="1727" ht="12.75" customHeight="1">
      <c r="A1727" s="90"/>
    </row>
    <row r="1728" ht="12.75" customHeight="1">
      <c r="A1728" s="96" t="s">
        <v>5122</v>
      </c>
    </row>
    <row r="1729" ht="12.75" customHeight="1">
      <c r="A1729" s="90"/>
    </row>
    <row r="1730" ht="12.75" customHeight="1">
      <c r="A1730" s="96" t="s">
        <v>5236</v>
      </c>
    </row>
    <row r="1731" ht="12.75" customHeight="1">
      <c r="A1731" s="90"/>
    </row>
    <row r="1732" ht="12.75" customHeight="1">
      <c r="A1732" s="96" t="s">
        <v>5237</v>
      </c>
    </row>
    <row r="1733" ht="12.75" customHeight="1">
      <c r="A1733" s="90"/>
    </row>
    <row r="1734" ht="12.75" customHeight="1">
      <c r="A1734" s="96" t="s">
        <v>5238</v>
      </c>
    </row>
    <row r="1735" ht="12.75" customHeight="1">
      <c r="A1735" s="90"/>
    </row>
    <row r="1736" ht="12.75" customHeight="1">
      <c r="A1736" s="96" t="s">
        <v>5239</v>
      </c>
    </row>
    <row r="1737" ht="12.75" customHeight="1">
      <c r="A1737" s="90"/>
    </row>
    <row r="1738" ht="12.75" customHeight="1">
      <c r="A1738" s="96" t="s">
        <v>5240</v>
      </c>
    </row>
    <row r="1739" ht="12.75" customHeight="1">
      <c r="A1739" s="90"/>
    </row>
    <row r="1740" ht="12.75" customHeight="1">
      <c r="A1740" s="96" t="s">
        <v>5241</v>
      </c>
    </row>
    <row r="1741" ht="12.75" customHeight="1">
      <c r="A1741" s="90"/>
    </row>
    <row r="1742" ht="12.75" customHeight="1">
      <c r="A1742" s="96" t="s">
        <v>5242</v>
      </c>
    </row>
    <row r="1743" ht="12.75" customHeight="1">
      <c r="A1743" s="90"/>
    </row>
    <row r="1744" ht="12.75" customHeight="1">
      <c r="A1744" s="96" t="s">
        <v>2991</v>
      </c>
    </row>
    <row r="1745" ht="12.75" customHeight="1">
      <c r="A1745" s="90"/>
    </row>
    <row r="1746" ht="12.75" customHeight="1">
      <c r="A1746" s="96" t="s">
        <v>5243</v>
      </c>
    </row>
    <row r="1747" ht="12.75" customHeight="1">
      <c r="A1747" s="90"/>
    </row>
    <row r="1748" ht="12.75" customHeight="1">
      <c r="A1748" s="96" t="s">
        <v>1324</v>
      </c>
    </row>
    <row r="1749" ht="12.75" customHeight="1">
      <c r="A1749" s="90"/>
    </row>
    <row r="1750" ht="12.75" customHeight="1">
      <c r="A1750" s="96" t="s">
        <v>5244</v>
      </c>
    </row>
    <row r="1751" ht="12.75" customHeight="1">
      <c r="A1751" s="90"/>
    </row>
    <row r="1752" ht="12.75" customHeight="1">
      <c r="A1752" s="96" t="s">
        <v>5214</v>
      </c>
    </row>
    <row r="1753" ht="12.75" customHeight="1">
      <c r="A1753" s="90"/>
    </row>
    <row r="1754" ht="12.75" customHeight="1">
      <c r="A1754" s="96" t="s">
        <v>5238</v>
      </c>
    </row>
    <row r="1755" ht="12.75" customHeight="1">
      <c r="A1755" s="90"/>
    </row>
    <row r="1756" ht="12.75" customHeight="1">
      <c r="A1756" s="96" t="s">
        <v>5245</v>
      </c>
    </row>
    <row r="1757" ht="12.75" customHeight="1">
      <c r="A1757" s="90"/>
    </row>
    <row r="1758" ht="12.75" customHeight="1">
      <c r="A1758" s="96" t="s">
        <v>5246</v>
      </c>
    </row>
    <row r="1759" ht="12.75" customHeight="1">
      <c r="A1759" s="90"/>
    </row>
    <row r="1760" ht="12.75" customHeight="1">
      <c r="A1760" s="96" t="s">
        <v>5247</v>
      </c>
    </row>
    <row r="1761" ht="12.75" customHeight="1">
      <c r="A1761" s="90"/>
    </row>
    <row r="1762" ht="12.75" customHeight="1">
      <c r="A1762" s="96" t="s">
        <v>5248</v>
      </c>
    </row>
    <row r="1763" ht="12.75" customHeight="1">
      <c r="A1763" s="90"/>
    </row>
    <row r="1764" ht="12.75" customHeight="1">
      <c r="A1764" s="96" t="s">
        <v>5249</v>
      </c>
    </row>
    <row r="1765" ht="12.75" customHeight="1">
      <c r="A1765" s="90"/>
    </row>
    <row r="1766" ht="12.75" customHeight="1">
      <c r="A1766" s="96" t="s">
        <v>5250</v>
      </c>
    </row>
    <row r="1767" ht="12.75" customHeight="1">
      <c r="A1767" s="90"/>
    </row>
    <row r="1768" ht="12.75" customHeight="1">
      <c r="A1768" s="96" t="s">
        <v>5214</v>
      </c>
    </row>
    <row r="1769" ht="12.75" customHeight="1">
      <c r="A1769" s="90"/>
    </row>
    <row r="1770" ht="12.75" customHeight="1">
      <c r="A1770" s="96" t="s">
        <v>5238</v>
      </c>
    </row>
    <row r="1771" ht="12.75" customHeight="1">
      <c r="A1771" s="90"/>
    </row>
    <row r="1772" ht="12.75" customHeight="1">
      <c r="A1772" s="96" t="s">
        <v>5251</v>
      </c>
    </row>
    <row r="1773" ht="12.75" customHeight="1">
      <c r="A1773" s="90"/>
    </row>
    <row r="1774" ht="12.75" customHeight="1">
      <c r="A1774" s="96" t="s">
        <v>5252</v>
      </c>
    </row>
    <row r="1775" ht="12.75" customHeight="1">
      <c r="A1775" s="90"/>
    </row>
    <row r="1776" ht="12.75" customHeight="1">
      <c r="A1776" s="96" t="s">
        <v>3014</v>
      </c>
    </row>
    <row r="1777" ht="12.75" customHeight="1">
      <c r="A1777" s="90"/>
    </row>
    <row r="1778" ht="12.75" customHeight="1">
      <c r="A1778" s="96" t="s">
        <v>3016</v>
      </c>
    </row>
    <row r="1779" ht="12.75" customHeight="1">
      <c r="A1779" s="90"/>
    </row>
    <row r="1780" ht="12.75" customHeight="1">
      <c r="A1780" s="96" t="s">
        <v>5119</v>
      </c>
    </row>
    <row r="1781" ht="12.75" customHeight="1">
      <c r="A1781" s="90"/>
    </row>
    <row r="1782" ht="12.75" customHeight="1">
      <c r="A1782" s="96" t="s">
        <v>5238</v>
      </c>
    </row>
    <row r="1783" ht="12.75" customHeight="1">
      <c r="A1783" s="90"/>
    </row>
    <row r="1784" ht="12.75" customHeight="1">
      <c r="A1784" s="96" t="s">
        <v>5247</v>
      </c>
    </row>
    <row r="1785" ht="12.75" customHeight="1">
      <c r="A1785" s="90"/>
    </row>
    <row r="1786" ht="12.75" customHeight="1">
      <c r="A1786" s="96" t="s">
        <v>5248</v>
      </c>
    </row>
    <row r="1787" ht="12.75" customHeight="1">
      <c r="A1787" s="90"/>
    </row>
    <row r="1788" ht="12.75" customHeight="1">
      <c r="A1788" s="96" t="s">
        <v>5122</v>
      </c>
    </row>
    <row r="1789" ht="12.75" customHeight="1">
      <c r="A1789" s="90"/>
    </row>
    <row r="1790" ht="12.75" customHeight="1">
      <c r="A1790" s="96" t="s">
        <v>5238</v>
      </c>
    </row>
    <row r="1791" ht="12.75" customHeight="1">
      <c r="A1791" s="90"/>
    </row>
    <row r="1792" ht="12.75" customHeight="1">
      <c r="A1792" s="96" t="s">
        <v>5253</v>
      </c>
    </row>
    <row r="1793" ht="12.75" customHeight="1">
      <c r="A1793" s="90"/>
    </row>
    <row r="1794" ht="12.75" customHeight="1">
      <c r="A1794" s="96" t="s">
        <v>5254</v>
      </c>
    </row>
    <row r="1795" ht="12.75" customHeight="1">
      <c r="A1795" s="90"/>
    </row>
    <row r="1796" ht="12.75" customHeight="1">
      <c r="A1796" s="96" t="s">
        <v>5238</v>
      </c>
    </row>
    <row r="1797" ht="12.75" customHeight="1">
      <c r="A1797" s="90"/>
    </row>
    <row r="1798" ht="12.75" customHeight="1">
      <c r="A1798" s="96" t="s">
        <v>5255</v>
      </c>
    </row>
    <row r="1799" ht="12.75" customHeight="1">
      <c r="A1799" s="90"/>
    </row>
    <row r="1800" ht="12.75" customHeight="1">
      <c r="A1800" s="96" t="s">
        <v>5256</v>
      </c>
    </row>
    <row r="1801" ht="12.75" customHeight="1">
      <c r="A1801" s="90"/>
    </row>
    <row r="1802" ht="12.75" customHeight="1">
      <c r="A1802" s="96" t="s">
        <v>5257</v>
      </c>
    </row>
    <row r="1803" ht="12.75" customHeight="1">
      <c r="A1803" s="90"/>
    </row>
    <row r="1804" ht="12.75" customHeight="1">
      <c r="A1804" s="96" t="s">
        <v>5258</v>
      </c>
    </row>
    <row r="1805" ht="12.75" customHeight="1">
      <c r="A1805" s="90"/>
    </row>
    <row r="1806" ht="12.75" customHeight="1">
      <c r="A1806" s="96" t="s">
        <v>5259</v>
      </c>
    </row>
    <row r="1807" ht="12.75" customHeight="1">
      <c r="A1807" s="90"/>
    </row>
    <row r="1808" ht="12.75" customHeight="1">
      <c r="A1808" s="96" t="s">
        <v>5260</v>
      </c>
    </row>
    <row r="1809" ht="12.75" customHeight="1">
      <c r="A1809" s="90"/>
    </row>
    <row r="1810" ht="12.75" customHeight="1">
      <c r="A1810" s="96" t="s">
        <v>8040</v>
      </c>
    </row>
    <row r="1811" ht="12.75" customHeight="1">
      <c r="A1811" s="96" t="s">
        <v>8041</v>
      </c>
    </row>
    <row r="1812" ht="12.75" customHeight="1">
      <c r="A1812" s="90"/>
    </row>
    <row r="1813" ht="12.75" customHeight="1">
      <c r="A1813" s="96" t="s">
        <v>5262</v>
      </c>
    </row>
    <row r="1814" ht="12.75" customHeight="1">
      <c r="A1814" s="90"/>
    </row>
    <row r="1815" ht="12.75" customHeight="1">
      <c r="A1815" s="96" t="s">
        <v>5263</v>
      </c>
    </row>
    <row r="1816" ht="12.75" customHeight="1">
      <c r="A1816" s="90"/>
    </row>
    <row r="1817" ht="12.75" customHeight="1">
      <c r="A1817" s="96" t="s">
        <v>4350</v>
      </c>
    </row>
    <row r="1818" ht="12.75" customHeight="1">
      <c r="A1818" s="90"/>
    </row>
    <row r="1819" ht="12.75" customHeight="1">
      <c r="A1819" s="96" t="s">
        <v>5214</v>
      </c>
    </row>
    <row r="1820" ht="12.75" customHeight="1">
      <c r="A1820" s="90"/>
    </row>
    <row r="1821" ht="12.75" customHeight="1">
      <c r="A1821" s="96" t="s">
        <v>5238</v>
      </c>
    </row>
    <row r="1822" ht="12.75" customHeight="1">
      <c r="A1822" s="90"/>
    </row>
    <row r="1823" ht="12.75" customHeight="1">
      <c r="A1823" s="96" t="s">
        <v>5264</v>
      </c>
    </row>
    <row r="1824" ht="12.75" customHeight="1">
      <c r="A1824" s="90"/>
    </row>
    <row r="1825" ht="12.75" customHeight="1">
      <c r="A1825" s="96" t="s">
        <v>5119</v>
      </c>
    </row>
    <row r="1826" ht="12.75" customHeight="1">
      <c r="A1826" s="90"/>
    </row>
    <row r="1827" ht="12.75" customHeight="1">
      <c r="A1827" s="96" t="s">
        <v>5238</v>
      </c>
    </row>
    <row r="1828" ht="12.75" customHeight="1">
      <c r="A1828" s="90"/>
    </row>
    <row r="1829" ht="12.75" customHeight="1">
      <c r="A1829" s="96" t="s">
        <v>5265</v>
      </c>
    </row>
    <row r="1830" ht="12.75" customHeight="1">
      <c r="A1830" s="90"/>
    </row>
    <row r="1831" ht="12.75" customHeight="1">
      <c r="A1831" s="96" t="s">
        <v>5122</v>
      </c>
    </row>
    <row r="1832" ht="12.75" customHeight="1">
      <c r="A1832" s="90"/>
    </row>
    <row r="1833" ht="12.75" customHeight="1">
      <c r="A1833" s="96" t="s">
        <v>5238</v>
      </c>
    </row>
    <row r="1834" ht="12.75" customHeight="1">
      <c r="A1834" s="90"/>
    </row>
    <row r="1835" ht="12.75" customHeight="1">
      <c r="A1835" s="96" t="s">
        <v>5266</v>
      </c>
    </row>
    <row r="1836" ht="12.75" customHeight="1">
      <c r="A1836" s="90"/>
    </row>
    <row r="1837" ht="12.75" customHeight="1">
      <c r="A1837" s="96" t="s">
        <v>5267</v>
      </c>
    </row>
    <row r="1838" ht="12.75" customHeight="1">
      <c r="A1838" s="90"/>
    </row>
    <row r="1839" ht="12.75" customHeight="1">
      <c r="A1839" s="96" t="s">
        <v>5214</v>
      </c>
    </row>
    <row r="1840" ht="12.75" customHeight="1">
      <c r="A1840" s="90"/>
    </row>
    <row r="1841" ht="12.75" customHeight="1">
      <c r="A1841" s="96" t="s">
        <v>5238</v>
      </c>
    </row>
    <row r="1842" ht="12.75" customHeight="1">
      <c r="A1842" s="90"/>
    </row>
    <row r="1843" ht="12.75" customHeight="1">
      <c r="A1843" s="96" t="s">
        <v>5268</v>
      </c>
    </row>
    <row r="1844" ht="12.75" customHeight="1">
      <c r="A1844" s="90"/>
    </row>
    <row r="1845" ht="12.75" customHeight="1">
      <c r="A1845" s="96" t="s">
        <v>5269</v>
      </c>
    </row>
    <row r="1846" ht="12.75" customHeight="1">
      <c r="A1846" s="90"/>
    </row>
    <row r="1847" ht="12.75" customHeight="1">
      <c r="A1847" s="96" t="s">
        <v>5270</v>
      </c>
    </row>
    <row r="1848" ht="12.75" customHeight="1">
      <c r="A1848" s="90"/>
    </row>
    <row r="1849" ht="12.75" customHeight="1">
      <c r="A1849" s="96" t="s">
        <v>5119</v>
      </c>
    </row>
    <row r="1850" ht="12.75" customHeight="1">
      <c r="A1850" s="90"/>
    </row>
    <row r="1851" ht="12.75" customHeight="1">
      <c r="A1851" s="96" t="s">
        <v>5238</v>
      </c>
    </row>
    <row r="1852" ht="12.75" customHeight="1">
      <c r="A1852" s="90"/>
    </row>
    <row r="1853" ht="12.75" customHeight="1">
      <c r="A1853" s="96" t="s">
        <v>5271</v>
      </c>
    </row>
    <row r="1854" ht="12.75" customHeight="1">
      <c r="A1854" s="90"/>
    </row>
    <row r="1855" ht="12.75" customHeight="1">
      <c r="A1855" s="96" t="s">
        <v>5122</v>
      </c>
    </row>
    <row r="1856" ht="12.75" customHeight="1">
      <c r="A1856" s="90"/>
    </row>
    <row r="1857" ht="12.75" customHeight="1">
      <c r="A1857" s="96" t="s">
        <v>5238</v>
      </c>
    </row>
    <row r="1858" ht="12.75" customHeight="1">
      <c r="A1858" s="90"/>
    </row>
    <row r="1859" ht="12.75" customHeight="1">
      <c r="A1859" s="96" t="s">
        <v>5272</v>
      </c>
    </row>
    <row r="1860" ht="12.75" customHeight="1">
      <c r="A1860" s="90"/>
    </row>
    <row r="1861" ht="12.75" customHeight="1">
      <c r="A1861" s="96" t="s">
        <v>5273</v>
      </c>
    </row>
    <row r="1862" ht="12.75" customHeight="1">
      <c r="A1862" s="90"/>
    </row>
    <row r="1863" ht="12.75" customHeight="1">
      <c r="A1863" s="96" t="s">
        <v>5274</v>
      </c>
    </row>
    <row r="1864" ht="12.75" customHeight="1">
      <c r="A1864" s="90"/>
    </row>
    <row r="1865" ht="12.75" customHeight="1">
      <c r="A1865" s="96" t="s">
        <v>5275</v>
      </c>
    </row>
    <row r="1866" ht="12.75" customHeight="1">
      <c r="A1866" s="90"/>
    </row>
    <row r="1867" ht="12.75" customHeight="1">
      <c r="A1867" s="96" t="s">
        <v>5276</v>
      </c>
    </row>
    <row r="1868" ht="12.75" customHeight="1">
      <c r="A1868" s="90"/>
    </row>
    <row r="1869" ht="12.75" customHeight="1">
      <c r="A1869" s="96" t="s">
        <v>5277</v>
      </c>
    </row>
    <row r="1870" ht="12.75" customHeight="1">
      <c r="A1870" s="90"/>
    </row>
    <row r="1871" ht="12.75" customHeight="1">
      <c r="A1871" s="96" t="s">
        <v>5278</v>
      </c>
    </row>
    <row r="1872" ht="12.75" customHeight="1">
      <c r="A1872" s="90"/>
    </row>
    <row r="1873" ht="12.75" customHeight="1">
      <c r="A1873" s="96" t="s">
        <v>3070</v>
      </c>
    </row>
    <row r="1874" ht="12.75" customHeight="1">
      <c r="A1874" s="90"/>
    </row>
    <row r="1875" ht="12.75" customHeight="1">
      <c r="A1875" s="96" t="s">
        <v>5279</v>
      </c>
    </row>
    <row r="1876" ht="12.75" customHeight="1">
      <c r="A1876" s="90"/>
    </row>
    <row r="1877" ht="12.75" customHeight="1">
      <c r="A1877" s="96" t="s">
        <v>3074</v>
      </c>
    </row>
    <row r="1878" ht="12.75" customHeight="1">
      <c r="A1878" s="90"/>
    </row>
    <row r="1879" ht="12.75" customHeight="1">
      <c r="A1879" s="96" t="s">
        <v>5280</v>
      </c>
    </row>
    <row r="1880" ht="12.75" customHeight="1">
      <c r="A1880" s="90"/>
    </row>
    <row r="1881" ht="12.75" customHeight="1">
      <c r="A1881" s="96" t="s">
        <v>5281</v>
      </c>
    </row>
    <row r="1882" ht="12.75" customHeight="1">
      <c r="A1882" s="90"/>
    </row>
    <row r="1883" ht="12.75" customHeight="1">
      <c r="A1883" s="96" t="s">
        <v>5282</v>
      </c>
    </row>
    <row r="1884" ht="12.75" customHeight="1">
      <c r="A1884" s="90"/>
    </row>
    <row r="1885" ht="12.75" customHeight="1">
      <c r="A1885" s="96" t="s">
        <v>5283</v>
      </c>
    </row>
    <row r="1886" ht="12.75" customHeight="1">
      <c r="A1886" s="90"/>
    </row>
    <row r="1887" ht="12.75" customHeight="1">
      <c r="A1887" s="96" t="s">
        <v>5284</v>
      </c>
    </row>
    <row r="1888" ht="12.75" customHeight="1">
      <c r="A1888" s="90"/>
    </row>
    <row r="1889" ht="12.75" customHeight="1">
      <c r="A1889" s="96" t="s">
        <v>5285</v>
      </c>
    </row>
    <row r="1890" ht="12.75" customHeight="1">
      <c r="A1890" s="90"/>
    </row>
    <row r="1891" ht="12.75" customHeight="1">
      <c r="A1891" s="96" t="s">
        <v>5286</v>
      </c>
    </row>
    <row r="1892" ht="12.75" customHeight="1">
      <c r="A1892" s="90"/>
    </row>
    <row r="1893" ht="12.75" customHeight="1">
      <c r="A1893" s="96" t="s">
        <v>5287</v>
      </c>
    </row>
    <row r="1894" ht="12.75" customHeight="1">
      <c r="A1894" s="90"/>
    </row>
    <row r="1895" ht="12.75" customHeight="1">
      <c r="A1895" s="96" t="s">
        <v>5288</v>
      </c>
    </row>
    <row r="1896" ht="12.75" customHeight="1">
      <c r="A1896" s="90"/>
    </row>
    <row r="1897" ht="12.75" customHeight="1">
      <c r="A1897" s="96" t="s">
        <v>5289</v>
      </c>
    </row>
    <row r="1898" ht="12.75" customHeight="1">
      <c r="A1898" s="90"/>
    </row>
    <row r="1899" ht="12.75" customHeight="1">
      <c r="A1899" s="96" t="s">
        <v>5290</v>
      </c>
    </row>
    <row r="1900" ht="12.75" customHeight="1">
      <c r="A1900" s="90"/>
    </row>
    <row r="1901" ht="12.75" customHeight="1">
      <c r="A1901" s="96" t="s">
        <v>5291</v>
      </c>
    </row>
    <row r="1902" ht="12.75" customHeight="1">
      <c r="A1902" s="90"/>
    </row>
    <row r="1903" ht="12.75" customHeight="1">
      <c r="A1903" s="96" t="s">
        <v>5292</v>
      </c>
    </row>
    <row r="1904" ht="12.75" customHeight="1">
      <c r="A1904" s="90"/>
    </row>
    <row r="1905" ht="12.75" customHeight="1">
      <c r="A1905" s="96" t="s">
        <v>5293</v>
      </c>
    </row>
    <row r="1906" ht="12.75" customHeight="1">
      <c r="A1906" s="90"/>
    </row>
    <row r="1907" ht="12.75" customHeight="1">
      <c r="A1907" s="96" t="s">
        <v>3074</v>
      </c>
    </row>
    <row r="1908" ht="12.75" customHeight="1">
      <c r="A1908" s="90"/>
    </row>
    <row r="1909" ht="12.75" customHeight="1">
      <c r="A1909" s="96" t="s">
        <v>5282</v>
      </c>
    </row>
    <row r="1910" ht="12.75" customHeight="1">
      <c r="A1910" s="90"/>
    </row>
    <row r="1911" ht="12.75" customHeight="1">
      <c r="A1911" s="96" t="s">
        <v>5294</v>
      </c>
    </row>
    <row r="1912" ht="12.75" customHeight="1">
      <c r="A1912" s="90"/>
    </row>
    <row r="1913" ht="12.75" customHeight="1">
      <c r="A1913" s="96" t="s">
        <v>5284</v>
      </c>
    </row>
    <row r="1914" ht="12.75" customHeight="1">
      <c r="A1914" s="90"/>
    </row>
    <row r="1915" ht="12.75" customHeight="1">
      <c r="A1915" s="96" t="s">
        <v>5295</v>
      </c>
    </row>
    <row r="1916" ht="12.75" customHeight="1">
      <c r="A1916" s="90"/>
    </row>
    <row r="1917" ht="12.75" customHeight="1">
      <c r="A1917" s="96" t="s">
        <v>5296</v>
      </c>
    </row>
    <row r="1918" ht="12.75" customHeight="1">
      <c r="A1918" s="90"/>
    </row>
    <row r="1919" ht="12.75" customHeight="1">
      <c r="A1919" s="96" t="s">
        <v>5283</v>
      </c>
    </row>
    <row r="1920" ht="12.75" customHeight="1">
      <c r="A1920" s="90"/>
    </row>
    <row r="1921" ht="12.75" customHeight="1">
      <c r="A1921" s="96" t="s">
        <v>5297</v>
      </c>
    </row>
    <row r="1922" ht="12.75" customHeight="1">
      <c r="A1922" s="90"/>
    </row>
    <row r="1923" ht="12.75" customHeight="1">
      <c r="A1923" s="96" t="s">
        <v>5298</v>
      </c>
    </row>
    <row r="1924" ht="12.75" customHeight="1">
      <c r="A1924" s="90"/>
    </row>
    <row r="1925" ht="12.75" customHeight="1">
      <c r="A1925" s="96" t="s">
        <v>5299</v>
      </c>
    </row>
    <row r="1926" ht="12.75" customHeight="1">
      <c r="A1926" s="90"/>
    </row>
    <row r="1927" ht="12.75" customHeight="1">
      <c r="A1927" s="96" t="s">
        <v>5300</v>
      </c>
    </row>
    <row r="1928" ht="12.75" customHeight="1">
      <c r="A1928" s="90"/>
    </row>
    <row r="1929" ht="12.75" customHeight="1">
      <c r="A1929" s="96" t="s">
        <v>5301</v>
      </c>
    </row>
    <row r="1930" ht="12.75" customHeight="1">
      <c r="A1930" s="90"/>
    </row>
    <row r="1931" ht="12.75" customHeight="1">
      <c r="A1931" s="96" t="s">
        <v>5302</v>
      </c>
    </row>
    <row r="1932" ht="12.75" customHeight="1">
      <c r="A1932" s="90"/>
    </row>
    <row r="1933" ht="12.75" customHeight="1">
      <c r="A1933" s="96" t="s">
        <v>5303</v>
      </c>
    </row>
    <row r="1934" ht="12.75" customHeight="1">
      <c r="A1934" s="90"/>
    </row>
    <row r="1935" ht="12.75" customHeight="1">
      <c r="A1935" s="96" t="s">
        <v>5304</v>
      </c>
    </row>
    <row r="1936" ht="12.75" customHeight="1">
      <c r="A1936" s="90"/>
    </row>
    <row r="1937" ht="12.75" customHeight="1">
      <c r="A1937" s="96" t="s">
        <v>5305</v>
      </c>
    </row>
    <row r="1938" ht="12.75" customHeight="1">
      <c r="A1938" s="90"/>
    </row>
    <row r="1939" ht="12.75" customHeight="1">
      <c r="A1939" s="96" t="s">
        <v>5306</v>
      </c>
    </row>
    <row r="1940" ht="12.75" customHeight="1">
      <c r="A1940" s="90"/>
    </row>
    <row r="1941" ht="12.75" customHeight="1">
      <c r="A1941" s="96" t="s">
        <v>3134</v>
      </c>
    </row>
    <row r="1942" ht="12.75" customHeight="1">
      <c r="A1942" s="90"/>
    </row>
    <row r="1943" ht="12.75" customHeight="1">
      <c r="A1943" s="96" t="s">
        <v>5289</v>
      </c>
    </row>
    <row r="1944" ht="12.75" customHeight="1">
      <c r="A1944" s="90"/>
    </row>
    <row r="1945" ht="12.75" customHeight="1">
      <c r="A1945" s="96" t="s">
        <v>3137</v>
      </c>
    </row>
    <row r="1946" ht="12.75" customHeight="1">
      <c r="A1946" s="90"/>
    </row>
    <row r="1947" ht="12.75" customHeight="1">
      <c r="A1947" s="96" t="s">
        <v>5307</v>
      </c>
    </row>
    <row r="1948" ht="12.75" customHeight="1">
      <c r="A1948" s="90"/>
    </row>
    <row r="1949" ht="12.75" customHeight="1">
      <c r="A1949" s="96" t="s">
        <v>5308</v>
      </c>
    </row>
    <row r="1950" ht="12.75" customHeight="1">
      <c r="A1950" s="90"/>
    </row>
    <row r="1951" ht="12.75" customHeight="1">
      <c r="A1951" s="96" t="s">
        <v>5309</v>
      </c>
    </row>
    <row r="1952" ht="12.75" customHeight="1">
      <c r="A1952" s="90"/>
    </row>
    <row r="1953" ht="12.75" customHeight="1">
      <c r="A1953" s="96" t="s">
        <v>5310</v>
      </c>
    </row>
    <row r="1954" ht="12.75" customHeight="1">
      <c r="A1954" s="90"/>
    </row>
    <row r="1955" ht="12.75" customHeight="1">
      <c r="A1955" s="96" t="s">
        <v>5311</v>
      </c>
    </row>
    <row r="1956" ht="12.75" customHeight="1">
      <c r="A1956" s="90"/>
    </row>
    <row r="1957" ht="12.75" customHeight="1">
      <c r="A1957" s="96" t="s">
        <v>5312</v>
      </c>
    </row>
    <row r="1958" ht="12.75" customHeight="1">
      <c r="A1958" s="90"/>
    </row>
    <row r="1959" ht="12.75" customHeight="1">
      <c r="A1959" s="96" t="s">
        <v>5313</v>
      </c>
    </row>
    <row r="1960" ht="12.75" customHeight="1">
      <c r="A1960" s="90"/>
    </row>
    <row r="1961" ht="12.75" customHeight="1">
      <c r="A1961" s="96" t="s">
        <v>3153</v>
      </c>
    </row>
    <row r="1962" ht="12.75" customHeight="1">
      <c r="A1962" s="90"/>
    </row>
    <row r="1963" ht="12.75" customHeight="1">
      <c r="A1963" s="96" t="s">
        <v>5314</v>
      </c>
    </row>
    <row r="1964" ht="12.75" customHeight="1">
      <c r="A1964" s="90"/>
    </row>
    <row r="1965" ht="12.75" customHeight="1">
      <c r="A1965" s="96" t="s">
        <v>3157</v>
      </c>
    </row>
    <row r="1966" ht="12.75" customHeight="1">
      <c r="A1966" s="90"/>
    </row>
    <row r="1967" ht="12.75" customHeight="1">
      <c r="A1967" s="96" t="s">
        <v>5315</v>
      </c>
    </row>
    <row r="1968" ht="12.75" customHeight="1">
      <c r="A1968" s="90"/>
    </row>
    <row r="1969" ht="12.75" customHeight="1">
      <c r="A1969" s="96" t="s">
        <v>5285</v>
      </c>
    </row>
    <row r="1970" ht="12.75" customHeight="1">
      <c r="A1970" s="90"/>
    </row>
    <row r="1971" ht="12.75" customHeight="1">
      <c r="A1971" s="96" t="s">
        <v>5316</v>
      </c>
    </row>
    <row r="1972" ht="12.75" customHeight="1">
      <c r="A1972" s="90"/>
    </row>
    <row r="1973" ht="12.75" customHeight="1">
      <c r="A1973" s="96" t="s">
        <v>5279</v>
      </c>
    </row>
    <row r="1974" ht="12.75" customHeight="1">
      <c r="A1974" s="90"/>
    </row>
    <row r="1975" ht="12.75" customHeight="1">
      <c r="A1975" s="96" t="s">
        <v>5292</v>
      </c>
    </row>
    <row r="1976" ht="12.75" customHeight="1">
      <c r="A1976" s="90"/>
    </row>
    <row r="1977" ht="12.75" customHeight="1">
      <c r="A1977" s="96" t="s">
        <v>5290</v>
      </c>
    </row>
    <row r="1978" ht="12.75" customHeight="1">
      <c r="A1978" s="90"/>
    </row>
    <row r="1979" ht="12.75" customHeight="1">
      <c r="A1979" s="96" t="s">
        <v>5317</v>
      </c>
    </row>
    <row r="1980" ht="12.75" customHeight="1">
      <c r="A1980" s="90"/>
    </row>
    <row r="1981" ht="12.75" customHeight="1">
      <c r="A1981" s="96" t="s">
        <v>5318</v>
      </c>
    </row>
    <row r="1982" ht="12.75" customHeight="1">
      <c r="A1982" s="90"/>
    </row>
    <row r="1983" ht="12.75" customHeight="1">
      <c r="A1983" s="96" t="s">
        <v>5286</v>
      </c>
    </row>
    <row r="1984" ht="12.75" customHeight="1">
      <c r="A1984" s="90"/>
    </row>
    <row r="1985" ht="12.75" customHeight="1">
      <c r="A1985" s="96" t="s">
        <v>5284</v>
      </c>
    </row>
    <row r="1986" ht="12.75" customHeight="1">
      <c r="A1986" s="90"/>
    </row>
    <row r="1987" ht="12.75" customHeight="1">
      <c r="A1987" s="96" t="s">
        <v>5283</v>
      </c>
    </row>
    <row r="1988" ht="12.75" customHeight="1">
      <c r="A1988" s="90"/>
    </row>
    <row r="1989" ht="12.75" customHeight="1">
      <c r="A1989" s="96" t="s">
        <v>5319</v>
      </c>
    </row>
    <row r="1990" ht="12.75" customHeight="1">
      <c r="A1990" s="90"/>
    </row>
    <row r="1991" ht="12.75" customHeight="1">
      <c r="A1991" s="96" t="s">
        <v>3074</v>
      </c>
    </row>
    <row r="1992" ht="12.75" customHeight="1">
      <c r="A1992" s="90"/>
    </row>
    <row r="1993" ht="12.75" customHeight="1">
      <c r="A1993" s="96" t="s">
        <v>5298</v>
      </c>
    </row>
    <row r="1994" ht="12.75" customHeight="1">
      <c r="A1994" s="90"/>
    </row>
    <row r="1995" ht="12.75" customHeight="1">
      <c r="A1995" s="96" t="s">
        <v>5297</v>
      </c>
    </row>
    <row r="1996" ht="12.75" customHeight="1">
      <c r="A1996" s="90"/>
    </row>
    <row r="1997" ht="12.75" customHeight="1">
      <c r="A1997" s="96" t="s">
        <v>5285</v>
      </c>
    </row>
    <row r="1998" ht="12.75" customHeight="1">
      <c r="A1998" s="90"/>
    </row>
    <row r="1999" ht="12.75" customHeight="1">
      <c r="A1999" s="96" t="s">
        <v>5320</v>
      </c>
    </row>
    <row r="2000" ht="12.75" customHeight="1">
      <c r="A2000" s="90"/>
    </row>
    <row r="2001" ht="12.75" customHeight="1">
      <c r="A2001" s="96" t="s">
        <v>5321</v>
      </c>
    </row>
    <row r="2002" ht="12.75" customHeight="1">
      <c r="A2002" s="90"/>
    </row>
    <row r="2003" ht="12.75" customHeight="1">
      <c r="A2003" s="96" t="s">
        <v>5322</v>
      </c>
    </row>
    <row r="2004" ht="12.75" customHeight="1">
      <c r="A2004" s="90"/>
    </row>
    <row r="2005" ht="12.75" customHeight="1">
      <c r="A2005" s="96" t="s">
        <v>5323</v>
      </c>
    </row>
    <row r="2006" ht="12.75" customHeight="1">
      <c r="A2006" s="90"/>
    </row>
    <row r="2007" ht="12.75" customHeight="1">
      <c r="A2007" s="96" t="s">
        <v>5324</v>
      </c>
    </row>
    <row r="2008" ht="12.75" customHeight="1">
      <c r="A2008" s="90"/>
    </row>
    <row r="2009" ht="12.75" customHeight="1">
      <c r="A2009" s="96" t="s">
        <v>5325</v>
      </c>
    </row>
    <row r="2010" ht="12.75" customHeight="1">
      <c r="A2010" s="90"/>
    </row>
    <row r="2011" ht="12.75" customHeight="1">
      <c r="A2011" s="96" t="s">
        <v>5326</v>
      </c>
    </row>
    <row r="2012" ht="12.75" customHeight="1">
      <c r="A2012" s="90"/>
    </row>
    <row r="2013" ht="12.75" customHeight="1">
      <c r="A2013" s="96" t="s">
        <v>5327</v>
      </c>
    </row>
    <row r="2014" ht="12.75" customHeight="1">
      <c r="A2014" s="90"/>
    </row>
    <row r="2015" ht="12.75" customHeight="1">
      <c r="A2015" s="96" t="s">
        <v>5328</v>
      </c>
    </row>
    <row r="2016" ht="12.75" customHeight="1">
      <c r="A2016" s="90"/>
    </row>
    <row r="2017" ht="12.75" customHeight="1">
      <c r="A2017" s="96" t="s">
        <v>5305</v>
      </c>
    </row>
    <row r="2018" ht="12.75" customHeight="1">
      <c r="A2018" s="90"/>
    </row>
    <row r="2019" ht="12.75" customHeight="1">
      <c r="A2019" s="96" t="s">
        <v>5329</v>
      </c>
    </row>
    <row r="2020" ht="12.75" customHeight="1">
      <c r="A2020" s="90"/>
    </row>
    <row r="2021" ht="12.75" customHeight="1">
      <c r="A2021" s="96" t="s">
        <v>5292</v>
      </c>
    </row>
    <row r="2022" ht="12.75" customHeight="1">
      <c r="A2022" s="90"/>
    </row>
    <row r="2023" ht="12.75" customHeight="1">
      <c r="A2023" s="96" t="s">
        <v>5330</v>
      </c>
    </row>
    <row r="2024" ht="12.75" customHeight="1">
      <c r="A2024" s="90"/>
    </row>
    <row r="2025" ht="12.75" customHeight="1">
      <c r="A2025" s="96" t="s">
        <v>5331</v>
      </c>
    </row>
    <row r="2026" ht="12.75" customHeight="1">
      <c r="A2026" s="90"/>
    </row>
    <row r="2027" ht="12.75" customHeight="1">
      <c r="A2027" s="96" t="s">
        <v>5332</v>
      </c>
    </row>
    <row r="2028" ht="12.75" customHeight="1">
      <c r="A2028" s="90"/>
    </row>
    <row r="2029" ht="12.75" customHeight="1">
      <c r="A2029" s="96" t="s">
        <v>4897</v>
      </c>
    </row>
    <row r="2030" ht="12.75" customHeight="1">
      <c r="A2030" s="90"/>
    </row>
    <row r="2031" ht="12.75" customHeight="1">
      <c r="A2031" s="96" t="s">
        <v>5126</v>
      </c>
    </row>
    <row r="2032" ht="12.75" customHeight="1">
      <c r="A2032" s="90"/>
    </row>
    <row r="2033" ht="12.75" customHeight="1">
      <c r="A2033" s="96" t="s">
        <v>5333</v>
      </c>
    </row>
    <row r="2034" ht="12.75" customHeight="1">
      <c r="A2034" s="90"/>
    </row>
    <row r="2035" ht="12.75" customHeight="1">
      <c r="A2035" s="96" t="s">
        <v>5334</v>
      </c>
    </row>
    <row r="2036" ht="12.75" customHeight="1">
      <c r="A2036" s="90"/>
    </row>
    <row r="2037" ht="12.75" customHeight="1">
      <c r="A2037" s="96" t="s">
        <v>5335</v>
      </c>
    </row>
    <row r="2038" ht="12.75" customHeight="1">
      <c r="A2038" s="90"/>
    </row>
    <row r="2039" ht="12.75" customHeight="1">
      <c r="A2039" s="96" t="s">
        <v>5336</v>
      </c>
    </row>
    <row r="2040" ht="12.75" customHeight="1">
      <c r="A2040" s="90"/>
    </row>
    <row r="2041" ht="12.75" customHeight="1">
      <c r="A2041" s="96" t="s">
        <v>5337</v>
      </c>
    </row>
    <row r="2042" ht="12.75" customHeight="1">
      <c r="A2042" s="90"/>
    </row>
    <row r="2043" ht="12.75" customHeight="1">
      <c r="A2043" s="96" t="s">
        <v>5338</v>
      </c>
    </row>
    <row r="2044" ht="12.75" customHeight="1">
      <c r="A2044" s="90"/>
    </row>
    <row r="2045" ht="12.75" customHeight="1">
      <c r="A2045" s="96" t="s">
        <v>5339</v>
      </c>
    </row>
    <row r="2046" ht="12.75" customHeight="1">
      <c r="A2046" s="90"/>
    </row>
    <row r="2047" ht="12.75" customHeight="1">
      <c r="A2047" s="96" t="s">
        <v>5340</v>
      </c>
    </row>
    <row r="2048" ht="12.75" customHeight="1">
      <c r="A2048" s="90"/>
    </row>
    <row r="2049" ht="12.75" customHeight="1">
      <c r="A2049" s="96" t="s">
        <v>5341</v>
      </c>
    </row>
    <row r="2050" ht="12.75" customHeight="1">
      <c r="A2050" s="90"/>
    </row>
    <row r="2051" ht="12.75" customHeight="1">
      <c r="A2051" s="96" t="s">
        <v>5342</v>
      </c>
    </row>
    <row r="2052" ht="12.75" customHeight="1">
      <c r="A2052" s="90"/>
    </row>
    <row r="2053" ht="12.75" customHeight="1">
      <c r="A2053" s="96" t="s">
        <v>4385</v>
      </c>
    </row>
    <row r="2054" ht="12.75" customHeight="1">
      <c r="A2054" s="90"/>
    </row>
    <row r="2055" ht="12.75" customHeight="1">
      <c r="A2055" s="96" t="s">
        <v>4386</v>
      </c>
    </row>
    <row r="2056" ht="12.75" customHeight="1">
      <c r="A2056" s="90"/>
    </row>
    <row r="2057" ht="12.75" customHeight="1">
      <c r="A2057" s="96" t="s">
        <v>5343</v>
      </c>
    </row>
    <row r="2058" ht="12.75" customHeight="1">
      <c r="A2058" s="90"/>
    </row>
    <row r="2059" ht="12.75" customHeight="1">
      <c r="A2059" s="96" t="s">
        <v>5214</v>
      </c>
    </row>
    <row r="2060" ht="12.75" customHeight="1">
      <c r="A2060" s="90"/>
    </row>
    <row r="2061" ht="12.75" customHeight="1">
      <c r="A2061" s="96" t="s">
        <v>5238</v>
      </c>
    </row>
    <row r="2062" ht="12.75" customHeight="1">
      <c r="A2062" s="90"/>
    </row>
    <row r="2063" ht="12.75" customHeight="1">
      <c r="A2063" s="96" t="s">
        <v>3231</v>
      </c>
    </row>
    <row r="2064" ht="12.75" customHeight="1">
      <c r="A2064" s="90"/>
    </row>
    <row r="2065" ht="12.75" customHeight="1">
      <c r="A2065" s="96" t="s">
        <v>5119</v>
      </c>
    </row>
    <row r="2066" ht="12.75" customHeight="1">
      <c r="A2066" s="90"/>
    </row>
    <row r="2067" ht="12.75" customHeight="1">
      <c r="A2067" s="96" t="s">
        <v>5238</v>
      </c>
    </row>
    <row r="2068" ht="12.75" customHeight="1">
      <c r="A2068" s="90"/>
    </row>
    <row r="2069" ht="12.75" customHeight="1">
      <c r="A2069" s="96" t="s">
        <v>5247</v>
      </c>
    </row>
    <row r="2070" ht="12.75" customHeight="1">
      <c r="A2070" s="90"/>
    </row>
    <row r="2071" ht="12.75" customHeight="1">
      <c r="A2071" s="96" t="s">
        <v>5344</v>
      </c>
    </row>
    <row r="2072" ht="12.75" customHeight="1">
      <c r="A2072" s="90"/>
    </row>
    <row r="2073" ht="12.75" customHeight="1">
      <c r="A2073" s="96" t="s">
        <v>5122</v>
      </c>
    </row>
    <row r="2074" ht="12.75" customHeight="1">
      <c r="A2074" s="90"/>
    </row>
    <row r="2075" ht="12.75" customHeight="1">
      <c r="A2075" s="96" t="s">
        <v>5238</v>
      </c>
    </row>
    <row r="2076" ht="12.75" customHeight="1">
      <c r="A2076" s="90"/>
    </row>
    <row r="2077" ht="12.75" customHeight="1">
      <c r="A2077" s="96" t="s">
        <v>5345</v>
      </c>
    </row>
    <row r="2078" ht="12.75" customHeight="1">
      <c r="A2078" s="90"/>
    </row>
    <row r="2079" ht="12.75" customHeight="1">
      <c r="A2079" s="96" t="s">
        <v>1450</v>
      </c>
    </row>
    <row r="2080" ht="12.75" customHeight="1">
      <c r="A2080" s="90"/>
    </row>
    <row r="2081" ht="12.75" customHeight="1">
      <c r="A2081" s="96" t="s">
        <v>4388</v>
      </c>
    </row>
    <row r="2082" ht="12.75" customHeight="1">
      <c r="A2082" s="90"/>
    </row>
    <row r="2083" ht="12.75" customHeight="1">
      <c r="A2083" s="96" t="s">
        <v>5346</v>
      </c>
    </row>
    <row r="2084" ht="12.75" customHeight="1">
      <c r="A2084" s="90"/>
    </row>
    <row r="2085" ht="12.75" customHeight="1">
      <c r="A2085" s="96" t="s">
        <v>5347</v>
      </c>
    </row>
    <row r="2086" ht="12.75" customHeight="1">
      <c r="A2086" s="90"/>
    </row>
    <row r="2087" ht="12.75" customHeight="1">
      <c r="A2087" s="96" t="s">
        <v>5348</v>
      </c>
    </row>
    <row r="2088" ht="12.75" customHeight="1">
      <c r="A2088" s="90"/>
    </row>
    <row r="2089" ht="12.75" customHeight="1">
      <c r="A2089" s="96" t="s">
        <v>5349</v>
      </c>
    </row>
    <row r="2090" ht="12.75" customHeight="1">
      <c r="A2090" s="90"/>
    </row>
    <row r="2091" ht="12.75" customHeight="1">
      <c r="A2091" s="96" t="s">
        <v>5350</v>
      </c>
    </row>
    <row r="2092" ht="12.75" customHeight="1">
      <c r="A2092" s="90"/>
    </row>
    <row r="2093" ht="12.75" customHeight="1">
      <c r="A2093" s="96" t="s">
        <v>5351</v>
      </c>
    </row>
    <row r="2094" ht="12.75" customHeight="1">
      <c r="A2094" s="90"/>
    </row>
    <row r="2095" ht="12.75" customHeight="1">
      <c r="A2095" s="96" t="s">
        <v>5352</v>
      </c>
    </row>
    <row r="2096" ht="12.75" customHeight="1">
      <c r="A2096" s="90"/>
    </row>
    <row r="2097" ht="12.75" customHeight="1">
      <c r="A2097" s="96" t="s">
        <v>5353</v>
      </c>
    </row>
    <row r="2098" ht="12.75" customHeight="1">
      <c r="A2098" s="90"/>
    </row>
    <row r="2099" ht="12.75" customHeight="1">
      <c r="A2099" s="96" t="s">
        <v>5354</v>
      </c>
    </row>
    <row r="2100" ht="12.75" customHeight="1">
      <c r="A2100" s="90"/>
    </row>
    <row r="2101" ht="12.75" customHeight="1">
      <c r="A2101" s="96" t="s">
        <v>5355</v>
      </c>
    </row>
    <row r="2102" ht="12.75" customHeight="1">
      <c r="A2102" s="90"/>
    </row>
    <row r="2103" ht="12.75" customHeight="1">
      <c r="A2103" s="96" t="s">
        <v>5356</v>
      </c>
    </row>
    <row r="2104" ht="12.75" customHeight="1">
      <c r="A2104" s="90"/>
    </row>
    <row r="2105" ht="12.75" customHeight="1">
      <c r="A2105" s="96" t="s">
        <v>5357</v>
      </c>
    </row>
    <row r="2106" ht="12.75" customHeight="1">
      <c r="A2106" s="90"/>
    </row>
    <row r="2107" ht="12.75" customHeight="1">
      <c r="A2107" s="96" t="s">
        <v>4401</v>
      </c>
    </row>
    <row r="2108" ht="12.75" customHeight="1">
      <c r="A2108" s="90"/>
    </row>
    <row r="2109" ht="12.75" customHeight="1">
      <c r="A2109" s="96" t="s">
        <v>5358</v>
      </c>
    </row>
    <row r="2110" ht="12.75" customHeight="1">
      <c r="A2110" s="90"/>
    </row>
    <row r="2111" ht="12.75" customHeight="1">
      <c r="A2111" s="96" t="s">
        <v>5359</v>
      </c>
    </row>
    <row r="2112" ht="12.75" customHeight="1">
      <c r="A2112" s="90"/>
    </row>
    <row r="2113" ht="12.75" customHeight="1">
      <c r="A2113" s="96" t="s">
        <v>5360</v>
      </c>
    </row>
    <row r="2114" ht="12.75" customHeight="1">
      <c r="A2114" s="90"/>
    </row>
    <row r="2115" ht="12.75" customHeight="1">
      <c r="A2115" s="96" t="s">
        <v>5361</v>
      </c>
    </row>
    <row r="2116" ht="12.75" customHeight="1">
      <c r="A2116" s="90"/>
    </row>
    <row r="2117" ht="12.75" customHeight="1">
      <c r="A2117" s="96" t="s">
        <v>5362</v>
      </c>
    </row>
    <row r="2118" ht="12.75" customHeight="1">
      <c r="A2118" s="90"/>
    </row>
    <row r="2119" ht="12.75" customHeight="1">
      <c r="A2119" s="96" t="s">
        <v>5363</v>
      </c>
    </row>
    <row r="2120" ht="12.75" customHeight="1">
      <c r="A2120" s="90"/>
    </row>
    <row r="2121" ht="12.75" customHeight="1">
      <c r="A2121" s="96" t="s">
        <v>5238</v>
      </c>
    </row>
    <row r="2122" ht="12.75" customHeight="1">
      <c r="A2122" s="90"/>
    </row>
    <row r="2123" ht="12.75" customHeight="1">
      <c r="A2123" s="96" t="s">
        <v>5364</v>
      </c>
    </row>
    <row r="2124" ht="12.75" customHeight="1">
      <c r="A2124" s="90"/>
    </row>
    <row r="2125" ht="12.75" customHeight="1">
      <c r="A2125" s="96" t="s">
        <v>5365</v>
      </c>
    </row>
    <row r="2126" ht="12.75" customHeight="1">
      <c r="A2126" s="90"/>
    </row>
    <row r="2127" ht="12.75" customHeight="1">
      <c r="A2127" s="96" t="s">
        <v>4401</v>
      </c>
    </row>
    <row r="2128" ht="12.75" customHeight="1">
      <c r="A2128" s="90"/>
    </row>
    <row r="2129" ht="12.75" customHeight="1">
      <c r="A2129" s="96" t="s">
        <v>5238</v>
      </c>
    </row>
    <row r="2130" ht="12.75" customHeight="1">
      <c r="A2130" s="90"/>
    </row>
    <row r="2131" ht="12.75" customHeight="1">
      <c r="A2131" s="96" t="s">
        <v>5358</v>
      </c>
    </row>
    <row r="2132" ht="12.75" customHeight="1">
      <c r="A2132" s="90"/>
    </row>
    <row r="2133" ht="12.75" customHeight="1">
      <c r="A2133" s="96" t="s">
        <v>5366</v>
      </c>
    </row>
    <row r="2134" ht="12.75" customHeight="1">
      <c r="A2134" s="90"/>
    </row>
    <row r="2135" ht="12.75" customHeight="1">
      <c r="A2135" s="96" t="s">
        <v>5367</v>
      </c>
    </row>
    <row r="2136" ht="12.75" customHeight="1">
      <c r="A2136" s="90"/>
    </row>
    <row r="2137" ht="12.75" customHeight="1">
      <c r="A2137" s="96" t="s">
        <v>5368</v>
      </c>
    </row>
    <row r="2138" ht="12.75" customHeight="1">
      <c r="A2138" s="90"/>
    </row>
    <row r="2139" ht="12.75" customHeight="1">
      <c r="A2139" s="96" t="s">
        <v>5369</v>
      </c>
    </row>
    <row r="2140" ht="12.75" customHeight="1">
      <c r="A2140" s="90"/>
    </row>
    <row r="2141" ht="12.75" customHeight="1">
      <c r="A2141" s="96" t="s">
        <v>5370</v>
      </c>
    </row>
    <row r="2142" ht="12.75" customHeight="1">
      <c r="A2142" s="90"/>
    </row>
    <row r="2143" ht="12.75" customHeight="1">
      <c r="A2143" s="96" t="s">
        <v>5371</v>
      </c>
    </row>
    <row r="2144" ht="12.75" customHeight="1">
      <c r="A2144" s="90"/>
    </row>
    <row r="2145" ht="12.75" customHeight="1">
      <c r="A2145" s="96" t="s">
        <v>5372</v>
      </c>
    </row>
    <row r="2146" ht="12.75" customHeight="1">
      <c r="A2146" s="90"/>
    </row>
    <row r="2147" ht="12.75" customHeight="1">
      <c r="A2147" s="96" t="s">
        <v>5373</v>
      </c>
    </row>
    <row r="2148" ht="12.75" customHeight="1">
      <c r="A2148" s="90"/>
    </row>
    <row r="2149" ht="12.75" customHeight="1">
      <c r="A2149" s="96" t="s">
        <v>5374</v>
      </c>
    </row>
    <row r="2150" ht="12.75" customHeight="1">
      <c r="A2150" s="90"/>
    </row>
    <row r="2151" ht="12.75" customHeight="1">
      <c r="A2151" s="96" t="s">
        <v>5375</v>
      </c>
    </row>
    <row r="2152" ht="12.75" customHeight="1">
      <c r="A2152" s="90"/>
    </row>
    <row r="2153" ht="12.75" customHeight="1">
      <c r="A2153" s="96" t="s">
        <v>5376</v>
      </c>
    </row>
    <row r="2154" ht="12.75" customHeight="1">
      <c r="A2154" s="90"/>
    </row>
    <row r="2155" ht="12.75" customHeight="1">
      <c r="A2155" s="96" t="s">
        <v>5377</v>
      </c>
    </row>
    <row r="2156" ht="12.75" customHeight="1">
      <c r="A2156" s="90"/>
    </row>
    <row r="2157" ht="12.75" customHeight="1">
      <c r="A2157" s="96" t="s">
        <v>5378</v>
      </c>
    </row>
    <row r="2158" ht="12.75" customHeight="1">
      <c r="A2158" s="90"/>
    </row>
    <row r="2159" ht="12.75" customHeight="1">
      <c r="A2159" s="96" t="s">
        <v>5379</v>
      </c>
    </row>
    <row r="2160" ht="12.75" customHeight="1">
      <c r="A2160" s="90"/>
    </row>
    <row r="2161" ht="12.75" customHeight="1">
      <c r="A2161" s="96" t="s">
        <v>5380</v>
      </c>
    </row>
    <row r="2162" ht="12.75" customHeight="1">
      <c r="A2162" s="90"/>
    </row>
    <row r="2163" ht="12.75" customHeight="1">
      <c r="A2163" s="96" t="s">
        <v>5381</v>
      </c>
    </row>
    <row r="2164" ht="12.75" customHeight="1">
      <c r="A2164" s="90"/>
    </row>
    <row r="2165" ht="12.75" customHeight="1">
      <c r="A2165" s="96" t="s">
        <v>5382</v>
      </c>
    </row>
    <row r="2166" ht="12.75" customHeight="1">
      <c r="A2166" s="90"/>
    </row>
    <row r="2167" ht="12.75" customHeight="1">
      <c r="A2167" s="96" t="s">
        <v>5383</v>
      </c>
    </row>
    <row r="2168" ht="12.75" customHeight="1">
      <c r="A2168" s="90"/>
    </row>
    <row r="2169" ht="12.75" customHeight="1">
      <c r="A2169" s="96" t="s">
        <v>5384</v>
      </c>
    </row>
    <row r="2170" ht="12.75" customHeight="1">
      <c r="A2170" s="90"/>
    </row>
    <row r="2171" ht="12.75" customHeight="1">
      <c r="A2171" s="96" t="s">
        <v>5385</v>
      </c>
    </row>
    <row r="2172" ht="12.75" customHeight="1">
      <c r="A2172" s="90"/>
    </row>
    <row r="2173" ht="12.75" customHeight="1">
      <c r="A2173" s="96" t="s">
        <v>5386</v>
      </c>
    </row>
    <row r="2174" ht="12.75" customHeight="1">
      <c r="A2174" s="90"/>
    </row>
    <row r="2175" ht="12.75" customHeight="1">
      <c r="A2175" s="96" t="s">
        <v>5387</v>
      </c>
    </row>
    <row r="2176" ht="12.75" customHeight="1">
      <c r="A2176" s="90"/>
    </row>
    <row r="2177" ht="12.75" customHeight="1">
      <c r="A2177" s="96" t="s">
        <v>5388</v>
      </c>
    </row>
    <row r="2178" ht="12.75" customHeight="1">
      <c r="A2178" s="90"/>
    </row>
    <row r="2179" ht="12.75" customHeight="1">
      <c r="A2179" s="96" t="s">
        <v>5389</v>
      </c>
    </row>
    <row r="2180" ht="12.75" customHeight="1">
      <c r="A2180" s="90"/>
    </row>
    <row r="2181" ht="12.75" customHeight="1">
      <c r="A2181" s="96" t="s">
        <v>5390</v>
      </c>
    </row>
    <row r="2182" ht="12.75" customHeight="1">
      <c r="A2182" s="90"/>
    </row>
    <row r="2183" ht="12.75" customHeight="1">
      <c r="A2183" s="96" t="s">
        <v>5391</v>
      </c>
    </row>
    <row r="2184" ht="12.75" customHeight="1">
      <c r="A2184" s="90"/>
    </row>
    <row r="2185" ht="12.75" customHeight="1">
      <c r="A2185" s="96" t="s">
        <v>5360</v>
      </c>
    </row>
    <row r="2186" ht="12.75" customHeight="1">
      <c r="A2186" s="90"/>
    </row>
    <row r="2187" ht="12.75" customHeight="1">
      <c r="A2187" s="96" t="s">
        <v>5392</v>
      </c>
    </row>
    <row r="2188" ht="12.75" customHeight="1">
      <c r="A2188" s="90"/>
    </row>
    <row r="2189" ht="12.75" customHeight="1">
      <c r="A2189" s="96" t="s">
        <v>5393</v>
      </c>
    </row>
    <row r="2190" ht="12.75" customHeight="1">
      <c r="A2190" s="90"/>
    </row>
    <row r="2191" ht="12.75" customHeight="1">
      <c r="A2191" s="96" t="s">
        <v>5394</v>
      </c>
    </row>
    <row r="2192" ht="12.75" customHeight="1">
      <c r="A2192" s="90"/>
    </row>
    <row r="2193" ht="12.75" customHeight="1">
      <c r="A2193" s="96" t="s">
        <v>5395</v>
      </c>
    </row>
    <row r="2194" ht="12.75" customHeight="1">
      <c r="A2194" s="90"/>
    </row>
    <row r="2195" ht="12.75" customHeight="1">
      <c r="A2195" s="96" t="s">
        <v>5396</v>
      </c>
    </row>
    <row r="2196" ht="12.75" customHeight="1">
      <c r="A2196" s="90"/>
    </row>
    <row r="2197" ht="12.75" customHeight="1">
      <c r="A2197" s="96" t="s">
        <v>5397</v>
      </c>
    </row>
    <row r="2198" ht="12.75" customHeight="1">
      <c r="A2198" s="90"/>
    </row>
    <row r="2199" ht="12.75" customHeight="1">
      <c r="A2199" s="96" t="s">
        <v>5398</v>
      </c>
    </row>
    <row r="2200" ht="12.75" customHeight="1">
      <c r="A2200" s="90"/>
    </row>
    <row r="2201" ht="12.75" customHeight="1">
      <c r="A2201" s="96" t="s">
        <v>8042</v>
      </c>
    </row>
    <row r="2202" ht="12.75" customHeight="1">
      <c r="A2202" s="96" t="s">
        <v>8043</v>
      </c>
    </row>
    <row r="2203" ht="12.75" customHeight="1">
      <c r="A2203" s="90"/>
    </row>
    <row r="2204" ht="12.75" customHeight="1">
      <c r="A2204" s="96" t="s">
        <v>5357</v>
      </c>
    </row>
    <row r="2205" ht="12.75" customHeight="1">
      <c r="A2205" s="90"/>
    </row>
    <row r="2206" ht="12.75" customHeight="1">
      <c r="A2206" s="96" t="s">
        <v>4434</v>
      </c>
    </row>
    <row r="2207" ht="12.75" customHeight="1">
      <c r="A2207" s="90"/>
    </row>
    <row r="2208" ht="12.75" customHeight="1">
      <c r="A2208" s="96" t="s">
        <v>5400</v>
      </c>
    </row>
    <row r="2209" ht="12.75" customHeight="1">
      <c r="A2209" s="90"/>
    </row>
    <row r="2210" ht="12.75" customHeight="1">
      <c r="A2210" s="96" t="s">
        <v>4401</v>
      </c>
    </row>
    <row r="2211" ht="12.75" customHeight="1">
      <c r="A2211" s="90"/>
    </row>
    <row r="2212" ht="12.75" customHeight="1">
      <c r="A2212" s="96" t="s">
        <v>5401</v>
      </c>
    </row>
    <row r="2213" ht="12.75" customHeight="1">
      <c r="A2213" s="90"/>
    </row>
    <row r="2214" ht="12.75" customHeight="1">
      <c r="A2214" s="96" t="s">
        <v>5391</v>
      </c>
    </row>
    <row r="2215" ht="12.75" customHeight="1">
      <c r="A2215" s="90"/>
    </row>
    <row r="2216" ht="12.75" customHeight="1">
      <c r="A2216" s="96" t="s">
        <v>4897</v>
      </c>
    </row>
    <row r="2217" ht="12.75" customHeight="1">
      <c r="A2217" s="90"/>
    </row>
    <row r="2218" ht="12.75" customHeight="1">
      <c r="A2218" s="96" t="s">
        <v>5126</v>
      </c>
    </row>
    <row r="2219" ht="12.75" customHeight="1">
      <c r="A2219" s="90"/>
    </row>
    <row r="2220" ht="12.75" customHeight="1">
      <c r="A2220" s="96" t="s">
        <v>5333</v>
      </c>
    </row>
    <row r="2221" ht="12.75" customHeight="1">
      <c r="A2221" s="90"/>
    </row>
    <row r="2222" ht="12.75" customHeight="1">
      <c r="A2222" s="96" t="s">
        <v>5198</v>
      </c>
    </row>
    <row r="2223" ht="12.75" customHeight="1">
      <c r="A2223" s="90"/>
    </row>
    <row r="2224" ht="12.75" customHeight="1">
      <c r="A2224" s="90"/>
    </row>
    <row r="2225" ht="12.75" customHeight="1">
      <c r="A2225" s="96" t="s">
        <v>5402</v>
      </c>
    </row>
    <row r="2226" ht="12.75" customHeight="1">
      <c r="A2226" s="90"/>
    </row>
    <row r="2227" ht="12.75" customHeight="1">
      <c r="A2227" s="96" t="s">
        <v>5403</v>
      </c>
    </row>
    <row r="2228" ht="12.75" customHeight="1">
      <c r="A2228" s="90"/>
    </row>
    <row r="2229" ht="12.75" customHeight="1">
      <c r="A2229" s="96" t="s">
        <v>5404</v>
      </c>
    </row>
    <row r="2230" ht="12.75" customHeight="1">
      <c r="A2230" s="90"/>
    </row>
    <row r="2231" ht="12.75" customHeight="1">
      <c r="A2231" s="96" t="s">
        <v>1527</v>
      </c>
    </row>
    <row r="2232" ht="12.75" customHeight="1">
      <c r="A2232" s="90"/>
    </row>
    <row r="2233" ht="12.75" customHeight="1">
      <c r="A2233" s="96" t="s">
        <v>1528</v>
      </c>
    </row>
    <row r="2234" ht="12.75" customHeight="1">
      <c r="A2234" s="90"/>
    </row>
    <row r="2235" ht="12.75" customHeight="1">
      <c r="A2235" s="96" t="s">
        <v>1529</v>
      </c>
    </row>
    <row r="2236" ht="12.75" customHeight="1">
      <c r="A2236" s="90"/>
    </row>
    <row r="2237" ht="12.75" customHeight="1">
      <c r="A2237" s="96" t="s">
        <v>5405</v>
      </c>
    </row>
    <row r="2238" ht="12.75" customHeight="1">
      <c r="A2238" s="90"/>
    </row>
    <row r="2239" ht="12.75" customHeight="1">
      <c r="A2239" s="96" t="s">
        <v>1532</v>
      </c>
    </row>
    <row r="2240" ht="12.75" customHeight="1">
      <c r="A2240" s="90"/>
    </row>
    <row r="2241" ht="12.75" customHeight="1">
      <c r="A2241" s="96" t="s">
        <v>5406</v>
      </c>
    </row>
    <row r="2242" ht="12.75" customHeight="1">
      <c r="A2242" s="90"/>
    </row>
    <row r="2243" ht="12.75" customHeight="1">
      <c r="A2243" s="96" t="s">
        <v>5407</v>
      </c>
    </row>
    <row r="2244" ht="12.75" customHeight="1">
      <c r="A2244" s="90"/>
    </row>
    <row r="2245" ht="12.75" customHeight="1">
      <c r="A2245" s="96" t="s">
        <v>5408</v>
      </c>
    </row>
    <row r="2246" ht="12.75" customHeight="1">
      <c r="A2246" s="90"/>
    </row>
    <row r="2247" ht="12.75" customHeight="1">
      <c r="A2247" s="96" t="s">
        <v>5409</v>
      </c>
    </row>
    <row r="2248" ht="12.75" customHeight="1">
      <c r="A2248" s="90"/>
    </row>
    <row r="2249" ht="12.75" customHeight="1">
      <c r="A2249" s="96" t="s">
        <v>5410</v>
      </c>
    </row>
    <row r="2250" ht="12.75" customHeight="1">
      <c r="A2250" s="90"/>
    </row>
    <row r="2251" ht="12.75" customHeight="1">
      <c r="A2251" s="96" t="s">
        <v>5411</v>
      </c>
    </row>
    <row r="2252" ht="12.75" customHeight="1">
      <c r="A2252" s="90"/>
    </row>
    <row r="2253" ht="12.75" customHeight="1">
      <c r="A2253" s="96" t="s">
        <v>5412</v>
      </c>
    </row>
    <row r="2254" ht="12.75" customHeight="1">
      <c r="A2254" s="90"/>
    </row>
    <row r="2255" ht="12.75" customHeight="1">
      <c r="A2255" s="96" t="s">
        <v>5413</v>
      </c>
    </row>
    <row r="2256" ht="12.75" customHeight="1">
      <c r="A2256" s="90"/>
    </row>
    <row r="2257" ht="12.75" customHeight="1">
      <c r="A2257" s="96" t="s">
        <v>8044</v>
      </c>
    </row>
    <row r="2258" ht="12.75" customHeight="1">
      <c r="A2258" s="96" t="s">
        <v>8041</v>
      </c>
    </row>
    <row r="2259" ht="12.75" customHeight="1">
      <c r="A2259" s="90"/>
    </row>
    <row r="2260" ht="12.75" customHeight="1">
      <c r="A2260" s="96" t="s">
        <v>5415</v>
      </c>
    </row>
    <row r="2261" ht="12.75" customHeight="1">
      <c r="A2261" s="90"/>
    </row>
    <row r="2262" ht="12.75" customHeight="1">
      <c r="A2262" s="96" t="s">
        <v>5416</v>
      </c>
    </row>
    <row r="2263" ht="12.75" customHeight="1">
      <c r="A2263" s="90"/>
    </row>
    <row r="2264" ht="12.75" customHeight="1">
      <c r="A2264" s="96" t="s">
        <v>5417</v>
      </c>
    </row>
    <row r="2265" ht="12.75" customHeight="1">
      <c r="A2265" s="90"/>
    </row>
    <row r="2266" ht="12.75" customHeight="1">
      <c r="A2266" s="96" t="s">
        <v>5418</v>
      </c>
    </row>
    <row r="2267" ht="12.75" customHeight="1">
      <c r="A2267" s="90"/>
    </row>
    <row r="2268" ht="12.75" customHeight="1">
      <c r="A2268" s="96" t="s">
        <v>5419</v>
      </c>
    </row>
    <row r="2269" ht="12.75" customHeight="1">
      <c r="A2269" s="90"/>
    </row>
    <row r="2270" ht="12.75" customHeight="1">
      <c r="A2270" s="96" t="s">
        <v>5420</v>
      </c>
    </row>
    <row r="2271" ht="12.75" customHeight="1">
      <c r="A2271" s="90"/>
    </row>
    <row r="2272" ht="12.75" customHeight="1">
      <c r="A2272" s="96" t="s">
        <v>5421</v>
      </c>
    </row>
    <row r="2273" ht="12.75" customHeight="1">
      <c r="A2273" s="90"/>
    </row>
    <row r="2274" ht="12.75" customHeight="1">
      <c r="A2274" s="96" t="s">
        <v>5422</v>
      </c>
    </row>
    <row r="2275" ht="12.75" customHeight="1">
      <c r="A2275" s="90"/>
    </row>
    <row r="2276" ht="12.75" customHeight="1">
      <c r="A2276" s="96" t="s">
        <v>5423</v>
      </c>
    </row>
    <row r="2277" ht="12.75" customHeight="1">
      <c r="A2277" s="90"/>
    </row>
    <row r="2278" ht="12.75" customHeight="1">
      <c r="A2278" s="96" t="s">
        <v>1556</v>
      </c>
    </row>
    <row r="2279" ht="12.75" customHeight="1">
      <c r="A2279" s="90"/>
    </row>
    <row r="2280" ht="12.75" customHeight="1">
      <c r="A2280" s="96" t="s">
        <v>1557</v>
      </c>
    </row>
    <row r="2281" ht="12.75" customHeight="1">
      <c r="A2281" s="90"/>
    </row>
    <row r="2282" ht="12.75" customHeight="1">
      <c r="A2282" s="96" t="s">
        <v>4897</v>
      </c>
    </row>
    <row r="2283" ht="12.75" customHeight="1">
      <c r="A2283" s="90"/>
    </row>
    <row r="2284" ht="12.75" customHeight="1">
      <c r="A2284" s="96" t="s">
        <v>5126</v>
      </c>
    </row>
    <row r="2285" ht="12.75" customHeight="1">
      <c r="A2285" s="90"/>
    </row>
    <row r="2286" ht="12.75" customHeight="1">
      <c r="A2286" s="96" t="s">
        <v>5333</v>
      </c>
    </row>
    <row r="2287" ht="12.75" customHeight="1">
      <c r="A2287" s="90"/>
    </row>
    <row r="2288" ht="12.75" customHeight="1">
      <c r="A2288" s="96" t="s">
        <v>5402</v>
      </c>
    </row>
    <row r="2289" ht="12.75" customHeight="1">
      <c r="A2289" s="90"/>
    </row>
    <row r="2290" ht="12.75" customHeight="1">
      <c r="A2290" s="96" t="s">
        <v>4946</v>
      </c>
    </row>
    <row r="2291" ht="12.75" customHeight="1">
      <c r="A2291" s="90"/>
    </row>
    <row r="2292" ht="12.75" customHeight="1">
      <c r="A2292" s="90"/>
    </row>
    <row r="2293" ht="12.75" customHeight="1">
      <c r="A2293" s="96" t="s">
        <v>4925</v>
      </c>
    </row>
    <row r="2294" ht="12.75" customHeight="1">
      <c r="A2294" s="90"/>
    </row>
    <row r="2295" ht="12.75" customHeight="1">
      <c r="A2295" s="96" t="s">
        <v>8045</v>
      </c>
    </row>
    <row r="2296" ht="12.75" customHeight="1">
      <c r="A2296" s="96" t="s">
        <v>8046</v>
      </c>
    </row>
    <row r="2297" ht="12.75" customHeight="1">
      <c r="A2297" s="90"/>
    </row>
    <row r="2298" ht="12.75" customHeight="1">
      <c r="A2298" s="96" t="s">
        <v>5425</v>
      </c>
    </row>
    <row r="2299" ht="12.75" customHeight="1">
      <c r="A2299" s="90"/>
    </row>
    <row r="2300" ht="12.75" customHeight="1">
      <c r="A2300" s="96" t="s">
        <v>5426</v>
      </c>
    </row>
    <row r="2301" ht="12.75" customHeight="1">
      <c r="A2301" s="90"/>
    </row>
    <row r="2302" ht="12.75" customHeight="1">
      <c r="A2302" s="96" t="s">
        <v>5427</v>
      </c>
    </row>
    <row r="2303" ht="12.75" customHeight="1">
      <c r="A2303" s="90"/>
    </row>
    <row r="2304" ht="12.75" customHeight="1">
      <c r="A2304" s="96" t="s">
        <v>5428</v>
      </c>
    </row>
    <row r="2305" ht="12.75" customHeight="1">
      <c r="A2305" s="90"/>
    </row>
    <row r="2306" ht="12.75" customHeight="1">
      <c r="A2306" s="96" t="s">
        <v>5429</v>
      </c>
    </row>
    <row r="2307" ht="12.75" customHeight="1">
      <c r="A2307" s="90"/>
    </row>
    <row r="2308" ht="12.75" customHeight="1">
      <c r="A2308" s="96" t="s">
        <v>5430</v>
      </c>
    </row>
    <row r="2309" ht="12.75" customHeight="1">
      <c r="A2309" s="90"/>
    </row>
    <row r="2310" ht="12.75" customHeight="1">
      <c r="A2310" s="96" t="s">
        <v>5431</v>
      </c>
    </row>
    <row r="2311" ht="12.75" customHeight="1">
      <c r="A2311" s="90"/>
    </row>
    <row r="2312" ht="12.75" customHeight="1">
      <c r="A2312" s="96" t="s">
        <v>5432</v>
      </c>
    </row>
    <row r="2313" ht="12.75" customHeight="1">
      <c r="A2313" s="90"/>
    </row>
    <row r="2314" ht="12.75" customHeight="1">
      <c r="A2314" s="96" t="s">
        <v>5433</v>
      </c>
    </row>
    <row r="2315" ht="12.75" customHeight="1">
      <c r="A2315" s="90"/>
    </row>
    <row r="2316" ht="12.75" customHeight="1">
      <c r="A2316" s="96" t="s">
        <v>8047</v>
      </c>
    </row>
    <row r="2317" ht="12.75" customHeight="1">
      <c r="A2317" s="96" t="s">
        <v>8048</v>
      </c>
    </row>
    <row r="2318" ht="12.75" customHeight="1">
      <c r="A2318" s="90"/>
    </row>
    <row r="2319" ht="12.75" customHeight="1">
      <c r="A2319" s="96" t="s">
        <v>5430</v>
      </c>
    </row>
    <row r="2320" ht="12.75" customHeight="1">
      <c r="A2320" s="90"/>
    </row>
    <row r="2321" ht="12.75" customHeight="1">
      <c r="A2321" s="90"/>
    </row>
    <row r="2322" ht="12.75" customHeight="1">
      <c r="A2322" s="96" t="s">
        <v>5435</v>
      </c>
    </row>
    <row r="2323" ht="12.75" customHeight="1">
      <c r="A2323" s="90"/>
    </row>
    <row r="2324" ht="12.75" customHeight="1">
      <c r="A2324" s="96" t="s">
        <v>5436</v>
      </c>
    </row>
    <row r="2325" ht="12.75" customHeight="1">
      <c r="A2325" s="90"/>
    </row>
    <row r="2326" ht="12.75" customHeight="1">
      <c r="A2326" s="96" t="s">
        <v>5437</v>
      </c>
    </row>
    <row r="2327" ht="12.75" customHeight="1">
      <c r="A2327" s="90"/>
    </row>
    <row r="2328" ht="12.75" customHeight="1">
      <c r="A2328" s="96" t="s">
        <v>5438</v>
      </c>
    </row>
    <row r="2329" ht="12.75" customHeight="1">
      <c r="A2329" s="90"/>
    </row>
    <row r="2330" ht="12.75" customHeight="1">
      <c r="A2330" s="96" t="s">
        <v>5439</v>
      </c>
    </row>
    <row r="2331" ht="12.75" customHeight="1">
      <c r="A2331" s="90"/>
    </row>
    <row r="2332" ht="12.75" customHeight="1">
      <c r="A2332" s="96" t="s">
        <v>5440</v>
      </c>
    </row>
    <row r="2333" ht="12.75" customHeight="1">
      <c r="A2333" s="90"/>
    </row>
    <row r="2334" ht="12.75" customHeight="1">
      <c r="A2334" s="96" t="s">
        <v>5441</v>
      </c>
    </row>
    <row r="2335" ht="12.75" customHeight="1">
      <c r="A2335" s="90"/>
    </row>
    <row r="2336" ht="12.75" customHeight="1">
      <c r="A2336" s="96" t="s">
        <v>5435</v>
      </c>
    </row>
    <row r="2337" ht="12.75" customHeight="1">
      <c r="A2337" s="90"/>
    </row>
    <row r="2338" ht="12.75" customHeight="1">
      <c r="A2338" s="90"/>
    </row>
    <row r="2339" ht="12.75" customHeight="1">
      <c r="A2339" s="96" t="s">
        <v>5442</v>
      </c>
    </row>
    <row r="2340" ht="12.75" customHeight="1">
      <c r="A2340" s="90"/>
    </row>
    <row r="2341" ht="12.75" customHeight="1">
      <c r="A2341" s="96" t="s">
        <v>5443</v>
      </c>
    </row>
    <row r="2342" ht="12.75" customHeight="1">
      <c r="A2342" s="90"/>
    </row>
    <row r="2343" ht="12.75" customHeight="1">
      <c r="A2343" s="96" t="s">
        <v>5444</v>
      </c>
    </row>
    <row r="2344" ht="12.75" customHeight="1">
      <c r="A2344" s="90"/>
    </row>
    <row r="2345" ht="12.75" customHeight="1">
      <c r="A2345" s="96" t="s">
        <v>5445</v>
      </c>
    </row>
    <row r="2346" ht="12.75" customHeight="1">
      <c r="A2346" s="90"/>
    </row>
    <row r="2347" ht="12.75" customHeight="1">
      <c r="A2347" s="96" t="s">
        <v>8049</v>
      </c>
    </row>
    <row r="2348" ht="12.75" customHeight="1">
      <c r="A2348" s="96" t="s">
        <v>8050</v>
      </c>
    </row>
    <row r="2349" ht="12.75" customHeight="1">
      <c r="A2349" s="90"/>
    </row>
    <row r="2350" ht="12.75" customHeight="1">
      <c r="A2350" s="96" t="s">
        <v>5447</v>
      </c>
    </row>
    <row r="2351" ht="12.75" customHeight="1">
      <c r="A2351" s="90"/>
    </row>
    <row r="2352" ht="12.75" customHeight="1">
      <c r="A2352" s="96" t="s">
        <v>5448</v>
      </c>
    </row>
    <row r="2353" ht="12.75" customHeight="1">
      <c r="A2353" s="90"/>
    </row>
    <row r="2354" ht="12.75" customHeight="1">
      <c r="A2354" s="96" t="s">
        <v>5449</v>
      </c>
    </row>
    <row r="2355" ht="12.75" customHeight="1">
      <c r="A2355" s="90"/>
    </row>
    <row r="2356" ht="12.75" customHeight="1">
      <c r="A2356" s="96" t="s">
        <v>5450</v>
      </c>
    </row>
    <row r="2357" ht="12.75" customHeight="1">
      <c r="A2357" s="90"/>
    </row>
    <row r="2358" ht="12.75" customHeight="1">
      <c r="A2358" s="96" t="s">
        <v>5451</v>
      </c>
    </row>
    <row r="2359" ht="12.75" customHeight="1">
      <c r="A2359" s="90"/>
    </row>
    <row r="2360" ht="12.75" customHeight="1">
      <c r="A2360" s="96" t="s">
        <v>5452</v>
      </c>
    </row>
    <row r="2361" ht="12.75" customHeight="1">
      <c r="A2361" s="90"/>
    </row>
    <row r="2362" ht="12.75" customHeight="1">
      <c r="A2362" s="96" t="s">
        <v>5453</v>
      </c>
    </row>
    <row r="2363" ht="12.75" customHeight="1">
      <c r="A2363" s="90"/>
    </row>
    <row r="2364" ht="12.75" customHeight="1">
      <c r="A2364" s="96" t="s">
        <v>8051</v>
      </c>
    </row>
    <row r="2365" ht="12.75" customHeight="1">
      <c r="A2365" s="96" t="s">
        <v>8052</v>
      </c>
    </row>
    <row r="2366" ht="12.75" customHeight="1">
      <c r="A2366" s="90"/>
    </row>
    <row r="2367" ht="12.75" customHeight="1">
      <c r="A2367" s="96" t="s">
        <v>5455</v>
      </c>
    </row>
    <row r="2368" ht="12.75" customHeight="1">
      <c r="A2368" s="90"/>
    </row>
    <row r="2369" ht="12.75" customHeight="1">
      <c r="A2369" s="96" t="s">
        <v>5456</v>
      </c>
    </row>
    <row r="2370" ht="12.75" customHeight="1">
      <c r="A2370" s="90"/>
    </row>
    <row r="2371" ht="12.75" customHeight="1">
      <c r="A2371" s="96" t="s">
        <v>5457</v>
      </c>
    </row>
    <row r="2372" ht="12.75" customHeight="1">
      <c r="A2372" s="90"/>
    </row>
    <row r="2373" ht="12.75" customHeight="1">
      <c r="A2373" s="96" t="s">
        <v>5458</v>
      </c>
    </row>
    <row r="2374" ht="12.75" customHeight="1">
      <c r="A2374" s="90"/>
    </row>
    <row r="2375" ht="12.75" customHeight="1">
      <c r="A2375" s="96" t="s">
        <v>5459</v>
      </c>
    </row>
    <row r="2376" ht="12.75" customHeight="1">
      <c r="A2376" s="90"/>
    </row>
    <row r="2377" ht="12.75" customHeight="1">
      <c r="A2377" s="96" t="s">
        <v>8053</v>
      </c>
    </row>
    <row r="2378" ht="12.75" customHeight="1">
      <c r="A2378" s="96" t="s">
        <v>8054</v>
      </c>
    </row>
    <row r="2379" ht="12.75" customHeight="1">
      <c r="A2379" s="90"/>
    </row>
    <row r="2380" ht="12.75" customHeight="1">
      <c r="A2380" s="96" t="s">
        <v>5461</v>
      </c>
    </row>
    <row r="2381" ht="12.75" customHeight="1">
      <c r="A2381" s="90"/>
    </row>
    <row r="2382" ht="12.75" customHeight="1">
      <c r="A2382" s="96" t="s">
        <v>5462</v>
      </c>
    </row>
    <row r="2383" ht="12.75" customHeight="1">
      <c r="A2383" s="90"/>
    </row>
    <row r="2384" ht="12.75" customHeight="1">
      <c r="A2384" s="96" t="s">
        <v>8055</v>
      </c>
    </row>
    <row r="2385" ht="12.75" customHeight="1">
      <c r="A2385" s="96" t="s">
        <v>8056</v>
      </c>
    </row>
    <row r="2386" ht="12.75" customHeight="1">
      <c r="A2386" s="90"/>
    </row>
    <row r="2387" ht="12.75" customHeight="1">
      <c r="A2387" s="96" t="s">
        <v>5464</v>
      </c>
    </row>
    <row r="2388" ht="12.75" customHeight="1">
      <c r="A2388" s="90"/>
    </row>
    <row r="2389" ht="12.75" customHeight="1">
      <c r="A2389" s="96" t="s">
        <v>8057</v>
      </c>
    </row>
    <row r="2390" ht="12.75" customHeight="1">
      <c r="A2390" s="96" t="s">
        <v>8058</v>
      </c>
    </row>
    <row r="2391" ht="12.75" customHeight="1">
      <c r="A2391" s="96" t="s">
        <v>8052</v>
      </c>
    </row>
    <row r="2392" ht="12.75" customHeight="1">
      <c r="A2392" s="90"/>
    </row>
    <row r="2393" ht="12.75" customHeight="1">
      <c r="A2393" s="96" t="s">
        <v>5466</v>
      </c>
    </row>
    <row r="2394" ht="12.75" customHeight="1">
      <c r="A2394" s="90"/>
    </row>
    <row r="2395" ht="12.75" customHeight="1">
      <c r="A2395" s="96" t="s">
        <v>5467</v>
      </c>
    </row>
    <row r="2396" ht="12.75" customHeight="1">
      <c r="A2396" s="90"/>
    </row>
    <row r="2397" ht="12.75" customHeight="1">
      <c r="A2397" s="96" t="s">
        <v>4864</v>
      </c>
    </row>
    <row r="2398" ht="12.75" customHeight="1">
      <c r="A2398" s="90"/>
    </row>
    <row r="2399" ht="12.75" customHeight="1">
      <c r="A2399" s="96" t="s">
        <v>5468</v>
      </c>
    </row>
    <row r="2400" ht="12.75" customHeight="1">
      <c r="A2400" s="90"/>
    </row>
    <row r="2401" ht="12.75" customHeight="1">
      <c r="A2401" s="96" t="s">
        <v>8059</v>
      </c>
    </row>
    <row r="2402" ht="12.75" customHeight="1">
      <c r="A2402" s="96" t="s">
        <v>8060</v>
      </c>
    </row>
    <row r="2403" ht="12.75" customHeight="1">
      <c r="A2403" s="96" t="s">
        <v>5470</v>
      </c>
    </row>
    <row r="2404" ht="12.75" customHeight="1">
      <c r="A2404" s="90"/>
    </row>
    <row r="2405" ht="12.75" customHeight="1">
      <c r="A2405" s="96" t="s">
        <v>8061</v>
      </c>
    </row>
    <row r="2406" ht="12.75" customHeight="1">
      <c r="A2406" s="90"/>
    </row>
    <row r="2407" ht="12.75" customHeight="1">
      <c r="A2407" s="96" t="s">
        <v>8062</v>
      </c>
    </row>
    <row r="2408" ht="12.75" customHeight="1">
      <c r="A2408" s="96" t="s">
        <v>8063</v>
      </c>
    </row>
    <row r="2409" ht="12.75" customHeight="1">
      <c r="A2409" s="90"/>
    </row>
    <row r="2410" ht="12.75" customHeight="1">
      <c r="A2410" s="96" t="s">
        <v>8064</v>
      </c>
    </row>
    <row r="2411" ht="12.75" customHeight="1">
      <c r="A2411" s="96" t="s">
        <v>8065</v>
      </c>
    </row>
    <row r="2412" ht="12.75" customHeight="1">
      <c r="A2412" s="90"/>
    </row>
    <row r="2413" ht="12.75" customHeight="1">
      <c r="A2413" s="96" t="s">
        <v>5442</v>
      </c>
    </row>
    <row r="2414" ht="12.75" customHeight="1">
      <c r="A2414" s="90"/>
    </row>
    <row r="2415" ht="12.75" customHeight="1">
      <c r="A2415" s="96" t="s">
        <v>5429</v>
      </c>
    </row>
    <row r="2416" ht="12.75" customHeight="1">
      <c r="A2416" s="90"/>
    </row>
    <row r="2417" ht="12.75" customHeight="1">
      <c r="A2417" s="90"/>
    </row>
    <row r="2418" ht="12.75" customHeight="1">
      <c r="A2418" s="96" t="s">
        <v>5473</v>
      </c>
    </row>
    <row r="2419" ht="12.75" customHeight="1">
      <c r="A2419" s="90"/>
    </row>
    <row r="2420" ht="12.75" customHeight="1">
      <c r="A2420" s="96" t="s">
        <v>5474</v>
      </c>
    </row>
    <row r="2421" ht="12.75" customHeight="1">
      <c r="A2421" s="90"/>
    </row>
    <row r="2422" ht="12.75" customHeight="1">
      <c r="A2422" s="96" t="s">
        <v>5475</v>
      </c>
    </row>
    <row r="2423" ht="12.75" customHeight="1">
      <c r="A2423" s="90"/>
    </row>
    <row r="2424" ht="12.75" customHeight="1">
      <c r="A2424" s="96" t="s">
        <v>5476</v>
      </c>
    </row>
    <row r="2425" ht="12.75" customHeight="1">
      <c r="A2425" s="90"/>
    </row>
    <row r="2426" ht="12.75" customHeight="1">
      <c r="A2426" s="96" t="s">
        <v>5477</v>
      </c>
    </row>
    <row r="2427" ht="12.75" customHeight="1">
      <c r="A2427" s="90"/>
    </row>
    <row r="2428" ht="12.75" customHeight="1">
      <c r="A2428" s="96" t="s">
        <v>5478</v>
      </c>
    </row>
    <row r="2429" ht="12.75" customHeight="1">
      <c r="A2429" s="90"/>
    </row>
    <row r="2430" ht="12.75" customHeight="1">
      <c r="A2430" s="96" t="s">
        <v>5479</v>
      </c>
    </row>
    <row r="2431" ht="12.75" customHeight="1">
      <c r="A2431" s="90"/>
    </row>
    <row r="2432" ht="12.75" customHeight="1">
      <c r="A2432" s="96" t="s">
        <v>5480</v>
      </c>
    </row>
    <row r="2433" ht="12.75" customHeight="1">
      <c r="A2433" s="90"/>
    </row>
    <row r="2434" ht="12.75" customHeight="1">
      <c r="A2434" s="96" t="s">
        <v>5481</v>
      </c>
    </row>
    <row r="2435" ht="12.75" customHeight="1">
      <c r="A2435" s="90"/>
    </row>
    <row r="2436" ht="12.75" customHeight="1">
      <c r="A2436" s="96" t="s">
        <v>5482</v>
      </c>
    </row>
    <row r="2437" ht="12.75" customHeight="1">
      <c r="A2437" s="90"/>
    </row>
    <row r="2438" ht="12.75" customHeight="1">
      <c r="A2438" s="96" t="s">
        <v>5483</v>
      </c>
    </row>
    <row r="2439" ht="12.75" customHeight="1">
      <c r="A2439" s="90"/>
    </row>
    <row r="2440" ht="12.75" customHeight="1">
      <c r="A2440" s="96" t="s">
        <v>5484</v>
      </c>
    </row>
    <row r="2441" ht="12.75" customHeight="1">
      <c r="A2441" s="90"/>
    </row>
    <row r="2442" ht="12.75" customHeight="1">
      <c r="A2442" s="96" t="s">
        <v>5485</v>
      </c>
    </row>
    <row r="2443" ht="12.75" customHeight="1">
      <c r="A2443" s="90"/>
    </row>
    <row r="2444" ht="12.75" customHeight="1">
      <c r="A2444" s="96" t="s">
        <v>5486</v>
      </c>
    </row>
    <row r="2445" ht="12.75" customHeight="1">
      <c r="A2445" s="90"/>
    </row>
    <row r="2446" ht="12.75" customHeight="1">
      <c r="A2446" s="96" t="s">
        <v>5474</v>
      </c>
    </row>
    <row r="2447" ht="12.75" customHeight="1">
      <c r="A2447" s="90"/>
    </row>
    <row r="2448" ht="12.75" customHeight="1">
      <c r="A2448" s="90"/>
    </row>
    <row r="2449" ht="12.75" customHeight="1">
      <c r="A2449" s="96" t="s">
        <v>5487</v>
      </c>
    </row>
    <row r="2450" ht="12.75" customHeight="1">
      <c r="A2450" s="90"/>
    </row>
    <row r="2451" ht="12.75" customHeight="1">
      <c r="A2451" s="96" t="s">
        <v>5488</v>
      </c>
    </row>
    <row r="2452" ht="12.75" customHeight="1">
      <c r="A2452" s="90"/>
    </row>
    <row r="2453" ht="12.75" customHeight="1">
      <c r="A2453" s="96" t="s">
        <v>5489</v>
      </c>
    </row>
    <row r="2454" ht="12.75" customHeight="1">
      <c r="A2454" s="90"/>
    </row>
    <row r="2455" ht="12.75" customHeight="1">
      <c r="A2455" s="96" t="s">
        <v>5490</v>
      </c>
    </row>
    <row r="2456" ht="12.75" customHeight="1">
      <c r="A2456" s="90"/>
    </row>
    <row r="2457" ht="12.75" customHeight="1">
      <c r="A2457" s="96" t="s">
        <v>5491</v>
      </c>
    </row>
    <row r="2458" ht="12.75" customHeight="1">
      <c r="A2458" s="90"/>
    </row>
    <row r="2459" ht="12.75" customHeight="1">
      <c r="A2459" s="96" t="s">
        <v>4511</v>
      </c>
    </row>
    <row r="2460" ht="12.75" customHeight="1">
      <c r="A2460" s="90"/>
    </row>
    <row r="2461" ht="12.75" customHeight="1">
      <c r="A2461" s="96" t="s">
        <v>4512</v>
      </c>
    </row>
    <row r="2462" ht="12.75" customHeight="1">
      <c r="A2462" s="90"/>
    </row>
    <row r="2463" ht="12.75" customHeight="1">
      <c r="A2463" s="96" t="s">
        <v>5492</v>
      </c>
    </row>
    <row r="2464" ht="12.75" customHeight="1">
      <c r="A2464" s="90"/>
    </row>
    <row r="2465" ht="12.75" customHeight="1">
      <c r="A2465" s="96" t="s">
        <v>5493</v>
      </c>
    </row>
    <row r="2466" ht="12.75" customHeight="1">
      <c r="A2466" s="90"/>
    </row>
    <row r="2467" ht="12.75" customHeight="1">
      <c r="A2467" s="96" t="s">
        <v>4515</v>
      </c>
    </row>
    <row r="2468" ht="12.75" customHeight="1">
      <c r="A2468" s="90"/>
    </row>
    <row r="2469" ht="12.75" customHeight="1">
      <c r="A2469" s="96" t="s">
        <v>4516</v>
      </c>
    </row>
    <row r="2470" ht="12.75" customHeight="1">
      <c r="A2470" s="90"/>
    </row>
    <row r="2471" ht="12.75" customHeight="1">
      <c r="A2471" s="96" t="s">
        <v>4517</v>
      </c>
    </row>
    <row r="2472" ht="12.75" customHeight="1">
      <c r="A2472" s="90"/>
    </row>
    <row r="2473" ht="12.75" customHeight="1">
      <c r="A2473" s="96" t="s">
        <v>5494</v>
      </c>
    </row>
    <row r="2474" ht="12.75" customHeight="1">
      <c r="A2474" s="90"/>
    </row>
    <row r="2475" ht="12.75" customHeight="1">
      <c r="A2475" s="96" t="s">
        <v>5495</v>
      </c>
    </row>
    <row r="2476" ht="12.75" customHeight="1">
      <c r="A2476" s="90"/>
    </row>
    <row r="2477" ht="12.75" customHeight="1">
      <c r="A2477" s="96" t="s">
        <v>5496</v>
      </c>
    </row>
    <row r="2478" ht="12.75" customHeight="1">
      <c r="A2478" s="90"/>
    </row>
    <row r="2479" ht="12.75" customHeight="1">
      <c r="A2479" s="96" t="s">
        <v>5497</v>
      </c>
    </row>
    <row r="2480" ht="12.75" customHeight="1">
      <c r="A2480" s="90"/>
    </row>
    <row r="2481" ht="12.75" customHeight="1">
      <c r="A2481" s="96" t="s">
        <v>4522</v>
      </c>
    </row>
    <row r="2482" ht="12.75" customHeight="1">
      <c r="A2482" s="90"/>
    </row>
    <row r="2483" ht="12.75" customHeight="1">
      <c r="A2483" s="96" t="s">
        <v>4523</v>
      </c>
    </row>
    <row r="2484" ht="12.75" customHeight="1">
      <c r="A2484" s="90"/>
    </row>
    <row r="2485" ht="12.75" customHeight="1">
      <c r="A2485" s="96" t="s">
        <v>4524</v>
      </c>
    </row>
    <row r="2486" ht="12.75" customHeight="1">
      <c r="A2486" s="90"/>
    </row>
    <row r="2487" ht="12.75" customHeight="1">
      <c r="A2487" s="96" t="s">
        <v>5498</v>
      </c>
    </row>
    <row r="2488" ht="12.75" customHeight="1">
      <c r="A2488" s="90"/>
    </row>
    <row r="2489" ht="12.75" customHeight="1">
      <c r="A2489" s="96" t="s">
        <v>5499</v>
      </c>
    </row>
    <row r="2490" ht="12.75" customHeight="1">
      <c r="A2490" s="90"/>
    </row>
    <row r="2491" ht="12.75" customHeight="1">
      <c r="A2491" s="96" t="s">
        <v>5500</v>
      </c>
    </row>
    <row r="2492" ht="12.75" customHeight="1">
      <c r="A2492" s="90"/>
    </row>
    <row r="2493" ht="12.75" customHeight="1">
      <c r="A2493" s="96" t="s">
        <v>4528</v>
      </c>
    </row>
    <row r="2494" ht="12.75" customHeight="1">
      <c r="A2494" s="90"/>
    </row>
    <row r="2495" ht="12.75" customHeight="1">
      <c r="A2495" s="96" t="s">
        <v>5501</v>
      </c>
    </row>
    <row r="2496" ht="12.75" customHeight="1">
      <c r="A2496" s="90"/>
    </row>
    <row r="2497" ht="12.75" customHeight="1">
      <c r="A2497" s="96" t="s">
        <v>5502</v>
      </c>
    </row>
    <row r="2498" ht="12.75" customHeight="1">
      <c r="A2498" s="90"/>
    </row>
    <row r="2499" ht="12.75" customHeight="1">
      <c r="A2499" s="96" t="s">
        <v>5503</v>
      </c>
    </row>
    <row r="2500" ht="12.75" customHeight="1">
      <c r="A2500" s="90"/>
    </row>
    <row r="2501" ht="12.75" customHeight="1">
      <c r="A2501" s="96" t="s">
        <v>5504</v>
      </c>
    </row>
    <row r="2502" ht="12.75" customHeight="1">
      <c r="A2502" s="90"/>
    </row>
    <row r="2503" ht="12.75" customHeight="1">
      <c r="A2503" s="96" t="s">
        <v>5505</v>
      </c>
    </row>
    <row r="2504" ht="12.75" customHeight="1">
      <c r="A2504" s="90"/>
    </row>
    <row r="2505" ht="12.75" customHeight="1">
      <c r="A2505" s="96" t="s">
        <v>5506</v>
      </c>
    </row>
    <row r="2506" ht="12.75" customHeight="1">
      <c r="A2506" s="90"/>
    </row>
    <row r="2507" ht="12.75" customHeight="1">
      <c r="A2507" s="96" t="s">
        <v>5507</v>
      </c>
    </row>
    <row r="2508" ht="12.75" customHeight="1">
      <c r="A2508" s="90"/>
    </row>
    <row r="2509" ht="12.75" customHeight="1">
      <c r="A2509" s="96" t="s">
        <v>5508</v>
      </c>
    </row>
    <row r="2510" ht="12.75" customHeight="1">
      <c r="A2510" s="90"/>
    </row>
    <row r="2511" ht="12.75" customHeight="1">
      <c r="A2511" s="96" t="s">
        <v>4537</v>
      </c>
    </row>
    <row r="2512" ht="12.75" customHeight="1">
      <c r="A2512" s="90"/>
    </row>
    <row r="2513" ht="12.75" customHeight="1">
      <c r="A2513" s="96" t="s">
        <v>5509</v>
      </c>
    </row>
    <row r="2514" ht="12.75" customHeight="1">
      <c r="A2514" s="90"/>
    </row>
    <row r="2515" ht="12.75" customHeight="1">
      <c r="A2515" s="96" t="s">
        <v>5510</v>
      </c>
    </row>
    <row r="2516" ht="12.75" customHeight="1">
      <c r="A2516" s="90"/>
    </row>
    <row r="2517" ht="12.75" customHeight="1">
      <c r="A2517" s="96" t="s">
        <v>5511</v>
      </c>
    </row>
    <row r="2518" ht="12.75" customHeight="1">
      <c r="A2518" s="90"/>
    </row>
    <row r="2519" ht="12.75" customHeight="1">
      <c r="A2519" s="96" t="s">
        <v>5512</v>
      </c>
    </row>
    <row r="2520" ht="12.75" customHeight="1">
      <c r="A2520" s="90"/>
    </row>
    <row r="2521" ht="12.75" customHeight="1">
      <c r="A2521" s="96" t="s">
        <v>5513</v>
      </c>
    </row>
    <row r="2522" ht="12.75" customHeight="1">
      <c r="A2522" s="90"/>
    </row>
    <row r="2523" ht="12.75" customHeight="1">
      <c r="A2523" s="96" t="s">
        <v>4543</v>
      </c>
    </row>
    <row r="2524" ht="12.75" customHeight="1">
      <c r="A2524" s="90"/>
    </row>
    <row r="2525" ht="12.75" customHeight="1">
      <c r="A2525" s="96" t="s">
        <v>5514</v>
      </c>
    </row>
    <row r="2526" ht="12.75" customHeight="1">
      <c r="A2526" s="90"/>
    </row>
    <row r="2527" ht="12.75" customHeight="1">
      <c r="A2527" s="96" t="s">
        <v>5515</v>
      </c>
    </row>
    <row r="2528" ht="12.75" customHeight="1">
      <c r="A2528" s="90"/>
    </row>
    <row r="2529" ht="12.75" customHeight="1">
      <c r="A2529" s="96" t="s">
        <v>5516</v>
      </c>
    </row>
    <row r="2530" ht="12.75" customHeight="1">
      <c r="A2530" s="90"/>
    </row>
    <row r="2531" ht="12.75" customHeight="1">
      <c r="A2531" s="96" t="s">
        <v>5517</v>
      </c>
    </row>
    <row r="2532" ht="12.75" customHeight="1">
      <c r="A2532" s="90"/>
    </row>
    <row r="2533" ht="12.75" customHeight="1">
      <c r="A2533" s="96" t="s">
        <v>5518</v>
      </c>
    </row>
    <row r="2534" ht="12.75" customHeight="1">
      <c r="A2534" s="90"/>
    </row>
    <row r="2535" ht="12.75" customHeight="1">
      <c r="A2535" s="96" t="s">
        <v>5519</v>
      </c>
    </row>
    <row r="2536" ht="12.75" customHeight="1">
      <c r="A2536" s="90"/>
    </row>
    <row r="2537" ht="12.75" customHeight="1">
      <c r="A2537" s="96" t="s">
        <v>5520</v>
      </c>
    </row>
    <row r="2538" ht="12.75" customHeight="1">
      <c r="A2538" s="90"/>
    </row>
    <row r="2539" ht="12.75" customHeight="1">
      <c r="A2539" s="96" t="s">
        <v>5521</v>
      </c>
    </row>
    <row r="2540" ht="12.75" customHeight="1">
      <c r="A2540" s="90"/>
    </row>
    <row r="2541" ht="12.75" customHeight="1">
      <c r="A2541" s="96" t="s">
        <v>5522</v>
      </c>
    </row>
    <row r="2542" ht="12.75" customHeight="1">
      <c r="A2542" s="90"/>
    </row>
    <row r="2543" ht="12.75" customHeight="1">
      <c r="A2543" s="96" t="s">
        <v>5523</v>
      </c>
    </row>
    <row r="2544" ht="12.75" customHeight="1">
      <c r="A2544" s="90"/>
    </row>
    <row r="2545" ht="12.75" customHeight="1">
      <c r="A2545" s="96" t="s">
        <v>5487</v>
      </c>
    </row>
    <row r="2546" ht="12.75" customHeight="1">
      <c r="A2546" s="90"/>
    </row>
    <row r="2547" ht="12.75" customHeight="1">
      <c r="A2547" s="96" t="s">
        <v>5473</v>
      </c>
    </row>
    <row r="2548" ht="12.75" customHeight="1">
      <c r="A2548" s="90"/>
    </row>
    <row r="2549" ht="12.75" customHeight="1">
      <c r="A2549" s="90"/>
    </row>
    <row r="2550" ht="12.75" customHeight="1">
      <c r="A2550" s="96" t="s">
        <v>5524</v>
      </c>
    </row>
    <row r="2551" ht="12.75" customHeight="1">
      <c r="A2551" s="90"/>
    </row>
    <row r="2552" ht="12.75" customHeight="1">
      <c r="A2552" s="96" t="s">
        <v>5525</v>
      </c>
    </row>
    <row r="2553" ht="12.75" customHeight="1">
      <c r="A2553" s="90"/>
    </row>
    <row r="2554" ht="12.75" customHeight="1">
      <c r="A2554" s="96" t="s">
        <v>5526</v>
      </c>
    </row>
    <row r="2555" ht="12.75" customHeight="1">
      <c r="A2555" s="90"/>
    </row>
    <row r="2556" ht="12.75" customHeight="1">
      <c r="A2556" s="96" t="s">
        <v>5527</v>
      </c>
    </row>
    <row r="2557" ht="12.75" customHeight="1">
      <c r="A2557" s="90"/>
    </row>
    <row r="2558" ht="12.75" customHeight="1">
      <c r="A2558" s="96" t="s">
        <v>5528</v>
      </c>
    </row>
    <row r="2559" ht="12.75" customHeight="1">
      <c r="A2559" s="90"/>
    </row>
    <row r="2560" ht="12.75" customHeight="1">
      <c r="A2560" s="96" t="s">
        <v>5529</v>
      </c>
    </row>
    <row r="2561" ht="12.75" customHeight="1">
      <c r="A2561" s="90"/>
    </row>
    <row r="2562" ht="12.75" customHeight="1">
      <c r="A2562" s="96" t="s">
        <v>5530</v>
      </c>
    </row>
    <row r="2563" ht="12.75" customHeight="1">
      <c r="A2563" s="90"/>
    </row>
    <row r="2564" ht="12.75" customHeight="1">
      <c r="A2564" s="96" t="s">
        <v>5531</v>
      </c>
    </row>
    <row r="2565" ht="12.75" customHeight="1">
      <c r="A2565" s="90"/>
    </row>
    <row r="2566" ht="12.75" customHeight="1">
      <c r="A2566" s="96" t="s">
        <v>5532</v>
      </c>
    </row>
    <row r="2567" ht="12.75" customHeight="1">
      <c r="A2567" s="90"/>
    </row>
    <row r="2568" ht="12.75" customHeight="1">
      <c r="A2568" s="96" t="s">
        <v>5533</v>
      </c>
    </row>
    <row r="2569" ht="12.75" customHeight="1">
      <c r="A2569" s="90"/>
    </row>
    <row r="2570" ht="12.75" customHeight="1">
      <c r="A2570" s="96" t="s">
        <v>5534</v>
      </c>
    </row>
    <row r="2571" ht="12.75" customHeight="1">
      <c r="A2571" s="90"/>
    </row>
    <row r="2572" ht="12.75" customHeight="1">
      <c r="A2572" s="96" t="s">
        <v>5535</v>
      </c>
    </row>
    <row r="2573" ht="12.75" customHeight="1">
      <c r="A2573" s="90"/>
    </row>
    <row r="2574" ht="12.75" customHeight="1">
      <c r="A2574" s="96" t="s">
        <v>5536</v>
      </c>
    </row>
    <row r="2575" ht="12.75" customHeight="1">
      <c r="A2575" s="90"/>
    </row>
    <row r="2576" ht="12.75" customHeight="1">
      <c r="A2576" s="96" t="s">
        <v>5537</v>
      </c>
    </row>
    <row r="2577" ht="12.75" customHeight="1">
      <c r="A2577" s="90"/>
    </row>
    <row r="2578" ht="12.75" customHeight="1">
      <c r="A2578" s="96" t="s">
        <v>5538</v>
      </c>
    </row>
    <row r="2579" ht="12.75" customHeight="1">
      <c r="A2579" s="90"/>
    </row>
    <row r="2580" ht="12.75" customHeight="1">
      <c r="A2580" s="96" t="s">
        <v>8066</v>
      </c>
    </row>
    <row r="2581" ht="12.75" customHeight="1">
      <c r="A2581" s="96" t="s">
        <v>8067</v>
      </c>
    </row>
    <row r="2582" ht="12.75" customHeight="1">
      <c r="A2582" s="90"/>
    </row>
    <row r="2583" ht="12.75" customHeight="1">
      <c r="A2583" s="96" t="s">
        <v>5540</v>
      </c>
    </row>
    <row r="2584" ht="12.75" customHeight="1">
      <c r="A2584" s="90"/>
    </row>
    <row r="2585" ht="12.75" customHeight="1">
      <c r="A2585" s="96" t="s">
        <v>5541</v>
      </c>
    </row>
    <row r="2586" ht="12.75" customHeight="1">
      <c r="A2586" s="90"/>
    </row>
    <row r="2587" ht="12.75" customHeight="1">
      <c r="A2587" s="96" t="s">
        <v>5542</v>
      </c>
    </row>
    <row r="2588" ht="12.75" customHeight="1">
      <c r="A2588" s="90"/>
    </row>
    <row r="2589" ht="12.75" customHeight="1">
      <c r="A2589" s="96" t="s">
        <v>5543</v>
      </c>
    </row>
    <row r="2590" ht="12.75" customHeight="1">
      <c r="A2590" s="90"/>
    </row>
    <row r="2591" ht="12.75" customHeight="1">
      <c r="A2591" s="96" t="s">
        <v>5544</v>
      </c>
    </row>
    <row r="2592" ht="12.75" customHeight="1">
      <c r="A2592" s="90"/>
    </row>
    <row r="2593" ht="12.75" customHeight="1">
      <c r="A2593" s="96" t="s">
        <v>1809</v>
      </c>
    </row>
    <row r="2594" ht="12.75" customHeight="1">
      <c r="A2594" s="90"/>
    </row>
    <row r="2595" ht="12.75" customHeight="1">
      <c r="A2595" s="96" t="s">
        <v>5545</v>
      </c>
    </row>
    <row r="2596" ht="12.75" customHeight="1">
      <c r="A2596" s="90"/>
    </row>
    <row r="2597" ht="12.75" customHeight="1">
      <c r="A2597" s="96" t="s">
        <v>5546</v>
      </c>
    </row>
    <row r="2598" ht="12.75" customHeight="1">
      <c r="A2598" s="90"/>
    </row>
    <row r="2599" ht="12.75" customHeight="1">
      <c r="A2599" s="96" t="s">
        <v>5547</v>
      </c>
    </row>
    <row r="2600" ht="12.75" customHeight="1">
      <c r="A2600" s="90"/>
    </row>
    <row r="2601" ht="12.75" customHeight="1">
      <c r="A2601" s="96" t="s">
        <v>5548</v>
      </c>
    </row>
    <row r="2602" ht="12.75" customHeight="1">
      <c r="A2602" s="90"/>
    </row>
    <row r="2603" ht="12.75" customHeight="1">
      <c r="A2603" s="96" t="s">
        <v>4568</v>
      </c>
    </row>
    <row r="2604" ht="12.75" customHeight="1">
      <c r="A2604" s="90"/>
    </row>
    <row r="2605" ht="12.75" customHeight="1">
      <c r="A2605" s="96" t="s">
        <v>5549</v>
      </c>
    </row>
    <row r="2606" ht="12.75" customHeight="1">
      <c r="A2606" s="90"/>
    </row>
    <row r="2607" ht="12.75" customHeight="1">
      <c r="A2607" s="96" t="s">
        <v>5550</v>
      </c>
    </row>
    <row r="2608" ht="12.75" customHeight="1">
      <c r="A2608" s="90"/>
    </row>
    <row r="2609" ht="12.75" customHeight="1">
      <c r="A2609" s="96" t="s">
        <v>5551</v>
      </c>
    </row>
    <row r="2610" ht="12.75" customHeight="1">
      <c r="A2610" s="90"/>
    </row>
    <row r="2611" ht="12.75" customHeight="1">
      <c r="A2611" s="96" t="s">
        <v>5552</v>
      </c>
    </row>
    <row r="2612" ht="12.75" customHeight="1">
      <c r="A2612" s="90"/>
    </row>
    <row r="2613" ht="12.75" customHeight="1">
      <c r="A2613" s="96" t="s">
        <v>8068</v>
      </c>
    </row>
    <row r="2614" ht="12.75" customHeight="1">
      <c r="A2614" s="96" t="s">
        <v>8069</v>
      </c>
    </row>
    <row r="2615" ht="12.75" customHeight="1">
      <c r="A2615" s="90"/>
    </row>
    <row r="2616" ht="12.75" customHeight="1">
      <c r="A2616" s="96" t="s">
        <v>5554</v>
      </c>
    </row>
    <row r="2617" ht="12.75" customHeight="1">
      <c r="A2617" s="90"/>
    </row>
    <row r="2618" ht="12.75" customHeight="1">
      <c r="A2618" s="96" t="s">
        <v>1833</v>
      </c>
    </row>
    <row r="2619" ht="12.75" customHeight="1">
      <c r="A2619" s="90"/>
    </row>
    <row r="2620" ht="12.75" customHeight="1">
      <c r="A2620" s="96" t="s">
        <v>5555</v>
      </c>
    </row>
    <row r="2621" ht="12.75" customHeight="1">
      <c r="A2621" s="90"/>
    </row>
    <row r="2622" ht="12.75" customHeight="1">
      <c r="A2622" s="96" t="s">
        <v>8070</v>
      </c>
    </row>
    <row r="2623" ht="12.75" customHeight="1">
      <c r="A2623" s="96" t="s">
        <v>8071</v>
      </c>
    </row>
    <row r="2624" ht="12.75" customHeight="1">
      <c r="A2624" s="90"/>
    </row>
    <row r="2625" ht="12.75" customHeight="1">
      <c r="A2625" s="96" t="s">
        <v>5557</v>
      </c>
    </row>
    <row r="2626" ht="12.75" customHeight="1">
      <c r="A2626" s="90"/>
    </row>
    <row r="2627" ht="12.75" customHeight="1">
      <c r="A2627" s="96" t="s">
        <v>8072</v>
      </c>
    </row>
    <row r="2628" ht="12.75" customHeight="1">
      <c r="A2628" s="96" t="s">
        <v>8073</v>
      </c>
    </row>
    <row r="2629" ht="12.75" customHeight="1">
      <c r="A2629" s="90"/>
    </row>
    <row r="2630" ht="12.75" customHeight="1">
      <c r="A2630" s="96" t="s">
        <v>5525</v>
      </c>
    </row>
    <row r="2631" ht="12.75" customHeight="1">
      <c r="A2631" s="90"/>
    </row>
    <row r="2632" ht="12.75" customHeight="1">
      <c r="A2632" s="96" t="s">
        <v>5524</v>
      </c>
    </row>
    <row r="2633" ht="12.75" customHeight="1">
      <c r="A2633" s="90"/>
    </row>
    <row r="2634" ht="12.75" customHeight="1">
      <c r="A2634" s="90"/>
    </row>
    <row r="2635" ht="12.75" customHeight="1">
      <c r="A2635" s="96" t="s">
        <v>5559</v>
      </c>
    </row>
    <row r="2636" ht="12.75" customHeight="1">
      <c r="A2636" s="90"/>
    </row>
    <row r="2637" ht="12.75" customHeight="1">
      <c r="A2637" s="96" t="s">
        <v>5560</v>
      </c>
    </row>
    <row r="2638" ht="12.75" customHeight="1">
      <c r="A2638" s="90"/>
    </row>
    <row r="2639" ht="12.75" customHeight="1">
      <c r="A2639" s="96" t="s">
        <v>5559</v>
      </c>
    </row>
    <row r="2640" ht="12.75" customHeight="1">
      <c r="A2640" s="90"/>
    </row>
    <row r="2641" ht="12.75" customHeight="1">
      <c r="A2641" s="96" t="s">
        <v>4925</v>
      </c>
    </row>
    <row r="2642" ht="12.75" customHeight="1">
      <c r="A2642" s="90"/>
    </row>
    <row r="2643" ht="12.75" customHeight="1">
      <c r="A2643" s="96" t="s">
        <v>4579</v>
      </c>
    </row>
    <row r="2644" ht="12.75" customHeight="1">
      <c r="A2644" s="90"/>
    </row>
    <row r="2645" ht="12.75" customHeight="1">
      <c r="A2645" s="96" t="s">
        <v>4577</v>
      </c>
    </row>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39.25"/>
    <col customWidth="1" min="3" max="3" width="9.25"/>
    <col customWidth="1" min="4" max="7" width="39.25"/>
    <col customWidth="1" min="8" max="8" width="3.88"/>
    <col customWidth="1" min="9" max="9" width="9.75"/>
    <col customWidth="1" min="10" max="10" width="10.13"/>
    <col customWidth="1" min="11" max="11" width="11.75"/>
    <col customWidth="1" min="12" max="12" width="11.0"/>
  </cols>
  <sheetData>
    <row r="1" ht="21.75" customHeight="1">
      <c r="I1" s="79"/>
      <c r="J1" s="80"/>
      <c r="K1" s="80"/>
    </row>
    <row r="2" ht="21.75" customHeight="1">
      <c r="I2" s="79"/>
      <c r="J2" s="80"/>
      <c r="K2" s="80"/>
    </row>
    <row r="3" ht="21.75" customHeight="1">
      <c r="I3" s="79"/>
      <c r="J3" s="80"/>
      <c r="K3" s="80"/>
    </row>
    <row r="4" ht="12.75" customHeight="1">
      <c r="A4" s="385" t="s">
        <v>3681</v>
      </c>
      <c r="B4" s="385" t="s">
        <v>3682</v>
      </c>
      <c r="C4" s="935" t="s">
        <v>4578</v>
      </c>
      <c r="D4" s="385"/>
      <c r="E4" s="385"/>
      <c r="F4" s="385"/>
      <c r="G4" s="385"/>
      <c r="H4" s="385" t="s">
        <v>3683</v>
      </c>
      <c r="I4" s="386" t="s">
        <v>3684</v>
      </c>
      <c r="J4" s="387" t="s">
        <v>3685</v>
      </c>
      <c r="K4" s="388"/>
    </row>
    <row r="5" ht="12.75" customHeight="1">
      <c r="A5" s="389"/>
      <c r="B5" s="390"/>
      <c r="C5" s="390"/>
      <c r="D5" s="390"/>
      <c r="E5" s="390"/>
      <c r="F5" s="390"/>
      <c r="G5" s="390"/>
      <c r="H5" s="390"/>
      <c r="I5" s="388"/>
      <c r="J5" s="391" t="s">
        <v>3686</v>
      </c>
      <c r="K5" s="391" t="s">
        <v>3687</v>
      </c>
    </row>
    <row r="6" ht="12.75" customHeight="1">
      <c r="A6" s="75"/>
      <c r="B6" s="75"/>
      <c r="D6" s="75"/>
      <c r="E6" s="75"/>
      <c r="F6" s="75"/>
      <c r="G6" s="75"/>
      <c r="H6" s="75"/>
      <c r="I6" s="75"/>
      <c r="J6" s="76"/>
      <c r="K6" s="76"/>
    </row>
    <row r="7" ht="12.75" customHeight="1">
      <c r="B7" s="90" t="s">
        <v>3692</v>
      </c>
      <c r="C7" s="936" t="s">
        <v>4579</v>
      </c>
      <c r="D7" s="90"/>
      <c r="E7" s="90"/>
      <c r="F7" s="90"/>
      <c r="G7" s="90"/>
      <c r="I7" s="79"/>
      <c r="J7" s="80"/>
      <c r="K7" s="80"/>
    </row>
    <row r="8" ht="12.75" customHeight="1">
      <c r="I8" s="79"/>
      <c r="J8" s="80"/>
      <c r="K8" s="80"/>
    </row>
    <row r="9" ht="12.75" customHeight="1">
      <c r="A9" s="89" t="s">
        <v>27</v>
      </c>
      <c r="B9" s="90" t="s">
        <v>3693</v>
      </c>
      <c r="C9" s="936" t="s">
        <v>7997</v>
      </c>
      <c r="D9" s="90"/>
      <c r="E9" s="90"/>
      <c r="F9" s="90"/>
      <c r="G9" s="90"/>
      <c r="I9" s="79"/>
      <c r="J9" s="80"/>
      <c r="K9" s="80"/>
    </row>
    <row r="10" ht="12.75" customHeight="1">
      <c r="I10" s="79"/>
      <c r="J10" s="80"/>
      <c r="K10" s="80"/>
    </row>
    <row r="11" ht="12.75" customHeight="1">
      <c r="A11" s="89" t="s">
        <v>29</v>
      </c>
      <c r="B11" s="90" t="s">
        <v>3694</v>
      </c>
      <c r="C11" s="936" t="s">
        <v>7998</v>
      </c>
      <c r="D11" s="90"/>
      <c r="E11" s="90"/>
      <c r="F11" s="90"/>
      <c r="G11" s="90"/>
      <c r="I11" s="79"/>
      <c r="J11" s="80"/>
      <c r="K11" s="80"/>
    </row>
    <row r="12" ht="12.75" customHeight="1">
      <c r="I12" s="79"/>
      <c r="J12" s="80"/>
      <c r="K12" s="80"/>
    </row>
    <row r="13" ht="12.75" customHeight="1">
      <c r="A13" s="89" t="s">
        <v>31</v>
      </c>
      <c r="B13" s="90" t="s">
        <v>3695</v>
      </c>
      <c r="C13" s="936" t="s">
        <v>4582</v>
      </c>
      <c r="D13" s="90"/>
      <c r="E13" s="90"/>
      <c r="F13" s="90"/>
      <c r="G13" s="90"/>
      <c r="H13" s="89" t="s">
        <v>33</v>
      </c>
      <c r="I13" s="91">
        <v>1.0</v>
      </c>
      <c r="J13" s="92">
        <v>173610.4</v>
      </c>
      <c r="K13" s="92">
        <v>173610.4</v>
      </c>
    </row>
    <row r="14" ht="12.75" customHeight="1">
      <c r="I14" s="79"/>
      <c r="J14" s="80"/>
      <c r="K14" s="80"/>
    </row>
    <row r="15" ht="12.75" customHeight="1">
      <c r="A15" s="89" t="s">
        <v>29</v>
      </c>
      <c r="B15" s="90" t="s">
        <v>3694</v>
      </c>
      <c r="C15" s="936" t="s">
        <v>7998</v>
      </c>
      <c r="D15" s="90"/>
      <c r="E15" s="90"/>
      <c r="F15" s="90"/>
      <c r="G15" s="90"/>
      <c r="I15" s="79"/>
      <c r="J15" s="80"/>
      <c r="K15" s="92">
        <v>173610.4</v>
      </c>
    </row>
    <row r="16" ht="12.75" customHeight="1">
      <c r="I16" s="79"/>
      <c r="J16" s="80"/>
      <c r="K16" s="80"/>
    </row>
    <row r="17" ht="12.75" customHeight="1">
      <c r="A17" s="89" t="s">
        <v>27</v>
      </c>
      <c r="B17" s="90" t="s">
        <v>3693</v>
      </c>
      <c r="C17" s="936" t="s">
        <v>7997</v>
      </c>
      <c r="D17" s="90"/>
      <c r="E17" s="90"/>
      <c r="F17" s="90"/>
      <c r="G17" s="90"/>
      <c r="I17" s="79"/>
      <c r="J17" s="80"/>
      <c r="K17" s="92">
        <v>173610.4</v>
      </c>
    </row>
    <row r="18" ht="12.75" customHeight="1">
      <c r="I18" s="79"/>
      <c r="J18" s="80"/>
      <c r="K18" s="80"/>
    </row>
    <row r="19" ht="12.75" customHeight="1">
      <c r="I19" s="79"/>
      <c r="J19" s="80"/>
      <c r="K19" s="80"/>
    </row>
    <row r="20" ht="12.75" customHeight="1">
      <c r="A20" s="89" t="s">
        <v>3696</v>
      </c>
      <c r="B20" s="90" t="s">
        <v>3697</v>
      </c>
      <c r="C20" s="936" t="s">
        <v>4584</v>
      </c>
      <c r="D20" s="90"/>
      <c r="E20" s="90"/>
      <c r="F20" s="90"/>
      <c r="G20" s="90"/>
      <c r="I20" s="79"/>
      <c r="J20" s="80"/>
      <c r="K20" s="80"/>
    </row>
    <row r="21" ht="12.75" customHeight="1">
      <c r="I21" s="79"/>
      <c r="J21" s="80"/>
      <c r="K21" s="80"/>
    </row>
    <row r="22" ht="12.75" customHeight="1">
      <c r="A22" s="89" t="s">
        <v>34</v>
      </c>
      <c r="B22" s="90" t="s">
        <v>3698</v>
      </c>
      <c r="C22" s="936" t="s">
        <v>4585</v>
      </c>
      <c r="D22" s="90"/>
      <c r="E22" s="90"/>
      <c r="F22" s="90"/>
      <c r="G22" s="90"/>
      <c r="I22" s="79"/>
      <c r="J22" s="80"/>
      <c r="K22" s="80"/>
    </row>
    <row r="23" ht="12.75" customHeight="1">
      <c r="I23" s="79"/>
      <c r="J23" s="80"/>
      <c r="K23" s="80"/>
    </row>
    <row r="24" ht="12.75" customHeight="1">
      <c r="A24" s="89" t="s">
        <v>36</v>
      </c>
      <c r="B24" s="90" t="s">
        <v>3699</v>
      </c>
      <c r="C24" s="936" t="s">
        <v>4586</v>
      </c>
      <c r="D24" s="90"/>
      <c r="E24" s="90"/>
      <c r="F24" s="90"/>
      <c r="G24" s="90"/>
      <c r="I24" s="79"/>
      <c r="J24" s="80"/>
      <c r="K24" s="80"/>
    </row>
    <row r="25" ht="12.75" customHeight="1">
      <c r="I25" s="79"/>
      <c r="J25" s="80"/>
      <c r="K25" s="80"/>
    </row>
    <row r="26" ht="12.75" customHeight="1">
      <c r="A26" s="89" t="s">
        <v>38</v>
      </c>
      <c r="B26" s="90" t="s">
        <v>3700</v>
      </c>
      <c r="C26" s="936" t="s">
        <v>4587</v>
      </c>
      <c r="D26" s="90"/>
      <c r="E26" s="90"/>
      <c r="F26" s="90"/>
      <c r="G26" s="90"/>
      <c r="H26" s="89" t="s">
        <v>40</v>
      </c>
      <c r="I26" s="91">
        <v>155.42</v>
      </c>
      <c r="J26" s="92">
        <v>50.66</v>
      </c>
      <c r="K26" s="92">
        <v>7873.58</v>
      </c>
    </row>
    <row r="27" ht="12.75" customHeight="1">
      <c r="I27" s="79"/>
      <c r="J27" s="80"/>
      <c r="K27" s="80"/>
    </row>
    <row r="28" ht="12.75" customHeight="1">
      <c r="A28" s="89" t="s">
        <v>41</v>
      </c>
      <c r="B28" s="90" t="s">
        <v>3701</v>
      </c>
      <c r="C28" s="936" t="s">
        <v>4588</v>
      </c>
      <c r="D28" s="90"/>
      <c r="E28" s="90"/>
      <c r="F28" s="90"/>
      <c r="G28" s="90"/>
      <c r="H28" s="89" t="s">
        <v>40</v>
      </c>
      <c r="I28" s="91">
        <v>32.57</v>
      </c>
      <c r="J28" s="92">
        <v>32.0</v>
      </c>
      <c r="K28" s="92">
        <v>1042.24</v>
      </c>
    </row>
    <row r="29" ht="12.75" customHeight="1">
      <c r="I29" s="79"/>
      <c r="J29" s="80"/>
      <c r="K29" s="80"/>
    </row>
    <row r="30" ht="12.75" customHeight="1">
      <c r="A30" s="89" t="s">
        <v>43</v>
      </c>
      <c r="B30" s="90" t="s">
        <v>3702</v>
      </c>
      <c r="C30" s="936" t="s">
        <v>4589</v>
      </c>
      <c r="D30" s="90"/>
      <c r="E30" s="90"/>
      <c r="F30" s="90"/>
      <c r="G30" s="90"/>
      <c r="H30" s="89" t="s">
        <v>40</v>
      </c>
      <c r="I30" s="91">
        <v>144.31</v>
      </c>
      <c r="J30" s="92">
        <v>28.06</v>
      </c>
      <c r="K30" s="92">
        <v>4049.34</v>
      </c>
    </row>
    <row r="31" ht="12.75" customHeight="1">
      <c r="I31" s="79"/>
      <c r="J31" s="80"/>
      <c r="K31" s="80"/>
    </row>
    <row r="32" ht="12.75" customHeight="1">
      <c r="A32" s="89" t="s">
        <v>45</v>
      </c>
      <c r="B32" s="90" t="s">
        <v>3703</v>
      </c>
      <c r="C32" s="936" t="s">
        <v>4590</v>
      </c>
      <c r="D32" s="90"/>
      <c r="E32" s="90"/>
      <c r="F32" s="90"/>
      <c r="G32" s="90"/>
      <c r="I32" s="79"/>
      <c r="J32" s="80"/>
      <c r="K32" s="80"/>
    </row>
    <row r="33" ht="12.75" customHeight="1">
      <c r="I33" s="79"/>
      <c r="J33" s="80"/>
      <c r="K33" s="80"/>
    </row>
    <row r="34" ht="12.75" customHeight="1">
      <c r="A34" s="89" t="s">
        <v>47</v>
      </c>
      <c r="B34" s="90" t="s">
        <v>3704</v>
      </c>
      <c r="C34" s="936" t="s">
        <v>4591</v>
      </c>
      <c r="D34" s="90"/>
      <c r="E34" s="90"/>
      <c r="F34" s="90"/>
      <c r="G34" s="90"/>
      <c r="H34" s="89" t="s">
        <v>40</v>
      </c>
      <c r="I34" s="91">
        <v>152.25</v>
      </c>
      <c r="J34" s="92">
        <v>32.0</v>
      </c>
      <c r="K34" s="92">
        <v>4872.0</v>
      </c>
    </row>
    <row r="35" ht="12.75" customHeight="1">
      <c r="I35" s="79"/>
      <c r="J35" s="80"/>
      <c r="K35" s="80"/>
    </row>
    <row r="36" ht="12.75" customHeight="1">
      <c r="A36" s="89" t="s">
        <v>49</v>
      </c>
      <c r="B36" s="90" t="s">
        <v>3705</v>
      </c>
      <c r="C36" s="936" t="s">
        <v>4592</v>
      </c>
      <c r="D36" s="90"/>
      <c r="E36" s="90"/>
      <c r="F36" s="90"/>
      <c r="G36" s="90"/>
      <c r="H36" s="89" t="s">
        <v>40</v>
      </c>
      <c r="I36" s="91">
        <v>14.64</v>
      </c>
      <c r="J36" s="92">
        <v>25.22</v>
      </c>
      <c r="K36" s="92">
        <v>369.22</v>
      </c>
    </row>
    <row r="37" ht="12.75" customHeight="1">
      <c r="I37" s="79"/>
      <c r="J37" s="80"/>
      <c r="K37" s="80"/>
    </row>
    <row r="38" ht="12.75" customHeight="1">
      <c r="A38" s="89" t="s">
        <v>51</v>
      </c>
      <c r="B38" s="90" t="s">
        <v>3706</v>
      </c>
      <c r="C38" s="936" t="s">
        <v>4593</v>
      </c>
      <c r="D38" s="90"/>
      <c r="E38" s="90"/>
      <c r="F38" s="90"/>
      <c r="G38" s="90"/>
      <c r="H38" s="89" t="s">
        <v>40</v>
      </c>
      <c r="I38" s="91">
        <v>48.01</v>
      </c>
      <c r="J38" s="92">
        <v>56.13</v>
      </c>
      <c r="K38" s="92">
        <v>2694.8</v>
      </c>
    </row>
    <row r="39" ht="12.75" customHeight="1">
      <c r="I39" s="79"/>
      <c r="J39" s="80"/>
      <c r="K39" s="80"/>
    </row>
    <row r="40" ht="12.75" customHeight="1">
      <c r="A40" s="89" t="s">
        <v>53</v>
      </c>
      <c r="B40" s="90" t="s">
        <v>3707</v>
      </c>
      <c r="C40" s="936" t="s">
        <v>4594</v>
      </c>
      <c r="D40" s="90"/>
      <c r="E40" s="90"/>
      <c r="F40" s="90"/>
      <c r="G40" s="90"/>
      <c r="I40" s="79"/>
      <c r="J40" s="80"/>
      <c r="K40" s="80"/>
    </row>
    <row r="41" ht="12.75" customHeight="1">
      <c r="I41" s="79"/>
      <c r="J41" s="80"/>
      <c r="K41" s="80"/>
    </row>
    <row r="42" ht="12.75" customHeight="1">
      <c r="A42" s="89" t="s">
        <v>55</v>
      </c>
      <c r="B42" s="90" t="s">
        <v>3708</v>
      </c>
      <c r="C42" s="936" t="s">
        <v>4595</v>
      </c>
      <c r="D42" s="90"/>
      <c r="E42" s="90"/>
      <c r="F42" s="90"/>
      <c r="G42" s="90"/>
      <c r="H42" s="89" t="s">
        <v>40</v>
      </c>
      <c r="I42" s="91">
        <v>19.35</v>
      </c>
      <c r="J42" s="92">
        <v>54.18</v>
      </c>
      <c r="K42" s="92">
        <v>1048.38</v>
      </c>
    </row>
    <row r="43" ht="12.75" customHeight="1">
      <c r="I43" s="79"/>
      <c r="J43" s="80"/>
      <c r="K43" s="80"/>
    </row>
    <row r="44" ht="12.75" customHeight="1">
      <c r="A44" s="89" t="s">
        <v>57</v>
      </c>
      <c r="B44" s="90" t="s">
        <v>3709</v>
      </c>
      <c r="C44" s="936" t="s">
        <v>4596</v>
      </c>
      <c r="D44" s="90"/>
      <c r="E44" s="90"/>
      <c r="F44" s="90"/>
      <c r="G44" s="90"/>
      <c r="H44" s="89" t="s">
        <v>40</v>
      </c>
      <c r="I44" s="91">
        <v>37.64</v>
      </c>
      <c r="J44" s="92">
        <v>52.76</v>
      </c>
      <c r="K44" s="92">
        <v>1985.89</v>
      </c>
    </row>
    <row r="45" ht="12.75" customHeight="1">
      <c r="I45" s="79"/>
      <c r="J45" s="80"/>
      <c r="K45" s="80"/>
    </row>
    <row r="46" ht="12.75" customHeight="1">
      <c r="A46" s="89" t="s">
        <v>59</v>
      </c>
      <c r="B46" s="90" t="s">
        <v>3710</v>
      </c>
      <c r="C46" s="936" t="s">
        <v>4597</v>
      </c>
      <c r="D46" s="90"/>
      <c r="E46" s="90"/>
      <c r="F46" s="90"/>
      <c r="G46" s="90"/>
      <c r="H46" s="89" t="s">
        <v>40</v>
      </c>
      <c r="I46" s="91">
        <v>20.27</v>
      </c>
      <c r="J46" s="92">
        <v>62.72</v>
      </c>
      <c r="K46" s="92">
        <v>1271.33</v>
      </c>
    </row>
    <row r="47" ht="12.75" customHeight="1">
      <c r="I47" s="79"/>
      <c r="J47" s="80"/>
      <c r="K47" s="80"/>
    </row>
    <row r="48" ht="12.75" customHeight="1">
      <c r="A48" s="89" t="s">
        <v>61</v>
      </c>
      <c r="B48" s="90" t="s">
        <v>3711</v>
      </c>
      <c r="C48" s="936" t="s">
        <v>4598</v>
      </c>
      <c r="D48" s="90"/>
      <c r="E48" s="90"/>
      <c r="F48" s="90"/>
      <c r="G48" s="90"/>
      <c r="H48" s="89" t="s">
        <v>40</v>
      </c>
      <c r="I48" s="91">
        <v>10.99</v>
      </c>
      <c r="J48" s="92">
        <v>60.65</v>
      </c>
      <c r="K48" s="92">
        <v>666.54</v>
      </c>
    </row>
    <row r="49" ht="12.75" customHeight="1">
      <c r="I49" s="79"/>
      <c r="J49" s="80"/>
      <c r="K49" s="80"/>
    </row>
    <row r="50" ht="12.75" customHeight="1">
      <c r="A50" s="89" t="s">
        <v>63</v>
      </c>
      <c r="B50" s="90" t="s">
        <v>3712</v>
      </c>
      <c r="C50" s="936" t="s">
        <v>4599</v>
      </c>
      <c r="D50" s="90"/>
      <c r="E50" s="90"/>
      <c r="F50" s="90"/>
      <c r="G50" s="90"/>
      <c r="H50" s="89" t="s">
        <v>40</v>
      </c>
      <c r="I50" s="91">
        <v>17.94</v>
      </c>
      <c r="J50" s="92">
        <v>52.76</v>
      </c>
      <c r="K50" s="92">
        <v>946.51</v>
      </c>
    </row>
    <row r="51" ht="12.75" customHeight="1">
      <c r="I51" s="79"/>
      <c r="J51" s="80"/>
      <c r="K51" s="80"/>
    </row>
    <row r="52" ht="12.75" customHeight="1">
      <c r="A52" s="89" t="s">
        <v>65</v>
      </c>
      <c r="B52" s="90" t="s">
        <v>3713</v>
      </c>
      <c r="C52" s="936" t="s">
        <v>4600</v>
      </c>
      <c r="D52" s="90"/>
      <c r="E52" s="90"/>
      <c r="F52" s="90"/>
      <c r="G52" s="90"/>
      <c r="H52" s="89" t="s">
        <v>40</v>
      </c>
      <c r="I52" s="91">
        <v>12.91</v>
      </c>
      <c r="J52" s="92">
        <v>71.12</v>
      </c>
      <c r="K52" s="92">
        <v>918.16</v>
      </c>
    </row>
    <row r="53" ht="12.75" customHeight="1">
      <c r="I53" s="79"/>
      <c r="J53" s="80"/>
      <c r="K53" s="80"/>
    </row>
    <row r="54" ht="12.75" customHeight="1">
      <c r="A54" s="89" t="s">
        <v>34</v>
      </c>
      <c r="B54" s="90" t="s">
        <v>3698</v>
      </c>
      <c r="C54" s="936" t="s">
        <v>4585</v>
      </c>
      <c r="D54" s="90"/>
      <c r="E54" s="90"/>
      <c r="F54" s="90"/>
      <c r="G54" s="90"/>
      <c r="I54" s="79"/>
      <c r="J54" s="80"/>
      <c r="K54" s="92">
        <v>27737.99</v>
      </c>
    </row>
    <row r="55" ht="12.75" customHeight="1">
      <c r="I55" s="79"/>
      <c r="J55" s="80"/>
      <c r="K55" s="80"/>
    </row>
    <row r="56" ht="12.75" customHeight="1">
      <c r="I56" s="79"/>
      <c r="J56" s="80"/>
      <c r="K56" s="80"/>
    </row>
    <row r="57" ht="12.75" customHeight="1">
      <c r="A57" s="89" t="s">
        <v>67</v>
      </c>
      <c r="B57" s="90" t="s">
        <v>3714</v>
      </c>
      <c r="C57" s="936" t="s">
        <v>4601</v>
      </c>
      <c r="D57" s="90"/>
      <c r="E57" s="90"/>
      <c r="F57" s="90"/>
      <c r="G57" s="90"/>
      <c r="I57" s="79"/>
      <c r="J57" s="80"/>
      <c r="K57" s="80"/>
    </row>
    <row r="58" ht="12.75" customHeight="1">
      <c r="I58" s="79"/>
      <c r="J58" s="80"/>
      <c r="K58" s="80"/>
    </row>
    <row r="59" ht="12.75" customHeight="1">
      <c r="A59" s="89" t="s">
        <v>69</v>
      </c>
      <c r="B59" s="90" t="s">
        <v>3714</v>
      </c>
      <c r="C59" s="936" t="s">
        <v>4601</v>
      </c>
      <c r="D59" s="90"/>
      <c r="E59" s="90"/>
      <c r="F59" s="90"/>
      <c r="G59" s="90"/>
      <c r="I59" s="79"/>
      <c r="J59" s="80"/>
      <c r="K59" s="80"/>
    </row>
    <row r="60" ht="12.75" customHeight="1">
      <c r="I60" s="79"/>
      <c r="J60" s="80"/>
      <c r="K60" s="80"/>
    </row>
    <row r="61" ht="12.75" customHeight="1">
      <c r="A61" s="89" t="s">
        <v>71</v>
      </c>
      <c r="B61" s="90" t="s">
        <v>3715</v>
      </c>
      <c r="C61" s="936" t="s">
        <v>4602</v>
      </c>
      <c r="D61" s="90"/>
      <c r="E61" s="90"/>
      <c r="F61" s="90"/>
      <c r="G61" s="90"/>
      <c r="I61" s="79"/>
      <c r="J61" s="80"/>
      <c r="K61" s="80"/>
    </row>
    <row r="62" ht="12.75" customHeight="1">
      <c r="I62" s="79"/>
      <c r="J62" s="80"/>
      <c r="K62" s="80"/>
    </row>
    <row r="63" ht="12.75" customHeight="1">
      <c r="A63" s="89" t="s">
        <v>73</v>
      </c>
      <c r="B63" s="90" t="s">
        <v>3716</v>
      </c>
      <c r="C63" s="936" t="s">
        <v>4603</v>
      </c>
      <c r="D63" s="90"/>
      <c r="E63" s="90"/>
      <c r="F63" s="90"/>
      <c r="G63" s="90"/>
      <c r="H63" s="89" t="s">
        <v>75</v>
      </c>
      <c r="I63" s="91">
        <v>1.0</v>
      </c>
      <c r="J63" s="92">
        <v>45.48</v>
      </c>
      <c r="K63" s="92">
        <v>45.48</v>
      </c>
    </row>
    <row r="64" ht="12.75" customHeight="1">
      <c r="I64" s="79"/>
      <c r="J64" s="80"/>
      <c r="K64" s="80"/>
    </row>
    <row r="65" ht="12.75" customHeight="1">
      <c r="A65" s="89" t="s">
        <v>76</v>
      </c>
      <c r="B65" s="90" t="s">
        <v>3717</v>
      </c>
      <c r="C65" s="936" t="s">
        <v>4604</v>
      </c>
      <c r="D65" s="90"/>
      <c r="E65" s="90"/>
      <c r="F65" s="90"/>
      <c r="G65" s="90"/>
      <c r="H65" s="89" t="s">
        <v>75</v>
      </c>
      <c r="I65" s="91">
        <v>1.0</v>
      </c>
      <c r="J65" s="92">
        <v>193.49</v>
      </c>
      <c r="K65" s="92">
        <v>193.49</v>
      </c>
    </row>
    <row r="66" ht="12.75" customHeight="1">
      <c r="I66" s="79"/>
      <c r="J66" s="80"/>
      <c r="K66" s="80"/>
    </row>
    <row r="67" ht="12.75" customHeight="1">
      <c r="A67" s="89" t="s">
        <v>78</v>
      </c>
      <c r="B67" s="90" t="s">
        <v>3718</v>
      </c>
      <c r="C67" s="936" t="s">
        <v>4605</v>
      </c>
      <c r="D67" s="90"/>
      <c r="E67" s="90"/>
      <c r="F67" s="90"/>
      <c r="G67" s="90"/>
      <c r="H67" s="89" t="s">
        <v>75</v>
      </c>
      <c r="I67" s="91">
        <v>1.0</v>
      </c>
      <c r="J67" s="92">
        <v>190.6</v>
      </c>
      <c r="K67" s="92">
        <v>190.6</v>
      </c>
    </row>
    <row r="68" ht="12.75" customHeight="1">
      <c r="I68" s="79"/>
      <c r="J68" s="80"/>
      <c r="K68" s="80"/>
    </row>
    <row r="69" ht="12.75" customHeight="1">
      <c r="A69" s="89" t="s">
        <v>80</v>
      </c>
      <c r="B69" s="90" t="s">
        <v>3719</v>
      </c>
      <c r="C69" s="936" t="s">
        <v>4606</v>
      </c>
      <c r="D69" s="90"/>
      <c r="E69" s="90"/>
      <c r="F69" s="90"/>
      <c r="G69" s="90"/>
      <c r="H69" s="89" t="s">
        <v>75</v>
      </c>
      <c r="I69" s="91">
        <v>1.0</v>
      </c>
      <c r="J69" s="92">
        <v>125.69</v>
      </c>
      <c r="K69" s="92">
        <v>125.69</v>
      </c>
    </row>
    <row r="70" ht="12.75" customHeight="1">
      <c r="I70" s="79"/>
      <c r="J70" s="80"/>
      <c r="K70" s="80"/>
    </row>
    <row r="71" ht="12.75" customHeight="1">
      <c r="A71" s="89" t="s">
        <v>82</v>
      </c>
      <c r="B71" s="90" t="s">
        <v>3720</v>
      </c>
      <c r="C71" s="936" t="s">
        <v>4607</v>
      </c>
      <c r="D71" s="90"/>
      <c r="E71" s="90"/>
      <c r="F71" s="90"/>
      <c r="G71" s="90"/>
      <c r="I71" s="79"/>
      <c r="J71" s="80"/>
      <c r="K71" s="80"/>
    </row>
    <row r="72" ht="12.75" customHeight="1">
      <c r="I72" s="79"/>
      <c r="J72" s="80"/>
      <c r="K72" s="80"/>
    </row>
    <row r="73" ht="12.75" customHeight="1">
      <c r="A73" s="89" t="s">
        <v>84</v>
      </c>
      <c r="B73" s="90" t="s">
        <v>3721</v>
      </c>
      <c r="C73" s="936" t="s">
        <v>4608</v>
      </c>
      <c r="D73" s="90"/>
      <c r="E73" s="90"/>
      <c r="F73" s="90"/>
      <c r="G73" s="90"/>
      <c r="H73" s="89" t="s">
        <v>75</v>
      </c>
      <c r="I73" s="91">
        <v>1.0</v>
      </c>
      <c r="J73" s="92">
        <v>14.6</v>
      </c>
      <c r="K73" s="92">
        <v>14.6</v>
      </c>
    </row>
    <row r="74" ht="12.75" customHeight="1">
      <c r="I74" s="79"/>
      <c r="J74" s="80"/>
      <c r="K74" s="80"/>
    </row>
    <row r="75" ht="12.75" customHeight="1">
      <c r="A75" s="89" t="s">
        <v>86</v>
      </c>
      <c r="B75" s="90" t="s">
        <v>3722</v>
      </c>
      <c r="C75" s="936" t="s">
        <v>4609</v>
      </c>
      <c r="D75" s="90"/>
      <c r="E75" s="90"/>
      <c r="F75" s="90"/>
      <c r="G75" s="90"/>
      <c r="H75" s="89" t="s">
        <v>75</v>
      </c>
      <c r="I75" s="91">
        <v>1.0</v>
      </c>
      <c r="J75" s="92">
        <v>144.54</v>
      </c>
      <c r="K75" s="92">
        <v>144.54</v>
      </c>
    </row>
    <row r="76" ht="12.75" customHeight="1">
      <c r="I76" s="79"/>
      <c r="J76" s="80"/>
      <c r="K76" s="80"/>
    </row>
    <row r="77" ht="12.75" customHeight="1">
      <c r="A77" s="89" t="s">
        <v>88</v>
      </c>
      <c r="B77" s="90" t="s">
        <v>3723</v>
      </c>
      <c r="C77" s="936" t="s">
        <v>4610</v>
      </c>
      <c r="D77" s="90"/>
      <c r="E77" s="90"/>
      <c r="F77" s="90"/>
      <c r="G77" s="90"/>
      <c r="H77" s="89" t="s">
        <v>75</v>
      </c>
      <c r="I77" s="91">
        <v>1.0</v>
      </c>
      <c r="J77" s="92">
        <v>193.45</v>
      </c>
      <c r="K77" s="92">
        <v>193.45</v>
      </c>
    </row>
    <row r="78" ht="12.75" customHeight="1">
      <c r="I78" s="79"/>
      <c r="J78" s="80"/>
      <c r="K78" s="80"/>
    </row>
    <row r="79" ht="12.75" customHeight="1">
      <c r="A79" s="89" t="s">
        <v>90</v>
      </c>
      <c r="B79" s="90" t="s">
        <v>3724</v>
      </c>
      <c r="C79" s="936" t="s">
        <v>4611</v>
      </c>
      <c r="D79" s="90"/>
      <c r="E79" s="90"/>
      <c r="F79" s="90"/>
      <c r="G79" s="90"/>
      <c r="H79" s="89" t="s">
        <v>75</v>
      </c>
      <c r="I79" s="91">
        <v>1.0</v>
      </c>
      <c r="J79" s="92">
        <v>507.36</v>
      </c>
      <c r="K79" s="92">
        <v>507.36</v>
      </c>
    </row>
    <row r="80" ht="12.75" customHeight="1">
      <c r="I80" s="79"/>
      <c r="J80" s="80"/>
      <c r="K80" s="80"/>
    </row>
    <row r="81" ht="12.75" customHeight="1">
      <c r="A81" s="89" t="s">
        <v>92</v>
      </c>
      <c r="B81" s="90" t="s">
        <v>3725</v>
      </c>
      <c r="C81" s="936" t="s">
        <v>4612</v>
      </c>
      <c r="D81" s="90"/>
      <c r="E81" s="90"/>
      <c r="F81" s="90"/>
      <c r="G81" s="90"/>
      <c r="H81" s="89" t="s">
        <v>75</v>
      </c>
      <c r="I81" s="91">
        <v>1.0</v>
      </c>
      <c r="J81" s="92">
        <v>37.96</v>
      </c>
      <c r="K81" s="92">
        <v>37.96</v>
      </c>
    </row>
    <row r="82" ht="12.75" customHeight="1">
      <c r="I82" s="79"/>
      <c r="J82" s="80"/>
      <c r="K82" s="80"/>
    </row>
    <row r="83" ht="12.75" customHeight="1">
      <c r="A83" s="89" t="s">
        <v>67</v>
      </c>
      <c r="B83" s="90" t="s">
        <v>3714</v>
      </c>
      <c r="C83" s="936" t="s">
        <v>4601</v>
      </c>
      <c r="D83" s="90"/>
      <c r="E83" s="90"/>
      <c r="F83" s="90"/>
      <c r="G83" s="90"/>
      <c r="I83" s="79"/>
      <c r="J83" s="80"/>
      <c r="K83" s="92">
        <v>1453.17</v>
      </c>
    </row>
    <row r="84" ht="12.75" customHeight="1">
      <c r="I84" s="79"/>
      <c r="J84" s="80"/>
      <c r="K84" s="80"/>
    </row>
    <row r="85" ht="12.75" customHeight="1">
      <c r="I85" s="79"/>
      <c r="J85" s="80"/>
      <c r="K85" s="80"/>
    </row>
    <row r="86" ht="12.75" customHeight="1">
      <c r="A86" s="89" t="s">
        <v>94</v>
      </c>
      <c r="B86" s="90" t="s">
        <v>3726</v>
      </c>
      <c r="C86" s="936" t="s">
        <v>4613</v>
      </c>
      <c r="D86" s="90"/>
      <c r="E86" s="90"/>
      <c r="F86" s="90"/>
      <c r="G86" s="90"/>
      <c r="I86" s="79"/>
      <c r="J86" s="80"/>
      <c r="K86" s="80"/>
    </row>
    <row r="87" ht="12.75" customHeight="1">
      <c r="I87" s="79"/>
      <c r="J87" s="80"/>
      <c r="K87" s="80"/>
    </row>
    <row r="88" ht="12.75" customHeight="1">
      <c r="A88" s="89" t="s">
        <v>96</v>
      </c>
      <c r="B88" s="90" t="s">
        <v>3727</v>
      </c>
      <c r="C88" s="936" t="s">
        <v>4614</v>
      </c>
      <c r="D88" s="90"/>
      <c r="E88" s="90"/>
      <c r="F88" s="90"/>
      <c r="G88" s="90"/>
      <c r="I88" s="79"/>
      <c r="J88" s="80"/>
      <c r="K88" s="80"/>
    </row>
    <row r="89" ht="12.75" customHeight="1">
      <c r="I89" s="79"/>
      <c r="J89" s="80"/>
      <c r="K89" s="80"/>
    </row>
    <row r="90" ht="12.75" customHeight="1">
      <c r="A90" s="89" t="s">
        <v>98</v>
      </c>
      <c r="B90" s="90" t="s">
        <v>3728</v>
      </c>
      <c r="C90" s="936" t="s">
        <v>4615</v>
      </c>
      <c r="D90" s="90"/>
      <c r="E90" s="90"/>
      <c r="F90" s="90"/>
      <c r="G90" s="90"/>
      <c r="I90" s="79"/>
      <c r="J90" s="80"/>
      <c r="K90" s="80"/>
    </row>
    <row r="91" ht="12.75" customHeight="1">
      <c r="I91" s="79"/>
      <c r="J91" s="80"/>
      <c r="K91" s="80"/>
    </row>
    <row r="92" ht="12.75" customHeight="1">
      <c r="A92" s="89" t="s">
        <v>100</v>
      </c>
      <c r="B92" s="90" t="s">
        <v>3729</v>
      </c>
      <c r="C92" s="936" t="s">
        <v>4616</v>
      </c>
      <c r="D92" s="90"/>
      <c r="E92" s="90"/>
      <c r="F92" s="90"/>
      <c r="G92" s="90"/>
      <c r="H92" s="89" t="s">
        <v>40</v>
      </c>
      <c r="I92" s="91">
        <v>37.14</v>
      </c>
      <c r="J92" s="92">
        <v>11.9</v>
      </c>
      <c r="K92" s="92">
        <v>441.97</v>
      </c>
    </row>
    <row r="93" ht="12.75" customHeight="1">
      <c r="I93" s="79"/>
      <c r="J93" s="80"/>
      <c r="K93" s="80"/>
    </row>
    <row r="94" ht="12.75" customHeight="1">
      <c r="A94" s="89" t="s">
        <v>102</v>
      </c>
      <c r="B94" s="90" t="s">
        <v>3730</v>
      </c>
      <c r="C94" s="936" t="s">
        <v>4617</v>
      </c>
      <c r="D94" s="90"/>
      <c r="E94" s="90"/>
      <c r="F94" s="90"/>
      <c r="G94" s="90"/>
      <c r="H94" s="89" t="s">
        <v>40</v>
      </c>
      <c r="I94" s="91">
        <v>37.14</v>
      </c>
      <c r="J94" s="92">
        <v>23.36</v>
      </c>
      <c r="K94" s="92">
        <v>867.59</v>
      </c>
    </row>
    <row r="95" ht="12.75" customHeight="1">
      <c r="I95" s="79"/>
      <c r="J95" s="80"/>
      <c r="K95" s="80"/>
    </row>
    <row r="96" ht="12.75" customHeight="1">
      <c r="A96" s="89" t="s">
        <v>104</v>
      </c>
      <c r="B96" s="90" t="s">
        <v>3731</v>
      </c>
      <c r="C96" s="936" t="s">
        <v>4618</v>
      </c>
      <c r="D96" s="90"/>
      <c r="E96" s="90"/>
      <c r="F96" s="90"/>
      <c r="G96" s="90"/>
      <c r="H96" s="89" t="s">
        <v>40</v>
      </c>
      <c r="I96" s="91">
        <v>37.14</v>
      </c>
      <c r="J96" s="92">
        <v>31.78</v>
      </c>
      <c r="K96" s="92">
        <v>1180.31</v>
      </c>
    </row>
    <row r="97" ht="12.75" customHeight="1">
      <c r="I97" s="79"/>
      <c r="J97" s="80"/>
      <c r="K97" s="80"/>
    </row>
    <row r="98" ht="12.75" customHeight="1">
      <c r="A98" s="89" t="s">
        <v>106</v>
      </c>
      <c r="B98" s="90" t="s">
        <v>3732</v>
      </c>
      <c r="C98" s="936" t="s">
        <v>4619</v>
      </c>
      <c r="D98" s="90"/>
      <c r="E98" s="90"/>
      <c r="F98" s="90"/>
      <c r="G98" s="90"/>
      <c r="I98" s="79"/>
      <c r="J98" s="80"/>
      <c r="K98" s="80"/>
    </row>
    <row r="99" ht="12.75" customHeight="1">
      <c r="I99" s="79"/>
      <c r="J99" s="80"/>
      <c r="K99" s="80"/>
    </row>
    <row r="100" ht="12.75" customHeight="1">
      <c r="A100" s="89" t="s">
        <v>108</v>
      </c>
      <c r="B100" s="90" t="s">
        <v>3733</v>
      </c>
      <c r="C100" s="936" t="s">
        <v>4620</v>
      </c>
      <c r="D100" s="90"/>
      <c r="E100" s="90"/>
      <c r="F100" s="90"/>
      <c r="G100" s="90"/>
      <c r="I100" s="79"/>
      <c r="J100" s="80"/>
      <c r="K100" s="80"/>
    </row>
    <row r="101" ht="12.75" customHeight="1">
      <c r="I101" s="79"/>
      <c r="J101" s="80"/>
      <c r="K101" s="80"/>
    </row>
    <row r="102" ht="12.75" customHeight="1">
      <c r="A102" s="89" t="s">
        <v>110</v>
      </c>
      <c r="B102" s="90" t="s">
        <v>3729</v>
      </c>
      <c r="C102" s="936" t="s">
        <v>4616</v>
      </c>
      <c r="D102" s="90"/>
      <c r="E102" s="90"/>
      <c r="F102" s="90"/>
      <c r="G102" s="90"/>
      <c r="H102" s="89" t="s">
        <v>40</v>
      </c>
      <c r="I102" s="91">
        <v>53.0</v>
      </c>
      <c r="J102" s="92">
        <v>11.9</v>
      </c>
      <c r="K102" s="92">
        <v>630.7</v>
      </c>
    </row>
    <row r="103" ht="12.75" customHeight="1">
      <c r="I103" s="79"/>
      <c r="J103" s="80"/>
      <c r="K103" s="80"/>
    </row>
    <row r="104" ht="12.75" customHeight="1">
      <c r="A104" s="89" t="s">
        <v>111</v>
      </c>
      <c r="B104" s="90" t="s">
        <v>3734</v>
      </c>
      <c r="C104" s="936" t="s">
        <v>4621</v>
      </c>
      <c r="D104" s="90"/>
      <c r="E104" s="90"/>
      <c r="F104" s="90"/>
      <c r="G104" s="90"/>
      <c r="H104" s="89" t="s">
        <v>40</v>
      </c>
      <c r="I104" s="91">
        <v>53.0</v>
      </c>
      <c r="J104" s="92">
        <v>23.36</v>
      </c>
      <c r="K104" s="92">
        <v>1238.08</v>
      </c>
    </row>
    <row r="105" ht="12.75" customHeight="1">
      <c r="I105" s="79"/>
      <c r="J105" s="80"/>
      <c r="K105" s="80"/>
    </row>
    <row r="106" ht="12.75" customHeight="1">
      <c r="A106" s="89" t="s">
        <v>113</v>
      </c>
      <c r="B106" s="90" t="s">
        <v>3735</v>
      </c>
      <c r="C106" s="936" t="s">
        <v>4622</v>
      </c>
      <c r="D106" s="90"/>
      <c r="E106" s="90"/>
      <c r="F106" s="90"/>
      <c r="G106" s="90"/>
      <c r="H106" s="89" t="s">
        <v>40</v>
      </c>
      <c r="I106" s="91">
        <v>53.0</v>
      </c>
      <c r="J106" s="92">
        <v>31.78</v>
      </c>
      <c r="K106" s="92">
        <v>1684.34</v>
      </c>
    </row>
    <row r="107" ht="12.75" customHeight="1">
      <c r="I107" s="79"/>
      <c r="J107" s="80"/>
      <c r="K107" s="80"/>
    </row>
    <row r="108" ht="12.75" customHeight="1">
      <c r="A108" s="89" t="s">
        <v>115</v>
      </c>
      <c r="B108" s="90" t="s">
        <v>3736</v>
      </c>
      <c r="C108" s="936" t="s">
        <v>4623</v>
      </c>
      <c r="D108" s="90"/>
      <c r="E108" s="90"/>
      <c r="F108" s="90"/>
      <c r="G108" s="90"/>
      <c r="I108" s="79"/>
      <c r="J108" s="80"/>
      <c r="K108" s="80"/>
    </row>
    <row r="109" ht="12.75" customHeight="1">
      <c r="I109" s="79"/>
      <c r="J109" s="80"/>
      <c r="K109" s="80"/>
    </row>
    <row r="110" ht="12.75" customHeight="1">
      <c r="A110" s="89" t="s">
        <v>117</v>
      </c>
      <c r="B110" s="90" t="s">
        <v>3737</v>
      </c>
      <c r="C110" s="936" t="s">
        <v>4624</v>
      </c>
      <c r="D110" s="90"/>
      <c r="E110" s="90"/>
      <c r="F110" s="90"/>
      <c r="G110" s="90"/>
      <c r="I110" s="79"/>
      <c r="J110" s="80"/>
      <c r="K110" s="80"/>
    </row>
    <row r="111" ht="12.75" customHeight="1">
      <c r="I111" s="79"/>
      <c r="J111" s="80"/>
      <c r="K111" s="80"/>
    </row>
    <row r="112" ht="12.75" customHeight="1">
      <c r="A112" s="89" t="s">
        <v>119</v>
      </c>
      <c r="B112" s="90" t="s">
        <v>3734</v>
      </c>
      <c r="C112" s="936" t="s">
        <v>4621</v>
      </c>
      <c r="D112" s="90"/>
      <c r="E112" s="90"/>
      <c r="F112" s="90"/>
      <c r="G112" s="90"/>
      <c r="H112" s="89" t="s">
        <v>40</v>
      </c>
      <c r="I112" s="91">
        <v>32.4</v>
      </c>
      <c r="J112" s="92">
        <v>23.36</v>
      </c>
      <c r="K112" s="92">
        <v>756.86</v>
      </c>
    </row>
    <row r="113" ht="12.75" customHeight="1">
      <c r="I113" s="79"/>
      <c r="J113" s="80"/>
      <c r="K113" s="80"/>
    </row>
    <row r="114" ht="12.75" customHeight="1">
      <c r="A114" s="89" t="s">
        <v>120</v>
      </c>
      <c r="B114" s="90" t="s">
        <v>3735</v>
      </c>
      <c r="C114" s="936" t="s">
        <v>4622</v>
      </c>
      <c r="D114" s="90"/>
      <c r="E114" s="90"/>
      <c r="F114" s="90"/>
      <c r="G114" s="90"/>
      <c r="H114" s="89" t="s">
        <v>40</v>
      </c>
      <c r="I114" s="91">
        <v>32.4</v>
      </c>
      <c r="J114" s="92">
        <v>31.78</v>
      </c>
      <c r="K114" s="92">
        <v>1029.67</v>
      </c>
    </row>
    <row r="115" ht="12.75" customHeight="1">
      <c r="I115" s="79"/>
      <c r="J115" s="80"/>
      <c r="K115" s="80"/>
    </row>
    <row r="116" ht="12.75" customHeight="1">
      <c r="A116" s="89" t="s">
        <v>121</v>
      </c>
      <c r="B116" s="90" t="s">
        <v>3738</v>
      </c>
      <c r="C116" s="936" t="s">
        <v>4625</v>
      </c>
      <c r="D116" s="90"/>
      <c r="E116" s="90"/>
      <c r="F116" s="90"/>
      <c r="G116" s="90"/>
      <c r="I116" s="79"/>
      <c r="J116" s="80"/>
      <c r="K116" s="80"/>
    </row>
    <row r="117" ht="12.75" customHeight="1">
      <c r="I117" s="79"/>
      <c r="J117" s="80"/>
      <c r="K117" s="80"/>
    </row>
    <row r="118" ht="12.75" customHeight="1">
      <c r="A118" s="89" t="s">
        <v>123</v>
      </c>
      <c r="B118" s="90" t="s">
        <v>3739</v>
      </c>
      <c r="C118" s="936" t="s">
        <v>4626</v>
      </c>
      <c r="D118" s="90"/>
      <c r="E118" s="90"/>
      <c r="F118" s="90"/>
      <c r="G118" s="90"/>
      <c r="H118" s="89" t="s">
        <v>40</v>
      </c>
      <c r="I118" s="91">
        <v>303.47</v>
      </c>
      <c r="J118" s="92">
        <v>22.54</v>
      </c>
      <c r="K118" s="92">
        <v>6840.21</v>
      </c>
    </row>
    <row r="119" ht="12.75" customHeight="1">
      <c r="I119" s="79"/>
      <c r="J119" s="80"/>
      <c r="K119" s="80"/>
    </row>
    <row r="120" ht="12.75" customHeight="1">
      <c r="A120" s="89" t="s">
        <v>125</v>
      </c>
      <c r="B120" s="90" t="s">
        <v>3740</v>
      </c>
      <c r="C120" s="936" t="s">
        <v>4627</v>
      </c>
      <c r="D120" s="90"/>
      <c r="E120" s="90"/>
      <c r="F120" s="90"/>
      <c r="G120" s="90"/>
      <c r="I120" s="79"/>
      <c r="J120" s="80"/>
      <c r="K120" s="80"/>
    </row>
    <row r="121" ht="12.75" customHeight="1">
      <c r="I121" s="79"/>
      <c r="J121" s="80"/>
      <c r="K121" s="80"/>
    </row>
    <row r="122" ht="12.75" customHeight="1">
      <c r="A122" s="89" t="s">
        <v>127</v>
      </c>
      <c r="B122" s="90" t="s">
        <v>3741</v>
      </c>
      <c r="C122" s="936" t="s">
        <v>4628</v>
      </c>
      <c r="D122" s="90"/>
      <c r="E122" s="90"/>
      <c r="F122" s="90"/>
      <c r="G122" s="90"/>
      <c r="H122" s="89" t="s">
        <v>40</v>
      </c>
      <c r="I122" s="91">
        <v>320.7</v>
      </c>
      <c r="J122" s="92">
        <v>11.9</v>
      </c>
      <c r="K122" s="92">
        <v>3816.33</v>
      </c>
    </row>
    <row r="123" ht="12.75" customHeight="1">
      <c r="I123" s="79"/>
      <c r="J123" s="80"/>
      <c r="K123" s="80"/>
    </row>
    <row r="124" ht="12.75" customHeight="1">
      <c r="A124" s="89" t="s">
        <v>129</v>
      </c>
      <c r="B124" s="90" t="s">
        <v>3742</v>
      </c>
      <c r="C124" s="936" t="s">
        <v>4629</v>
      </c>
      <c r="D124" s="90"/>
      <c r="E124" s="90"/>
      <c r="F124" s="90"/>
      <c r="G124" s="90"/>
      <c r="I124" s="79"/>
      <c r="J124" s="80"/>
      <c r="K124" s="80"/>
    </row>
    <row r="125" ht="12.75" customHeight="1">
      <c r="I125" s="79"/>
      <c r="J125" s="80"/>
      <c r="K125" s="80"/>
    </row>
    <row r="126" ht="12.75" customHeight="1">
      <c r="A126" s="89" t="s">
        <v>131</v>
      </c>
      <c r="B126" s="90" t="s">
        <v>3743</v>
      </c>
      <c r="C126" s="936" t="s">
        <v>4630</v>
      </c>
      <c r="D126" s="90"/>
      <c r="E126" s="90"/>
      <c r="F126" s="90"/>
      <c r="G126" s="90"/>
      <c r="H126" s="89" t="s">
        <v>75</v>
      </c>
      <c r="I126" s="91">
        <v>22.19</v>
      </c>
      <c r="J126" s="92">
        <v>29.09</v>
      </c>
      <c r="K126" s="92">
        <v>645.51</v>
      </c>
    </row>
    <row r="127" ht="12.75" customHeight="1">
      <c r="I127" s="79"/>
      <c r="J127" s="80"/>
      <c r="K127" s="80"/>
    </row>
    <row r="128" ht="12.75" customHeight="1">
      <c r="A128" s="89" t="s">
        <v>133</v>
      </c>
      <c r="B128" s="90" t="s">
        <v>3744</v>
      </c>
      <c r="C128" s="936" t="s">
        <v>4631</v>
      </c>
      <c r="D128" s="90"/>
      <c r="E128" s="90"/>
      <c r="F128" s="90"/>
      <c r="G128" s="90"/>
      <c r="I128" s="79"/>
      <c r="J128" s="80"/>
      <c r="K128" s="80"/>
    </row>
    <row r="129" ht="12.75" customHeight="1">
      <c r="I129" s="79"/>
      <c r="J129" s="80"/>
      <c r="K129" s="80"/>
    </row>
    <row r="130" ht="12.75" customHeight="1">
      <c r="A130" s="89" t="s">
        <v>135</v>
      </c>
      <c r="B130" s="90" t="s">
        <v>3745</v>
      </c>
      <c r="C130" s="936" t="s">
        <v>4632</v>
      </c>
      <c r="D130" s="90"/>
      <c r="E130" s="90"/>
      <c r="F130" s="90"/>
      <c r="G130" s="90"/>
      <c r="H130" s="89" t="s">
        <v>40</v>
      </c>
      <c r="I130" s="91">
        <v>200.6</v>
      </c>
      <c r="J130" s="92">
        <v>23.04</v>
      </c>
      <c r="K130" s="92">
        <v>4621.82</v>
      </c>
    </row>
    <row r="131" ht="12.75" customHeight="1">
      <c r="I131" s="79"/>
      <c r="J131" s="80"/>
      <c r="K131" s="80"/>
    </row>
    <row r="132" ht="12.75" customHeight="1">
      <c r="A132" s="89" t="s">
        <v>94</v>
      </c>
      <c r="B132" s="90" t="s">
        <v>3726</v>
      </c>
      <c r="C132" s="936" t="s">
        <v>4613</v>
      </c>
      <c r="D132" s="90"/>
      <c r="E132" s="90"/>
      <c r="F132" s="90"/>
      <c r="G132" s="90"/>
      <c r="I132" s="79"/>
      <c r="J132" s="80"/>
      <c r="K132" s="92">
        <v>23753.39</v>
      </c>
    </row>
    <row r="133" ht="12.75" customHeight="1">
      <c r="I133" s="79"/>
      <c r="J133" s="80"/>
      <c r="K133" s="80"/>
    </row>
    <row r="134" ht="12.75" customHeight="1">
      <c r="I134" s="79"/>
      <c r="J134" s="80"/>
      <c r="K134" s="80"/>
    </row>
    <row r="135" ht="12.75" customHeight="1">
      <c r="A135" s="89" t="s">
        <v>3746</v>
      </c>
      <c r="B135" s="90" t="s">
        <v>2200</v>
      </c>
      <c r="C135" s="936" t="s">
        <v>4633</v>
      </c>
      <c r="D135" s="90"/>
      <c r="E135" s="90"/>
      <c r="F135" s="90"/>
      <c r="G135" s="90"/>
      <c r="I135" s="79"/>
      <c r="J135" s="80"/>
      <c r="K135" s="80"/>
    </row>
    <row r="136" ht="12.75" customHeight="1">
      <c r="I136" s="79"/>
      <c r="J136" s="80"/>
      <c r="K136" s="80"/>
    </row>
    <row r="137" ht="12.75" customHeight="1">
      <c r="A137" s="89" t="s">
        <v>138</v>
      </c>
      <c r="B137" s="90" t="s">
        <v>3747</v>
      </c>
      <c r="C137" s="936" t="s">
        <v>4634</v>
      </c>
      <c r="D137" s="90"/>
      <c r="E137" s="90"/>
      <c r="F137" s="90"/>
      <c r="G137" s="90"/>
      <c r="H137" s="89" t="s">
        <v>40</v>
      </c>
      <c r="I137" s="91">
        <v>181.91</v>
      </c>
      <c r="J137" s="92">
        <v>290.82</v>
      </c>
      <c r="K137" s="92">
        <v>52903.07</v>
      </c>
    </row>
    <row r="138" ht="12.75" customHeight="1">
      <c r="I138" s="79"/>
      <c r="J138" s="80"/>
      <c r="K138" s="80"/>
    </row>
    <row r="139" ht="12.75" customHeight="1">
      <c r="A139" s="89" t="s">
        <v>140</v>
      </c>
      <c r="B139" s="90" t="s">
        <v>3748</v>
      </c>
      <c r="C139" s="936" t="s">
        <v>4635</v>
      </c>
      <c r="D139" s="90"/>
      <c r="E139" s="90"/>
      <c r="F139" s="90"/>
      <c r="G139" s="90"/>
      <c r="H139" s="89" t="s">
        <v>40</v>
      </c>
      <c r="I139" s="91">
        <v>37.14</v>
      </c>
      <c r="J139" s="92">
        <v>29.31</v>
      </c>
      <c r="K139" s="92">
        <v>1088.57</v>
      </c>
    </row>
    <row r="140" ht="12.75" customHeight="1">
      <c r="I140" s="79"/>
      <c r="J140" s="80"/>
      <c r="K140" s="80"/>
    </row>
    <row r="141" ht="12.75" customHeight="1">
      <c r="A141" s="89" t="s">
        <v>142</v>
      </c>
      <c r="B141" s="90" t="s">
        <v>3749</v>
      </c>
      <c r="C141" s="936" t="s">
        <v>4636</v>
      </c>
      <c r="D141" s="90"/>
      <c r="E141" s="90"/>
      <c r="F141" s="90"/>
      <c r="G141" s="90"/>
      <c r="H141" s="89" t="s">
        <v>40</v>
      </c>
      <c r="I141" s="91">
        <v>15.09</v>
      </c>
      <c r="J141" s="92">
        <v>323.28</v>
      </c>
      <c r="K141" s="92">
        <v>4878.3</v>
      </c>
    </row>
    <row r="142" ht="12.75" customHeight="1">
      <c r="I142" s="79"/>
      <c r="J142" s="80"/>
      <c r="K142" s="80"/>
    </row>
    <row r="143" ht="12.75" customHeight="1">
      <c r="A143" s="89" t="s">
        <v>144</v>
      </c>
      <c r="B143" s="90" t="s">
        <v>3750</v>
      </c>
      <c r="C143" s="936" t="s">
        <v>4637</v>
      </c>
      <c r="D143" s="90"/>
      <c r="E143" s="90"/>
      <c r="F143" s="90"/>
      <c r="G143" s="90"/>
      <c r="H143" s="89" t="s">
        <v>75</v>
      </c>
      <c r="I143" s="91">
        <v>2.0</v>
      </c>
      <c r="J143" s="92">
        <v>581.9</v>
      </c>
      <c r="K143" s="92">
        <v>1163.8</v>
      </c>
    </row>
    <row r="144" ht="12.75" customHeight="1">
      <c r="I144" s="79"/>
      <c r="J144" s="80"/>
      <c r="K144" s="80"/>
    </row>
    <row r="145" ht="12.75" customHeight="1">
      <c r="A145" s="89" t="s">
        <v>3746</v>
      </c>
      <c r="B145" s="90" t="s">
        <v>2200</v>
      </c>
      <c r="C145" s="936" t="s">
        <v>4633</v>
      </c>
      <c r="D145" s="90"/>
      <c r="E145" s="90"/>
      <c r="F145" s="90"/>
      <c r="G145" s="90"/>
      <c r="I145" s="79"/>
      <c r="J145" s="80"/>
      <c r="K145" s="92">
        <v>60033.74</v>
      </c>
    </row>
    <row r="146" ht="12.75" customHeight="1">
      <c r="I146" s="79"/>
      <c r="J146" s="80"/>
      <c r="K146" s="80"/>
    </row>
    <row r="147" ht="12.75" customHeight="1">
      <c r="I147" s="79"/>
      <c r="J147" s="80"/>
      <c r="K147" s="80"/>
    </row>
    <row r="148" ht="12.75" customHeight="1">
      <c r="A148" s="89" t="s">
        <v>3751</v>
      </c>
      <c r="B148" s="90" t="s">
        <v>3752</v>
      </c>
      <c r="C148" s="936" t="s">
        <v>4638</v>
      </c>
      <c r="D148" s="90"/>
      <c r="E148" s="90"/>
      <c r="F148" s="90"/>
      <c r="G148" s="90"/>
      <c r="I148" s="79"/>
      <c r="J148" s="80"/>
      <c r="K148" s="80"/>
    </row>
    <row r="149" ht="12.75" customHeight="1">
      <c r="I149" s="79"/>
      <c r="J149" s="80"/>
      <c r="K149" s="80"/>
    </row>
    <row r="150" ht="12.75" customHeight="1">
      <c r="A150" s="89" t="s">
        <v>147</v>
      </c>
      <c r="B150" s="90" t="s">
        <v>3753</v>
      </c>
      <c r="C150" s="936" t="s">
        <v>4639</v>
      </c>
      <c r="D150" s="90"/>
      <c r="E150" s="90"/>
      <c r="F150" s="90"/>
      <c r="G150" s="90"/>
      <c r="I150" s="79"/>
      <c r="J150" s="80"/>
      <c r="K150" s="80"/>
    </row>
    <row r="151" ht="12.75" customHeight="1">
      <c r="I151" s="79"/>
      <c r="J151" s="80"/>
      <c r="K151" s="80"/>
    </row>
    <row r="152" ht="12.75" customHeight="1">
      <c r="A152" s="89" t="s">
        <v>149</v>
      </c>
      <c r="B152" s="90" t="s">
        <v>3754</v>
      </c>
      <c r="C152" s="936" t="s">
        <v>4640</v>
      </c>
      <c r="D152" s="90"/>
      <c r="E152" s="90"/>
      <c r="F152" s="90"/>
      <c r="G152" s="90"/>
      <c r="H152" s="89" t="s">
        <v>40</v>
      </c>
      <c r="I152" s="91">
        <v>42.56</v>
      </c>
      <c r="J152" s="92">
        <v>12.93</v>
      </c>
      <c r="K152" s="92">
        <v>550.3</v>
      </c>
    </row>
    <row r="153" ht="12.75" customHeight="1">
      <c r="I153" s="79"/>
      <c r="J153" s="80"/>
      <c r="K153" s="80"/>
    </row>
    <row r="154" ht="12.75" customHeight="1">
      <c r="A154" s="89" t="s">
        <v>151</v>
      </c>
      <c r="B154" s="90" t="s">
        <v>3755</v>
      </c>
      <c r="C154" s="936" t="s">
        <v>4641</v>
      </c>
      <c r="D154" s="90"/>
      <c r="E154" s="90"/>
      <c r="F154" s="90"/>
      <c r="G154" s="90"/>
      <c r="I154" s="79"/>
      <c r="J154" s="80"/>
      <c r="K154" s="80"/>
    </row>
    <row r="155" ht="12.75" customHeight="1">
      <c r="I155" s="79"/>
      <c r="J155" s="80"/>
      <c r="K155" s="80"/>
    </row>
    <row r="156" ht="12.75" customHeight="1">
      <c r="A156" s="89" t="s">
        <v>153</v>
      </c>
      <c r="B156" s="90" t="s">
        <v>3756</v>
      </c>
      <c r="C156" s="936" t="s">
        <v>4642</v>
      </c>
      <c r="D156" s="90"/>
      <c r="E156" s="90"/>
      <c r="F156" s="90"/>
      <c r="G156" s="90"/>
      <c r="H156" s="89" t="s">
        <v>40</v>
      </c>
      <c r="I156" s="91">
        <v>331.34</v>
      </c>
      <c r="J156" s="92">
        <v>12.93</v>
      </c>
      <c r="K156" s="92">
        <v>4284.23</v>
      </c>
    </row>
    <row r="157" ht="12.75" customHeight="1">
      <c r="I157" s="79"/>
      <c r="J157" s="80"/>
      <c r="K157" s="80"/>
    </row>
    <row r="158" ht="12.75" customHeight="1">
      <c r="A158" s="89" t="s">
        <v>155</v>
      </c>
      <c r="B158" s="90" t="s">
        <v>3757</v>
      </c>
      <c r="C158" s="936" t="s">
        <v>4643</v>
      </c>
      <c r="D158" s="90"/>
      <c r="E158" s="90"/>
      <c r="F158" s="90"/>
      <c r="G158" s="90"/>
      <c r="H158" s="89" t="s">
        <v>40</v>
      </c>
      <c r="I158" s="91">
        <v>170.41</v>
      </c>
      <c r="J158" s="92">
        <v>32.2</v>
      </c>
      <c r="K158" s="92">
        <v>5487.2</v>
      </c>
    </row>
    <row r="159" ht="12.75" customHeight="1">
      <c r="I159" s="79"/>
      <c r="J159" s="80"/>
      <c r="K159" s="80"/>
    </row>
    <row r="160" ht="12.75" customHeight="1">
      <c r="A160" s="89" t="s">
        <v>157</v>
      </c>
      <c r="B160" s="90" t="s">
        <v>3758</v>
      </c>
      <c r="C160" s="936" t="s">
        <v>4644</v>
      </c>
      <c r="D160" s="90"/>
      <c r="E160" s="90"/>
      <c r="F160" s="90"/>
      <c r="G160" s="90"/>
      <c r="H160" s="89" t="s">
        <v>40</v>
      </c>
      <c r="I160" s="91">
        <v>59.45</v>
      </c>
      <c r="J160" s="92">
        <v>38.66</v>
      </c>
      <c r="K160" s="92">
        <v>2298.34</v>
      </c>
    </row>
    <row r="161" ht="12.75" customHeight="1">
      <c r="I161" s="79"/>
      <c r="J161" s="80"/>
      <c r="K161" s="80"/>
    </row>
    <row r="162" ht="12.75" customHeight="1">
      <c r="A162" s="89" t="s">
        <v>159</v>
      </c>
      <c r="B162" s="90" t="s">
        <v>3759</v>
      </c>
      <c r="C162" s="936" t="s">
        <v>4645</v>
      </c>
      <c r="D162" s="90"/>
      <c r="E162" s="90"/>
      <c r="F162" s="90"/>
      <c r="G162" s="90"/>
      <c r="H162" s="89" t="s">
        <v>161</v>
      </c>
      <c r="I162" s="91">
        <v>11.9</v>
      </c>
      <c r="J162" s="92">
        <v>38.66</v>
      </c>
      <c r="K162" s="92">
        <v>460.05</v>
      </c>
    </row>
    <row r="163" ht="12.75" customHeight="1">
      <c r="I163" s="79"/>
      <c r="J163" s="80"/>
      <c r="K163" s="80"/>
    </row>
    <row r="164" ht="12.75" customHeight="1">
      <c r="A164" s="89" t="s">
        <v>162</v>
      </c>
      <c r="B164" s="90" t="s">
        <v>3760</v>
      </c>
      <c r="C164" s="936" t="s">
        <v>4646</v>
      </c>
      <c r="D164" s="90"/>
      <c r="E164" s="90"/>
      <c r="F164" s="90"/>
      <c r="G164" s="90"/>
      <c r="H164" s="89" t="s">
        <v>40</v>
      </c>
      <c r="I164" s="91">
        <v>229.86</v>
      </c>
      <c r="J164" s="92">
        <v>10.34</v>
      </c>
      <c r="K164" s="92">
        <v>2376.75</v>
      </c>
    </row>
    <row r="165" ht="12.75" customHeight="1">
      <c r="I165" s="79"/>
      <c r="J165" s="80"/>
      <c r="K165" s="80"/>
    </row>
    <row r="166" ht="12.75" customHeight="1">
      <c r="A166" s="89" t="s">
        <v>3751</v>
      </c>
      <c r="B166" s="90" t="s">
        <v>3752</v>
      </c>
      <c r="C166" s="936" t="s">
        <v>4638</v>
      </c>
      <c r="D166" s="90"/>
      <c r="E166" s="90"/>
      <c r="F166" s="90"/>
      <c r="G166" s="90"/>
      <c r="I166" s="79"/>
      <c r="J166" s="80"/>
      <c r="K166" s="92">
        <v>15456.87</v>
      </c>
    </row>
    <row r="167" ht="12.75" customHeight="1">
      <c r="I167" s="79"/>
      <c r="J167" s="80"/>
      <c r="K167" s="80"/>
    </row>
    <row r="168" ht="12.75" customHeight="1">
      <c r="I168" s="79"/>
      <c r="J168" s="80"/>
      <c r="K168" s="80"/>
    </row>
    <row r="169" ht="12.75" customHeight="1">
      <c r="A169" s="89" t="s">
        <v>164</v>
      </c>
      <c r="B169" s="90" t="s">
        <v>3761</v>
      </c>
      <c r="C169" s="936" t="s">
        <v>4647</v>
      </c>
      <c r="D169" s="90"/>
      <c r="E169" s="90"/>
      <c r="F169" s="90"/>
      <c r="G169" s="90"/>
      <c r="I169" s="79"/>
      <c r="J169" s="80"/>
      <c r="K169" s="80"/>
    </row>
    <row r="170" ht="12.75" customHeight="1">
      <c r="I170" s="79"/>
      <c r="J170" s="80"/>
      <c r="K170" s="80"/>
    </row>
    <row r="171" ht="12.75" customHeight="1">
      <c r="A171" s="89" t="s">
        <v>166</v>
      </c>
      <c r="B171" s="90" t="s">
        <v>2216</v>
      </c>
      <c r="C171" s="936" t="s">
        <v>4648</v>
      </c>
      <c r="D171" s="90"/>
      <c r="E171" s="90"/>
      <c r="F171" s="90"/>
      <c r="G171" s="90"/>
      <c r="I171" s="79"/>
      <c r="J171" s="80"/>
      <c r="K171" s="80"/>
    </row>
    <row r="172" ht="12.75" customHeight="1">
      <c r="I172" s="79"/>
      <c r="J172" s="80"/>
      <c r="K172" s="80"/>
    </row>
    <row r="173" ht="12.75" customHeight="1">
      <c r="A173" s="89" t="s">
        <v>168</v>
      </c>
      <c r="B173" s="90" t="s">
        <v>3762</v>
      </c>
      <c r="C173" s="936" t="s">
        <v>4649</v>
      </c>
      <c r="D173" s="90"/>
      <c r="E173" s="90"/>
      <c r="F173" s="90"/>
      <c r="G173" s="90"/>
      <c r="H173" s="89" t="s">
        <v>40</v>
      </c>
      <c r="I173" s="91">
        <v>110.6</v>
      </c>
      <c r="J173" s="92">
        <v>12.93</v>
      </c>
      <c r="K173" s="92">
        <v>1430.06</v>
      </c>
    </row>
    <row r="174" ht="12.75" customHeight="1">
      <c r="I174" s="79"/>
      <c r="J174" s="80"/>
      <c r="K174" s="80"/>
    </row>
    <row r="175" ht="12.75" customHeight="1">
      <c r="A175" s="89" t="s">
        <v>170</v>
      </c>
      <c r="B175" s="90" t="s">
        <v>3763</v>
      </c>
      <c r="C175" s="936" t="s">
        <v>4650</v>
      </c>
      <c r="D175" s="90"/>
      <c r="E175" s="90"/>
      <c r="F175" s="90"/>
      <c r="G175" s="90"/>
      <c r="H175" s="89" t="s">
        <v>40</v>
      </c>
      <c r="I175" s="91">
        <v>319.19</v>
      </c>
      <c r="J175" s="92">
        <v>35.96</v>
      </c>
      <c r="K175" s="92">
        <v>11478.07</v>
      </c>
    </row>
    <row r="176" ht="12.75" customHeight="1">
      <c r="I176" s="79"/>
      <c r="J176" s="80"/>
      <c r="K176" s="80"/>
    </row>
    <row r="177" ht="12.75" customHeight="1">
      <c r="A177" s="89" t="s">
        <v>172</v>
      </c>
      <c r="B177" s="90" t="s">
        <v>3764</v>
      </c>
      <c r="C177" s="936" t="s">
        <v>4651</v>
      </c>
      <c r="D177" s="90"/>
      <c r="E177" s="90"/>
      <c r="F177" s="90"/>
      <c r="G177" s="90"/>
      <c r="H177" s="89" t="s">
        <v>40</v>
      </c>
      <c r="I177" s="91">
        <v>131.48</v>
      </c>
      <c r="J177" s="92">
        <v>75.0</v>
      </c>
      <c r="K177" s="92">
        <v>9861.0</v>
      </c>
    </row>
    <row r="178" ht="12.75" customHeight="1">
      <c r="I178" s="79"/>
      <c r="J178" s="80"/>
      <c r="K178" s="80"/>
    </row>
    <row r="179" ht="12.75" customHeight="1">
      <c r="A179" s="89" t="s">
        <v>174</v>
      </c>
      <c r="B179" s="90" t="s">
        <v>3765</v>
      </c>
      <c r="C179" s="936" t="s">
        <v>4652</v>
      </c>
      <c r="D179" s="90"/>
      <c r="E179" s="90"/>
      <c r="F179" s="90"/>
      <c r="G179" s="90"/>
      <c r="H179" s="89" t="s">
        <v>40</v>
      </c>
      <c r="I179" s="91">
        <v>106.79</v>
      </c>
      <c r="J179" s="92">
        <v>234.7</v>
      </c>
      <c r="K179" s="92">
        <v>25063.61</v>
      </c>
    </row>
    <row r="180" ht="12.75" customHeight="1">
      <c r="I180" s="79"/>
      <c r="J180" s="80"/>
      <c r="K180" s="80"/>
    </row>
    <row r="181" ht="12.75" customHeight="1">
      <c r="A181" s="89" t="s">
        <v>176</v>
      </c>
      <c r="B181" s="90" t="s">
        <v>3766</v>
      </c>
      <c r="C181" s="936" t="s">
        <v>4653</v>
      </c>
      <c r="D181" s="90"/>
      <c r="E181" s="90"/>
      <c r="F181" s="90"/>
      <c r="G181" s="90"/>
      <c r="H181" s="89" t="s">
        <v>40</v>
      </c>
      <c r="I181" s="91">
        <v>353.75</v>
      </c>
      <c r="J181" s="92">
        <v>31.79</v>
      </c>
      <c r="K181" s="92">
        <v>11245.71</v>
      </c>
    </row>
    <row r="182" ht="12.75" customHeight="1">
      <c r="I182" s="79"/>
      <c r="J182" s="80"/>
      <c r="K182" s="80"/>
    </row>
    <row r="183" ht="12.75" customHeight="1">
      <c r="A183" s="89" t="s">
        <v>178</v>
      </c>
      <c r="B183" s="90" t="s">
        <v>3767</v>
      </c>
      <c r="C183" s="936" t="s">
        <v>4654</v>
      </c>
      <c r="D183" s="90"/>
      <c r="E183" s="90"/>
      <c r="F183" s="90"/>
      <c r="G183" s="90"/>
      <c r="H183" s="89" t="s">
        <v>40</v>
      </c>
      <c r="I183" s="91">
        <v>34.56</v>
      </c>
      <c r="J183" s="92">
        <v>12.93</v>
      </c>
      <c r="K183" s="92">
        <v>446.86</v>
      </c>
    </row>
    <row r="184" ht="12.75" customHeight="1">
      <c r="I184" s="79"/>
      <c r="J184" s="80"/>
      <c r="K184" s="80"/>
    </row>
    <row r="185" ht="12.75" customHeight="1">
      <c r="A185" s="89" t="s">
        <v>180</v>
      </c>
      <c r="B185" s="90" t="s">
        <v>2224</v>
      </c>
      <c r="C185" s="936" t="s">
        <v>4655</v>
      </c>
      <c r="D185" s="90"/>
      <c r="E185" s="90"/>
      <c r="F185" s="90"/>
      <c r="G185" s="90"/>
      <c r="I185" s="79"/>
      <c r="J185" s="80"/>
      <c r="K185" s="80"/>
    </row>
    <row r="186" ht="12.75" customHeight="1">
      <c r="I186" s="79"/>
      <c r="J186" s="80"/>
      <c r="K186" s="80"/>
    </row>
    <row r="187" ht="12.75" customHeight="1">
      <c r="A187" s="89" t="s">
        <v>182</v>
      </c>
      <c r="B187" s="90" t="s">
        <v>3768</v>
      </c>
      <c r="C187" s="936" t="s">
        <v>4656</v>
      </c>
      <c r="D187" s="90"/>
      <c r="E187" s="90"/>
      <c r="F187" s="90"/>
      <c r="G187" s="90"/>
      <c r="H187" s="89" t="s">
        <v>40</v>
      </c>
      <c r="I187" s="91">
        <v>52.0</v>
      </c>
      <c r="J187" s="92">
        <v>12.93</v>
      </c>
      <c r="K187" s="92">
        <v>672.36</v>
      </c>
    </row>
    <row r="188" ht="12.75" customHeight="1">
      <c r="I188" s="79"/>
      <c r="J188" s="80"/>
      <c r="K188" s="80"/>
    </row>
    <row r="189" ht="12.75" customHeight="1">
      <c r="A189" s="89" t="s">
        <v>184</v>
      </c>
      <c r="B189" s="90" t="s">
        <v>3769</v>
      </c>
      <c r="C189" s="936" t="s">
        <v>4657</v>
      </c>
      <c r="D189" s="90"/>
      <c r="E189" s="90"/>
      <c r="F189" s="90"/>
      <c r="G189" s="90"/>
      <c r="H189" s="89" t="s">
        <v>40</v>
      </c>
      <c r="I189" s="91">
        <v>466.94</v>
      </c>
      <c r="J189" s="92">
        <v>19.4</v>
      </c>
      <c r="K189" s="92">
        <v>9058.64</v>
      </c>
    </row>
    <row r="190" ht="12.75" customHeight="1">
      <c r="I190" s="79"/>
      <c r="J190" s="80"/>
      <c r="K190" s="80"/>
    </row>
    <row r="191" ht="12.75" customHeight="1">
      <c r="A191" s="89" t="s">
        <v>186</v>
      </c>
      <c r="B191" s="90" t="s">
        <v>3770</v>
      </c>
      <c r="C191" s="936" t="s">
        <v>7999</v>
      </c>
      <c r="D191" s="90"/>
      <c r="E191" s="90"/>
      <c r="F191" s="90"/>
      <c r="G191" s="90"/>
      <c r="H191" s="89" t="s">
        <v>40</v>
      </c>
      <c r="I191" s="91">
        <v>81.43</v>
      </c>
      <c r="J191" s="92">
        <v>103.64</v>
      </c>
      <c r="K191" s="92">
        <v>8439.41</v>
      </c>
    </row>
    <row r="192" ht="12.75" customHeight="1">
      <c r="C192" s="936" t="s">
        <v>8000</v>
      </c>
      <c r="I192" s="79"/>
      <c r="J192" s="80"/>
      <c r="K192" s="80"/>
    </row>
    <row r="193" ht="12.75" customHeight="1">
      <c r="A193" s="89" t="s">
        <v>188</v>
      </c>
      <c r="B193" s="90" t="s">
        <v>3771</v>
      </c>
      <c r="D193" s="90"/>
      <c r="E193" s="90"/>
      <c r="F193" s="90"/>
      <c r="G193" s="90"/>
      <c r="H193" s="89" t="s">
        <v>40</v>
      </c>
      <c r="I193" s="91">
        <v>46.05</v>
      </c>
      <c r="J193" s="92">
        <v>118.58</v>
      </c>
      <c r="K193" s="92">
        <v>5460.61</v>
      </c>
    </row>
    <row r="194" ht="12.75" customHeight="1">
      <c r="C194" s="936" t="s">
        <v>4659</v>
      </c>
      <c r="I194" s="79"/>
      <c r="J194" s="80"/>
      <c r="K194" s="80"/>
    </row>
    <row r="195" ht="12.75" customHeight="1">
      <c r="A195" s="89" t="s">
        <v>190</v>
      </c>
      <c r="B195" s="90" t="s">
        <v>3772</v>
      </c>
      <c r="D195" s="90"/>
      <c r="E195" s="90"/>
      <c r="F195" s="90"/>
      <c r="G195" s="90"/>
      <c r="H195" s="89" t="s">
        <v>40</v>
      </c>
      <c r="I195" s="91">
        <v>50.7</v>
      </c>
      <c r="J195" s="92">
        <v>32.46</v>
      </c>
      <c r="K195" s="92">
        <v>1645.72</v>
      </c>
    </row>
    <row r="196" ht="12.75" customHeight="1">
      <c r="C196" s="936" t="s">
        <v>4660</v>
      </c>
      <c r="I196" s="79"/>
      <c r="J196" s="80"/>
      <c r="K196" s="80"/>
    </row>
    <row r="197" ht="12.75" customHeight="1">
      <c r="A197" s="89" t="s">
        <v>192</v>
      </c>
      <c r="B197" s="90" t="s">
        <v>3773</v>
      </c>
      <c r="D197" s="90"/>
      <c r="E197" s="90"/>
      <c r="F197" s="90"/>
      <c r="G197" s="90"/>
      <c r="H197" s="89" t="s">
        <v>40</v>
      </c>
      <c r="I197" s="91">
        <v>551.51</v>
      </c>
      <c r="J197" s="92">
        <v>10.34</v>
      </c>
      <c r="K197" s="92">
        <v>5702.61</v>
      </c>
    </row>
    <row r="198" ht="12.75" customHeight="1">
      <c r="C198" s="936" t="s">
        <v>4661</v>
      </c>
      <c r="I198" s="79"/>
      <c r="J198" s="80"/>
      <c r="K198" s="80"/>
    </row>
    <row r="199" ht="12.75" customHeight="1">
      <c r="A199" s="89" t="s">
        <v>194</v>
      </c>
      <c r="B199" s="90" t="s">
        <v>3774</v>
      </c>
      <c r="D199" s="90"/>
      <c r="E199" s="90"/>
      <c r="F199" s="90"/>
      <c r="G199" s="90"/>
      <c r="H199" s="89" t="s">
        <v>40</v>
      </c>
      <c r="I199" s="91">
        <v>21.34</v>
      </c>
      <c r="J199" s="92">
        <v>10.34</v>
      </c>
      <c r="K199" s="92">
        <v>220.66</v>
      </c>
    </row>
    <row r="200" ht="12.75" customHeight="1">
      <c r="C200" s="936" t="s">
        <v>4662</v>
      </c>
      <c r="I200" s="79"/>
      <c r="J200" s="80"/>
      <c r="K200" s="80"/>
    </row>
    <row r="201" ht="12.75" customHeight="1">
      <c r="A201" s="89" t="s">
        <v>164</v>
      </c>
      <c r="B201" s="90" t="s">
        <v>3761</v>
      </c>
      <c r="D201" s="90"/>
      <c r="E201" s="90"/>
      <c r="F201" s="90"/>
      <c r="G201" s="90"/>
      <c r="I201" s="79"/>
      <c r="J201" s="80"/>
      <c r="K201" s="92">
        <v>90725.32</v>
      </c>
    </row>
    <row r="202" ht="12.75" customHeight="1">
      <c r="C202" s="936" t="s">
        <v>4647</v>
      </c>
      <c r="I202" s="79"/>
      <c r="J202" s="80"/>
      <c r="K202" s="80"/>
    </row>
    <row r="203" ht="12.75" customHeight="1">
      <c r="I203" s="79"/>
      <c r="J203" s="80"/>
      <c r="K203" s="80"/>
    </row>
    <row r="204" ht="12.75" customHeight="1">
      <c r="A204" s="89" t="s">
        <v>196</v>
      </c>
      <c r="B204" s="90" t="s">
        <v>3775</v>
      </c>
      <c r="D204" s="90"/>
      <c r="E204" s="90"/>
      <c r="F204" s="90"/>
      <c r="G204" s="90"/>
      <c r="I204" s="79"/>
      <c r="J204" s="80"/>
      <c r="K204" s="80"/>
    </row>
    <row r="205" ht="12.75" customHeight="1">
      <c r="C205" s="936" t="s">
        <v>4663</v>
      </c>
      <c r="I205" s="79"/>
      <c r="J205" s="80"/>
      <c r="K205" s="80"/>
    </row>
    <row r="206" ht="12.75" customHeight="1">
      <c r="A206" s="89" t="s">
        <v>198</v>
      </c>
      <c r="B206" s="90" t="s">
        <v>2235</v>
      </c>
      <c r="D206" s="90"/>
      <c r="E206" s="90"/>
      <c r="F206" s="90"/>
      <c r="G206" s="90"/>
      <c r="I206" s="79"/>
      <c r="J206" s="80"/>
      <c r="K206" s="80"/>
    </row>
    <row r="207" ht="12.75" customHeight="1">
      <c r="C207" s="936" t="s">
        <v>4664</v>
      </c>
      <c r="I207" s="79"/>
      <c r="J207" s="80"/>
      <c r="K207" s="80"/>
    </row>
    <row r="208" ht="12.75" customHeight="1">
      <c r="A208" s="89" t="s">
        <v>200</v>
      </c>
      <c r="B208" s="90" t="s">
        <v>3776</v>
      </c>
      <c r="D208" s="90"/>
      <c r="E208" s="90"/>
      <c r="F208" s="90"/>
      <c r="G208" s="90"/>
      <c r="H208" s="89" t="s">
        <v>40</v>
      </c>
      <c r="I208" s="91">
        <v>228.22</v>
      </c>
      <c r="J208" s="92">
        <v>47.62</v>
      </c>
      <c r="K208" s="92">
        <v>10867.84</v>
      </c>
    </row>
    <row r="209" ht="12.75" customHeight="1">
      <c r="C209" s="936" t="s">
        <v>4665</v>
      </c>
      <c r="I209" s="79"/>
      <c r="J209" s="80"/>
      <c r="K209" s="80"/>
    </row>
    <row r="210" ht="12.75" customHeight="1">
      <c r="A210" s="89" t="s">
        <v>202</v>
      </c>
      <c r="B210" s="90" t="s">
        <v>3777</v>
      </c>
      <c r="D210" s="90"/>
      <c r="E210" s="90"/>
      <c r="F210" s="90"/>
      <c r="G210" s="90"/>
      <c r="H210" s="89" t="s">
        <v>40</v>
      </c>
      <c r="I210" s="91">
        <v>153.22</v>
      </c>
      <c r="J210" s="92">
        <v>26.74</v>
      </c>
      <c r="K210" s="92">
        <v>4097.1</v>
      </c>
    </row>
    <row r="211" ht="12.75" customHeight="1">
      <c r="C211" s="936" t="s">
        <v>4666</v>
      </c>
      <c r="I211" s="79"/>
      <c r="J211" s="80"/>
      <c r="K211" s="80"/>
    </row>
    <row r="212" ht="12.75" customHeight="1">
      <c r="A212" s="89" t="s">
        <v>204</v>
      </c>
      <c r="B212" s="90" t="s">
        <v>3778</v>
      </c>
      <c r="D212" s="90"/>
      <c r="E212" s="90"/>
      <c r="F212" s="90"/>
      <c r="G212" s="90"/>
      <c r="H212" s="89" t="s">
        <v>40</v>
      </c>
      <c r="I212" s="91">
        <v>50.95</v>
      </c>
      <c r="J212" s="92">
        <v>60.72</v>
      </c>
      <c r="K212" s="92">
        <v>3093.68</v>
      </c>
    </row>
    <row r="213" ht="12.75" customHeight="1">
      <c r="C213" s="936" t="s">
        <v>4667</v>
      </c>
      <c r="I213" s="79"/>
      <c r="J213" s="80"/>
      <c r="K213" s="80"/>
    </row>
    <row r="214" ht="12.75" customHeight="1">
      <c r="A214" s="89" t="s">
        <v>206</v>
      </c>
      <c r="B214" s="90" t="s">
        <v>3779</v>
      </c>
      <c r="D214" s="90"/>
      <c r="E214" s="90"/>
      <c r="F214" s="90"/>
      <c r="G214" s="90"/>
      <c r="I214" s="79"/>
      <c r="J214" s="80"/>
      <c r="K214" s="80"/>
    </row>
    <row r="215" ht="12.75" customHeight="1">
      <c r="C215" s="936" t="s">
        <v>4668</v>
      </c>
      <c r="I215" s="79"/>
      <c r="J215" s="80"/>
      <c r="K215" s="80"/>
    </row>
    <row r="216" ht="12.75" customHeight="1">
      <c r="A216" s="89" t="s">
        <v>208</v>
      </c>
      <c r="B216" s="90" t="s">
        <v>3780</v>
      </c>
      <c r="D216" s="90"/>
      <c r="E216" s="90"/>
      <c r="F216" s="90"/>
      <c r="G216" s="90"/>
      <c r="H216" s="89" t="s">
        <v>40</v>
      </c>
      <c r="I216" s="91">
        <v>1.27</v>
      </c>
      <c r="J216" s="92">
        <v>159.62</v>
      </c>
      <c r="K216" s="92">
        <v>202.72</v>
      </c>
    </row>
    <row r="217" ht="12.75" customHeight="1">
      <c r="C217" s="936" t="s">
        <v>4669</v>
      </c>
      <c r="I217" s="79"/>
      <c r="J217" s="80"/>
      <c r="K217" s="80"/>
    </row>
    <row r="218" ht="12.75" customHeight="1">
      <c r="A218" s="89" t="s">
        <v>210</v>
      </c>
      <c r="B218" s="90" t="s">
        <v>3781</v>
      </c>
      <c r="D218" s="90"/>
      <c r="E218" s="90"/>
      <c r="F218" s="90"/>
      <c r="G218" s="90"/>
      <c r="H218" s="89" t="s">
        <v>40</v>
      </c>
      <c r="I218" s="91">
        <v>5.38</v>
      </c>
      <c r="J218" s="92">
        <v>162.54</v>
      </c>
      <c r="K218" s="92">
        <v>874.47</v>
      </c>
    </row>
    <row r="219" ht="12.75" customHeight="1">
      <c r="C219" s="936" t="s">
        <v>4670</v>
      </c>
      <c r="I219" s="79"/>
      <c r="J219" s="80"/>
      <c r="K219" s="80"/>
    </row>
    <row r="220" ht="12.75" customHeight="1">
      <c r="A220" s="89" t="s">
        <v>212</v>
      </c>
      <c r="B220" s="90" t="s">
        <v>3782</v>
      </c>
      <c r="D220" s="90"/>
      <c r="E220" s="90"/>
      <c r="F220" s="90"/>
      <c r="G220" s="90"/>
      <c r="H220" s="89" t="s">
        <v>40</v>
      </c>
      <c r="I220" s="91">
        <v>5.54</v>
      </c>
      <c r="J220" s="92">
        <v>296.22</v>
      </c>
      <c r="K220" s="92">
        <v>1641.06</v>
      </c>
    </row>
    <row r="221" ht="12.75" customHeight="1">
      <c r="C221" s="936" t="s">
        <v>4671</v>
      </c>
      <c r="I221" s="79"/>
      <c r="J221" s="80"/>
      <c r="K221" s="80"/>
    </row>
    <row r="222" ht="12.75" customHeight="1">
      <c r="A222" s="89" t="s">
        <v>214</v>
      </c>
      <c r="B222" s="90" t="s">
        <v>3783</v>
      </c>
      <c r="D222" s="90"/>
      <c r="E222" s="90"/>
      <c r="F222" s="90"/>
      <c r="G222" s="90"/>
      <c r="H222" s="89" t="s">
        <v>40</v>
      </c>
      <c r="I222" s="91">
        <v>116.49</v>
      </c>
      <c r="J222" s="92">
        <v>80.74</v>
      </c>
      <c r="K222" s="92">
        <v>9405.4</v>
      </c>
    </row>
    <row r="223" ht="12.75" customHeight="1">
      <c r="C223" s="936" t="s">
        <v>4672</v>
      </c>
      <c r="I223" s="79"/>
      <c r="J223" s="80"/>
      <c r="K223" s="80"/>
    </row>
    <row r="224" ht="12.75" customHeight="1">
      <c r="A224" s="89" t="s">
        <v>216</v>
      </c>
      <c r="B224" s="90" t="s">
        <v>3784</v>
      </c>
      <c r="D224" s="90"/>
      <c r="E224" s="90"/>
      <c r="F224" s="90"/>
      <c r="G224" s="90"/>
      <c r="H224" s="89" t="s">
        <v>40</v>
      </c>
      <c r="I224" s="91">
        <v>50.0</v>
      </c>
      <c r="J224" s="92">
        <v>151.87</v>
      </c>
      <c r="K224" s="92">
        <v>7593.5</v>
      </c>
    </row>
    <row r="225" ht="12.75" customHeight="1">
      <c r="C225" s="936" t="s">
        <v>4673</v>
      </c>
      <c r="I225" s="79"/>
      <c r="J225" s="80"/>
      <c r="K225" s="80"/>
    </row>
    <row r="226" ht="12.75" customHeight="1">
      <c r="A226" s="89" t="s">
        <v>218</v>
      </c>
      <c r="B226" s="90" t="s">
        <v>3785</v>
      </c>
      <c r="D226" s="90"/>
      <c r="E226" s="90"/>
      <c r="F226" s="90"/>
      <c r="G226" s="90"/>
      <c r="H226" s="89" t="s">
        <v>40</v>
      </c>
      <c r="I226" s="91">
        <v>5.75</v>
      </c>
      <c r="J226" s="92">
        <v>30.57</v>
      </c>
      <c r="K226" s="92">
        <v>175.78</v>
      </c>
    </row>
    <row r="227" ht="12.75" customHeight="1">
      <c r="C227" s="936" t="s">
        <v>4674</v>
      </c>
      <c r="I227" s="79"/>
      <c r="J227" s="80"/>
      <c r="K227" s="80"/>
    </row>
    <row r="228" ht="12.75" customHeight="1">
      <c r="A228" s="89" t="s">
        <v>220</v>
      </c>
      <c r="B228" s="90" t="s">
        <v>3786</v>
      </c>
      <c r="D228" s="90"/>
      <c r="E228" s="90"/>
      <c r="F228" s="90"/>
      <c r="G228" s="90"/>
      <c r="H228" s="89" t="s">
        <v>40</v>
      </c>
      <c r="I228" s="91">
        <v>17.54</v>
      </c>
      <c r="J228" s="92">
        <v>16.3</v>
      </c>
      <c r="K228" s="92">
        <v>285.9</v>
      </c>
    </row>
    <row r="229" ht="12.75" customHeight="1">
      <c r="C229" s="936" t="s">
        <v>4675</v>
      </c>
      <c r="I229" s="79"/>
      <c r="J229" s="80"/>
      <c r="K229" s="80"/>
    </row>
    <row r="230" ht="12.75" customHeight="1">
      <c r="A230" s="89" t="s">
        <v>222</v>
      </c>
      <c r="B230" s="90" t="s">
        <v>3787</v>
      </c>
      <c r="D230" s="90"/>
      <c r="E230" s="90"/>
      <c r="F230" s="90"/>
      <c r="G230" s="90"/>
      <c r="H230" s="89" t="s">
        <v>40</v>
      </c>
      <c r="I230" s="91">
        <v>200.6</v>
      </c>
      <c r="J230" s="92">
        <v>176.77</v>
      </c>
      <c r="K230" s="92">
        <v>35460.06</v>
      </c>
    </row>
    <row r="231" ht="12.75" customHeight="1">
      <c r="C231" s="936" t="s">
        <v>4676</v>
      </c>
      <c r="I231" s="79"/>
      <c r="J231" s="80"/>
      <c r="K231" s="80"/>
    </row>
    <row r="232" ht="12.75" customHeight="1">
      <c r="A232" s="89" t="s">
        <v>225</v>
      </c>
      <c r="B232" s="90" t="s">
        <v>3788</v>
      </c>
      <c r="D232" s="90"/>
      <c r="E232" s="90"/>
      <c r="F232" s="90"/>
      <c r="G232" s="90"/>
      <c r="H232" s="89" t="s">
        <v>227</v>
      </c>
      <c r="I232" s="91">
        <v>1.0</v>
      </c>
      <c r="J232" s="92">
        <v>1477.41</v>
      </c>
      <c r="K232" s="92">
        <v>1477.41</v>
      </c>
    </row>
    <row r="233" ht="12.75" customHeight="1">
      <c r="C233" s="936" t="s">
        <v>4677</v>
      </c>
      <c r="I233" s="79"/>
      <c r="J233" s="80"/>
      <c r="K233" s="80"/>
    </row>
    <row r="234" ht="12.75" customHeight="1">
      <c r="A234" s="89" t="s">
        <v>228</v>
      </c>
      <c r="B234" s="90" t="s">
        <v>3789</v>
      </c>
      <c r="D234" s="90"/>
      <c r="E234" s="90"/>
      <c r="F234" s="90"/>
      <c r="G234" s="90"/>
      <c r="H234" s="89" t="s">
        <v>227</v>
      </c>
      <c r="I234" s="91">
        <v>1.0</v>
      </c>
      <c r="J234" s="92">
        <v>3438.08</v>
      </c>
      <c r="K234" s="92">
        <v>3438.08</v>
      </c>
    </row>
    <row r="235" ht="12.75" customHeight="1">
      <c r="C235" s="936" t="s">
        <v>4678</v>
      </c>
      <c r="I235" s="79"/>
      <c r="J235" s="80"/>
      <c r="K235" s="80"/>
    </row>
    <row r="236" ht="12.75" customHeight="1">
      <c r="A236" s="89" t="s">
        <v>230</v>
      </c>
      <c r="B236" s="90" t="s">
        <v>2254</v>
      </c>
      <c r="D236" s="90"/>
      <c r="E236" s="90"/>
      <c r="F236" s="90"/>
      <c r="G236" s="90"/>
      <c r="I236" s="79"/>
      <c r="J236" s="80"/>
      <c r="K236" s="80"/>
    </row>
    <row r="237" ht="12.75" customHeight="1">
      <c r="C237" s="936" t="s">
        <v>4679</v>
      </c>
      <c r="I237" s="79"/>
      <c r="J237" s="80"/>
      <c r="K237" s="80"/>
    </row>
    <row r="238" ht="12.75" customHeight="1">
      <c r="A238" s="89" t="s">
        <v>232</v>
      </c>
      <c r="B238" s="90" t="s">
        <v>3790</v>
      </c>
      <c r="D238" s="90"/>
      <c r="E238" s="90"/>
      <c r="F238" s="90"/>
      <c r="G238" s="90"/>
      <c r="H238" s="89" t="s">
        <v>40</v>
      </c>
      <c r="I238" s="91">
        <v>277.52</v>
      </c>
      <c r="J238" s="92">
        <v>12.93</v>
      </c>
      <c r="K238" s="92">
        <v>3588.33</v>
      </c>
    </row>
    <row r="239" ht="12.75" customHeight="1">
      <c r="C239" s="936" t="s">
        <v>8001</v>
      </c>
      <c r="I239" s="79"/>
      <c r="J239" s="80"/>
      <c r="K239" s="80"/>
    </row>
    <row r="240" ht="12.75" customHeight="1">
      <c r="A240" s="89" t="s">
        <v>234</v>
      </c>
      <c r="B240" s="90" t="s">
        <v>3791</v>
      </c>
      <c r="C240" s="936" t="s">
        <v>8002</v>
      </c>
      <c r="D240" s="90"/>
      <c r="E240" s="90"/>
      <c r="F240" s="90"/>
      <c r="G240" s="90"/>
      <c r="H240" s="89" t="s">
        <v>40</v>
      </c>
      <c r="I240" s="91">
        <v>239.8</v>
      </c>
      <c r="J240" s="92">
        <v>155.17</v>
      </c>
      <c r="K240" s="92">
        <v>37209.77</v>
      </c>
    </row>
    <row r="241" ht="12.75" customHeight="1">
      <c r="I241" s="79"/>
      <c r="J241" s="80"/>
      <c r="K241" s="80"/>
    </row>
    <row r="242" ht="12.75" customHeight="1">
      <c r="A242" s="89" t="s">
        <v>236</v>
      </c>
      <c r="B242" s="90" t="s">
        <v>3792</v>
      </c>
      <c r="C242" s="936" t="s">
        <v>4681</v>
      </c>
      <c r="D242" s="90"/>
      <c r="E242" s="90"/>
      <c r="F242" s="90"/>
      <c r="G242" s="90"/>
      <c r="H242" s="89" t="s">
        <v>40</v>
      </c>
      <c r="I242" s="91">
        <v>16.81</v>
      </c>
      <c r="J242" s="92">
        <v>55.57</v>
      </c>
      <c r="K242" s="92">
        <v>934.13</v>
      </c>
    </row>
    <row r="243" ht="12.75" customHeight="1">
      <c r="I243" s="79"/>
      <c r="J243" s="80"/>
      <c r="K243" s="80"/>
    </row>
    <row r="244" ht="12.75" customHeight="1">
      <c r="A244" s="89" t="s">
        <v>238</v>
      </c>
      <c r="B244" s="90" t="s">
        <v>3793</v>
      </c>
      <c r="C244" s="936" t="s">
        <v>4682</v>
      </c>
      <c r="D244" s="90"/>
      <c r="E244" s="90"/>
      <c r="F244" s="90"/>
      <c r="G244" s="90"/>
      <c r="H244" s="89" t="s">
        <v>40</v>
      </c>
      <c r="I244" s="91">
        <v>29.1</v>
      </c>
      <c r="J244" s="92">
        <v>55.57</v>
      </c>
      <c r="K244" s="92">
        <v>1617.09</v>
      </c>
    </row>
    <row r="245" ht="12.75" customHeight="1">
      <c r="I245" s="79"/>
      <c r="J245" s="80"/>
      <c r="K245" s="80"/>
    </row>
    <row r="246" ht="12.75" customHeight="1">
      <c r="A246" s="89" t="s">
        <v>240</v>
      </c>
      <c r="B246" s="90" t="s">
        <v>2261</v>
      </c>
      <c r="C246" s="936" t="s">
        <v>4683</v>
      </c>
      <c r="D246" s="90"/>
      <c r="E246" s="90"/>
      <c r="F246" s="90"/>
      <c r="G246" s="90"/>
      <c r="I246" s="79"/>
      <c r="J246" s="80"/>
      <c r="K246" s="80"/>
    </row>
    <row r="247" ht="12.75" customHeight="1">
      <c r="I247" s="79"/>
      <c r="J247" s="80"/>
      <c r="K247" s="80"/>
    </row>
    <row r="248" ht="12.75" customHeight="1">
      <c r="A248" s="89" t="s">
        <v>242</v>
      </c>
      <c r="B248" s="90" t="s">
        <v>3794</v>
      </c>
      <c r="C248" s="936" t="s">
        <v>4684</v>
      </c>
      <c r="D248" s="90"/>
      <c r="E248" s="90"/>
      <c r="F248" s="90"/>
      <c r="G248" s="90"/>
      <c r="H248" s="89" t="s">
        <v>161</v>
      </c>
      <c r="I248" s="91">
        <v>130.01</v>
      </c>
      <c r="J248" s="92">
        <v>29.09</v>
      </c>
      <c r="K248" s="92">
        <v>3781.99</v>
      </c>
    </row>
    <row r="249" ht="12.75" customHeight="1">
      <c r="I249" s="79"/>
      <c r="J249" s="80"/>
      <c r="K249" s="80"/>
    </row>
    <row r="250" ht="12.75" customHeight="1">
      <c r="A250" s="89" t="s">
        <v>196</v>
      </c>
      <c r="B250" s="90" t="s">
        <v>3775</v>
      </c>
      <c r="C250" s="936" t="s">
        <v>4685</v>
      </c>
      <c r="D250" s="90"/>
      <c r="E250" s="90"/>
      <c r="F250" s="90"/>
      <c r="G250" s="90"/>
      <c r="I250" s="79"/>
      <c r="J250" s="80"/>
      <c r="K250" s="92">
        <v>125744.31</v>
      </c>
    </row>
    <row r="251" ht="12.75" customHeight="1">
      <c r="I251" s="79"/>
      <c r="J251" s="80"/>
      <c r="K251" s="80"/>
    </row>
    <row r="252" ht="12.75" customHeight="1">
      <c r="C252" s="936" t="s">
        <v>4663</v>
      </c>
      <c r="I252" s="79"/>
      <c r="J252" s="80"/>
      <c r="K252" s="80"/>
    </row>
    <row r="253" ht="12.75" customHeight="1">
      <c r="A253" s="89" t="s">
        <v>244</v>
      </c>
      <c r="B253" s="90" t="s">
        <v>2409</v>
      </c>
      <c r="D253" s="90"/>
      <c r="E253" s="90"/>
      <c r="F253" s="90"/>
      <c r="G253" s="90"/>
      <c r="I253" s="79"/>
      <c r="J253" s="80"/>
      <c r="K253" s="80"/>
    </row>
    <row r="254" ht="12.75" customHeight="1">
      <c r="I254" s="79"/>
      <c r="J254" s="80"/>
      <c r="K254" s="80"/>
    </row>
    <row r="255" ht="12.75" customHeight="1">
      <c r="A255" s="89" t="s">
        <v>246</v>
      </c>
      <c r="B255" s="90" t="s">
        <v>2410</v>
      </c>
      <c r="C255" s="936" t="s">
        <v>4686</v>
      </c>
      <c r="D255" s="90"/>
      <c r="E255" s="90"/>
      <c r="F255" s="90"/>
      <c r="G255" s="90"/>
      <c r="I255" s="79"/>
      <c r="J255" s="80"/>
      <c r="K255" s="80"/>
    </row>
    <row r="256" ht="12.75" customHeight="1">
      <c r="I256" s="79"/>
      <c r="J256" s="80"/>
      <c r="K256" s="80"/>
    </row>
    <row r="257" ht="12.75" customHeight="1">
      <c r="A257" s="89" t="s">
        <v>248</v>
      </c>
      <c r="B257" s="90" t="s">
        <v>3795</v>
      </c>
      <c r="C257" s="936" t="s">
        <v>4687</v>
      </c>
      <c r="D257" s="90"/>
      <c r="E257" s="90"/>
      <c r="F257" s="90"/>
      <c r="G257" s="90"/>
      <c r="I257" s="79"/>
      <c r="J257" s="80"/>
      <c r="K257" s="80"/>
    </row>
    <row r="258" ht="12.75" customHeight="1">
      <c r="I258" s="79"/>
      <c r="J258" s="80"/>
      <c r="K258" s="80"/>
    </row>
    <row r="259" ht="12.75" customHeight="1">
      <c r="A259" s="89" t="s">
        <v>251</v>
      </c>
      <c r="B259" s="90" t="s">
        <v>3796</v>
      </c>
      <c r="C259" s="936" t="s">
        <v>4688</v>
      </c>
      <c r="D259" s="90"/>
      <c r="E259" s="90"/>
      <c r="F259" s="90"/>
      <c r="G259" s="90"/>
      <c r="H259" s="89" t="s">
        <v>75</v>
      </c>
      <c r="I259" s="91">
        <v>1.0</v>
      </c>
      <c r="J259" s="92">
        <v>1293.1</v>
      </c>
      <c r="K259" s="92">
        <v>1293.1</v>
      </c>
    </row>
    <row r="260" ht="12.75" customHeight="1">
      <c r="I260" s="79"/>
      <c r="J260" s="80"/>
      <c r="K260" s="80"/>
    </row>
    <row r="261" ht="12.75" customHeight="1">
      <c r="A261" s="89" t="s">
        <v>253</v>
      </c>
      <c r="B261" s="90" t="s">
        <v>3797</v>
      </c>
      <c r="C261" s="936" t="s">
        <v>4689</v>
      </c>
      <c r="D261" s="90"/>
      <c r="E261" s="90"/>
      <c r="F261" s="90"/>
      <c r="G261" s="90"/>
      <c r="H261" s="89" t="s">
        <v>75</v>
      </c>
      <c r="I261" s="91">
        <v>1.0</v>
      </c>
      <c r="J261" s="92">
        <v>1293.1</v>
      </c>
      <c r="K261" s="92">
        <v>1293.1</v>
      </c>
    </row>
    <row r="262" ht="12.75" customHeight="1">
      <c r="I262" s="79"/>
      <c r="J262" s="80"/>
      <c r="K262" s="80"/>
    </row>
    <row r="263" ht="12.75" customHeight="1">
      <c r="A263" s="89" t="s">
        <v>255</v>
      </c>
      <c r="B263" s="90" t="s">
        <v>3798</v>
      </c>
      <c r="C263" s="936" t="s">
        <v>4690</v>
      </c>
      <c r="D263" s="90"/>
      <c r="E263" s="90"/>
      <c r="F263" s="90"/>
      <c r="G263" s="90"/>
      <c r="H263" s="89" t="s">
        <v>75</v>
      </c>
      <c r="I263" s="91">
        <v>1.0</v>
      </c>
      <c r="J263" s="92">
        <v>1293.1</v>
      </c>
      <c r="K263" s="92">
        <v>1293.1</v>
      </c>
    </row>
    <row r="264" ht="12.75" customHeight="1">
      <c r="I264" s="79"/>
      <c r="J264" s="80"/>
      <c r="K264" s="80"/>
    </row>
    <row r="265" ht="12.75" customHeight="1">
      <c r="A265" s="89" t="s">
        <v>257</v>
      </c>
      <c r="B265" s="90" t="s">
        <v>3799</v>
      </c>
      <c r="C265" s="936" t="s">
        <v>4691</v>
      </c>
      <c r="D265" s="90"/>
      <c r="E265" s="90"/>
      <c r="F265" s="90"/>
      <c r="G265" s="90"/>
      <c r="H265" s="89" t="s">
        <v>75</v>
      </c>
      <c r="I265" s="91">
        <v>1.0</v>
      </c>
      <c r="J265" s="92">
        <v>1293.1</v>
      </c>
      <c r="K265" s="92">
        <v>1293.1</v>
      </c>
    </row>
    <row r="266" ht="12.75" customHeight="1">
      <c r="I266" s="79"/>
      <c r="J266" s="80"/>
      <c r="K266" s="80"/>
    </row>
    <row r="267" ht="12.75" customHeight="1">
      <c r="A267" s="89" t="s">
        <v>259</v>
      </c>
      <c r="B267" s="90" t="s">
        <v>3800</v>
      </c>
      <c r="C267" s="936" t="s">
        <v>4692</v>
      </c>
      <c r="D267" s="90"/>
      <c r="E267" s="90"/>
      <c r="F267" s="90"/>
      <c r="G267" s="90"/>
      <c r="I267" s="79"/>
      <c r="J267" s="80"/>
      <c r="K267" s="80"/>
    </row>
    <row r="268" ht="12.75" customHeight="1">
      <c r="I268" s="79"/>
      <c r="J268" s="80"/>
      <c r="K268" s="80"/>
    </row>
    <row r="269" ht="12.75" customHeight="1">
      <c r="A269" s="89" t="s">
        <v>261</v>
      </c>
      <c r="B269" s="90" t="s">
        <v>3801</v>
      </c>
      <c r="C269" s="936" t="s">
        <v>4693</v>
      </c>
      <c r="D269" s="90"/>
      <c r="E269" s="90"/>
      <c r="F269" s="90"/>
      <c r="G269" s="90"/>
      <c r="H269" s="89" t="s">
        <v>75</v>
      </c>
      <c r="I269" s="91">
        <v>1.0</v>
      </c>
      <c r="J269" s="92">
        <v>1487.07</v>
      </c>
      <c r="K269" s="92">
        <v>1487.07</v>
      </c>
    </row>
    <row r="270" ht="12.75" customHeight="1">
      <c r="I270" s="79"/>
      <c r="J270" s="80"/>
      <c r="K270" s="80"/>
    </row>
    <row r="271" ht="12.75" customHeight="1">
      <c r="A271" s="89" t="s">
        <v>263</v>
      </c>
      <c r="B271" s="90" t="s">
        <v>3802</v>
      </c>
      <c r="C271" s="936" t="s">
        <v>4694</v>
      </c>
      <c r="D271" s="90"/>
      <c r="E271" s="90"/>
      <c r="F271" s="90"/>
      <c r="G271" s="90"/>
      <c r="H271" s="89" t="s">
        <v>75</v>
      </c>
      <c r="I271" s="91">
        <v>1.0</v>
      </c>
      <c r="J271" s="92">
        <v>1487.07</v>
      </c>
      <c r="K271" s="92">
        <v>1487.07</v>
      </c>
    </row>
    <row r="272" ht="12.75" customHeight="1">
      <c r="I272" s="79"/>
      <c r="J272" s="80"/>
      <c r="K272" s="80"/>
    </row>
    <row r="273" ht="12.75" customHeight="1">
      <c r="A273" s="89" t="s">
        <v>265</v>
      </c>
      <c r="B273" s="90" t="s">
        <v>3803</v>
      </c>
      <c r="C273" s="936" t="s">
        <v>4695</v>
      </c>
      <c r="D273" s="90"/>
      <c r="E273" s="90"/>
      <c r="F273" s="90"/>
      <c r="G273" s="90"/>
      <c r="H273" s="89" t="s">
        <v>75</v>
      </c>
      <c r="I273" s="91">
        <v>1.0</v>
      </c>
      <c r="J273" s="92">
        <v>1487.07</v>
      </c>
      <c r="K273" s="92">
        <v>1487.07</v>
      </c>
    </row>
    <row r="274" ht="12.75" customHeight="1">
      <c r="I274" s="79"/>
      <c r="J274" s="80"/>
      <c r="K274" s="80"/>
    </row>
    <row r="275" ht="12.75" customHeight="1">
      <c r="A275" s="89" t="s">
        <v>267</v>
      </c>
      <c r="B275" s="90" t="s">
        <v>3804</v>
      </c>
      <c r="C275" s="936" t="s">
        <v>4696</v>
      </c>
      <c r="D275" s="90"/>
      <c r="E275" s="90"/>
      <c r="F275" s="90"/>
      <c r="G275" s="90"/>
      <c r="H275" s="89" t="s">
        <v>75</v>
      </c>
      <c r="I275" s="91">
        <v>1.0</v>
      </c>
      <c r="J275" s="92">
        <v>1487.07</v>
      </c>
      <c r="K275" s="92">
        <v>1487.07</v>
      </c>
    </row>
    <row r="276" ht="12.75" customHeight="1">
      <c r="I276" s="79"/>
      <c r="J276" s="80"/>
      <c r="K276" s="80"/>
    </row>
    <row r="277" ht="12.75" customHeight="1">
      <c r="A277" s="89" t="s">
        <v>269</v>
      </c>
      <c r="B277" s="90" t="s">
        <v>3805</v>
      </c>
      <c r="C277" s="936" t="s">
        <v>4697</v>
      </c>
      <c r="D277" s="90"/>
      <c r="E277" s="90"/>
      <c r="F277" s="90"/>
      <c r="G277" s="90"/>
      <c r="H277" s="89" t="s">
        <v>75</v>
      </c>
      <c r="I277" s="91">
        <v>1.0</v>
      </c>
      <c r="J277" s="92">
        <v>1487.07</v>
      </c>
      <c r="K277" s="92">
        <v>1487.07</v>
      </c>
    </row>
    <row r="278" ht="12.75" customHeight="1">
      <c r="I278" s="79"/>
      <c r="J278" s="80"/>
      <c r="K278" s="80"/>
    </row>
    <row r="279" ht="12.75" customHeight="1">
      <c r="A279" s="89" t="s">
        <v>271</v>
      </c>
      <c r="B279" s="90" t="s">
        <v>3806</v>
      </c>
      <c r="C279" s="936" t="s">
        <v>4698</v>
      </c>
      <c r="D279" s="90"/>
      <c r="E279" s="90"/>
      <c r="F279" s="90"/>
      <c r="G279" s="90"/>
      <c r="I279" s="79"/>
      <c r="J279" s="80"/>
      <c r="K279" s="80"/>
    </row>
    <row r="280" ht="12.75" customHeight="1">
      <c r="I280" s="79"/>
      <c r="J280" s="80"/>
      <c r="K280" s="80"/>
    </row>
    <row r="281" ht="12.75" customHeight="1">
      <c r="A281" s="89" t="s">
        <v>273</v>
      </c>
      <c r="B281" s="90" t="s">
        <v>3807</v>
      </c>
      <c r="C281" s="936" t="s">
        <v>4699</v>
      </c>
      <c r="D281" s="90"/>
      <c r="E281" s="90"/>
      <c r="F281" s="90"/>
      <c r="G281" s="90"/>
      <c r="H281" s="89" t="s">
        <v>75</v>
      </c>
      <c r="I281" s="91">
        <v>1.0</v>
      </c>
      <c r="J281" s="92">
        <v>1681.03</v>
      </c>
      <c r="K281" s="92">
        <v>1681.03</v>
      </c>
    </row>
    <row r="282" ht="12.75" customHeight="1">
      <c r="I282" s="79"/>
      <c r="J282" s="80"/>
      <c r="K282" s="80"/>
    </row>
    <row r="283" ht="12.75" customHeight="1">
      <c r="A283" s="89" t="s">
        <v>275</v>
      </c>
      <c r="B283" s="90" t="s">
        <v>3808</v>
      </c>
      <c r="C283" s="936" t="s">
        <v>4700</v>
      </c>
      <c r="D283" s="90"/>
      <c r="E283" s="90"/>
      <c r="F283" s="90"/>
      <c r="G283" s="90"/>
      <c r="I283" s="79"/>
      <c r="J283" s="80"/>
      <c r="K283" s="80"/>
    </row>
    <row r="284" ht="12.75" customHeight="1">
      <c r="I284" s="79"/>
      <c r="J284" s="80"/>
      <c r="K284" s="80"/>
    </row>
    <row r="285" ht="12.75" customHeight="1">
      <c r="A285" s="89" t="s">
        <v>277</v>
      </c>
      <c r="B285" s="90" t="s">
        <v>3809</v>
      </c>
      <c r="C285" s="936" t="s">
        <v>4701</v>
      </c>
      <c r="D285" s="90"/>
      <c r="E285" s="90"/>
      <c r="F285" s="90"/>
      <c r="G285" s="90"/>
      <c r="I285" s="79"/>
      <c r="J285" s="80"/>
      <c r="K285" s="80"/>
    </row>
    <row r="286" ht="12.75" customHeight="1">
      <c r="I286" s="79"/>
      <c r="J286" s="80"/>
      <c r="K286" s="80"/>
    </row>
    <row r="287" ht="12.75" customHeight="1">
      <c r="A287" s="89" t="s">
        <v>279</v>
      </c>
      <c r="B287" s="90" t="s">
        <v>3810</v>
      </c>
      <c r="C287" s="936" t="s">
        <v>4702</v>
      </c>
      <c r="D287" s="90"/>
      <c r="E287" s="90"/>
      <c r="F287" s="90"/>
      <c r="G287" s="90"/>
      <c r="H287" s="89" t="s">
        <v>75</v>
      </c>
      <c r="I287" s="91">
        <v>1.0</v>
      </c>
      <c r="J287" s="92">
        <v>1293.1</v>
      </c>
      <c r="K287" s="92">
        <v>1293.1</v>
      </c>
    </row>
    <row r="288" ht="12.75" customHeight="1">
      <c r="I288" s="79"/>
      <c r="J288" s="80"/>
      <c r="K288" s="80"/>
    </row>
    <row r="289" ht="12.75" customHeight="1">
      <c r="A289" s="89" t="s">
        <v>281</v>
      </c>
      <c r="B289" s="90" t="s">
        <v>3811</v>
      </c>
      <c r="C289" s="936" t="s">
        <v>4703</v>
      </c>
      <c r="D289" s="90"/>
      <c r="E289" s="90"/>
      <c r="F289" s="90"/>
      <c r="G289" s="90"/>
      <c r="I289" s="79"/>
      <c r="J289" s="80"/>
      <c r="K289" s="80"/>
    </row>
    <row r="290" ht="12.75" customHeight="1">
      <c r="I290" s="79"/>
      <c r="J290" s="80"/>
      <c r="K290" s="80"/>
    </row>
    <row r="291" ht="12.75" customHeight="1">
      <c r="A291" s="89" t="s">
        <v>283</v>
      </c>
      <c r="B291" s="90" t="s">
        <v>3812</v>
      </c>
      <c r="C291" s="936" t="s">
        <v>4704</v>
      </c>
      <c r="D291" s="90"/>
      <c r="E291" s="90"/>
      <c r="F291" s="90"/>
      <c r="G291" s="90"/>
      <c r="H291" s="89" t="s">
        <v>75</v>
      </c>
      <c r="I291" s="91">
        <v>1.0</v>
      </c>
      <c r="J291" s="92">
        <v>1616.38</v>
      </c>
      <c r="K291" s="92">
        <v>1616.38</v>
      </c>
    </row>
    <row r="292" ht="12.75" customHeight="1">
      <c r="I292" s="79"/>
      <c r="J292" s="80"/>
      <c r="K292" s="80"/>
    </row>
    <row r="293" ht="12.75" customHeight="1">
      <c r="A293" s="89" t="s">
        <v>285</v>
      </c>
      <c r="B293" s="90" t="s">
        <v>3813</v>
      </c>
      <c r="C293" s="936" t="s">
        <v>4705</v>
      </c>
      <c r="D293" s="90"/>
      <c r="E293" s="90"/>
      <c r="F293" s="90"/>
      <c r="G293" s="90"/>
      <c r="I293" s="79"/>
      <c r="J293" s="80"/>
      <c r="K293" s="80"/>
    </row>
    <row r="294" ht="12.75" customHeight="1">
      <c r="I294" s="79"/>
      <c r="J294" s="80"/>
      <c r="K294" s="80"/>
    </row>
    <row r="295" ht="12.75" customHeight="1">
      <c r="A295" s="89" t="s">
        <v>287</v>
      </c>
      <c r="B295" s="90" t="s">
        <v>3814</v>
      </c>
      <c r="C295" s="936" t="s">
        <v>4706</v>
      </c>
      <c r="D295" s="90"/>
      <c r="E295" s="90"/>
      <c r="F295" s="90"/>
      <c r="G295" s="90"/>
      <c r="H295" s="89" t="s">
        <v>75</v>
      </c>
      <c r="I295" s="91">
        <v>1.0</v>
      </c>
      <c r="J295" s="92">
        <v>1616.38</v>
      </c>
      <c r="K295" s="92">
        <v>1616.38</v>
      </c>
    </row>
    <row r="296" ht="12.75" customHeight="1">
      <c r="I296" s="79"/>
      <c r="J296" s="80"/>
      <c r="K296" s="80"/>
    </row>
    <row r="297" ht="12.75" customHeight="1">
      <c r="A297" s="89" t="s">
        <v>289</v>
      </c>
      <c r="B297" s="90" t="s">
        <v>3815</v>
      </c>
      <c r="C297" s="936" t="s">
        <v>4707</v>
      </c>
      <c r="D297" s="90"/>
      <c r="E297" s="90"/>
      <c r="F297" s="90"/>
      <c r="G297" s="90"/>
      <c r="I297" s="79"/>
      <c r="J297" s="80"/>
      <c r="K297" s="80"/>
    </row>
    <row r="298" ht="12.75" customHeight="1">
      <c r="I298" s="79"/>
      <c r="J298" s="80"/>
      <c r="K298" s="80"/>
    </row>
    <row r="299" ht="12.75" customHeight="1">
      <c r="A299" s="89" t="s">
        <v>291</v>
      </c>
      <c r="B299" s="90" t="s">
        <v>3816</v>
      </c>
      <c r="C299" s="936" t="s">
        <v>4708</v>
      </c>
      <c r="D299" s="90"/>
      <c r="E299" s="90"/>
      <c r="F299" s="90"/>
      <c r="G299" s="90"/>
      <c r="H299" s="89" t="s">
        <v>75</v>
      </c>
      <c r="I299" s="91">
        <v>1.0</v>
      </c>
      <c r="J299" s="92">
        <v>1260.77</v>
      </c>
      <c r="K299" s="92">
        <v>1260.77</v>
      </c>
    </row>
    <row r="300" ht="12.75" customHeight="1">
      <c r="I300" s="79"/>
      <c r="J300" s="80"/>
      <c r="K300" s="80"/>
    </row>
    <row r="301" ht="12.75" customHeight="1">
      <c r="A301" s="89" t="s">
        <v>293</v>
      </c>
      <c r="B301" s="90" t="s">
        <v>3817</v>
      </c>
      <c r="C301" s="936" t="s">
        <v>4709</v>
      </c>
      <c r="D301" s="90"/>
      <c r="E301" s="90"/>
      <c r="F301" s="90"/>
      <c r="G301" s="90"/>
      <c r="H301" s="89" t="s">
        <v>75</v>
      </c>
      <c r="I301" s="91">
        <v>1.0</v>
      </c>
      <c r="J301" s="92">
        <v>1260.77</v>
      </c>
      <c r="K301" s="92">
        <v>1260.77</v>
      </c>
    </row>
    <row r="302" ht="12.75" customHeight="1">
      <c r="I302" s="79"/>
      <c r="J302" s="80"/>
      <c r="K302" s="80"/>
    </row>
    <row r="303" ht="12.75" customHeight="1">
      <c r="A303" s="89" t="s">
        <v>295</v>
      </c>
      <c r="B303" s="90" t="s">
        <v>2449</v>
      </c>
      <c r="C303" s="936" t="s">
        <v>4710</v>
      </c>
      <c r="D303" s="90"/>
      <c r="E303" s="90"/>
      <c r="F303" s="90"/>
      <c r="G303" s="90"/>
      <c r="I303" s="79"/>
      <c r="J303" s="80"/>
      <c r="K303" s="80"/>
    </row>
    <row r="304" ht="12.75" customHeight="1">
      <c r="I304" s="79"/>
      <c r="J304" s="80"/>
      <c r="K304" s="80"/>
    </row>
    <row r="305" ht="12.75" customHeight="1">
      <c r="A305" s="89" t="s">
        <v>297</v>
      </c>
      <c r="B305" s="90" t="s">
        <v>3818</v>
      </c>
      <c r="C305" s="936" t="s">
        <v>4711</v>
      </c>
      <c r="D305" s="90"/>
      <c r="E305" s="90"/>
      <c r="F305" s="90"/>
      <c r="G305" s="90"/>
      <c r="I305" s="79"/>
      <c r="J305" s="80"/>
      <c r="K305" s="80"/>
    </row>
    <row r="306" ht="12.75" customHeight="1">
      <c r="I306" s="79"/>
      <c r="J306" s="80"/>
      <c r="K306" s="80"/>
    </row>
    <row r="307" ht="12.75" customHeight="1">
      <c r="A307" s="89" t="s">
        <v>300</v>
      </c>
      <c r="B307" s="90" t="s">
        <v>3819</v>
      </c>
      <c r="C307" s="936" t="s">
        <v>4712</v>
      </c>
      <c r="D307" s="90"/>
      <c r="E307" s="90"/>
      <c r="F307" s="90"/>
      <c r="G307" s="90"/>
      <c r="H307" s="89" t="s">
        <v>75</v>
      </c>
      <c r="I307" s="91">
        <v>1.0</v>
      </c>
      <c r="J307" s="92">
        <v>2456.89</v>
      </c>
      <c r="K307" s="92">
        <v>2456.89</v>
      </c>
    </row>
    <row r="308" ht="12.75" customHeight="1">
      <c r="I308" s="79"/>
      <c r="J308" s="80"/>
      <c r="K308" s="80"/>
    </row>
    <row r="309" ht="12.75" customHeight="1">
      <c r="A309" s="89" t="s">
        <v>302</v>
      </c>
      <c r="B309" s="90" t="s">
        <v>3820</v>
      </c>
      <c r="C309" s="936" t="s">
        <v>4713</v>
      </c>
      <c r="D309" s="90"/>
      <c r="E309" s="90"/>
      <c r="F309" s="90"/>
      <c r="G309" s="90"/>
      <c r="I309" s="79"/>
      <c r="J309" s="80"/>
      <c r="K309" s="80"/>
    </row>
    <row r="310" ht="12.75" customHeight="1">
      <c r="I310" s="79"/>
      <c r="J310" s="80"/>
      <c r="K310" s="80"/>
    </row>
    <row r="311" ht="12.75" customHeight="1">
      <c r="A311" s="89" t="s">
        <v>304</v>
      </c>
      <c r="B311" s="90" t="s">
        <v>3821</v>
      </c>
      <c r="C311" s="936" t="s">
        <v>8003</v>
      </c>
      <c r="D311" s="90"/>
      <c r="E311" s="90"/>
      <c r="F311" s="90"/>
      <c r="G311" s="90"/>
      <c r="H311" s="89" t="s">
        <v>75</v>
      </c>
      <c r="I311" s="91">
        <v>1.0</v>
      </c>
      <c r="J311" s="92">
        <v>1778.01</v>
      </c>
      <c r="K311" s="92">
        <v>1778.01</v>
      </c>
    </row>
    <row r="312" ht="12.75" customHeight="1">
      <c r="C312" s="936" t="s">
        <v>8004</v>
      </c>
      <c r="I312" s="79"/>
      <c r="J312" s="80"/>
      <c r="K312" s="80"/>
    </row>
    <row r="313" ht="12.75" customHeight="1">
      <c r="A313" s="89" t="s">
        <v>306</v>
      </c>
      <c r="B313" s="90" t="s">
        <v>3822</v>
      </c>
      <c r="C313" s="936" t="s">
        <v>8005</v>
      </c>
      <c r="D313" s="90"/>
      <c r="E313" s="90"/>
      <c r="F313" s="90"/>
      <c r="G313" s="90"/>
      <c r="H313" s="89" t="s">
        <v>75</v>
      </c>
      <c r="I313" s="91">
        <v>1.0</v>
      </c>
      <c r="J313" s="92">
        <v>969.83</v>
      </c>
      <c r="K313" s="92">
        <v>969.83</v>
      </c>
    </row>
    <row r="314" ht="12.75" customHeight="1">
      <c r="C314" s="936" t="s">
        <v>8006</v>
      </c>
      <c r="I314" s="79"/>
      <c r="J314" s="80"/>
      <c r="K314" s="80"/>
    </row>
    <row r="315" ht="12.75" customHeight="1">
      <c r="A315" s="89" t="s">
        <v>308</v>
      </c>
      <c r="B315" s="90" t="s">
        <v>3823</v>
      </c>
      <c r="D315" s="90"/>
      <c r="E315" s="90"/>
      <c r="F315" s="90"/>
      <c r="G315" s="90"/>
      <c r="I315" s="79"/>
      <c r="J315" s="80"/>
      <c r="K315" s="80"/>
    </row>
    <row r="316" ht="12.75" customHeight="1">
      <c r="C316" s="936" t="s">
        <v>4715</v>
      </c>
      <c r="I316" s="79"/>
      <c r="J316" s="80"/>
      <c r="K316" s="80"/>
    </row>
    <row r="317" ht="12.75" customHeight="1">
      <c r="A317" s="89" t="s">
        <v>310</v>
      </c>
      <c r="B317" s="90" t="s">
        <v>3824</v>
      </c>
      <c r="D317" s="90"/>
      <c r="E317" s="90"/>
      <c r="F317" s="90"/>
      <c r="G317" s="90"/>
      <c r="H317" s="89" t="s">
        <v>75</v>
      </c>
      <c r="I317" s="91">
        <v>1.0</v>
      </c>
      <c r="J317" s="92">
        <v>969.83</v>
      </c>
      <c r="K317" s="92">
        <v>969.83</v>
      </c>
    </row>
    <row r="318" ht="12.75" customHeight="1">
      <c r="C318" s="936" t="s">
        <v>4716</v>
      </c>
      <c r="I318" s="79"/>
      <c r="J318" s="80"/>
      <c r="K318" s="80"/>
    </row>
    <row r="319" ht="12.75" customHeight="1">
      <c r="A319" s="89" t="s">
        <v>312</v>
      </c>
      <c r="B319" s="90" t="s">
        <v>3825</v>
      </c>
      <c r="D319" s="90"/>
      <c r="E319" s="90"/>
      <c r="F319" s="90"/>
      <c r="G319" s="90"/>
      <c r="I319" s="79"/>
      <c r="J319" s="80"/>
      <c r="K319" s="80"/>
    </row>
    <row r="320" ht="12.75" customHeight="1">
      <c r="C320" s="936" t="s">
        <v>4717</v>
      </c>
      <c r="I320" s="79"/>
      <c r="J320" s="80"/>
      <c r="K320" s="80"/>
    </row>
    <row r="321" ht="12.75" customHeight="1">
      <c r="A321" s="89" t="s">
        <v>314</v>
      </c>
      <c r="B321" s="90" t="s">
        <v>3826</v>
      </c>
      <c r="D321" s="90"/>
      <c r="E321" s="90"/>
      <c r="F321" s="90"/>
      <c r="G321" s="90"/>
      <c r="H321" s="89" t="s">
        <v>75</v>
      </c>
      <c r="I321" s="91">
        <v>1.0</v>
      </c>
      <c r="J321" s="92">
        <v>5495.68</v>
      </c>
      <c r="K321" s="92">
        <v>5495.68</v>
      </c>
    </row>
    <row r="322" ht="12.75" customHeight="1">
      <c r="C322" s="936" t="s">
        <v>4718</v>
      </c>
      <c r="I322" s="79"/>
      <c r="J322" s="80"/>
      <c r="K322" s="80"/>
    </row>
    <row r="323" ht="12.75" customHeight="1">
      <c r="A323" s="89" t="s">
        <v>316</v>
      </c>
      <c r="B323" s="90" t="s">
        <v>3827</v>
      </c>
      <c r="D323" s="90"/>
      <c r="E323" s="90"/>
      <c r="F323" s="90"/>
      <c r="G323" s="90"/>
      <c r="I323" s="79"/>
      <c r="J323" s="80"/>
      <c r="K323" s="80"/>
    </row>
    <row r="324" ht="12.75" customHeight="1">
      <c r="C324" s="936" t="s">
        <v>8007</v>
      </c>
      <c r="I324" s="79"/>
      <c r="J324" s="80"/>
      <c r="K324" s="80"/>
    </row>
    <row r="325" ht="12.75" customHeight="1">
      <c r="A325" s="89" t="s">
        <v>318</v>
      </c>
      <c r="B325" s="90" t="s">
        <v>3828</v>
      </c>
      <c r="C325" s="936" t="s">
        <v>8008</v>
      </c>
      <c r="D325" s="90"/>
      <c r="E325" s="90"/>
      <c r="F325" s="90"/>
      <c r="G325" s="90"/>
      <c r="H325" s="89" t="s">
        <v>75</v>
      </c>
      <c r="I325" s="91">
        <v>1.0</v>
      </c>
      <c r="J325" s="92">
        <v>3297.41</v>
      </c>
      <c r="K325" s="92">
        <v>3297.41</v>
      </c>
    </row>
    <row r="326" ht="12.75" customHeight="1">
      <c r="I326" s="79"/>
      <c r="J326" s="80"/>
      <c r="K326" s="80"/>
    </row>
    <row r="327" ht="12.75" customHeight="1">
      <c r="A327" s="89" t="s">
        <v>320</v>
      </c>
      <c r="B327" s="90" t="s">
        <v>3829</v>
      </c>
      <c r="C327" s="936" t="s">
        <v>4720</v>
      </c>
      <c r="D327" s="90"/>
      <c r="E327" s="90"/>
      <c r="F327" s="90"/>
      <c r="G327" s="90"/>
      <c r="I327" s="79"/>
      <c r="J327" s="80"/>
      <c r="K327" s="80"/>
    </row>
    <row r="328" ht="12.75" customHeight="1">
      <c r="I328" s="79"/>
      <c r="J328" s="80"/>
      <c r="K328" s="80"/>
    </row>
    <row r="329" ht="12.75" customHeight="1">
      <c r="A329" s="89" t="s">
        <v>322</v>
      </c>
      <c r="B329" s="90" t="s">
        <v>3830</v>
      </c>
      <c r="C329" s="936" t="s">
        <v>4721</v>
      </c>
      <c r="D329" s="90"/>
      <c r="E329" s="90"/>
      <c r="F329" s="90"/>
      <c r="G329" s="90"/>
      <c r="H329" s="89" t="s">
        <v>75</v>
      </c>
      <c r="I329" s="91">
        <v>1.0</v>
      </c>
      <c r="J329" s="92">
        <v>1875.0</v>
      </c>
      <c r="K329" s="92">
        <v>1875.0</v>
      </c>
    </row>
    <row r="330" ht="12.75" customHeight="1">
      <c r="I330" s="79"/>
      <c r="J330" s="80"/>
      <c r="K330" s="80"/>
    </row>
    <row r="331" ht="12.75" customHeight="1">
      <c r="A331" s="89" t="s">
        <v>324</v>
      </c>
      <c r="B331" s="90" t="s">
        <v>3831</v>
      </c>
      <c r="C331" s="936" t="s">
        <v>4722</v>
      </c>
      <c r="D331" s="90"/>
      <c r="E331" s="90"/>
      <c r="F331" s="90"/>
      <c r="G331" s="90"/>
      <c r="I331" s="79"/>
      <c r="J331" s="80"/>
      <c r="K331" s="80"/>
    </row>
    <row r="332" ht="12.75" customHeight="1">
      <c r="I332" s="79"/>
      <c r="J332" s="80"/>
      <c r="K332" s="80"/>
    </row>
    <row r="333" ht="12.75" customHeight="1">
      <c r="A333" s="89" t="s">
        <v>326</v>
      </c>
      <c r="B333" s="90" t="s">
        <v>3832</v>
      </c>
      <c r="C333" s="936" t="s">
        <v>4723</v>
      </c>
      <c r="D333" s="90"/>
      <c r="E333" s="90"/>
      <c r="F333" s="90"/>
      <c r="G333" s="90"/>
      <c r="H333" s="89" t="s">
        <v>75</v>
      </c>
      <c r="I333" s="91">
        <v>1.0</v>
      </c>
      <c r="J333" s="92">
        <v>3038.79</v>
      </c>
      <c r="K333" s="92">
        <v>3038.79</v>
      </c>
    </row>
    <row r="334" ht="12.75" customHeight="1">
      <c r="I334" s="79"/>
      <c r="J334" s="80"/>
      <c r="K334" s="80"/>
    </row>
    <row r="335" ht="12.75" customHeight="1">
      <c r="A335" s="89" t="s">
        <v>328</v>
      </c>
      <c r="B335" s="90" t="s">
        <v>3833</v>
      </c>
      <c r="C335" s="936" t="s">
        <v>4724</v>
      </c>
      <c r="D335" s="90"/>
      <c r="E335" s="90"/>
      <c r="F335" s="90"/>
      <c r="G335" s="90"/>
      <c r="I335" s="79"/>
      <c r="J335" s="80"/>
      <c r="K335" s="80"/>
    </row>
    <row r="336" ht="12.75" customHeight="1">
      <c r="I336" s="79"/>
      <c r="J336" s="80"/>
      <c r="K336" s="80"/>
    </row>
    <row r="337" ht="12.75" customHeight="1">
      <c r="A337" s="89" t="s">
        <v>330</v>
      </c>
      <c r="B337" s="90" t="s">
        <v>3834</v>
      </c>
      <c r="C337" s="936" t="s">
        <v>4725</v>
      </c>
      <c r="D337" s="90"/>
      <c r="E337" s="90"/>
      <c r="F337" s="90"/>
      <c r="G337" s="90"/>
      <c r="H337" s="89" t="s">
        <v>75</v>
      </c>
      <c r="I337" s="91">
        <v>1.0</v>
      </c>
      <c r="J337" s="92">
        <v>1357.76</v>
      </c>
      <c r="K337" s="92">
        <v>1357.76</v>
      </c>
    </row>
    <row r="338" ht="12.75" customHeight="1">
      <c r="I338" s="79"/>
      <c r="J338" s="80"/>
      <c r="K338" s="80"/>
    </row>
    <row r="339" ht="12.75" customHeight="1">
      <c r="A339" s="89" t="s">
        <v>332</v>
      </c>
      <c r="B339" s="90" t="s">
        <v>3835</v>
      </c>
      <c r="C339" s="936" t="s">
        <v>4726</v>
      </c>
      <c r="D339" s="90"/>
      <c r="E339" s="90"/>
      <c r="F339" s="90"/>
      <c r="G339" s="90"/>
      <c r="H339" s="89" t="s">
        <v>75</v>
      </c>
      <c r="I339" s="91">
        <v>1.0</v>
      </c>
      <c r="J339" s="92">
        <v>1616.38</v>
      </c>
      <c r="K339" s="92">
        <v>1616.38</v>
      </c>
    </row>
    <row r="340" ht="12.75" customHeight="1">
      <c r="I340" s="79"/>
      <c r="J340" s="80"/>
      <c r="K340" s="80"/>
    </row>
    <row r="341" ht="12.75" customHeight="1">
      <c r="A341" s="89" t="s">
        <v>334</v>
      </c>
      <c r="B341" s="90" t="s">
        <v>3836</v>
      </c>
      <c r="C341" s="936" t="s">
        <v>8009</v>
      </c>
      <c r="D341" s="90"/>
      <c r="E341" s="90"/>
      <c r="F341" s="90"/>
      <c r="G341" s="90"/>
      <c r="I341" s="79"/>
      <c r="J341" s="80"/>
      <c r="K341" s="80"/>
    </row>
    <row r="342" ht="12.75" customHeight="1">
      <c r="C342" s="936" t="s">
        <v>8010</v>
      </c>
      <c r="I342" s="79"/>
      <c r="J342" s="80"/>
      <c r="K342" s="80"/>
    </row>
    <row r="343" ht="12.75" customHeight="1">
      <c r="A343" s="89" t="s">
        <v>336</v>
      </c>
      <c r="B343" s="90" t="s">
        <v>3837</v>
      </c>
      <c r="D343" s="90"/>
      <c r="E343" s="90"/>
      <c r="F343" s="90"/>
      <c r="G343" s="90"/>
      <c r="H343" s="89" t="s">
        <v>75</v>
      </c>
      <c r="I343" s="91">
        <v>2.0</v>
      </c>
      <c r="J343" s="92">
        <v>4461.2</v>
      </c>
      <c r="K343" s="92">
        <v>8922.4</v>
      </c>
    </row>
    <row r="344" ht="12.75" customHeight="1">
      <c r="C344" s="936" t="s">
        <v>4728</v>
      </c>
      <c r="I344" s="79"/>
      <c r="J344" s="80"/>
      <c r="K344" s="80"/>
    </row>
    <row r="345" ht="12.75" customHeight="1">
      <c r="A345" s="89" t="s">
        <v>338</v>
      </c>
      <c r="B345" s="90" t="s">
        <v>3838</v>
      </c>
      <c r="D345" s="90"/>
      <c r="E345" s="90"/>
      <c r="F345" s="90"/>
      <c r="G345" s="90"/>
      <c r="I345" s="79"/>
      <c r="J345" s="80"/>
      <c r="K345" s="80"/>
    </row>
    <row r="346" ht="12.75" customHeight="1">
      <c r="C346" s="936" t="s">
        <v>4729</v>
      </c>
      <c r="I346" s="79"/>
      <c r="J346" s="80"/>
      <c r="K346" s="80"/>
    </row>
    <row r="347" ht="12.75" customHeight="1">
      <c r="A347" s="89" t="s">
        <v>340</v>
      </c>
      <c r="B347" s="90" t="s">
        <v>3839</v>
      </c>
      <c r="D347" s="90"/>
      <c r="E347" s="90"/>
      <c r="F347" s="90"/>
      <c r="G347" s="90"/>
      <c r="H347" s="89" t="s">
        <v>75</v>
      </c>
      <c r="I347" s="91">
        <v>1.0</v>
      </c>
      <c r="J347" s="92">
        <v>3620.68</v>
      </c>
      <c r="K347" s="92">
        <v>3620.68</v>
      </c>
    </row>
    <row r="348" ht="12.75" customHeight="1">
      <c r="C348" s="936" t="s">
        <v>4730</v>
      </c>
      <c r="I348" s="79"/>
      <c r="J348" s="80"/>
      <c r="K348" s="80"/>
    </row>
    <row r="349" ht="12.75" customHeight="1">
      <c r="A349" s="89" t="s">
        <v>342</v>
      </c>
      <c r="B349" s="90" t="s">
        <v>3840</v>
      </c>
      <c r="D349" s="90"/>
      <c r="E349" s="90"/>
      <c r="F349" s="90"/>
      <c r="G349" s="90"/>
      <c r="I349" s="79"/>
      <c r="J349" s="80"/>
      <c r="K349" s="80"/>
    </row>
    <row r="350" ht="12.75" customHeight="1">
      <c r="C350" s="936" t="s">
        <v>4731</v>
      </c>
      <c r="I350" s="79"/>
      <c r="J350" s="80"/>
      <c r="K350" s="80"/>
    </row>
    <row r="351" ht="12.75" customHeight="1">
      <c r="A351" s="89" t="s">
        <v>344</v>
      </c>
      <c r="B351" s="90" t="s">
        <v>3841</v>
      </c>
      <c r="D351" s="90"/>
      <c r="E351" s="90"/>
      <c r="F351" s="90"/>
      <c r="G351" s="90"/>
      <c r="H351" s="89" t="s">
        <v>75</v>
      </c>
      <c r="I351" s="91">
        <v>1.0</v>
      </c>
      <c r="J351" s="92">
        <v>4377.14</v>
      </c>
      <c r="K351" s="92">
        <v>4377.14</v>
      </c>
    </row>
    <row r="352" ht="12.75" customHeight="1">
      <c r="C352" s="936" t="s">
        <v>8011</v>
      </c>
      <c r="I352" s="79"/>
      <c r="J352" s="80"/>
      <c r="K352" s="80"/>
    </row>
    <row r="353" ht="12.75" customHeight="1">
      <c r="A353" s="89" t="s">
        <v>346</v>
      </c>
      <c r="B353" s="90" t="s">
        <v>3842</v>
      </c>
      <c r="C353" s="936" t="s">
        <v>8012</v>
      </c>
      <c r="D353" s="90"/>
      <c r="E353" s="90"/>
      <c r="F353" s="90"/>
      <c r="G353" s="90"/>
      <c r="I353" s="79"/>
      <c r="J353" s="80"/>
      <c r="K353" s="80"/>
    </row>
    <row r="354" ht="12.75" customHeight="1">
      <c r="I354" s="79"/>
      <c r="J354" s="80"/>
      <c r="K354" s="80"/>
    </row>
    <row r="355" ht="12.75" customHeight="1">
      <c r="A355" s="89" t="s">
        <v>348</v>
      </c>
      <c r="B355" s="90" t="s">
        <v>3843</v>
      </c>
      <c r="C355" s="936" t="s">
        <v>4733</v>
      </c>
      <c r="D355" s="90"/>
      <c r="E355" s="90"/>
      <c r="F355" s="90"/>
      <c r="G355" s="90"/>
      <c r="H355" s="89" t="s">
        <v>75</v>
      </c>
      <c r="I355" s="91">
        <v>1.0</v>
      </c>
      <c r="J355" s="92">
        <v>4377.14</v>
      </c>
      <c r="K355" s="92">
        <v>4377.14</v>
      </c>
    </row>
    <row r="356" ht="12.75" customHeight="1">
      <c r="I356" s="79"/>
      <c r="J356" s="80"/>
      <c r="K356" s="80"/>
    </row>
    <row r="357" ht="12.75" customHeight="1">
      <c r="A357" s="89" t="s">
        <v>350</v>
      </c>
      <c r="B357" s="90" t="s">
        <v>3844</v>
      </c>
      <c r="C357" s="936" t="s">
        <v>8013</v>
      </c>
      <c r="D357" s="90"/>
      <c r="E357" s="90"/>
      <c r="F357" s="90"/>
      <c r="G357" s="90"/>
      <c r="H357" s="89" t="s">
        <v>75</v>
      </c>
      <c r="I357" s="91">
        <v>1.0</v>
      </c>
      <c r="J357" s="92">
        <v>3219.82</v>
      </c>
      <c r="K357" s="92">
        <v>3219.82</v>
      </c>
    </row>
    <row r="358" ht="12.75" customHeight="1">
      <c r="C358" s="936" t="s">
        <v>8014</v>
      </c>
      <c r="I358" s="79"/>
      <c r="J358" s="80"/>
      <c r="K358" s="80"/>
    </row>
    <row r="359" ht="12.75" customHeight="1">
      <c r="A359" s="89" t="s">
        <v>352</v>
      </c>
      <c r="B359" s="90" t="s">
        <v>3845</v>
      </c>
      <c r="D359" s="90"/>
      <c r="E359" s="90"/>
      <c r="F359" s="90"/>
      <c r="G359" s="90"/>
      <c r="H359" s="89" t="s">
        <v>75</v>
      </c>
      <c r="I359" s="91">
        <v>1.0</v>
      </c>
      <c r="J359" s="92">
        <v>581.9</v>
      </c>
      <c r="K359" s="92">
        <v>581.9</v>
      </c>
    </row>
    <row r="360" ht="12.75" customHeight="1">
      <c r="C360" s="936" t="s">
        <v>4735</v>
      </c>
      <c r="I360" s="79"/>
      <c r="J360" s="80"/>
      <c r="K360" s="80"/>
    </row>
    <row r="361" ht="12.75" customHeight="1">
      <c r="A361" s="89" t="s">
        <v>354</v>
      </c>
      <c r="B361" s="90" t="s">
        <v>3846</v>
      </c>
      <c r="D361" s="90"/>
      <c r="E361" s="90"/>
      <c r="F361" s="90"/>
      <c r="G361" s="90"/>
      <c r="I361" s="79"/>
      <c r="J361" s="80"/>
      <c r="K361" s="80"/>
    </row>
    <row r="362" ht="12.75" customHeight="1">
      <c r="C362" s="936" t="s">
        <v>8015</v>
      </c>
      <c r="I362" s="79"/>
      <c r="J362" s="80"/>
      <c r="K362" s="80"/>
    </row>
    <row r="363" ht="12.75" customHeight="1">
      <c r="A363" s="89" t="s">
        <v>356</v>
      </c>
      <c r="B363" s="90" t="s">
        <v>3847</v>
      </c>
      <c r="C363" s="936" t="s">
        <v>8016</v>
      </c>
      <c r="D363" s="90"/>
      <c r="E363" s="90"/>
      <c r="F363" s="90"/>
      <c r="G363" s="90"/>
      <c r="H363" s="89" t="s">
        <v>75</v>
      </c>
      <c r="I363" s="91">
        <v>1.0</v>
      </c>
      <c r="J363" s="92">
        <v>4655.16</v>
      </c>
      <c r="K363" s="92">
        <v>4655.16</v>
      </c>
    </row>
    <row r="364" ht="12.75" customHeight="1">
      <c r="C364" s="936" t="s">
        <v>8017</v>
      </c>
      <c r="I364" s="79"/>
      <c r="J364" s="80"/>
      <c r="K364" s="80"/>
    </row>
    <row r="365" ht="12.75" customHeight="1">
      <c r="A365" s="89" t="s">
        <v>358</v>
      </c>
      <c r="B365" s="90" t="s">
        <v>3848</v>
      </c>
      <c r="D365" s="90"/>
      <c r="E365" s="90"/>
      <c r="F365" s="90"/>
      <c r="G365" s="90"/>
      <c r="I365" s="79"/>
      <c r="J365" s="80"/>
      <c r="K365" s="80"/>
    </row>
    <row r="366" ht="12.75" customHeight="1">
      <c r="C366" s="936" t="s">
        <v>4737</v>
      </c>
      <c r="I366" s="79"/>
      <c r="J366" s="80"/>
      <c r="K366" s="80"/>
    </row>
    <row r="367" ht="12.75" customHeight="1">
      <c r="A367" s="89" t="s">
        <v>360</v>
      </c>
      <c r="B367" s="90" t="s">
        <v>3849</v>
      </c>
      <c r="D367" s="90"/>
      <c r="E367" s="90"/>
      <c r="F367" s="90"/>
      <c r="G367" s="90"/>
      <c r="H367" s="89" t="s">
        <v>75</v>
      </c>
      <c r="I367" s="91">
        <v>1.0</v>
      </c>
      <c r="J367" s="92">
        <v>4461.2</v>
      </c>
      <c r="K367" s="92">
        <v>4461.2</v>
      </c>
    </row>
    <row r="368" ht="12.75" customHeight="1">
      <c r="C368" s="936" t="s">
        <v>4738</v>
      </c>
      <c r="I368" s="79"/>
      <c r="J368" s="80"/>
      <c r="K368" s="80"/>
    </row>
    <row r="369" ht="12.75" customHeight="1">
      <c r="A369" s="89" t="s">
        <v>362</v>
      </c>
      <c r="B369" s="90" t="s">
        <v>3850</v>
      </c>
      <c r="D369" s="90"/>
      <c r="E369" s="90"/>
      <c r="F369" s="90"/>
      <c r="G369" s="90"/>
      <c r="I369" s="79"/>
      <c r="J369" s="80"/>
      <c r="K369" s="80"/>
    </row>
    <row r="370" ht="12.75" customHeight="1">
      <c r="C370" s="936" t="s">
        <v>4739</v>
      </c>
      <c r="I370" s="79"/>
      <c r="J370" s="80"/>
      <c r="K370" s="80"/>
    </row>
    <row r="371" ht="12.75" customHeight="1">
      <c r="A371" s="89" t="s">
        <v>364</v>
      </c>
      <c r="B371" s="90" t="s">
        <v>3851</v>
      </c>
      <c r="D371" s="90"/>
      <c r="E371" s="90"/>
      <c r="F371" s="90"/>
      <c r="G371" s="90"/>
      <c r="H371" s="89" t="s">
        <v>75</v>
      </c>
      <c r="I371" s="91">
        <v>1.0</v>
      </c>
      <c r="J371" s="92">
        <v>581.9</v>
      </c>
      <c r="K371" s="92">
        <v>581.9</v>
      </c>
    </row>
    <row r="372" ht="12.75" customHeight="1">
      <c r="C372" s="936" t="s">
        <v>4740</v>
      </c>
      <c r="I372" s="79"/>
      <c r="J372" s="80"/>
      <c r="K372" s="80"/>
    </row>
    <row r="373" ht="12.75" customHeight="1">
      <c r="A373" s="89" t="s">
        <v>366</v>
      </c>
      <c r="B373" s="90" t="s">
        <v>3852</v>
      </c>
      <c r="D373" s="90"/>
      <c r="E373" s="90"/>
      <c r="F373" s="90"/>
      <c r="G373" s="90"/>
      <c r="I373" s="79"/>
      <c r="J373" s="80"/>
      <c r="K373" s="80"/>
    </row>
    <row r="374" ht="12.75" customHeight="1">
      <c r="C374" s="936" t="s">
        <v>4741</v>
      </c>
      <c r="I374" s="79"/>
      <c r="J374" s="80"/>
      <c r="K374" s="80"/>
    </row>
    <row r="375" ht="12.75" customHeight="1">
      <c r="A375" s="89" t="s">
        <v>368</v>
      </c>
      <c r="B375" s="90" t="s">
        <v>3853</v>
      </c>
      <c r="D375" s="90"/>
      <c r="E375" s="90"/>
      <c r="F375" s="90"/>
      <c r="G375" s="90"/>
      <c r="H375" s="89" t="s">
        <v>75</v>
      </c>
      <c r="I375" s="91">
        <v>1.0</v>
      </c>
      <c r="J375" s="92">
        <v>3426.72</v>
      </c>
      <c r="K375" s="92">
        <v>3426.72</v>
      </c>
    </row>
    <row r="376" ht="12.75" customHeight="1">
      <c r="C376" s="936" t="s">
        <v>4742</v>
      </c>
      <c r="I376" s="79"/>
      <c r="J376" s="80"/>
      <c r="K376" s="80"/>
    </row>
    <row r="377" ht="12.75" customHeight="1">
      <c r="A377" s="89" t="s">
        <v>370</v>
      </c>
      <c r="B377" s="90" t="s">
        <v>3854</v>
      </c>
      <c r="D377" s="90"/>
      <c r="E377" s="90"/>
      <c r="F377" s="90"/>
      <c r="G377" s="90"/>
      <c r="H377" s="89" t="s">
        <v>75</v>
      </c>
      <c r="I377" s="91">
        <v>1.0</v>
      </c>
      <c r="J377" s="92">
        <v>3426.72</v>
      </c>
      <c r="K377" s="92">
        <v>3426.72</v>
      </c>
    </row>
    <row r="378" ht="12.75" customHeight="1">
      <c r="C378" s="936" t="s">
        <v>4743</v>
      </c>
      <c r="I378" s="79"/>
      <c r="J378" s="80"/>
      <c r="K378" s="80"/>
    </row>
    <row r="379" ht="12.75" customHeight="1">
      <c r="A379" s="89" t="s">
        <v>372</v>
      </c>
      <c r="B379" s="90" t="s">
        <v>3855</v>
      </c>
      <c r="D379" s="90"/>
      <c r="E379" s="90"/>
      <c r="F379" s="90"/>
      <c r="G379" s="90"/>
      <c r="H379" s="89" t="s">
        <v>75</v>
      </c>
      <c r="I379" s="91">
        <v>1.0</v>
      </c>
      <c r="J379" s="92">
        <v>581.9</v>
      </c>
      <c r="K379" s="92">
        <v>581.9</v>
      </c>
    </row>
    <row r="380" ht="12.75" customHeight="1">
      <c r="C380" s="936" t="s">
        <v>4744</v>
      </c>
      <c r="I380" s="79"/>
      <c r="J380" s="80"/>
      <c r="K380" s="80"/>
    </row>
    <row r="381" ht="12.75" customHeight="1">
      <c r="A381" s="89" t="s">
        <v>374</v>
      </c>
      <c r="B381" s="90" t="s">
        <v>3856</v>
      </c>
      <c r="D381" s="90"/>
      <c r="E381" s="90"/>
      <c r="F381" s="90"/>
      <c r="G381" s="90"/>
      <c r="H381" s="89" t="s">
        <v>75</v>
      </c>
      <c r="I381" s="91">
        <v>1.0</v>
      </c>
      <c r="J381" s="92">
        <v>3426.72</v>
      </c>
      <c r="K381" s="92">
        <v>3426.72</v>
      </c>
    </row>
    <row r="382" ht="12.75" customHeight="1">
      <c r="C382" s="936" t="s">
        <v>4745</v>
      </c>
      <c r="I382" s="79"/>
      <c r="J382" s="80"/>
      <c r="K382" s="80"/>
    </row>
    <row r="383" ht="12.75" customHeight="1">
      <c r="A383" s="89" t="s">
        <v>376</v>
      </c>
      <c r="B383" s="90" t="s">
        <v>3857</v>
      </c>
      <c r="D383" s="90"/>
      <c r="E383" s="90"/>
      <c r="F383" s="90"/>
      <c r="G383" s="90"/>
      <c r="H383" s="89" t="s">
        <v>75</v>
      </c>
      <c r="I383" s="91">
        <v>1.0</v>
      </c>
      <c r="J383" s="92">
        <v>3426.72</v>
      </c>
      <c r="K383" s="92">
        <v>3426.72</v>
      </c>
    </row>
    <row r="384" ht="12.75" customHeight="1">
      <c r="C384" s="936" t="s">
        <v>4746</v>
      </c>
      <c r="I384" s="79"/>
      <c r="J384" s="80"/>
      <c r="K384" s="80"/>
    </row>
    <row r="385" ht="12.75" customHeight="1">
      <c r="A385" s="89" t="s">
        <v>378</v>
      </c>
      <c r="B385" s="90" t="s">
        <v>3858</v>
      </c>
      <c r="D385" s="90"/>
      <c r="E385" s="90"/>
      <c r="F385" s="90"/>
      <c r="G385" s="90"/>
      <c r="H385" s="89" t="s">
        <v>75</v>
      </c>
      <c r="I385" s="91">
        <v>1.0</v>
      </c>
      <c r="J385" s="92">
        <v>581.9</v>
      </c>
      <c r="K385" s="92">
        <v>581.9</v>
      </c>
    </row>
    <row r="386" ht="12.75" customHeight="1">
      <c r="C386" s="936" t="s">
        <v>4747</v>
      </c>
      <c r="I386" s="79"/>
      <c r="J386" s="80"/>
      <c r="K386" s="80"/>
    </row>
    <row r="387" ht="12.75" customHeight="1">
      <c r="A387" s="89" t="s">
        <v>244</v>
      </c>
      <c r="B387" s="90" t="s">
        <v>2409</v>
      </c>
      <c r="D387" s="90"/>
      <c r="E387" s="90"/>
      <c r="F387" s="90"/>
      <c r="G387" s="90"/>
      <c r="I387" s="79"/>
      <c r="J387" s="80"/>
      <c r="K387" s="92">
        <v>93859.78</v>
      </c>
    </row>
    <row r="388" ht="12.75" customHeight="1">
      <c r="C388" s="936" t="s">
        <v>4748</v>
      </c>
      <c r="I388" s="79"/>
      <c r="J388" s="80"/>
      <c r="K388" s="80"/>
    </row>
    <row r="389" ht="12.75" customHeight="1">
      <c r="I389" s="79"/>
      <c r="J389" s="80"/>
      <c r="K389" s="80"/>
    </row>
    <row r="390" ht="12.75" customHeight="1">
      <c r="A390" s="89" t="s">
        <v>3859</v>
      </c>
      <c r="B390" s="90" t="s">
        <v>3860</v>
      </c>
      <c r="C390" s="936" t="s">
        <v>4749</v>
      </c>
      <c r="D390" s="90"/>
      <c r="E390" s="90"/>
      <c r="F390" s="90"/>
      <c r="G390" s="90"/>
      <c r="I390" s="79"/>
      <c r="J390" s="80"/>
      <c r="K390" s="80"/>
    </row>
    <row r="391" ht="12.75" customHeight="1">
      <c r="I391" s="79"/>
      <c r="J391" s="80"/>
      <c r="K391" s="80"/>
    </row>
    <row r="392" ht="12.75" customHeight="1">
      <c r="A392" s="89" t="s">
        <v>381</v>
      </c>
      <c r="B392" s="90" t="s">
        <v>3861</v>
      </c>
      <c r="C392" s="936" t="s">
        <v>4750</v>
      </c>
      <c r="D392" s="90"/>
      <c r="E392" s="90"/>
      <c r="F392" s="90"/>
      <c r="G392" s="90"/>
      <c r="I392" s="79"/>
      <c r="J392" s="80"/>
      <c r="K392" s="80"/>
    </row>
    <row r="393" ht="12.75" customHeight="1">
      <c r="I393" s="79"/>
      <c r="J393" s="80"/>
      <c r="K393" s="80"/>
    </row>
    <row r="394" ht="12.75" customHeight="1">
      <c r="A394" s="89" t="s">
        <v>384</v>
      </c>
      <c r="B394" s="90" t="s">
        <v>3862</v>
      </c>
      <c r="C394" s="936" t="s">
        <v>4751</v>
      </c>
      <c r="D394" s="90"/>
      <c r="E394" s="90"/>
      <c r="F394" s="90"/>
      <c r="G394" s="90"/>
      <c r="I394" s="79"/>
      <c r="J394" s="80"/>
      <c r="K394" s="80"/>
    </row>
    <row r="395" ht="12.75" customHeight="1">
      <c r="I395" s="79"/>
      <c r="J395" s="80"/>
      <c r="K395" s="80"/>
    </row>
    <row r="396" ht="12.75" customHeight="1">
      <c r="A396" s="89" t="s">
        <v>386</v>
      </c>
      <c r="B396" s="90" t="s">
        <v>3863</v>
      </c>
      <c r="C396" s="936" t="s">
        <v>4752</v>
      </c>
      <c r="D396" s="90"/>
      <c r="E396" s="90"/>
      <c r="F396" s="90"/>
      <c r="G396" s="90"/>
      <c r="H396" s="89" t="s">
        <v>75</v>
      </c>
      <c r="I396" s="91">
        <v>1.0</v>
      </c>
      <c r="J396" s="92">
        <v>1665.41</v>
      </c>
      <c r="K396" s="92">
        <v>1665.41</v>
      </c>
    </row>
    <row r="397" ht="12.75" customHeight="1">
      <c r="I397" s="79"/>
      <c r="J397" s="80"/>
      <c r="K397" s="80"/>
    </row>
    <row r="398" ht="12.75" customHeight="1">
      <c r="A398" s="89" t="s">
        <v>388</v>
      </c>
      <c r="B398" s="90" t="s">
        <v>3864</v>
      </c>
      <c r="C398" s="936" t="s">
        <v>4686</v>
      </c>
      <c r="D398" s="90"/>
      <c r="E398" s="90"/>
      <c r="F398" s="90"/>
      <c r="G398" s="90"/>
      <c r="H398" s="89" t="s">
        <v>75</v>
      </c>
      <c r="I398" s="91">
        <v>1.0</v>
      </c>
      <c r="J398" s="92">
        <v>6936.85</v>
      </c>
      <c r="K398" s="92">
        <v>6936.85</v>
      </c>
    </row>
    <row r="399" ht="12.75" customHeight="1">
      <c r="I399" s="79"/>
      <c r="J399" s="80"/>
      <c r="K399" s="80"/>
    </row>
    <row r="400" ht="12.75" customHeight="1">
      <c r="A400" s="89" t="s">
        <v>390</v>
      </c>
      <c r="B400" s="90" t="s">
        <v>3865</v>
      </c>
      <c r="D400" s="90"/>
      <c r="E400" s="90"/>
      <c r="F400" s="90"/>
      <c r="G400" s="90"/>
      <c r="H400" s="89" t="s">
        <v>75</v>
      </c>
      <c r="I400" s="91">
        <v>1.0</v>
      </c>
      <c r="J400" s="92">
        <v>6859.59</v>
      </c>
      <c r="K400" s="92">
        <v>6859.59</v>
      </c>
    </row>
    <row r="401" ht="12.75" customHeight="1">
      <c r="C401" s="936" t="s">
        <v>4837</v>
      </c>
      <c r="I401" s="79"/>
      <c r="J401" s="80"/>
      <c r="K401" s="80"/>
    </row>
    <row r="402" ht="12.75" customHeight="1">
      <c r="A402" s="89" t="s">
        <v>392</v>
      </c>
      <c r="B402" s="90" t="s">
        <v>3866</v>
      </c>
      <c r="D402" s="90"/>
      <c r="E402" s="90"/>
      <c r="F402" s="90"/>
      <c r="G402" s="90"/>
      <c r="H402" s="89" t="s">
        <v>75</v>
      </c>
      <c r="I402" s="91">
        <v>1.0</v>
      </c>
      <c r="J402" s="92">
        <v>5117.07</v>
      </c>
      <c r="K402" s="92">
        <v>5117.07</v>
      </c>
    </row>
    <row r="403" ht="12.75" customHeight="1">
      <c r="C403" s="936" t="s">
        <v>4754</v>
      </c>
      <c r="I403" s="79"/>
      <c r="J403" s="80"/>
      <c r="K403" s="80"/>
    </row>
    <row r="404" ht="12.75" customHeight="1">
      <c r="A404" s="89" t="s">
        <v>394</v>
      </c>
      <c r="B404" s="90" t="s">
        <v>3867</v>
      </c>
      <c r="D404" s="90"/>
      <c r="E404" s="90"/>
      <c r="F404" s="90"/>
      <c r="G404" s="90"/>
      <c r="H404" s="89" t="s">
        <v>75</v>
      </c>
      <c r="I404" s="91">
        <v>1.0</v>
      </c>
      <c r="J404" s="92">
        <v>8348.21</v>
      </c>
      <c r="K404" s="92">
        <v>8348.21</v>
      </c>
    </row>
    <row r="405" ht="12.75" customHeight="1">
      <c r="C405" s="936" t="s">
        <v>4755</v>
      </c>
      <c r="I405" s="79"/>
      <c r="J405" s="80"/>
      <c r="K405" s="80"/>
    </row>
    <row r="406" ht="12.75" customHeight="1">
      <c r="A406" s="89" t="s">
        <v>396</v>
      </c>
      <c r="B406" s="90" t="s">
        <v>3868</v>
      </c>
      <c r="D406" s="90"/>
      <c r="E406" s="90"/>
      <c r="F406" s="90"/>
      <c r="G406" s="90"/>
      <c r="H406" s="89" t="s">
        <v>75</v>
      </c>
      <c r="I406" s="91">
        <v>1.0</v>
      </c>
      <c r="J406" s="92">
        <v>8645.02</v>
      </c>
      <c r="K406" s="92">
        <v>8645.02</v>
      </c>
    </row>
    <row r="407" ht="12.75" customHeight="1">
      <c r="C407" s="936" t="s">
        <v>4756</v>
      </c>
      <c r="I407" s="79"/>
      <c r="J407" s="80"/>
      <c r="K407" s="80"/>
    </row>
    <row r="408" ht="12.75" customHeight="1">
      <c r="A408" s="89" t="s">
        <v>398</v>
      </c>
      <c r="B408" s="90" t="s">
        <v>3869</v>
      </c>
      <c r="D408" s="90"/>
      <c r="E408" s="90"/>
      <c r="F408" s="90"/>
      <c r="G408" s="90"/>
      <c r="H408" s="89" t="s">
        <v>75</v>
      </c>
      <c r="I408" s="91">
        <v>1.0</v>
      </c>
      <c r="J408" s="92">
        <v>7254.03</v>
      </c>
      <c r="K408" s="92">
        <v>7254.03</v>
      </c>
    </row>
    <row r="409" ht="12.75" customHeight="1">
      <c r="C409" s="936" t="s">
        <v>4757</v>
      </c>
      <c r="I409" s="79"/>
      <c r="J409" s="80"/>
      <c r="K409" s="80"/>
    </row>
    <row r="410" ht="12.75" customHeight="1">
      <c r="A410" s="89" t="s">
        <v>400</v>
      </c>
      <c r="B410" s="90" t="s">
        <v>3870</v>
      </c>
      <c r="D410" s="90"/>
      <c r="E410" s="90"/>
      <c r="F410" s="90"/>
      <c r="G410" s="90"/>
      <c r="H410" s="89" t="s">
        <v>75</v>
      </c>
      <c r="I410" s="91">
        <v>1.0</v>
      </c>
      <c r="J410" s="92">
        <v>9842.38</v>
      </c>
      <c r="K410" s="92">
        <v>9842.38</v>
      </c>
    </row>
    <row r="411" ht="12.75" customHeight="1">
      <c r="C411" s="936" t="s">
        <v>4758</v>
      </c>
      <c r="I411" s="79"/>
      <c r="J411" s="80"/>
      <c r="K411" s="80"/>
    </row>
    <row r="412" ht="12.75" customHeight="1">
      <c r="A412" s="89" t="s">
        <v>402</v>
      </c>
      <c r="B412" s="90" t="s">
        <v>3871</v>
      </c>
      <c r="D412" s="90"/>
      <c r="E412" s="90"/>
      <c r="F412" s="90"/>
      <c r="G412" s="90"/>
      <c r="H412" s="89" t="s">
        <v>75</v>
      </c>
      <c r="I412" s="91">
        <v>1.0</v>
      </c>
      <c r="J412" s="92">
        <v>9959.03</v>
      </c>
      <c r="K412" s="92">
        <v>9959.03</v>
      </c>
    </row>
    <row r="413" ht="12.75" customHeight="1">
      <c r="C413" s="936" t="s">
        <v>4759</v>
      </c>
      <c r="I413" s="79"/>
      <c r="J413" s="80"/>
      <c r="K413" s="80"/>
    </row>
    <row r="414" ht="12.75" customHeight="1">
      <c r="A414" s="89" t="s">
        <v>404</v>
      </c>
      <c r="B414" s="90" t="s">
        <v>3872</v>
      </c>
      <c r="D414" s="90"/>
      <c r="E414" s="90"/>
      <c r="F414" s="90"/>
      <c r="G414" s="90"/>
      <c r="H414" s="89" t="s">
        <v>75</v>
      </c>
      <c r="I414" s="91">
        <v>1.0</v>
      </c>
      <c r="J414" s="92">
        <v>2212.66</v>
      </c>
      <c r="K414" s="92">
        <v>2212.66</v>
      </c>
    </row>
    <row r="415" ht="12.75" customHeight="1">
      <c r="C415" s="936" t="s">
        <v>4760</v>
      </c>
      <c r="I415" s="79"/>
      <c r="J415" s="80"/>
      <c r="K415" s="80"/>
    </row>
    <row r="416" ht="12.75" customHeight="1">
      <c r="A416" s="89" t="s">
        <v>406</v>
      </c>
      <c r="B416" s="90" t="s">
        <v>3873</v>
      </c>
      <c r="D416" s="90"/>
      <c r="E416" s="90"/>
      <c r="F416" s="90"/>
      <c r="G416" s="90"/>
      <c r="H416" s="89" t="s">
        <v>75</v>
      </c>
      <c r="I416" s="91">
        <v>1.0</v>
      </c>
      <c r="J416" s="92">
        <v>5003.66</v>
      </c>
      <c r="K416" s="92">
        <v>5003.66</v>
      </c>
    </row>
    <row r="417" ht="12.75" customHeight="1">
      <c r="C417" s="936" t="s">
        <v>4761</v>
      </c>
      <c r="I417" s="79"/>
      <c r="J417" s="80"/>
      <c r="K417" s="80"/>
    </row>
    <row r="418" ht="12.75" customHeight="1">
      <c r="A418" s="89" t="s">
        <v>408</v>
      </c>
      <c r="B418" s="90" t="s">
        <v>3874</v>
      </c>
      <c r="D418" s="90"/>
      <c r="E418" s="90"/>
      <c r="F418" s="90"/>
      <c r="G418" s="90"/>
      <c r="H418" s="89" t="s">
        <v>75</v>
      </c>
      <c r="I418" s="91">
        <v>1.0</v>
      </c>
      <c r="J418" s="92">
        <v>2343.99</v>
      </c>
      <c r="K418" s="92">
        <v>2343.99</v>
      </c>
    </row>
    <row r="419" ht="12.75" customHeight="1">
      <c r="C419" s="936" t="s">
        <v>4762</v>
      </c>
      <c r="I419" s="79"/>
      <c r="J419" s="80"/>
      <c r="K419" s="80"/>
    </row>
    <row r="420" ht="12.75" customHeight="1">
      <c r="A420" s="89" t="s">
        <v>410</v>
      </c>
      <c r="B420" s="90" t="s">
        <v>3875</v>
      </c>
      <c r="D420" s="90"/>
      <c r="E420" s="90"/>
      <c r="F420" s="90"/>
      <c r="G420" s="90"/>
      <c r="H420" s="89" t="s">
        <v>75</v>
      </c>
      <c r="I420" s="91">
        <v>1.0</v>
      </c>
      <c r="J420" s="92">
        <v>29659.94</v>
      </c>
      <c r="K420" s="92">
        <v>29659.94</v>
      </c>
    </row>
    <row r="421" ht="12.75" customHeight="1">
      <c r="C421" s="936" t="s">
        <v>4763</v>
      </c>
      <c r="I421" s="79"/>
      <c r="J421" s="80"/>
      <c r="K421" s="80"/>
    </row>
    <row r="422" ht="12.75" customHeight="1">
      <c r="A422" s="89" t="s">
        <v>412</v>
      </c>
      <c r="B422" s="90" t="s">
        <v>3876</v>
      </c>
      <c r="D422" s="90"/>
      <c r="E422" s="90"/>
      <c r="F422" s="90"/>
      <c r="G422" s="90"/>
      <c r="H422" s="89" t="s">
        <v>75</v>
      </c>
      <c r="I422" s="91">
        <v>1.0</v>
      </c>
      <c r="J422" s="92">
        <v>8245.19</v>
      </c>
      <c r="K422" s="92">
        <v>8245.19</v>
      </c>
    </row>
    <row r="423" ht="12.75" customHeight="1">
      <c r="C423" s="936" t="s">
        <v>4764</v>
      </c>
      <c r="I423" s="79"/>
      <c r="J423" s="80"/>
      <c r="K423" s="80"/>
    </row>
    <row r="424" ht="12.75" customHeight="1">
      <c r="A424" s="89" t="s">
        <v>414</v>
      </c>
      <c r="B424" s="90" t="s">
        <v>3877</v>
      </c>
      <c r="D424" s="90"/>
      <c r="E424" s="90"/>
      <c r="F424" s="90"/>
      <c r="G424" s="90"/>
      <c r="H424" s="89" t="s">
        <v>75</v>
      </c>
      <c r="I424" s="91">
        <v>1.0</v>
      </c>
      <c r="J424" s="92">
        <v>6157.46</v>
      </c>
      <c r="K424" s="92">
        <v>6157.46</v>
      </c>
    </row>
    <row r="425" ht="12.75" customHeight="1">
      <c r="C425" s="936" t="s">
        <v>4765</v>
      </c>
      <c r="I425" s="79"/>
      <c r="J425" s="80"/>
      <c r="K425" s="80"/>
    </row>
    <row r="426" ht="12.75" customHeight="1">
      <c r="A426" s="89" t="s">
        <v>416</v>
      </c>
      <c r="B426" s="90" t="s">
        <v>3878</v>
      </c>
      <c r="D426" s="90"/>
      <c r="E426" s="90"/>
      <c r="F426" s="90"/>
      <c r="G426" s="90"/>
      <c r="H426" s="89" t="s">
        <v>75</v>
      </c>
      <c r="I426" s="91">
        <v>1.0</v>
      </c>
      <c r="J426" s="92">
        <v>4489.9</v>
      </c>
      <c r="K426" s="92">
        <v>4489.9</v>
      </c>
    </row>
    <row r="427" ht="12.75" customHeight="1">
      <c r="C427" s="936" t="s">
        <v>4766</v>
      </c>
      <c r="I427" s="79"/>
      <c r="J427" s="80"/>
      <c r="K427" s="80"/>
    </row>
    <row r="428" ht="12.75" customHeight="1">
      <c r="A428" s="89" t="s">
        <v>418</v>
      </c>
      <c r="B428" s="90" t="s">
        <v>3879</v>
      </c>
      <c r="D428" s="90"/>
      <c r="E428" s="90"/>
      <c r="F428" s="90"/>
      <c r="G428" s="90"/>
      <c r="H428" s="89" t="s">
        <v>75</v>
      </c>
      <c r="I428" s="91">
        <v>1.0</v>
      </c>
      <c r="J428" s="92">
        <v>5300.08</v>
      </c>
      <c r="K428" s="92">
        <v>5300.08</v>
      </c>
    </row>
    <row r="429" ht="12.75" customHeight="1">
      <c r="C429" s="936" t="s">
        <v>4767</v>
      </c>
      <c r="I429" s="79"/>
      <c r="J429" s="80"/>
      <c r="K429" s="80"/>
    </row>
    <row r="430" ht="12.75" customHeight="1">
      <c r="A430" s="89" t="s">
        <v>420</v>
      </c>
      <c r="B430" s="90" t="s">
        <v>3880</v>
      </c>
      <c r="D430" s="90"/>
      <c r="E430" s="90"/>
      <c r="F430" s="90"/>
      <c r="G430" s="90"/>
      <c r="H430" s="89" t="s">
        <v>75</v>
      </c>
      <c r="I430" s="91">
        <v>1.0</v>
      </c>
      <c r="J430" s="92">
        <v>5491.28</v>
      </c>
      <c r="K430" s="92">
        <v>5491.28</v>
      </c>
    </row>
    <row r="431" ht="12.75" customHeight="1">
      <c r="C431" s="936" t="s">
        <v>4768</v>
      </c>
      <c r="I431" s="79"/>
      <c r="J431" s="80"/>
      <c r="K431" s="80"/>
    </row>
    <row r="432" ht="12.75" customHeight="1">
      <c r="A432" s="89" t="s">
        <v>422</v>
      </c>
      <c r="B432" s="90" t="s">
        <v>3881</v>
      </c>
      <c r="D432" s="90"/>
      <c r="E432" s="90"/>
      <c r="F432" s="90"/>
      <c r="G432" s="90"/>
      <c r="H432" s="89" t="s">
        <v>75</v>
      </c>
      <c r="I432" s="91">
        <v>1.0</v>
      </c>
      <c r="J432" s="92">
        <v>1697.15</v>
      </c>
      <c r="K432" s="92">
        <v>1697.15</v>
      </c>
    </row>
    <row r="433" ht="12.75" customHeight="1">
      <c r="C433" s="936" t="s">
        <v>4769</v>
      </c>
      <c r="I433" s="79"/>
      <c r="J433" s="80"/>
      <c r="K433" s="80"/>
    </row>
    <row r="434" ht="12.75" customHeight="1">
      <c r="A434" s="89" t="s">
        <v>424</v>
      </c>
      <c r="B434" s="90" t="s">
        <v>3882</v>
      </c>
      <c r="D434" s="90"/>
      <c r="E434" s="90"/>
      <c r="F434" s="90"/>
      <c r="G434" s="90"/>
      <c r="H434" s="89" t="s">
        <v>75</v>
      </c>
      <c r="I434" s="91">
        <v>1.0</v>
      </c>
      <c r="J434" s="92">
        <v>5003.66</v>
      </c>
      <c r="K434" s="92">
        <v>5003.66</v>
      </c>
    </row>
    <row r="435" ht="12.75" customHeight="1">
      <c r="C435" s="936" t="s">
        <v>4770</v>
      </c>
      <c r="I435" s="79"/>
      <c r="J435" s="80"/>
      <c r="K435" s="80"/>
    </row>
    <row r="436" ht="12.75" customHeight="1">
      <c r="A436" s="89" t="s">
        <v>426</v>
      </c>
      <c r="B436" s="90" t="s">
        <v>3883</v>
      </c>
      <c r="D436" s="90"/>
      <c r="E436" s="90"/>
      <c r="F436" s="90"/>
      <c r="G436" s="90"/>
      <c r="H436" s="89" t="s">
        <v>75</v>
      </c>
      <c r="I436" s="91">
        <v>1.0</v>
      </c>
      <c r="J436" s="92">
        <v>1269.31</v>
      </c>
      <c r="K436" s="92">
        <v>1269.31</v>
      </c>
    </row>
    <row r="437" ht="12.75" customHeight="1">
      <c r="C437" s="936" t="s">
        <v>4771</v>
      </c>
      <c r="I437" s="79"/>
      <c r="J437" s="80"/>
      <c r="K437" s="80"/>
    </row>
    <row r="438" ht="12.75" customHeight="1">
      <c r="A438" s="89" t="s">
        <v>428</v>
      </c>
      <c r="B438" s="90" t="s">
        <v>3884</v>
      </c>
      <c r="D438" s="90"/>
      <c r="E438" s="90"/>
      <c r="F438" s="90"/>
      <c r="G438" s="90"/>
      <c r="I438" s="79"/>
      <c r="J438" s="80"/>
      <c r="K438" s="80"/>
    </row>
    <row r="439" ht="12.75" customHeight="1">
      <c r="C439" s="936" t="s">
        <v>4772</v>
      </c>
      <c r="I439" s="79"/>
      <c r="J439" s="80"/>
      <c r="K439" s="80"/>
    </row>
    <row r="440" ht="12.75" customHeight="1">
      <c r="A440" s="89" t="s">
        <v>430</v>
      </c>
      <c r="B440" s="90" t="s">
        <v>3885</v>
      </c>
      <c r="D440" s="90"/>
      <c r="E440" s="90"/>
      <c r="F440" s="90"/>
      <c r="G440" s="90"/>
      <c r="H440" s="89" t="s">
        <v>75</v>
      </c>
      <c r="I440" s="91">
        <v>1.0</v>
      </c>
      <c r="J440" s="92">
        <v>403.01</v>
      </c>
      <c r="K440" s="92">
        <v>403.01</v>
      </c>
    </row>
    <row r="441" ht="12.75" customHeight="1">
      <c r="C441" s="936" t="s">
        <v>4773</v>
      </c>
      <c r="I441" s="79"/>
      <c r="J441" s="80"/>
      <c r="K441" s="80"/>
    </row>
    <row r="442" ht="12.75" customHeight="1">
      <c r="A442" s="89" t="s">
        <v>432</v>
      </c>
      <c r="B442" s="90" t="s">
        <v>2313</v>
      </c>
      <c r="D442" s="90"/>
      <c r="E442" s="90"/>
      <c r="F442" s="90"/>
      <c r="G442" s="90"/>
      <c r="I442" s="79"/>
      <c r="J442" s="80"/>
      <c r="K442" s="80"/>
    </row>
    <row r="443" ht="12.75" customHeight="1">
      <c r="C443" s="936" t="s">
        <v>4774</v>
      </c>
      <c r="I443" s="79"/>
      <c r="J443" s="80"/>
      <c r="K443" s="80"/>
    </row>
    <row r="444" ht="12.75" customHeight="1">
      <c r="A444" s="89" t="s">
        <v>434</v>
      </c>
      <c r="B444" s="90" t="s">
        <v>3886</v>
      </c>
      <c r="D444" s="90"/>
      <c r="E444" s="90"/>
      <c r="F444" s="90"/>
      <c r="G444" s="90"/>
      <c r="I444" s="79"/>
      <c r="J444" s="80"/>
      <c r="K444" s="80"/>
    </row>
    <row r="445" ht="12.75" customHeight="1">
      <c r="C445" s="936" t="s">
        <v>4775</v>
      </c>
      <c r="I445" s="79"/>
      <c r="J445" s="80"/>
      <c r="K445" s="80"/>
    </row>
    <row r="446" ht="12.75" customHeight="1">
      <c r="A446" s="89" t="s">
        <v>436</v>
      </c>
      <c r="B446" s="90" t="s">
        <v>3887</v>
      </c>
      <c r="D446" s="90"/>
      <c r="E446" s="90"/>
      <c r="F446" s="90"/>
      <c r="G446" s="90"/>
      <c r="H446" s="89" t="s">
        <v>75</v>
      </c>
      <c r="I446" s="91">
        <v>1.0</v>
      </c>
      <c r="J446" s="92">
        <v>1435.6</v>
      </c>
      <c r="K446" s="92">
        <v>1435.6</v>
      </c>
    </row>
    <row r="447" ht="12.75" customHeight="1">
      <c r="C447" s="936" t="s">
        <v>4776</v>
      </c>
      <c r="I447" s="79"/>
      <c r="J447" s="80"/>
      <c r="K447" s="80"/>
    </row>
    <row r="448" ht="12.75" customHeight="1">
      <c r="A448" s="89" t="s">
        <v>438</v>
      </c>
      <c r="B448" s="90" t="s">
        <v>3888</v>
      </c>
      <c r="D448" s="90"/>
      <c r="E448" s="90"/>
      <c r="F448" s="90"/>
      <c r="G448" s="90"/>
      <c r="I448" s="79"/>
      <c r="J448" s="80"/>
      <c r="K448" s="80"/>
    </row>
    <row r="449" ht="12.75" customHeight="1">
      <c r="C449" s="936" t="s">
        <v>4777</v>
      </c>
      <c r="I449" s="79"/>
      <c r="J449" s="80"/>
      <c r="K449" s="80"/>
    </row>
    <row r="450" ht="12.75" customHeight="1">
      <c r="A450" s="89" t="s">
        <v>440</v>
      </c>
      <c r="B450" s="90" t="s">
        <v>3889</v>
      </c>
      <c r="D450" s="90"/>
      <c r="E450" s="90"/>
      <c r="F450" s="90"/>
      <c r="G450" s="90"/>
      <c r="H450" s="89" t="s">
        <v>75</v>
      </c>
      <c r="I450" s="91">
        <v>1.0</v>
      </c>
      <c r="J450" s="92">
        <v>1435.6</v>
      </c>
      <c r="K450" s="92">
        <v>1435.6</v>
      </c>
    </row>
    <row r="451" ht="12.75" customHeight="1">
      <c r="C451" s="936" t="s">
        <v>4778</v>
      </c>
      <c r="I451" s="79"/>
      <c r="J451" s="80"/>
      <c r="K451" s="80"/>
    </row>
    <row r="452" ht="12.75" customHeight="1">
      <c r="A452" s="89" t="s">
        <v>442</v>
      </c>
      <c r="B452" s="90" t="s">
        <v>3890</v>
      </c>
      <c r="D452" s="90"/>
      <c r="E452" s="90"/>
      <c r="F452" s="90"/>
      <c r="G452" s="90"/>
      <c r="I452" s="79"/>
      <c r="J452" s="80"/>
      <c r="K452" s="80"/>
    </row>
    <row r="453" ht="12.75" customHeight="1">
      <c r="C453" s="936" t="s">
        <v>4779</v>
      </c>
      <c r="I453" s="79"/>
      <c r="J453" s="80"/>
      <c r="K453" s="80"/>
    </row>
    <row r="454" ht="12.75" customHeight="1">
      <c r="A454" s="89" t="s">
        <v>444</v>
      </c>
      <c r="B454" s="90" t="s">
        <v>3891</v>
      </c>
      <c r="D454" s="90"/>
      <c r="E454" s="90"/>
      <c r="F454" s="90"/>
      <c r="G454" s="90"/>
      <c r="H454" s="89" t="s">
        <v>75</v>
      </c>
      <c r="I454" s="91">
        <v>1.0</v>
      </c>
      <c r="J454" s="92">
        <v>1507.46</v>
      </c>
      <c r="K454" s="92">
        <v>1507.46</v>
      </c>
    </row>
    <row r="455" ht="12.75" customHeight="1">
      <c r="C455" s="936" t="s">
        <v>4780</v>
      </c>
      <c r="I455" s="79"/>
      <c r="J455" s="80"/>
      <c r="K455" s="80"/>
    </row>
    <row r="456" ht="12.75" customHeight="1">
      <c r="A456" s="89" t="s">
        <v>446</v>
      </c>
      <c r="B456" s="90" t="s">
        <v>3892</v>
      </c>
      <c r="D456" s="90"/>
      <c r="E456" s="90"/>
      <c r="F456" s="90"/>
      <c r="G456" s="90"/>
      <c r="H456" s="89" t="s">
        <v>75</v>
      </c>
      <c r="I456" s="91">
        <v>1.0</v>
      </c>
      <c r="J456" s="92">
        <v>1507.46</v>
      </c>
      <c r="K456" s="92">
        <v>1507.46</v>
      </c>
    </row>
    <row r="457" ht="12.75" customHeight="1">
      <c r="C457" s="936" t="s">
        <v>4781</v>
      </c>
      <c r="I457" s="79"/>
      <c r="J457" s="80"/>
      <c r="K457" s="80"/>
    </row>
    <row r="458" ht="12.75" customHeight="1">
      <c r="A458" s="89" t="s">
        <v>448</v>
      </c>
      <c r="B458" s="90" t="s">
        <v>3893</v>
      </c>
      <c r="D458" s="90"/>
      <c r="E458" s="90"/>
      <c r="F458" s="90"/>
      <c r="G458" s="90"/>
      <c r="I458" s="79"/>
      <c r="J458" s="80"/>
      <c r="K458" s="80"/>
    </row>
    <row r="459" ht="12.75" customHeight="1">
      <c r="C459" s="936" t="s">
        <v>4782</v>
      </c>
      <c r="I459" s="79"/>
      <c r="J459" s="80"/>
      <c r="K459" s="80"/>
    </row>
    <row r="460" ht="12.75" customHeight="1">
      <c r="A460" s="89" t="s">
        <v>450</v>
      </c>
      <c r="B460" s="90" t="s">
        <v>3894</v>
      </c>
      <c r="D460" s="90"/>
      <c r="E460" s="90"/>
      <c r="F460" s="90"/>
      <c r="G460" s="90"/>
      <c r="H460" s="89" t="s">
        <v>75</v>
      </c>
      <c r="I460" s="91">
        <v>1.0</v>
      </c>
      <c r="J460" s="92">
        <v>1432.24</v>
      </c>
      <c r="K460" s="92">
        <v>1432.24</v>
      </c>
    </row>
    <row r="461" ht="12.75" customHeight="1">
      <c r="C461" s="936" t="s">
        <v>4783</v>
      </c>
      <c r="I461" s="79"/>
      <c r="J461" s="80"/>
      <c r="K461" s="80"/>
    </row>
    <row r="462" ht="12.75" customHeight="1">
      <c r="A462" s="89" t="s">
        <v>452</v>
      </c>
      <c r="B462" s="90" t="s">
        <v>3895</v>
      </c>
      <c r="D462" s="90"/>
      <c r="E462" s="90"/>
      <c r="F462" s="90"/>
      <c r="G462" s="90"/>
      <c r="I462" s="79"/>
      <c r="J462" s="80"/>
      <c r="K462" s="80"/>
    </row>
    <row r="463" ht="12.75" customHeight="1">
      <c r="C463" s="936" t="s">
        <v>4784</v>
      </c>
      <c r="I463" s="79"/>
      <c r="J463" s="80"/>
      <c r="K463" s="80"/>
    </row>
    <row r="464" ht="12.75" customHeight="1">
      <c r="A464" s="89" t="s">
        <v>454</v>
      </c>
      <c r="B464" s="90" t="s">
        <v>3896</v>
      </c>
      <c r="D464" s="90"/>
      <c r="E464" s="90"/>
      <c r="F464" s="90"/>
      <c r="G464" s="90"/>
      <c r="H464" s="89" t="s">
        <v>75</v>
      </c>
      <c r="I464" s="91">
        <v>1.0</v>
      </c>
      <c r="J464" s="92">
        <v>1275.9</v>
      </c>
      <c r="K464" s="92">
        <v>1275.9</v>
      </c>
    </row>
    <row r="465" ht="12.75" customHeight="1">
      <c r="C465" s="936" t="s">
        <v>4785</v>
      </c>
      <c r="I465" s="79"/>
      <c r="J465" s="80"/>
      <c r="K465" s="80"/>
    </row>
    <row r="466" ht="12.75" customHeight="1">
      <c r="A466" s="89" t="s">
        <v>456</v>
      </c>
      <c r="B466" s="90" t="s">
        <v>3897</v>
      </c>
      <c r="D466" s="90"/>
      <c r="E466" s="90"/>
      <c r="F466" s="90"/>
      <c r="G466" s="90"/>
      <c r="I466" s="79"/>
      <c r="J466" s="80"/>
      <c r="K466" s="80"/>
    </row>
    <row r="467" ht="12.75" customHeight="1">
      <c r="C467" s="936" t="s">
        <v>4786</v>
      </c>
      <c r="I467" s="79"/>
      <c r="J467" s="80"/>
      <c r="K467" s="80"/>
    </row>
    <row r="468" ht="12.75" customHeight="1">
      <c r="A468" s="89" t="s">
        <v>458</v>
      </c>
      <c r="B468" s="90" t="s">
        <v>3898</v>
      </c>
      <c r="D468" s="90"/>
      <c r="E468" s="90"/>
      <c r="F468" s="90"/>
      <c r="G468" s="90"/>
      <c r="H468" s="89" t="s">
        <v>75</v>
      </c>
      <c r="I468" s="91">
        <v>1.0</v>
      </c>
      <c r="J468" s="92">
        <v>1430.56</v>
      </c>
      <c r="K468" s="92">
        <v>1430.56</v>
      </c>
    </row>
    <row r="469" ht="12.75" customHeight="1">
      <c r="C469" s="936" t="s">
        <v>4787</v>
      </c>
      <c r="I469" s="79"/>
      <c r="J469" s="80"/>
      <c r="K469" s="80"/>
    </row>
    <row r="470" ht="12.75" customHeight="1">
      <c r="A470" s="89" t="s">
        <v>460</v>
      </c>
      <c r="B470" s="90" t="s">
        <v>3899</v>
      </c>
      <c r="D470" s="90"/>
      <c r="E470" s="90"/>
      <c r="F470" s="90"/>
      <c r="G470" s="90"/>
      <c r="H470" s="89" t="s">
        <v>75</v>
      </c>
      <c r="I470" s="91">
        <v>1.0</v>
      </c>
      <c r="J470" s="92">
        <v>3363.74</v>
      </c>
      <c r="K470" s="92">
        <v>3363.74</v>
      </c>
    </row>
    <row r="471" ht="12.75" customHeight="1">
      <c r="C471" s="936" t="s">
        <v>4788</v>
      </c>
      <c r="I471" s="79"/>
      <c r="J471" s="80"/>
      <c r="K471" s="80"/>
    </row>
    <row r="472" ht="12.75" customHeight="1">
      <c r="A472" s="89" t="s">
        <v>462</v>
      </c>
      <c r="B472" s="90" t="s">
        <v>3900</v>
      </c>
      <c r="D472" s="90"/>
      <c r="E472" s="90"/>
      <c r="F472" s="90"/>
      <c r="G472" s="90"/>
      <c r="H472" s="89" t="s">
        <v>75</v>
      </c>
      <c r="I472" s="91">
        <v>1.0</v>
      </c>
      <c r="J472" s="92">
        <v>1386.85</v>
      </c>
      <c r="K472" s="92">
        <v>1386.85</v>
      </c>
    </row>
    <row r="473" ht="12.75" customHeight="1">
      <c r="C473" s="936" t="s">
        <v>4789</v>
      </c>
      <c r="I473" s="79"/>
      <c r="J473" s="80"/>
      <c r="K473" s="80"/>
    </row>
    <row r="474" ht="12.75" customHeight="1">
      <c r="A474" s="89" t="s">
        <v>464</v>
      </c>
      <c r="B474" s="90" t="s">
        <v>2344</v>
      </c>
      <c r="D474" s="90"/>
      <c r="E474" s="90"/>
      <c r="F474" s="90"/>
      <c r="G474" s="90"/>
      <c r="I474" s="79"/>
      <c r="J474" s="80"/>
      <c r="K474" s="80"/>
    </row>
    <row r="475" ht="12.75" customHeight="1">
      <c r="C475" s="936" t="s">
        <v>4790</v>
      </c>
      <c r="I475" s="79"/>
      <c r="J475" s="80"/>
      <c r="K475" s="80"/>
    </row>
    <row r="476" ht="12.75" customHeight="1">
      <c r="A476" s="89" t="s">
        <v>466</v>
      </c>
      <c r="B476" s="90" t="s">
        <v>3901</v>
      </c>
      <c r="D476" s="90"/>
      <c r="E476" s="90"/>
      <c r="F476" s="90"/>
      <c r="G476" s="90"/>
      <c r="I476" s="79"/>
      <c r="J476" s="80"/>
      <c r="K476" s="80"/>
    </row>
    <row r="477" ht="12.75" customHeight="1">
      <c r="C477" s="936" t="s">
        <v>4791</v>
      </c>
      <c r="I477" s="79"/>
      <c r="J477" s="80"/>
      <c r="K477" s="80"/>
    </row>
    <row r="478" ht="12.75" customHeight="1">
      <c r="A478" s="89" t="s">
        <v>468</v>
      </c>
      <c r="B478" s="90" t="s">
        <v>3902</v>
      </c>
      <c r="D478" s="90"/>
      <c r="E478" s="90"/>
      <c r="F478" s="90"/>
      <c r="G478" s="90"/>
      <c r="H478" s="89" t="s">
        <v>75</v>
      </c>
      <c r="I478" s="91">
        <v>1.0</v>
      </c>
      <c r="J478" s="92">
        <v>1913.56</v>
      </c>
      <c r="K478" s="92">
        <v>1913.56</v>
      </c>
    </row>
    <row r="479" ht="12.75" customHeight="1">
      <c r="C479" s="936" t="s">
        <v>4792</v>
      </c>
      <c r="I479" s="79"/>
      <c r="J479" s="80"/>
      <c r="K479" s="80"/>
    </row>
    <row r="480" ht="12.75" customHeight="1">
      <c r="A480" s="89" t="s">
        <v>470</v>
      </c>
      <c r="B480" s="90" t="s">
        <v>2349</v>
      </c>
      <c r="D480" s="90"/>
      <c r="E480" s="90"/>
      <c r="F480" s="90"/>
      <c r="G480" s="90"/>
      <c r="I480" s="79"/>
      <c r="J480" s="80"/>
      <c r="K480" s="80"/>
    </row>
    <row r="481" ht="12.75" customHeight="1">
      <c r="C481" s="936" t="s">
        <v>4793</v>
      </c>
      <c r="I481" s="79"/>
      <c r="J481" s="80"/>
      <c r="K481" s="80"/>
    </row>
    <row r="482" ht="12.75" customHeight="1">
      <c r="A482" s="89" t="s">
        <v>472</v>
      </c>
      <c r="B482" s="90" t="s">
        <v>3903</v>
      </c>
      <c r="D482" s="90"/>
      <c r="E482" s="90"/>
      <c r="F482" s="90"/>
      <c r="G482" s="90"/>
      <c r="I482" s="79"/>
      <c r="J482" s="80"/>
      <c r="K482" s="80"/>
    </row>
    <row r="483" ht="12.75" customHeight="1">
      <c r="C483" s="936" t="s">
        <v>4794</v>
      </c>
      <c r="I483" s="79"/>
      <c r="J483" s="80"/>
      <c r="K483" s="80"/>
    </row>
    <row r="484" ht="12.75" customHeight="1">
      <c r="A484" s="89" t="s">
        <v>474</v>
      </c>
      <c r="B484" s="90" t="s">
        <v>3904</v>
      </c>
      <c r="D484" s="90"/>
      <c r="E484" s="90"/>
      <c r="F484" s="90"/>
      <c r="G484" s="90"/>
      <c r="H484" s="89" t="s">
        <v>75</v>
      </c>
      <c r="I484" s="91">
        <v>1.0</v>
      </c>
      <c r="J484" s="92">
        <v>4214.86</v>
      </c>
      <c r="K484" s="92">
        <v>4214.86</v>
      </c>
    </row>
    <row r="485" ht="12.75" customHeight="1">
      <c r="C485" s="936" t="s">
        <v>4795</v>
      </c>
      <c r="I485" s="79"/>
      <c r="J485" s="80"/>
      <c r="K485" s="80"/>
    </row>
    <row r="486" ht="12.75" customHeight="1">
      <c r="A486" s="89" t="s">
        <v>476</v>
      </c>
      <c r="B486" s="90" t="s">
        <v>2353</v>
      </c>
      <c r="D486" s="90"/>
      <c r="E486" s="90"/>
      <c r="F486" s="90"/>
      <c r="G486" s="90"/>
      <c r="I486" s="79"/>
      <c r="J486" s="80"/>
      <c r="K486" s="80"/>
    </row>
    <row r="487" ht="12.75" customHeight="1">
      <c r="C487" s="936" t="s">
        <v>4796</v>
      </c>
      <c r="I487" s="79"/>
      <c r="J487" s="80"/>
      <c r="K487" s="80"/>
    </row>
    <row r="488" ht="12.75" customHeight="1">
      <c r="A488" s="89" t="s">
        <v>478</v>
      </c>
      <c r="B488" s="90" t="s">
        <v>3905</v>
      </c>
      <c r="D488" s="90"/>
      <c r="E488" s="90"/>
      <c r="F488" s="90"/>
      <c r="G488" s="90"/>
      <c r="H488" s="89" t="s">
        <v>227</v>
      </c>
      <c r="I488" s="91">
        <v>1.0</v>
      </c>
      <c r="J488" s="92">
        <v>38793.0</v>
      </c>
      <c r="K488" s="92">
        <v>38793.0</v>
      </c>
    </row>
    <row r="489" ht="12.75" customHeight="1">
      <c r="C489" s="936" t="s">
        <v>4797</v>
      </c>
      <c r="I489" s="79"/>
      <c r="J489" s="80"/>
      <c r="K489" s="80"/>
    </row>
    <row r="490" ht="12.75" customHeight="1">
      <c r="A490" s="89" t="s">
        <v>480</v>
      </c>
      <c r="B490" s="90" t="s">
        <v>2356</v>
      </c>
      <c r="D490" s="90"/>
      <c r="E490" s="90"/>
      <c r="F490" s="90"/>
      <c r="G490" s="90"/>
      <c r="I490" s="79"/>
      <c r="J490" s="80"/>
      <c r="K490" s="80"/>
    </row>
    <row r="491" ht="12.75" customHeight="1">
      <c r="C491" s="936" t="s">
        <v>4798</v>
      </c>
      <c r="I491" s="79"/>
      <c r="J491" s="80"/>
      <c r="K491" s="80"/>
    </row>
    <row r="492" ht="12.75" customHeight="1">
      <c r="A492" s="89" t="s">
        <v>482</v>
      </c>
      <c r="B492" s="90" t="s">
        <v>3906</v>
      </c>
      <c r="D492" s="90"/>
      <c r="E492" s="90"/>
      <c r="F492" s="90"/>
      <c r="G492" s="90"/>
      <c r="I492" s="79"/>
      <c r="J492" s="80"/>
      <c r="K492" s="80"/>
    </row>
    <row r="493" ht="12.75" customHeight="1">
      <c r="C493" s="936" t="s">
        <v>4799</v>
      </c>
      <c r="I493" s="79"/>
      <c r="J493" s="80"/>
      <c r="K493" s="80"/>
    </row>
    <row r="494" ht="12.75" customHeight="1">
      <c r="A494" s="89" t="s">
        <v>484</v>
      </c>
      <c r="B494" s="90" t="s">
        <v>3907</v>
      </c>
      <c r="D494" s="90"/>
      <c r="E494" s="90"/>
      <c r="F494" s="90"/>
      <c r="G494" s="90"/>
      <c r="H494" s="89" t="s">
        <v>75</v>
      </c>
      <c r="I494" s="91">
        <v>1.0</v>
      </c>
      <c r="J494" s="92">
        <v>3106.17</v>
      </c>
      <c r="K494" s="92">
        <v>3106.17</v>
      </c>
    </row>
    <row r="495" ht="12.75" customHeight="1">
      <c r="C495" s="936" t="s">
        <v>4800</v>
      </c>
      <c r="I495" s="79"/>
      <c r="J495" s="80"/>
      <c r="K495" s="80"/>
    </row>
    <row r="496" ht="12.75" customHeight="1">
      <c r="A496" s="89" t="s">
        <v>486</v>
      </c>
      <c r="B496" s="90" t="s">
        <v>3908</v>
      </c>
      <c r="D496" s="90"/>
      <c r="E496" s="90"/>
      <c r="F496" s="90"/>
      <c r="G496" s="90"/>
      <c r="H496" s="89" t="s">
        <v>75</v>
      </c>
      <c r="I496" s="91">
        <v>1.0</v>
      </c>
      <c r="J496" s="92">
        <v>3171.27</v>
      </c>
      <c r="K496" s="92">
        <v>3171.27</v>
      </c>
    </row>
    <row r="497" ht="12.75" customHeight="1">
      <c r="C497" s="936" t="s">
        <v>4801</v>
      </c>
      <c r="I497" s="79"/>
      <c r="J497" s="80"/>
      <c r="K497" s="80"/>
    </row>
    <row r="498" ht="12.75" customHeight="1">
      <c r="A498" s="89" t="s">
        <v>488</v>
      </c>
      <c r="B498" s="90" t="s">
        <v>3909</v>
      </c>
      <c r="D498" s="90"/>
      <c r="E498" s="90"/>
      <c r="F498" s="90"/>
      <c r="G498" s="90"/>
      <c r="H498" s="89" t="s">
        <v>75</v>
      </c>
      <c r="I498" s="91">
        <v>1.0</v>
      </c>
      <c r="J498" s="92">
        <v>2283.49</v>
      </c>
      <c r="K498" s="92">
        <v>2283.49</v>
      </c>
    </row>
    <row r="499" ht="12.75" customHeight="1">
      <c r="C499" s="936" t="s">
        <v>8018</v>
      </c>
      <c r="I499" s="79"/>
      <c r="J499" s="80"/>
      <c r="K499" s="80"/>
    </row>
    <row r="500" ht="12.75" customHeight="1">
      <c r="A500" s="89" t="s">
        <v>490</v>
      </c>
      <c r="B500" s="90" t="s">
        <v>3910</v>
      </c>
      <c r="C500" s="936" t="s">
        <v>8019</v>
      </c>
      <c r="D500" s="90"/>
      <c r="E500" s="90"/>
      <c r="F500" s="90"/>
      <c r="G500" s="90"/>
      <c r="H500" s="89" t="s">
        <v>75</v>
      </c>
      <c r="I500" s="91">
        <v>1.0</v>
      </c>
      <c r="J500" s="92">
        <v>3402.81</v>
      </c>
      <c r="K500" s="92">
        <v>3402.81</v>
      </c>
    </row>
    <row r="501" ht="12.75" customHeight="1">
      <c r="I501" s="79"/>
      <c r="J501" s="80"/>
      <c r="K501" s="80"/>
    </row>
    <row r="502" ht="12.75" customHeight="1">
      <c r="A502" s="89" t="s">
        <v>492</v>
      </c>
      <c r="B502" s="90" t="s">
        <v>3911</v>
      </c>
      <c r="C502" s="936" t="s">
        <v>4804</v>
      </c>
      <c r="D502" s="90"/>
      <c r="E502" s="90"/>
      <c r="F502" s="90"/>
      <c r="G502" s="90"/>
      <c r="H502" s="89" t="s">
        <v>75</v>
      </c>
      <c r="I502" s="91">
        <v>1.0</v>
      </c>
      <c r="J502" s="92">
        <v>1164.15</v>
      </c>
      <c r="K502" s="92">
        <v>1164.15</v>
      </c>
    </row>
    <row r="503" ht="12.75" customHeight="1">
      <c r="I503" s="79"/>
      <c r="J503" s="80"/>
      <c r="K503" s="80"/>
    </row>
    <row r="504" ht="12.75" customHeight="1">
      <c r="A504" s="89" t="s">
        <v>494</v>
      </c>
      <c r="B504" s="90" t="s">
        <v>3912</v>
      </c>
      <c r="C504" s="936" t="s">
        <v>4805</v>
      </c>
      <c r="D504" s="90"/>
      <c r="E504" s="90"/>
      <c r="F504" s="90"/>
      <c r="G504" s="90"/>
      <c r="H504" s="89" t="s">
        <v>75</v>
      </c>
      <c r="I504" s="91">
        <v>1.0</v>
      </c>
      <c r="J504" s="92">
        <v>1914.29</v>
      </c>
      <c r="K504" s="92">
        <v>1914.29</v>
      </c>
    </row>
    <row r="505" ht="12.75" customHeight="1">
      <c r="I505" s="79"/>
      <c r="J505" s="80"/>
      <c r="K505" s="80"/>
    </row>
    <row r="506" ht="12.75" customHeight="1">
      <c r="A506" s="89" t="s">
        <v>470</v>
      </c>
      <c r="B506" s="90" t="s">
        <v>2370</v>
      </c>
      <c r="C506" s="936" t="s">
        <v>4806</v>
      </c>
      <c r="D506" s="90"/>
      <c r="E506" s="90"/>
      <c r="F506" s="90"/>
      <c r="G506" s="90"/>
      <c r="I506" s="79"/>
      <c r="J506" s="80"/>
      <c r="K506" s="80"/>
    </row>
    <row r="507" ht="12.75" customHeight="1">
      <c r="I507" s="79"/>
      <c r="J507" s="80"/>
      <c r="K507" s="80"/>
    </row>
    <row r="508" ht="12.75" customHeight="1">
      <c r="A508" s="89" t="s">
        <v>472</v>
      </c>
      <c r="B508" s="90" t="s">
        <v>3913</v>
      </c>
      <c r="C508" s="936" t="s">
        <v>4807</v>
      </c>
      <c r="D508" s="90"/>
      <c r="E508" s="90"/>
      <c r="F508" s="90"/>
      <c r="G508" s="90"/>
      <c r="I508" s="79"/>
      <c r="J508" s="80"/>
      <c r="K508" s="80"/>
    </row>
    <row r="509" ht="12.75" customHeight="1">
      <c r="I509" s="79"/>
      <c r="J509" s="80"/>
      <c r="K509" s="80"/>
    </row>
    <row r="510" ht="12.75" customHeight="1">
      <c r="A510" s="89" t="s">
        <v>474</v>
      </c>
      <c r="B510" s="90" t="s">
        <v>3914</v>
      </c>
      <c r="C510" s="936" t="s">
        <v>4808</v>
      </c>
      <c r="D510" s="90"/>
      <c r="E510" s="90"/>
      <c r="F510" s="90"/>
      <c r="G510" s="90"/>
      <c r="H510" s="89" t="s">
        <v>161</v>
      </c>
      <c r="I510" s="91">
        <v>4.53</v>
      </c>
      <c r="J510" s="92">
        <v>161.64</v>
      </c>
      <c r="K510" s="92">
        <v>732.23</v>
      </c>
    </row>
    <row r="511" ht="12.75" customHeight="1">
      <c r="I511" s="79"/>
      <c r="J511" s="80"/>
      <c r="K511" s="80"/>
    </row>
    <row r="512" ht="12.75" customHeight="1">
      <c r="A512" s="89" t="s">
        <v>499</v>
      </c>
      <c r="B512" s="90" t="s">
        <v>3915</v>
      </c>
      <c r="C512" s="936" t="s">
        <v>4809</v>
      </c>
      <c r="D512" s="90"/>
      <c r="E512" s="90"/>
      <c r="F512" s="90"/>
      <c r="G512" s="90"/>
      <c r="H512" s="89" t="s">
        <v>161</v>
      </c>
      <c r="I512" s="91">
        <v>8.7</v>
      </c>
      <c r="J512" s="92">
        <v>161.64</v>
      </c>
      <c r="K512" s="92">
        <v>1406.27</v>
      </c>
    </row>
    <row r="513" ht="12.75" customHeight="1">
      <c r="I513" s="79"/>
      <c r="J513" s="80"/>
      <c r="K513" s="80"/>
    </row>
    <row r="514" ht="12.75" customHeight="1">
      <c r="A514" s="89" t="s">
        <v>501</v>
      </c>
      <c r="B514" s="90" t="s">
        <v>3916</v>
      </c>
      <c r="C514" s="936" t="s">
        <v>4810</v>
      </c>
      <c r="D514" s="90"/>
      <c r="E514" s="90"/>
      <c r="F514" s="90"/>
      <c r="G514" s="90"/>
      <c r="H514" s="89" t="s">
        <v>161</v>
      </c>
      <c r="I514" s="91">
        <v>14.0</v>
      </c>
      <c r="J514" s="92">
        <v>161.64</v>
      </c>
      <c r="K514" s="92">
        <v>2262.96</v>
      </c>
    </row>
    <row r="515" ht="12.75" customHeight="1">
      <c r="I515" s="79"/>
      <c r="J515" s="80"/>
      <c r="K515" s="80"/>
    </row>
    <row r="516" ht="12.75" customHeight="1">
      <c r="A516" s="89" t="s">
        <v>503</v>
      </c>
      <c r="B516" s="90" t="s">
        <v>3917</v>
      </c>
      <c r="C516" s="936" t="s">
        <v>4811</v>
      </c>
      <c r="D516" s="90"/>
      <c r="E516" s="90"/>
      <c r="F516" s="90"/>
      <c r="G516" s="90"/>
      <c r="H516" s="89" t="s">
        <v>161</v>
      </c>
      <c r="I516" s="91">
        <v>8.44</v>
      </c>
      <c r="J516" s="92">
        <v>161.64</v>
      </c>
      <c r="K516" s="92">
        <v>1364.24</v>
      </c>
    </row>
    <row r="517" ht="12.75" customHeight="1">
      <c r="I517" s="79"/>
      <c r="J517" s="80"/>
      <c r="K517" s="80"/>
    </row>
    <row r="518" ht="12.75" customHeight="1">
      <c r="A518" s="89" t="s">
        <v>505</v>
      </c>
      <c r="B518" s="90" t="s">
        <v>3918</v>
      </c>
      <c r="C518" s="936" t="s">
        <v>8020</v>
      </c>
      <c r="D518" s="90"/>
      <c r="E518" s="90"/>
      <c r="F518" s="90"/>
      <c r="G518" s="90"/>
      <c r="I518" s="79"/>
      <c r="J518" s="80"/>
      <c r="K518" s="80"/>
    </row>
    <row r="519" ht="12.75" customHeight="1">
      <c r="I519" s="79"/>
      <c r="J519" s="80"/>
      <c r="K519" s="80"/>
    </row>
    <row r="520" ht="12.75" customHeight="1">
      <c r="A520" s="89" t="s">
        <v>507</v>
      </c>
      <c r="B520" s="90" t="s">
        <v>3919</v>
      </c>
      <c r="C520" s="936" t="s">
        <v>4813</v>
      </c>
      <c r="D520" s="90"/>
      <c r="E520" s="90"/>
      <c r="F520" s="90"/>
      <c r="G520" s="90"/>
      <c r="H520" s="89" t="s">
        <v>161</v>
      </c>
      <c r="I520" s="91">
        <v>2.65</v>
      </c>
      <c r="J520" s="92">
        <v>484.91</v>
      </c>
      <c r="K520" s="92">
        <v>1285.01</v>
      </c>
    </row>
    <row r="521" ht="12.75" customHeight="1">
      <c r="I521" s="79"/>
      <c r="J521" s="80"/>
      <c r="K521" s="80"/>
    </row>
    <row r="522" ht="12.75" customHeight="1">
      <c r="A522" s="89" t="s">
        <v>509</v>
      </c>
      <c r="B522" s="90" t="s">
        <v>3920</v>
      </c>
      <c r="C522" s="936" t="s">
        <v>4814</v>
      </c>
      <c r="D522" s="90"/>
      <c r="E522" s="90"/>
      <c r="F522" s="90"/>
      <c r="G522" s="90"/>
      <c r="H522" s="89" t="s">
        <v>161</v>
      </c>
      <c r="I522" s="91">
        <v>25.15</v>
      </c>
      <c r="J522" s="92">
        <v>484.91</v>
      </c>
      <c r="K522" s="92">
        <v>12195.49</v>
      </c>
    </row>
    <row r="523" ht="12.75" customHeight="1">
      <c r="I523" s="79"/>
      <c r="J523" s="80"/>
      <c r="K523" s="80"/>
    </row>
    <row r="524" ht="12.75" customHeight="1">
      <c r="A524" s="89" t="s">
        <v>476</v>
      </c>
      <c r="B524" s="90" t="s">
        <v>3921</v>
      </c>
      <c r="C524" s="936" t="s">
        <v>4815</v>
      </c>
      <c r="D524" s="90"/>
      <c r="E524" s="90"/>
      <c r="F524" s="90"/>
      <c r="G524" s="90"/>
      <c r="I524" s="79"/>
      <c r="J524" s="80"/>
      <c r="K524" s="80"/>
    </row>
    <row r="525" ht="12.75" customHeight="1">
      <c r="I525" s="79"/>
      <c r="J525" s="80"/>
      <c r="K525" s="80"/>
    </row>
    <row r="526" ht="12.75" customHeight="1">
      <c r="A526" s="89" t="s">
        <v>478</v>
      </c>
      <c r="B526" s="90" t="s">
        <v>3922</v>
      </c>
      <c r="C526" s="936" t="s">
        <v>4816</v>
      </c>
      <c r="D526" s="90"/>
      <c r="E526" s="90"/>
      <c r="F526" s="90"/>
      <c r="G526" s="90"/>
      <c r="I526" s="79"/>
      <c r="J526" s="80"/>
      <c r="K526" s="80"/>
    </row>
    <row r="527" ht="12.75" customHeight="1">
      <c r="I527" s="79"/>
      <c r="J527" s="80"/>
      <c r="K527" s="80"/>
    </row>
    <row r="528" ht="12.75" customHeight="1">
      <c r="A528" s="89" t="s">
        <v>513</v>
      </c>
      <c r="B528" s="90" t="s">
        <v>3923</v>
      </c>
      <c r="C528" s="936" t="s">
        <v>4817</v>
      </c>
      <c r="D528" s="90"/>
      <c r="E528" s="90"/>
      <c r="F528" s="90"/>
      <c r="G528" s="90"/>
      <c r="H528" s="89" t="s">
        <v>40</v>
      </c>
      <c r="I528" s="91">
        <v>70.44</v>
      </c>
      <c r="J528" s="92">
        <v>232.76</v>
      </c>
      <c r="K528" s="92">
        <v>16395.61</v>
      </c>
    </row>
    <row r="529" ht="12.75" customHeight="1">
      <c r="I529" s="79"/>
      <c r="J529" s="80"/>
      <c r="K529" s="80"/>
    </row>
    <row r="530" ht="12.75" customHeight="1">
      <c r="A530" s="89" t="s">
        <v>515</v>
      </c>
      <c r="B530" s="90" t="s">
        <v>3924</v>
      </c>
      <c r="C530" s="936" t="s">
        <v>4818</v>
      </c>
      <c r="D530" s="90"/>
      <c r="E530" s="90"/>
      <c r="F530" s="90"/>
      <c r="G530" s="90"/>
      <c r="I530" s="79"/>
      <c r="J530" s="80"/>
      <c r="K530" s="80"/>
    </row>
    <row r="531" ht="12.75" customHeight="1">
      <c r="I531" s="79"/>
      <c r="J531" s="80"/>
      <c r="K531" s="80"/>
    </row>
    <row r="532" ht="12.75" customHeight="1">
      <c r="A532" s="89" t="s">
        <v>517</v>
      </c>
      <c r="B532" s="90" t="s">
        <v>3925</v>
      </c>
      <c r="C532" s="936" t="s">
        <v>4819</v>
      </c>
      <c r="D532" s="90"/>
      <c r="E532" s="90"/>
      <c r="F532" s="90"/>
      <c r="G532" s="90"/>
      <c r="H532" s="89" t="s">
        <v>40</v>
      </c>
      <c r="I532" s="91">
        <v>39.46</v>
      </c>
      <c r="J532" s="92">
        <v>232.76</v>
      </c>
      <c r="K532" s="92">
        <v>9184.71</v>
      </c>
    </row>
    <row r="533" ht="12.75" customHeight="1">
      <c r="I533" s="79"/>
      <c r="J533" s="80"/>
      <c r="K533" s="80"/>
    </row>
    <row r="534" ht="12.75" customHeight="1">
      <c r="A534" s="89" t="s">
        <v>519</v>
      </c>
      <c r="B534" s="90" t="s">
        <v>3926</v>
      </c>
      <c r="C534" s="936" t="s">
        <v>4820</v>
      </c>
      <c r="D534" s="90"/>
      <c r="E534" s="90"/>
      <c r="F534" s="90"/>
      <c r="G534" s="90"/>
      <c r="I534" s="79"/>
      <c r="J534" s="80"/>
      <c r="K534" s="80"/>
    </row>
    <row r="535" ht="12.75" customHeight="1">
      <c r="I535" s="79"/>
      <c r="J535" s="80"/>
      <c r="K535" s="80"/>
    </row>
    <row r="536" ht="12.75" customHeight="1">
      <c r="A536" s="89" t="s">
        <v>521</v>
      </c>
      <c r="B536" s="90" t="s">
        <v>3927</v>
      </c>
      <c r="C536" s="936" t="s">
        <v>8021</v>
      </c>
      <c r="D536" s="90"/>
      <c r="E536" s="90"/>
      <c r="F536" s="90"/>
      <c r="G536" s="90"/>
      <c r="H536" s="89" t="s">
        <v>40</v>
      </c>
      <c r="I536" s="91">
        <v>40.81</v>
      </c>
      <c r="J536" s="92">
        <v>232.76</v>
      </c>
      <c r="K536" s="92">
        <v>9498.94</v>
      </c>
    </row>
    <row r="537" ht="12.75" customHeight="1">
      <c r="I537" s="79"/>
      <c r="J537" s="80"/>
      <c r="K537" s="80"/>
    </row>
    <row r="538" ht="12.75" customHeight="1">
      <c r="A538" s="89" t="s">
        <v>523</v>
      </c>
      <c r="B538" s="90" t="s">
        <v>3928</v>
      </c>
      <c r="C538" s="936" t="s">
        <v>4822</v>
      </c>
      <c r="D538" s="90"/>
      <c r="E538" s="90"/>
      <c r="F538" s="90"/>
      <c r="G538" s="90"/>
      <c r="I538" s="79"/>
      <c r="J538" s="80"/>
      <c r="K538" s="80"/>
    </row>
    <row r="539" ht="12.75" customHeight="1">
      <c r="I539" s="79"/>
      <c r="J539" s="80"/>
      <c r="K539" s="80"/>
    </row>
    <row r="540" ht="12.75" customHeight="1">
      <c r="A540" s="89" t="s">
        <v>525</v>
      </c>
      <c r="B540" s="90" t="s">
        <v>3929</v>
      </c>
      <c r="C540" s="936" t="s">
        <v>4823</v>
      </c>
      <c r="D540" s="90"/>
      <c r="E540" s="90"/>
      <c r="F540" s="90"/>
      <c r="G540" s="90"/>
      <c r="H540" s="89" t="s">
        <v>40</v>
      </c>
      <c r="I540" s="91">
        <v>7.9</v>
      </c>
      <c r="J540" s="92">
        <v>232.76</v>
      </c>
      <c r="K540" s="92">
        <v>1838.8</v>
      </c>
    </row>
    <row r="541" ht="12.75" customHeight="1">
      <c r="I541" s="79"/>
      <c r="J541" s="80"/>
      <c r="K541" s="80"/>
    </row>
    <row r="542" ht="12.75" customHeight="1">
      <c r="A542" s="89" t="s">
        <v>480</v>
      </c>
      <c r="B542" s="90" t="s">
        <v>2399</v>
      </c>
      <c r="C542" s="936" t="s">
        <v>4824</v>
      </c>
      <c r="D542" s="90"/>
      <c r="E542" s="90"/>
      <c r="F542" s="90"/>
      <c r="G542" s="90"/>
      <c r="I542" s="79"/>
      <c r="J542" s="80"/>
      <c r="K542" s="80"/>
    </row>
    <row r="543" ht="12.75" customHeight="1">
      <c r="I543" s="79"/>
      <c r="J543" s="80"/>
      <c r="K543" s="80"/>
    </row>
    <row r="544" ht="12.75" customHeight="1">
      <c r="A544" s="89" t="s">
        <v>482</v>
      </c>
      <c r="B544" s="90" t="s">
        <v>3930</v>
      </c>
      <c r="C544" s="936" t="s">
        <v>4825</v>
      </c>
      <c r="D544" s="90"/>
      <c r="E544" s="90"/>
      <c r="F544" s="90"/>
      <c r="G544" s="90"/>
      <c r="I544" s="79"/>
      <c r="J544" s="80"/>
      <c r="K544" s="80"/>
    </row>
    <row r="545" ht="12.75" customHeight="1">
      <c r="I545" s="79"/>
      <c r="J545" s="80"/>
      <c r="K545" s="80"/>
    </row>
    <row r="546" ht="12.75" customHeight="1">
      <c r="A546" s="89" t="s">
        <v>484</v>
      </c>
      <c r="B546" s="90" t="s">
        <v>3931</v>
      </c>
      <c r="C546" s="936" t="s">
        <v>4826</v>
      </c>
      <c r="D546" s="90"/>
      <c r="E546" s="90"/>
      <c r="F546" s="90"/>
      <c r="G546" s="90"/>
      <c r="H546" s="89" t="s">
        <v>161</v>
      </c>
      <c r="I546" s="91">
        <v>3.6</v>
      </c>
      <c r="J546" s="92">
        <v>139.41</v>
      </c>
      <c r="K546" s="92">
        <v>501.88</v>
      </c>
    </row>
    <row r="547" ht="12.75" customHeight="1">
      <c r="I547" s="79"/>
      <c r="J547" s="80"/>
      <c r="K547" s="80"/>
    </row>
    <row r="548" ht="12.75" customHeight="1">
      <c r="A548" s="89" t="s">
        <v>486</v>
      </c>
      <c r="B548" s="90" t="s">
        <v>3932</v>
      </c>
      <c r="C548" s="936" t="s">
        <v>4827</v>
      </c>
      <c r="D548" s="90"/>
      <c r="E548" s="90"/>
      <c r="F548" s="90"/>
      <c r="G548" s="90"/>
      <c r="H548" s="89" t="s">
        <v>161</v>
      </c>
      <c r="I548" s="91">
        <v>22.07</v>
      </c>
      <c r="J548" s="92">
        <v>187.9</v>
      </c>
      <c r="K548" s="92">
        <v>4146.95</v>
      </c>
    </row>
    <row r="549" ht="12.75" customHeight="1">
      <c r="I549" s="79"/>
      <c r="J549" s="80"/>
      <c r="K549" s="80"/>
    </row>
    <row r="550" ht="12.75" customHeight="1">
      <c r="A550" s="89" t="s">
        <v>488</v>
      </c>
      <c r="B550" s="90" t="s">
        <v>3933</v>
      </c>
      <c r="C550" s="936" t="s">
        <v>4828</v>
      </c>
      <c r="D550" s="90"/>
      <c r="E550" s="90"/>
      <c r="F550" s="90"/>
      <c r="G550" s="90"/>
      <c r="H550" s="89" t="s">
        <v>161</v>
      </c>
      <c r="I550" s="91">
        <v>0.85</v>
      </c>
      <c r="J550" s="92">
        <v>84.46</v>
      </c>
      <c r="K550" s="92">
        <v>71.79</v>
      </c>
    </row>
    <row r="551" ht="12.75" customHeight="1">
      <c r="I551" s="79"/>
      <c r="J551" s="80"/>
      <c r="K551" s="80"/>
    </row>
    <row r="552" ht="12.75" customHeight="1">
      <c r="A552" s="89" t="s">
        <v>532</v>
      </c>
      <c r="B552" s="90" t="s">
        <v>2407</v>
      </c>
      <c r="C552" s="936" t="s">
        <v>4829</v>
      </c>
      <c r="D552" s="90"/>
      <c r="E552" s="90"/>
      <c r="F552" s="90"/>
      <c r="G552" s="90"/>
      <c r="I552" s="79"/>
      <c r="J552" s="80"/>
      <c r="K552" s="80"/>
    </row>
    <row r="553" ht="12.75" customHeight="1">
      <c r="I553" s="79"/>
      <c r="J553" s="80"/>
      <c r="K553" s="80"/>
    </row>
    <row r="554" ht="12.75" customHeight="1">
      <c r="A554" s="89" t="s">
        <v>534</v>
      </c>
      <c r="B554" s="90" t="s">
        <v>3934</v>
      </c>
      <c r="C554" s="936" t="s">
        <v>4830</v>
      </c>
      <c r="D554" s="90"/>
      <c r="E554" s="90"/>
      <c r="F554" s="90"/>
      <c r="G554" s="90"/>
      <c r="H554" s="89" t="s">
        <v>75</v>
      </c>
      <c r="I554" s="91">
        <v>1.0</v>
      </c>
      <c r="J554" s="92">
        <v>1810.34</v>
      </c>
      <c r="K554" s="92">
        <v>1810.34</v>
      </c>
    </row>
    <row r="555" ht="12.75" customHeight="1">
      <c r="I555" s="79"/>
      <c r="J555" s="80"/>
      <c r="K555" s="80"/>
    </row>
    <row r="556" ht="12.75" customHeight="1">
      <c r="A556" s="89" t="s">
        <v>3859</v>
      </c>
      <c r="B556" s="90" t="s">
        <v>3860</v>
      </c>
      <c r="C556" s="936" t="s">
        <v>4831</v>
      </c>
      <c r="D556" s="90"/>
      <c r="E556" s="90"/>
      <c r="F556" s="90"/>
      <c r="G556" s="90"/>
      <c r="I556" s="79"/>
      <c r="J556" s="80"/>
      <c r="K556" s="92">
        <v>279339.11</v>
      </c>
    </row>
    <row r="557" ht="12.75" customHeight="1">
      <c r="I557" s="79"/>
      <c r="J557" s="80"/>
      <c r="K557" s="80"/>
    </row>
    <row r="558" ht="12.75" customHeight="1">
      <c r="C558" s="936" t="s">
        <v>4832</v>
      </c>
      <c r="I558" s="79"/>
      <c r="J558" s="80"/>
      <c r="K558" s="80"/>
    </row>
    <row r="559" ht="12.75" customHeight="1">
      <c r="A559" s="89" t="s">
        <v>3935</v>
      </c>
      <c r="B559" s="90" t="s">
        <v>2517</v>
      </c>
      <c r="D559" s="90"/>
      <c r="E559" s="90"/>
      <c r="F559" s="90"/>
      <c r="G559" s="90"/>
      <c r="I559" s="79"/>
      <c r="J559" s="80"/>
      <c r="K559" s="80"/>
    </row>
    <row r="560" ht="12.75" customHeight="1">
      <c r="C560" s="936" t="s">
        <v>4833</v>
      </c>
      <c r="I560" s="79"/>
      <c r="J560" s="80"/>
      <c r="K560" s="80"/>
    </row>
    <row r="561" ht="12.75" customHeight="1">
      <c r="A561" s="89" t="s">
        <v>537</v>
      </c>
      <c r="B561" s="90" t="s">
        <v>2518</v>
      </c>
      <c r="D561" s="90"/>
      <c r="E561" s="90"/>
      <c r="F561" s="90"/>
      <c r="G561" s="90"/>
      <c r="I561" s="79"/>
      <c r="J561" s="80"/>
      <c r="K561" s="80"/>
    </row>
    <row r="562" ht="12.75" customHeight="1">
      <c r="C562" s="936" t="s">
        <v>4834</v>
      </c>
      <c r="I562" s="79"/>
      <c r="J562" s="80"/>
      <c r="K562" s="80"/>
    </row>
    <row r="563" ht="12.75" customHeight="1">
      <c r="A563" s="89" t="s">
        <v>539</v>
      </c>
      <c r="B563" s="90" t="s">
        <v>3936</v>
      </c>
      <c r="D563" s="90"/>
      <c r="E563" s="90"/>
      <c r="F563" s="90"/>
      <c r="G563" s="90"/>
      <c r="I563" s="79"/>
      <c r="J563" s="80"/>
      <c r="K563" s="80"/>
    </row>
    <row r="564" ht="12.75" customHeight="1">
      <c r="C564" s="936" t="s">
        <v>4835</v>
      </c>
      <c r="I564" s="79"/>
      <c r="J564" s="80"/>
      <c r="K564" s="80"/>
    </row>
    <row r="565" ht="12.75" customHeight="1">
      <c r="A565" s="89" t="s">
        <v>541</v>
      </c>
      <c r="B565" s="90" t="s">
        <v>3937</v>
      </c>
      <c r="D565" s="90"/>
      <c r="E565" s="90"/>
      <c r="F565" s="90"/>
      <c r="G565" s="90"/>
      <c r="H565" s="89" t="s">
        <v>227</v>
      </c>
      <c r="I565" s="91">
        <v>1.0</v>
      </c>
      <c r="J565" s="92">
        <v>3735.61</v>
      </c>
      <c r="K565" s="92">
        <v>3735.61</v>
      </c>
    </row>
    <row r="566" ht="12.75" customHeight="1">
      <c r="C566" s="936" t="s">
        <v>8022</v>
      </c>
      <c r="I566" s="79"/>
      <c r="J566" s="80"/>
      <c r="K566" s="80"/>
    </row>
    <row r="567" ht="12.75" customHeight="1">
      <c r="A567" s="89" t="s">
        <v>543</v>
      </c>
      <c r="B567" s="90" t="s">
        <v>3938</v>
      </c>
      <c r="C567" s="936" t="s">
        <v>8023</v>
      </c>
      <c r="D567" s="90"/>
      <c r="E567" s="90"/>
      <c r="F567" s="90"/>
      <c r="G567" s="90"/>
      <c r="H567" s="89" t="s">
        <v>227</v>
      </c>
      <c r="I567" s="91">
        <v>1.0</v>
      </c>
      <c r="J567" s="92">
        <v>3735.61</v>
      </c>
      <c r="K567" s="92">
        <v>3735.61</v>
      </c>
    </row>
    <row r="568" ht="12.75" customHeight="1">
      <c r="I568" s="79"/>
      <c r="J568" s="80"/>
      <c r="K568" s="80"/>
    </row>
    <row r="569" ht="12.75" customHeight="1">
      <c r="A569" s="89" t="s">
        <v>545</v>
      </c>
      <c r="B569" s="90" t="s">
        <v>3939</v>
      </c>
      <c r="C569" s="936" t="s">
        <v>4837</v>
      </c>
      <c r="D569" s="90"/>
      <c r="E569" s="90"/>
      <c r="F569" s="90"/>
      <c r="G569" s="90"/>
      <c r="H569" s="89" t="s">
        <v>227</v>
      </c>
      <c r="I569" s="91">
        <v>1.0</v>
      </c>
      <c r="J569" s="92">
        <v>2791.65</v>
      </c>
      <c r="K569" s="92">
        <v>2791.65</v>
      </c>
    </row>
    <row r="570" ht="12.75" customHeight="1">
      <c r="I570" s="79"/>
      <c r="J570" s="80"/>
      <c r="K570" s="80"/>
    </row>
    <row r="571" ht="12.75" customHeight="1">
      <c r="A571" s="89" t="s">
        <v>547</v>
      </c>
      <c r="B571" s="90" t="s">
        <v>3940</v>
      </c>
      <c r="D571" s="90"/>
      <c r="E571" s="90"/>
      <c r="F571" s="90"/>
      <c r="G571" s="90"/>
      <c r="I571" s="79"/>
      <c r="J571" s="80"/>
      <c r="K571" s="80"/>
    </row>
    <row r="572" ht="12.75" customHeight="1">
      <c r="I572" s="79"/>
      <c r="J572" s="80"/>
      <c r="K572" s="80"/>
    </row>
    <row r="573" ht="12.75" customHeight="1">
      <c r="A573" s="89" t="s">
        <v>549</v>
      </c>
      <c r="B573" s="90" t="s">
        <v>3941</v>
      </c>
      <c r="D573" s="90"/>
      <c r="E573" s="90"/>
      <c r="F573" s="90"/>
      <c r="G573" s="90"/>
      <c r="I573" s="79"/>
      <c r="J573" s="80"/>
      <c r="K573" s="80"/>
    </row>
    <row r="574" ht="12.75" customHeight="1">
      <c r="I574" s="79"/>
      <c r="J574" s="80"/>
      <c r="K574" s="80"/>
    </row>
    <row r="575" ht="12.75" customHeight="1">
      <c r="A575" s="89" t="s">
        <v>551</v>
      </c>
      <c r="B575" s="90" t="s">
        <v>3942</v>
      </c>
      <c r="D575" s="90"/>
      <c r="E575" s="90"/>
      <c r="F575" s="90"/>
      <c r="G575" s="90"/>
      <c r="H575" s="89" t="s">
        <v>75</v>
      </c>
      <c r="I575" s="91">
        <v>1.0</v>
      </c>
      <c r="J575" s="92">
        <v>3980.2</v>
      </c>
      <c r="K575" s="92">
        <v>3980.2</v>
      </c>
    </row>
    <row r="576" ht="12.75" customHeight="1">
      <c r="I576" s="79"/>
      <c r="J576" s="80"/>
      <c r="K576" s="80"/>
    </row>
    <row r="577" ht="12.75" customHeight="1">
      <c r="A577" s="89" t="s">
        <v>553</v>
      </c>
      <c r="B577" s="90" t="s">
        <v>3943</v>
      </c>
      <c r="D577" s="90"/>
      <c r="E577" s="90"/>
      <c r="F577" s="90"/>
      <c r="G577" s="90"/>
      <c r="H577" s="89" t="s">
        <v>75</v>
      </c>
      <c r="I577" s="91">
        <v>1.0</v>
      </c>
      <c r="J577" s="92">
        <v>3980.2</v>
      </c>
      <c r="K577" s="92">
        <v>3980.2</v>
      </c>
    </row>
    <row r="578" ht="12.75" customHeight="1">
      <c r="I578" s="79"/>
      <c r="J578" s="80"/>
      <c r="K578" s="80"/>
    </row>
    <row r="579" ht="12.75" customHeight="1">
      <c r="A579" s="89" t="s">
        <v>555</v>
      </c>
      <c r="B579" s="90" t="s">
        <v>3944</v>
      </c>
      <c r="D579" s="90"/>
      <c r="E579" s="90"/>
      <c r="F579" s="90"/>
      <c r="G579" s="90"/>
      <c r="H579" s="89" t="s">
        <v>75</v>
      </c>
      <c r="I579" s="91">
        <v>1.0</v>
      </c>
      <c r="J579" s="92">
        <v>3980.2</v>
      </c>
      <c r="K579" s="92">
        <v>3980.2</v>
      </c>
    </row>
    <row r="580" ht="12.75" customHeight="1">
      <c r="I580" s="79"/>
      <c r="J580" s="80"/>
      <c r="K580" s="80"/>
    </row>
    <row r="581" ht="12.75" customHeight="1">
      <c r="A581" s="89" t="s">
        <v>547</v>
      </c>
      <c r="B581" s="90" t="s">
        <v>3945</v>
      </c>
      <c r="D581" s="90"/>
      <c r="E581" s="90"/>
      <c r="F581" s="90"/>
      <c r="G581" s="90"/>
      <c r="I581" s="79"/>
      <c r="J581" s="80"/>
      <c r="K581" s="80"/>
    </row>
    <row r="582" ht="12.75" customHeight="1">
      <c r="I582" s="79"/>
      <c r="J582" s="80"/>
      <c r="K582" s="80"/>
    </row>
    <row r="583" ht="12.75" customHeight="1">
      <c r="A583" s="89" t="s">
        <v>549</v>
      </c>
      <c r="B583" s="90" t="s">
        <v>3946</v>
      </c>
      <c r="D583" s="90"/>
      <c r="E583" s="90"/>
      <c r="F583" s="90"/>
      <c r="G583" s="90"/>
      <c r="H583" s="89" t="s">
        <v>75</v>
      </c>
      <c r="I583" s="91">
        <v>7.0</v>
      </c>
      <c r="J583" s="92">
        <v>538.27</v>
      </c>
      <c r="K583" s="92">
        <v>3767.89</v>
      </c>
    </row>
    <row r="584" ht="12.75" customHeight="1">
      <c r="I584" s="79"/>
      <c r="J584" s="80"/>
      <c r="K584" s="80"/>
    </row>
    <row r="585" ht="12.75" customHeight="1">
      <c r="A585" s="89" t="s">
        <v>560</v>
      </c>
      <c r="B585" s="90" t="s">
        <v>3947</v>
      </c>
      <c r="D585" s="90"/>
      <c r="E585" s="90"/>
      <c r="F585" s="90"/>
      <c r="G585" s="90"/>
      <c r="H585" s="89" t="s">
        <v>75</v>
      </c>
      <c r="I585" s="91">
        <v>1.0</v>
      </c>
      <c r="J585" s="92">
        <v>1789.25</v>
      </c>
      <c r="K585" s="92">
        <v>1789.25</v>
      </c>
    </row>
    <row r="586" ht="12.75" customHeight="1">
      <c r="I586" s="79"/>
      <c r="J586" s="80"/>
      <c r="K586" s="80"/>
    </row>
    <row r="587" ht="12.75" customHeight="1">
      <c r="A587" s="89" t="s">
        <v>562</v>
      </c>
      <c r="B587" s="90" t="s">
        <v>3948</v>
      </c>
      <c r="D587" s="90"/>
      <c r="E587" s="90"/>
      <c r="F587" s="90"/>
      <c r="G587" s="90"/>
      <c r="H587" s="89" t="s">
        <v>75</v>
      </c>
      <c r="I587" s="91">
        <v>6.0</v>
      </c>
      <c r="J587" s="92">
        <v>640.5</v>
      </c>
      <c r="K587" s="92">
        <v>3843.0</v>
      </c>
    </row>
    <row r="588" ht="12.75" customHeight="1">
      <c r="I588" s="79"/>
      <c r="J588" s="80"/>
      <c r="K588" s="80"/>
    </row>
    <row r="589" ht="12.75" customHeight="1">
      <c r="A589" s="89" t="s">
        <v>564</v>
      </c>
      <c r="B589" s="90" t="s">
        <v>3949</v>
      </c>
      <c r="D589" s="90"/>
      <c r="E589" s="90"/>
      <c r="F589" s="90"/>
      <c r="G589" s="90"/>
      <c r="H589" s="89" t="s">
        <v>75</v>
      </c>
      <c r="I589" s="91">
        <v>2.0</v>
      </c>
      <c r="J589" s="92">
        <v>278.83</v>
      </c>
      <c r="K589" s="92">
        <v>557.66</v>
      </c>
    </row>
    <row r="590" ht="12.75" customHeight="1">
      <c r="I590" s="79"/>
      <c r="J590" s="80"/>
      <c r="K590" s="80"/>
    </row>
    <row r="591" ht="12.75" customHeight="1">
      <c r="A591" s="89" t="s">
        <v>566</v>
      </c>
      <c r="B591" s="90" t="s">
        <v>3950</v>
      </c>
      <c r="D591" s="90"/>
      <c r="E591" s="90"/>
      <c r="F591" s="90"/>
      <c r="G591" s="90"/>
      <c r="H591" s="89" t="s">
        <v>75</v>
      </c>
      <c r="I591" s="91">
        <v>4.0</v>
      </c>
      <c r="J591" s="92">
        <v>226.98</v>
      </c>
      <c r="K591" s="92">
        <v>907.92</v>
      </c>
    </row>
    <row r="592" ht="12.75" customHeight="1">
      <c r="I592" s="79"/>
      <c r="J592" s="80"/>
      <c r="K592" s="80"/>
    </row>
    <row r="593" ht="12.75" customHeight="1">
      <c r="A593" s="89" t="s">
        <v>569</v>
      </c>
      <c r="B593" s="90" t="s">
        <v>2547</v>
      </c>
      <c r="D593" s="90"/>
      <c r="E593" s="90"/>
      <c r="F593" s="90"/>
      <c r="G593" s="90"/>
      <c r="I593" s="79"/>
      <c r="J593" s="80"/>
      <c r="K593" s="80"/>
    </row>
    <row r="594" ht="12.75" customHeight="1">
      <c r="I594" s="79"/>
      <c r="J594" s="80"/>
      <c r="K594" s="80"/>
    </row>
    <row r="595" ht="12.75" customHeight="1">
      <c r="A595" s="89" t="s">
        <v>571</v>
      </c>
      <c r="B595" s="90" t="s">
        <v>3951</v>
      </c>
      <c r="D595" s="90"/>
      <c r="E595" s="90"/>
      <c r="F595" s="90"/>
      <c r="G595" s="90"/>
      <c r="H595" s="89" t="s">
        <v>75</v>
      </c>
      <c r="I595" s="91">
        <v>14.0</v>
      </c>
      <c r="J595" s="92">
        <v>56.55</v>
      </c>
      <c r="K595" s="92">
        <v>791.7</v>
      </c>
    </row>
    <row r="596" ht="12.75" customHeight="1">
      <c r="I596" s="79"/>
      <c r="J596" s="80"/>
      <c r="K596" s="80"/>
    </row>
    <row r="597" ht="12.75" customHeight="1">
      <c r="A597" s="89" t="s">
        <v>574</v>
      </c>
      <c r="B597" s="90" t="s">
        <v>3952</v>
      </c>
      <c r="D597" s="90"/>
      <c r="E597" s="90"/>
      <c r="F597" s="90"/>
      <c r="G597" s="90"/>
      <c r="H597" s="89" t="s">
        <v>75</v>
      </c>
      <c r="I597" s="91">
        <v>6.0</v>
      </c>
      <c r="J597" s="92">
        <v>41.21</v>
      </c>
      <c r="K597" s="92">
        <v>247.26</v>
      </c>
    </row>
    <row r="598" ht="12.75" customHeight="1">
      <c r="I598" s="79"/>
      <c r="J598" s="80"/>
      <c r="K598" s="80"/>
    </row>
    <row r="599" ht="12.75" customHeight="1">
      <c r="A599" s="89" t="s">
        <v>576</v>
      </c>
      <c r="B599" s="90" t="s">
        <v>3953</v>
      </c>
      <c r="D599" s="90"/>
      <c r="E599" s="90"/>
      <c r="F599" s="90"/>
      <c r="G599" s="90"/>
      <c r="H599" s="89" t="s">
        <v>75</v>
      </c>
      <c r="I599" s="91">
        <v>1.0</v>
      </c>
      <c r="J599" s="92">
        <v>299.86</v>
      </c>
      <c r="K599" s="92">
        <v>299.86</v>
      </c>
    </row>
    <row r="600" ht="12.75" customHeight="1">
      <c r="I600" s="79"/>
      <c r="J600" s="80"/>
      <c r="K600" s="80"/>
    </row>
    <row r="601" ht="12.75" customHeight="1">
      <c r="A601" s="89" t="s">
        <v>578</v>
      </c>
      <c r="B601" s="90" t="s">
        <v>3954</v>
      </c>
      <c r="D601" s="90"/>
      <c r="E601" s="90"/>
      <c r="F601" s="90"/>
      <c r="G601" s="90"/>
      <c r="H601" s="89" t="s">
        <v>75</v>
      </c>
      <c r="I601" s="91">
        <v>2.0</v>
      </c>
      <c r="J601" s="92">
        <v>249.03</v>
      </c>
      <c r="K601" s="92">
        <v>498.06</v>
      </c>
    </row>
    <row r="602" ht="12.75" customHeight="1">
      <c r="I602" s="79"/>
      <c r="J602" s="80"/>
      <c r="K602" s="80"/>
    </row>
    <row r="603" ht="12.75" customHeight="1">
      <c r="A603" s="89" t="s">
        <v>580</v>
      </c>
      <c r="B603" s="90" t="s">
        <v>3955</v>
      </c>
      <c r="D603" s="90"/>
      <c r="E603" s="90"/>
      <c r="F603" s="90"/>
      <c r="G603" s="90"/>
      <c r="H603" s="89" t="s">
        <v>75</v>
      </c>
      <c r="I603" s="91">
        <v>1.0</v>
      </c>
      <c r="J603" s="92">
        <v>1109.73</v>
      </c>
      <c r="K603" s="92">
        <v>1109.73</v>
      </c>
    </row>
    <row r="604" ht="12.75" customHeight="1">
      <c r="I604" s="79"/>
      <c r="J604" s="80"/>
      <c r="K604" s="80"/>
    </row>
    <row r="605" ht="12.75" customHeight="1">
      <c r="A605" s="89" t="s">
        <v>584</v>
      </c>
      <c r="B605" s="90" t="s">
        <v>3956</v>
      </c>
      <c r="D605" s="90"/>
      <c r="E605" s="90"/>
      <c r="F605" s="90"/>
      <c r="G605" s="90"/>
      <c r="H605" s="89" t="s">
        <v>75</v>
      </c>
      <c r="I605" s="91">
        <v>6.0</v>
      </c>
      <c r="J605" s="92">
        <v>288.22</v>
      </c>
      <c r="K605" s="92">
        <v>1729.32</v>
      </c>
    </row>
    <row r="606" ht="12.75" customHeight="1">
      <c r="I606" s="79"/>
      <c r="J606" s="80"/>
      <c r="K606" s="80"/>
    </row>
    <row r="607" ht="12.75" customHeight="1">
      <c r="A607" s="89" t="s">
        <v>587</v>
      </c>
      <c r="B607" s="90" t="s">
        <v>3957</v>
      </c>
      <c r="D607" s="90"/>
      <c r="E607" s="90"/>
      <c r="F607" s="90"/>
      <c r="G607" s="90"/>
      <c r="H607" s="89" t="s">
        <v>75</v>
      </c>
      <c r="I607" s="91">
        <v>7.0</v>
      </c>
      <c r="J607" s="92">
        <v>729.86</v>
      </c>
      <c r="K607" s="92">
        <v>5109.02</v>
      </c>
    </row>
    <row r="608" ht="12.75" customHeight="1">
      <c r="I608" s="79"/>
      <c r="J608" s="80"/>
      <c r="K608" s="80"/>
    </row>
    <row r="609" ht="12.75" customHeight="1">
      <c r="A609" s="89" t="s">
        <v>589</v>
      </c>
      <c r="B609" s="90" t="s">
        <v>3958</v>
      </c>
      <c r="D609" s="90"/>
      <c r="E609" s="90"/>
      <c r="F609" s="90"/>
      <c r="G609" s="90"/>
      <c r="H609" s="89" t="s">
        <v>75</v>
      </c>
      <c r="I609" s="91">
        <v>3.0</v>
      </c>
      <c r="J609" s="92">
        <v>299.6</v>
      </c>
      <c r="K609" s="92">
        <v>898.8</v>
      </c>
    </row>
    <row r="610" ht="12.75" customHeight="1">
      <c r="I610" s="79"/>
      <c r="J610" s="80"/>
      <c r="K610" s="80"/>
    </row>
    <row r="611" ht="12.75" customHeight="1">
      <c r="A611" s="89" t="s">
        <v>591</v>
      </c>
      <c r="B611" s="90" t="s">
        <v>2563</v>
      </c>
      <c r="D611" s="90"/>
      <c r="E611" s="90"/>
      <c r="F611" s="90"/>
      <c r="G611" s="90"/>
      <c r="I611" s="79"/>
      <c r="J611" s="80"/>
      <c r="K611" s="80"/>
    </row>
    <row r="612" ht="12.75" customHeight="1">
      <c r="I612" s="79"/>
      <c r="J612" s="80"/>
      <c r="K612" s="80"/>
    </row>
    <row r="613" ht="12.75" customHeight="1">
      <c r="A613" s="89" t="s">
        <v>593</v>
      </c>
      <c r="B613" s="90" t="s">
        <v>3959</v>
      </c>
      <c r="D613" s="90"/>
      <c r="E613" s="90"/>
      <c r="F613" s="90"/>
      <c r="G613" s="90"/>
      <c r="H613" s="89" t="s">
        <v>75</v>
      </c>
      <c r="I613" s="91">
        <v>6.0</v>
      </c>
      <c r="J613" s="92">
        <v>53.6</v>
      </c>
      <c r="K613" s="92">
        <v>321.6</v>
      </c>
    </row>
    <row r="614" ht="12.75" customHeight="1">
      <c r="I614" s="79"/>
      <c r="J614" s="80"/>
      <c r="K614" s="80"/>
    </row>
    <row r="615" ht="12.75" customHeight="1">
      <c r="A615" s="89" t="s">
        <v>595</v>
      </c>
      <c r="B615" s="90" t="s">
        <v>3960</v>
      </c>
      <c r="D615" s="90"/>
      <c r="E615" s="90"/>
      <c r="F615" s="90"/>
      <c r="G615" s="90"/>
      <c r="H615" s="89" t="s">
        <v>75</v>
      </c>
      <c r="I615" s="91">
        <v>11.0</v>
      </c>
      <c r="J615" s="92">
        <v>92.39</v>
      </c>
      <c r="K615" s="92">
        <v>1016.29</v>
      </c>
    </row>
    <row r="616" ht="12.75" customHeight="1">
      <c r="I616" s="79"/>
      <c r="J616" s="80"/>
      <c r="K616" s="80"/>
    </row>
    <row r="617" ht="12.75" customHeight="1">
      <c r="A617" s="89" t="s">
        <v>597</v>
      </c>
      <c r="B617" s="90" t="s">
        <v>3961</v>
      </c>
      <c r="D617" s="90"/>
      <c r="E617" s="90"/>
      <c r="F617" s="90"/>
      <c r="G617" s="90"/>
      <c r="H617" s="89" t="s">
        <v>75</v>
      </c>
      <c r="I617" s="91">
        <v>3.0</v>
      </c>
      <c r="J617" s="92">
        <v>66.37</v>
      </c>
      <c r="K617" s="92">
        <v>199.11</v>
      </c>
    </row>
    <row r="618" ht="12.75" customHeight="1">
      <c r="I618" s="79"/>
      <c r="J618" s="80"/>
      <c r="K618" s="80"/>
    </row>
    <row r="619" ht="12.75" customHeight="1">
      <c r="A619" s="89" t="s">
        <v>599</v>
      </c>
      <c r="B619" s="90" t="s">
        <v>3962</v>
      </c>
      <c r="D619" s="90"/>
      <c r="E619" s="90"/>
      <c r="F619" s="90"/>
      <c r="G619" s="90"/>
      <c r="H619" s="89" t="s">
        <v>75</v>
      </c>
      <c r="I619" s="91">
        <v>3.0</v>
      </c>
      <c r="J619" s="92">
        <v>64.54</v>
      </c>
      <c r="K619" s="92">
        <v>193.62</v>
      </c>
    </row>
    <row r="620" ht="12.75" customHeight="1">
      <c r="I620" s="79"/>
      <c r="J620" s="80"/>
      <c r="K620" s="80"/>
    </row>
    <row r="621" ht="12.75" customHeight="1">
      <c r="A621" s="89" t="s">
        <v>601</v>
      </c>
      <c r="B621" s="90" t="s">
        <v>3963</v>
      </c>
      <c r="D621" s="90"/>
      <c r="E621" s="90"/>
      <c r="F621" s="90"/>
      <c r="G621" s="90"/>
      <c r="H621" s="89" t="s">
        <v>75</v>
      </c>
      <c r="I621" s="91">
        <v>1.0</v>
      </c>
      <c r="J621" s="92">
        <v>789.54</v>
      </c>
      <c r="K621" s="92">
        <v>789.54</v>
      </c>
    </row>
    <row r="622" ht="12.75" customHeight="1">
      <c r="I622" s="79"/>
      <c r="J622" s="80"/>
      <c r="K622" s="80"/>
    </row>
    <row r="623" ht="12.75" customHeight="1">
      <c r="A623" s="89" t="s">
        <v>603</v>
      </c>
      <c r="B623" s="90" t="s">
        <v>3964</v>
      </c>
      <c r="D623" s="90"/>
      <c r="E623" s="90"/>
      <c r="F623" s="90"/>
      <c r="G623" s="90"/>
      <c r="H623" s="89" t="s">
        <v>40</v>
      </c>
      <c r="I623" s="91">
        <v>21.85</v>
      </c>
      <c r="J623" s="92">
        <v>323.28</v>
      </c>
      <c r="K623" s="92">
        <v>7063.67</v>
      </c>
    </row>
    <row r="624" ht="12.75" customHeight="1">
      <c r="I624" s="79"/>
      <c r="J624" s="80"/>
      <c r="K624" s="80"/>
    </row>
    <row r="625" ht="12.75" customHeight="1">
      <c r="A625" s="89" t="s">
        <v>605</v>
      </c>
      <c r="B625" s="90" t="s">
        <v>3965</v>
      </c>
      <c r="D625" s="90"/>
      <c r="E625" s="90"/>
      <c r="F625" s="90"/>
      <c r="G625" s="90"/>
      <c r="H625" s="89" t="s">
        <v>75</v>
      </c>
      <c r="I625" s="91">
        <v>2.0</v>
      </c>
      <c r="J625" s="92">
        <v>206.9</v>
      </c>
      <c r="K625" s="92">
        <v>413.8</v>
      </c>
    </row>
    <row r="626" ht="12.75" customHeight="1">
      <c r="I626" s="79"/>
      <c r="J626" s="80"/>
      <c r="K626" s="80"/>
    </row>
    <row r="627" ht="12.75" customHeight="1">
      <c r="A627" s="89" t="s">
        <v>607</v>
      </c>
      <c r="B627" s="90" t="s">
        <v>3966</v>
      </c>
      <c r="D627" s="90"/>
      <c r="E627" s="90"/>
      <c r="F627" s="90"/>
      <c r="G627" s="90"/>
      <c r="H627" s="89" t="s">
        <v>40</v>
      </c>
      <c r="I627" s="91">
        <v>22.6</v>
      </c>
      <c r="J627" s="92">
        <v>109.91</v>
      </c>
      <c r="K627" s="92">
        <v>2483.97</v>
      </c>
    </row>
    <row r="628" ht="12.75" customHeight="1">
      <c r="I628" s="79"/>
      <c r="J628" s="80"/>
      <c r="K628" s="80"/>
    </row>
    <row r="629" ht="12.75" customHeight="1">
      <c r="A629" s="89" t="s">
        <v>3935</v>
      </c>
      <c r="B629" s="90" t="s">
        <v>2517</v>
      </c>
      <c r="D629" s="90"/>
      <c r="E629" s="90"/>
      <c r="F629" s="90"/>
      <c r="G629" s="90"/>
      <c r="I629" s="79"/>
      <c r="J629" s="80"/>
      <c r="K629" s="92">
        <v>56234.54</v>
      </c>
    </row>
    <row r="630" ht="12.75" customHeight="1">
      <c r="I630" s="79"/>
      <c r="J630" s="80"/>
      <c r="K630" s="80"/>
    </row>
    <row r="631" ht="12.75" customHeight="1">
      <c r="I631" s="79"/>
      <c r="J631" s="80"/>
      <c r="K631" s="80"/>
    </row>
    <row r="632" ht="12.75" customHeight="1">
      <c r="A632" s="89" t="s">
        <v>3967</v>
      </c>
      <c r="B632" s="90" t="s">
        <v>3968</v>
      </c>
      <c r="D632" s="90"/>
      <c r="E632" s="90"/>
      <c r="F632" s="90"/>
      <c r="G632" s="90"/>
      <c r="I632" s="79"/>
      <c r="J632" s="80"/>
      <c r="K632" s="80"/>
    </row>
    <row r="633" ht="12.75" customHeight="1">
      <c r="I633" s="79"/>
      <c r="J633" s="80"/>
      <c r="K633" s="80"/>
    </row>
    <row r="634" ht="12.75" customHeight="1">
      <c r="A634" s="89" t="s">
        <v>610</v>
      </c>
      <c r="B634" s="90" t="s">
        <v>2580</v>
      </c>
      <c r="D634" s="90"/>
      <c r="E634" s="90"/>
      <c r="F634" s="90"/>
      <c r="G634" s="90"/>
      <c r="I634" s="79"/>
      <c r="J634" s="80"/>
      <c r="K634" s="80"/>
    </row>
    <row r="635" ht="12.75" customHeight="1">
      <c r="I635" s="79"/>
      <c r="J635" s="80"/>
      <c r="K635" s="80"/>
    </row>
    <row r="636" ht="12.75" customHeight="1">
      <c r="A636" s="89" t="s">
        <v>612</v>
      </c>
      <c r="B636" s="90" t="s">
        <v>3969</v>
      </c>
      <c r="D636" s="90"/>
      <c r="E636" s="90"/>
      <c r="F636" s="90"/>
      <c r="G636" s="90"/>
      <c r="I636" s="79"/>
      <c r="J636" s="80"/>
      <c r="K636" s="80"/>
    </row>
    <row r="637" ht="12.75" customHeight="1">
      <c r="I637" s="79"/>
      <c r="J637" s="80"/>
      <c r="K637" s="80"/>
    </row>
    <row r="638" ht="12.75" customHeight="1">
      <c r="A638" s="89" t="s">
        <v>615</v>
      </c>
      <c r="B638" s="90" t="s">
        <v>3970</v>
      </c>
      <c r="D638" s="90"/>
      <c r="E638" s="90"/>
      <c r="F638" s="90"/>
      <c r="G638" s="90"/>
      <c r="H638" s="89" t="s">
        <v>227</v>
      </c>
      <c r="I638" s="91">
        <v>1.0</v>
      </c>
      <c r="J638" s="92">
        <v>9100.0</v>
      </c>
      <c r="K638" s="92">
        <v>9100.0</v>
      </c>
    </row>
    <row r="639" ht="12.75" customHeight="1">
      <c r="I639" s="79"/>
      <c r="J639" s="80"/>
      <c r="K639" s="80"/>
    </row>
    <row r="640" ht="12.75" customHeight="1">
      <c r="A640" s="89" t="s">
        <v>617</v>
      </c>
      <c r="B640" s="90" t="s">
        <v>3971</v>
      </c>
      <c r="D640" s="90"/>
      <c r="E640" s="90"/>
      <c r="F640" s="90"/>
      <c r="G640" s="90"/>
      <c r="H640" s="89" t="s">
        <v>227</v>
      </c>
      <c r="I640" s="91">
        <v>1.0</v>
      </c>
      <c r="J640" s="80"/>
      <c r="K640" s="135" t="s">
        <v>619</v>
      </c>
    </row>
    <row r="641" ht="12.75" customHeight="1">
      <c r="I641" s="79"/>
      <c r="J641" s="80"/>
      <c r="K641" s="80"/>
    </row>
    <row r="642" ht="12.75" customHeight="1">
      <c r="A642" s="89" t="s">
        <v>620</v>
      </c>
      <c r="B642" s="90" t="s">
        <v>3972</v>
      </c>
      <c r="D642" s="90"/>
      <c r="E642" s="90"/>
      <c r="F642" s="90"/>
      <c r="G642" s="90"/>
      <c r="I642" s="79"/>
      <c r="J642" s="80"/>
      <c r="K642" s="80"/>
    </row>
    <row r="643" ht="12.75" customHeight="1">
      <c r="I643" s="79"/>
      <c r="J643" s="80"/>
      <c r="K643" s="80"/>
    </row>
    <row r="644" ht="12.75" customHeight="1">
      <c r="A644" s="89" t="s">
        <v>622</v>
      </c>
      <c r="B644" s="90" t="s">
        <v>3973</v>
      </c>
      <c r="D644" s="90"/>
      <c r="E644" s="90"/>
      <c r="F644" s="90"/>
      <c r="G644" s="90"/>
      <c r="H644" s="89" t="s">
        <v>227</v>
      </c>
      <c r="I644" s="91">
        <v>1.0</v>
      </c>
      <c r="J644" s="80"/>
      <c r="K644" s="135" t="s">
        <v>619</v>
      </c>
    </row>
    <row r="645" ht="12.75" customHeight="1">
      <c r="I645" s="79"/>
      <c r="J645" s="80"/>
      <c r="K645" s="80"/>
    </row>
    <row r="646" ht="12.75" customHeight="1">
      <c r="A646" s="89" t="s">
        <v>624</v>
      </c>
      <c r="B646" s="90" t="s">
        <v>3974</v>
      </c>
      <c r="D646" s="90"/>
      <c r="E646" s="90"/>
      <c r="F646" s="90"/>
      <c r="G646" s="90"/>
      <c r="H646" s="89" t="s">
        <v>227</v>
      </c>
      <c r="I646" s="91">
        <v>1.0</v>
      </c>
      <c r="J646" s="80"/>
      <c r="K646" s="135" t="s">
        <v>619</v>
      </c>
    </row>
    <row r="647" ht="12.75" customHeight="1">
      <c r="I647" s="79"/>
      <c r="J647" s="80"/>
      <c r="K647" s="80"/>
    </row>
    <row r="648" ht="12.75" customHeight="1">
      <c r="A648" s="89" t="s">
        <v>626</v>
      </c>
      <c r="B648" s="90" t="s">
        <v>3975</v>
      </c>
      <c r="D648" s="90"/>
      <c r="E648" s="90"/>
      <c r="F648" s="90"/>
      <c r="G648" s="90"/>
      <c r="H648" s="89" t="s">
        <v>75</v>
      </c>
      <c r="I648" s="91">
        <v>1.0</v>
      </c>
      <c r="J648" s="92">
        <v>298.0</v>
      </c>
      <c r="K648" s="92">
        <v>298.0</v>
      </c>
    </row>
    <row r="649" ht="12.75" customHeight="1">
      <c r="I649" s="79"/>
      <c r="J649" s="80"/>
      <c r="K649" s="80"/>
    </row>
    <row r="650" ht="12.75" customHeight="1">
      <c r="A650" s="89" t="s">
        <v>628</v>
      </c>
      <c r="B650" s="90" t="s">
        <v>3976</v>
      </c>
      <c r="D650" s="90"/>
      <c r="E650" s="90"/>
      <c r="F650" s="90"/>
      <c r="G650" s="90"/>
      <c r="H650" s="89" t="s">
        <v>75</v>
      </c>
      <c r="I650" s="91">
        <v>1.0</v>
      </c>
      <c r="J650" s="92">
        <v>300.0</v>
      </c>
      <c r="K650" s="92">
        <v>300.0</v>
      </c>
    </row>
    <row r="651" ht="12.75" customHeight="1">
      <c r="I651" s="79"/>
      <c r="J651" s="80"/>
      <c r="K651" s="80"/>
    </row>
    <row r="652" ht="12.75" customHeight="1">
      <c r="A652" s="89" t="s">
        <v>630</v>
      </c>
      <c r="B652" s="90" t="s">
        <v>3977</v>
      </c>
      <c r="D652" s="90"/>
      <c r="E652" s="90"/>
      <c r="F652" s="90"/>
      <c r="G652" s="90"/>
      <c r="H652" s="89" t="s">
        <v>75</v>
      </c>
      <c r="I652" s="91">
        <v>1.0</v>
      </c>
      <c r="J652" s="92">
        <v>230.0</v>
      </c>
      <c r="K652" s="92">
        <v>230.0</v>
      </c>
    </row>
    <row r="653" ht="12.75" customHeight="1">
      <c r="I653" s="79"/>
      <c r="J653" s="80"/>
      <c r="K653" s="80"/>
    </row>
    <row r="654" ht="12.75" customHeight="1">
      <c r="A654" s="89" t="s">
        <v>632</v>
      </c>
      <c r="B654" s="90" t="s">
        <v>3978</v>
      </c>
      <c r="D654" s="90"/>
      <c r="E654" s="90"/>
      <c r="F654" s="90"/>
      <c r="G654" s="90"/>
      <c r="H654" s="89" t="s">
        <v>75</v>
      </c>
      <c r="I654" s="91">
        <v>1.0</v>
      </c>
      <c r="J654" s="92">
        <v>1800.0</v>
      </c>
      <c r="K654" s="92">
        <v>1800.0</v>
      </c>
    </row>
    <row r="655" ht="12.75" customHeight="1">
      <c r="I655" s="79"/>
      <c r="J655" s="80"/>
      <c r="K655" s="80"/>
    </row>
    <row r="656" ht="12.75" customHeight="1">
      <c r="A656" s="89" t="s">
        <v>635</v>
      </c>
      <c r="B656" s="90" t="s">
        <v>3979</v>
      </c>
      <c r="D656" s="90"/>
      <c r="E656" s="90"/>
      <c r="F656" s="90"/>
      <c r="G656" s="90"/>
      <c r="H656" s="89" t="s">
        <v>75</v>
      </c>
      <c r="I656" s="91">
        <v>1.0</v>
      </c>
      <c r="J656" s="92">
        <v>998.0</v>
      </c>
      <c r="K656" s="92">
        <v>998.0</v>
      </c>
    </row>
    <row r="657" ht="12.75" customHeight="1">
      <c r="I657" s="79"/>
      <c r="J657" s="80"/>
      <c r="K657" s="80"/>
    </row>
    <row r="658" ht="12.75" customHeight="1">
      <c r="A658" s="89" t="s">
        <v>638</v>
      </c>
      <c r="B658" s="90" t="s">
        <v>3980</v>
      </c>
      <c r="D658" s="90"/>
      <c r="E658" s="90"/>
      <c r="F658" s="90"/>
      <c r="G658" s="90"/>
      <c r="H658" s="89" t="s">
        <v>75</v>
      </c>
      <c r="I658" s="91">
        <v>1.0</v>
      </c>
      <c r="J658" s="92">
        <v>1144.0</v>
      </c>
      <c r="K658" s="92">
        <v>1144.0</v>
      </c>
    </row>
    <row r="659" ht="12.75" customHeight="1">
      <c r="I659" s="79"/>
      <c r="J659" s="80"/>
      <c r="K659" s="80"/>
    </row>
    <row r="660" ht="12.75" customHeight="1">
      <c r="A660" s="89" t="s">
        <v>641</v>
      </c>
      <c r="B660" s="90" t="s">
        <v>3981</v>
      </c>
      <c r="D660" s="90"/>
      <c r="E660" s="90"/>
      <c r="F660" s="90"/>
      <c r="G660" s="90"/>
      <c r="H660" s="89" t="s">
        <v>75</v>
      </c>
      <c r="I660" s="91">
        <v>1.0</v>
      </c>
      <c r="J660" s="92">
        <v>330.0</v>
      </c>
      <c r="K660" s="92">
        <v>330.0</v>
      </c>
    </row>
    <row r="661" ht="12.75" customHeight="1">
      <c r="I661" s="79"/>
      <c r="J661" s="80"/>
      <c r="K661" s="80"/>
    </row>
    <row r="662" ht="12.75" customHeight="1">
      <c r="A662" s="89" t="s">
        <v>644</v>
      </c>
      <c r="B662" s="90" t="s">
        <v>3982</v>
      </c>
      <c r="D662" s="90"/>
      <c r="E662" s="90"/>
      <c r="F662" s="90"/>
      <c r="G662" s="90"/>
      <c r="H662" s="89" t="s">
        <v>75</v>
      </c>
      <c r="I662" s="91">
        <v>1.0</v>
      </c>
      <c r="J662" s="92">
        <v>1080.0</v>
      </c>
      <c r="K662" s="92">
        <v>1080.0</v>
      </c>
    </row>
    <row r="663" ht="12.75" customHeight="1">
      <c r="I663" s="79"/>
      <c r="J663" s="80"/>
      <c r="K663" s="80"/>
    </row>
    <row r="664" ht="12.75" customHeight="1">
      <c r="A664" s="89" t="s">
        <v>647</v>
      </c>
      <c r="B664" s="90" t="s">
        <v>3983</v>
      </c>
      <c r="D664" s="90"/>
      <c r="E664" s="90"/>
      <c r="F664" s="90"/>
      <c r="G664" s="90"/>
      <c r="H664" s="89" t="s">
        <v>75</v>
      </c>
      <c r="I664" s="91">
        <v>1.0</v>
      </c>
      <c r="J664" s="92">
        <v>898.0</v>
      </c>
      <c r="K664" s="92">
        <v>898.0</v>
      </c>
    </row>
    <row r="665" ht="12.75" customHeight="1">
      <c r="I665" s="79"/>
      <c r="J665" s="80"/>
      <c r="K665" s="80"/>
    </row>
    <row r="666" ht="12.75" customHeight="1">
      <c r="A666" s="89" t="s">
        <v>649</v>
      </c>
      <c r="B666" s="90" t="s">
        <v>3984</v>
      </c>
      <c r="D666" s="90"/>
      <c r="E666" s="90"/>
      <c r="F666" s="90"/>
      <c r="G666" s="90"/>
      <c r="H666" s="89" t="s">
        <v>75</v>
      </c>
      <c r="I666" s="91">
        <v>1.0</v>
      </c>
      <c r="J666" s="92">
        <v>940.0</v>
      </c>
      <c r="K666" s="92">
        <v>940.0</v>
      </c>
    </row>
    <row r="667" ht="12.75" customHeight="1">
      <c r="I667" s="79"/>
      <c r="J667" s="80"/>
      <c r="K667" s="80"/>
    </row>
    <row r="668" ht="12.75" customHeight="1">
      <c r="A668" s="89" t="s">
        <v>651</v>
      </c>
      <c r="B668" s="90" t="s">
        <v>3985</v>
      </c>
      <c r="D668" s="90"/>
      <c r="E668" s="90"/>
      <c r="F668" s="90"/>
      <c r="G668" s="90"/>
      <c r="H668" s="89" t="s">
        <v>75</v>
      </c>
      <c r="I668" s="91">
        <v>1.0</v>
      </c>
      <c r="J668" s="92">
        <v>45.0</v>
      </c>
      <c r="K668" s="92">
        <v>45.0</v>
      </c>
    </row>
    <row r="669" ht="12.75" customHeight="1">
      <c r="I669" s="79"/>
      <c r="J669" s="80"/>
      <c r="K669" s="80"/>
    </row>
    <row r="670" ht="12.75" customHeight="1">
      <c r="A670" s="89" t="s">
        <v>653</v>
      </c>
      <c r="B670" s="90" t="s">
        <v>3986</v>
      </c>
      <c r="D670" s="90"/>
      <c r="E670" s="90"/>
      <c r="F670" s="90"/>
      <c r="G670" s="90"/>
      <c r="H670" s="89" t="s">
        <v>75</v>
      </c>
      <c r="I670" s="91">
        <v>1.0</v>
      </c>
      <c r="J670" s="92">
        <v>25.0</v>
      </c>
      <c r="K670" s="92">
        <v>25.0</v>
      </c>
    </row>
    <row r="671" ht="12.75" customHeight="1">
      <c r="I671" s="79"/>
      <c r="J671" s="80"/>
      <c r="K671" s="80"/>
    </row>
    <row r="672" ht="12.75" customHeight="1">
      <c r="A672" s="89" t="s">
        <v>655</v>
      </c>
      <c r="B672" s="90" t="s">
        <v>3987</v>
      </c>
      <c r="D672" s="90"/>
      <c r="E672" s="90"/>
      <c r="F672" s="90"/>
      <c r="G672" s="90"/>
      <c r="H672" s="89" t="s">
        <v>75</v>
      </c>
      <c r="I672" s="91">
        <v>1.0</v>
      </c>
      <c r="J672" s="92">
        <v>820.0</v>
      </c>
      <c r="K672" s="92">
        <v>820.0</v>
      </c>
    </row>
    <row r="673" ht="12.75" customHeight="1">
      <c r="I673" s="79"/>
      <c r="J673" s="80"/>
      <c r="K673" s="80"/>
    </row>
    <row r="674" ht="12.75" customHeight="1">
      <c r="A674" s="89" t="s">
        <v>657</v>
      </c>
      <c r="B674" s="90" t="s">
        <v>2605</v>
      </c>
      <c r="D674" s="90"/>
      <c r="E674" s="90"/>
      <c r="F674" s="90"/>
      <c r="G674" s="90"/>
      <c r="I674" s="79"/>
      <c r="J674" s="80"/>
      <c r="K674" s="80"/>
    </row>
    <row r="675" ht="12.75" customHeight="1">
      <c r="I675" s="79"/>
      <c r="J675" s="80"/>
      <c r="K675" s="80"/>
    </row>
    <row r="676" ht="12.75" customHeight="1">
      <c r="A676" s="89" t="s">
        <v>659</v>
      </c>
      <c r="B676" s="90" t="s">
        <v>3988</v>
      </c>
      <c r="D676" s="90"/>
      <c r="E676" s="90"/>
      <c r="F676" s="90"/>
      <c r="G676" s="90"/>
      <c r="H676" s="89" t="s">
        <v>75</v>
      </c>
      <c r="I676" s="91">
        <v>1.0</v>
      </c>
      <c r="J676" s="92">
        <v>755.0</v>
      </c>
      <c r="K676" s="92">
        <v>755.0</v>
      </c>
    </row>
    <row r="677" ht="12.75" customHeight="1">
      <c r="I677" s="79"/>
      <c r="J677" s="80"/>
      <c r="K677" s="80"/>
    </row>
    <row r="678" ht="12.75" customHeight="1">
      <c r="A678" s="89" t="s">
        <v>662</v>
      </c>
      <c r="B678" s="90" t="s">
        <v>3989</v>
      </c>
      <c r="D678" s="90"/>
      <c r="E678" s="90"/>
      <c r="F678" s="90"/>
      <c r="G678" s="90"/>
      <c r="H678" s="89" t="s">
        <v>75</v>
      </c>
      <c r="I678" s="91">
        <v>1.0</v>
      </c>
      <c r="J678" s="92">
        <v>598.0</v>
      </c>
      <c r="K678" s="92">
        <v>598.0</v>
      </c>
    </row>
    <row r="679" ht="12.75" customHeight="1">
      <c r="I679" s="79"/>
      <c r="J679" s="80"/>
      <c r="K679" s="80"/>
    </row>
    <row r="680" ht="12.75" customHeight="1">
      <c r="A680" s="89" t="s">
        <v>3967</v>
      </c>
      <c r="B680" s="90" t="s">
        <v>3968</v>
      </c>
      <c r="D680" s="90"/>
      <c r="E680" s="90"/>
      <c r="F680" s="90"/>
      <c r="G680" s="90"/>
      <c r="I680" s="79"/>
      <c r="J680" s="80"/>
      <c r="K680" s="92">
        <v>19361.0</v>
      </c>
    </row>
    <row r="681" ht="12.75" customHeight="1">
      <c r="I681" s="79"/>
      <c r="J681" s="80"/>
      <c r="K681" s="80"/>
    </row>
    <row r="682" ht="12.75" customHeight="1">
      <c r="I682" s="79"/>
      <c r="J682" s="80"/>
      <c r="K682" s="80"/>
    </row>
    <row r="683" ht="12.75" customHeight="1">
      <c r="A683" s="89" t="s">
        <v>3990</v>
      </c>
      <c r="B683" s="90" t="s">
        <v>2884</v>
      </c>
      <c r="D683" s="90"/>
      <c r="E683" s="90"/>
      <c r="F683" s="90"/>
      <c r="G683" s="90"/>
      <c r="I683" s="79"/>
      <c r="J683" s="80"/>
      <c r="K683" s="80"/>
    </row>
    <row r="684" ht="12.75" customHeight="1">
      <c r="I684" s="79"/>
      <c r="J684" s="80"/>
      <c r="K684" s="80"/>
    </row>
    <row r="685" ht="12.75" customHeight="1">
      <c r="A685" s="89" t="s">
        <v>666</v>
      </c>
      <c r="B685" s="90" t="s">
        <v>2563</v>
      </c>
      <c r="D685" s="90"/>
      <c r="E685" s="90"/>
      <c r="F685" s="90"/>
      <c r="G685" s="90"/>
      <c r="I685" s="79"/>
      <c r="J685" s="80"/>
      <c r="K685" s="80"/>
    </row>
    <row r="686" ht="12.75" customHeight="1">
      <c r="I686" s="79"/>
      <c r="J686" s="80"/>
      <c r="K686" s="80"/>
    </row>
    <row r="687" ht="12.75" customHeight="1">
      <c r="A687" s="89" t="s">
        <v>667</v>
      </c>
      <c r="B687" s="90" t="s">
        <v>3991</v>
      </c>
      <c r="D687" s="90"/>
      <c r="E687" s="90"/>
      <c r="F687" s="90"/>
      <c r="G687" s="90"/>
      <c r="H687" s="89" t="s">
        <v>75</v>
      </c>
      <c r="I687" s="91">
        <v>1.0</v>
      </c>
      <c r="J687" s="92">
        <v>2030.0</v>
      </c>
      <c r="K687" s="92">
        <v>2030.0</v>
      </c>
    </row>
    <row r="688" ht="12.75" customHeight="1">
      <c r="I688" s="79"/>
      <c r="J688" s="80"/>
      <c r="K688" s="80"/>
    </row>
    <row r="689" ht="12.75" customHeight="1">
      <c r="A689" s="89" t="s">
        <v>670</v>
      </c>
      <c r="B689" s="90" t="s">
        <v>3992</v>
      </c>
      <c r="D689" s="90"/>
      <c r="E689" s="90"/>
      <c r="F689" s="90"/>
      <c r="G689" s="90"/>
      <c r="H689" s="89" t="s">
        <v>75</v>
      </c>
      <c r="I689" s="91">
        <v>1.0</v>
      </c>
      <c r="J689" s="92">
        <v>7890.0</v>
      </c>
      <c r="K689" s="92">
        <v>7890.0</v>
      </c>
    </row>
    <row r="690" ht="12.75" customHeight="1">
      <c r="I690" s="79"/>
      <c r="J690" s="80"/>
      <c r="K690" s="80"/>
    </row>
    <row r="691" ht="12.75" customHeight="1">
      <c r="A691" s="89" t="s">
        <v>673</v>
      </c>
      <c r="B691" s="90" t="s">
        <v>3993</v>
      </c>
      <c r="D691" s="90"/>
      <c r="E691" s="90"/>
      <c r="F691" s="90"/>
      <c r="G691" s="90"/>
      <c r="I691" s="79"/>
      <c r="J691" s="80"/>
      <c r="K691" s="80"/>
    </row>
    <row r="692" ht="12.75" customHeight="1">
      <c r="I692" s="79"/>
      <c r="J692" s="80"/>
      <c r="K692" s="80"/>
    </row>
    <row r="693" ht="12.75" customHeight="1">
      <c r="A693" s="89" t="s">
        <v>675</v>
      </c>
      <c r="B693" s="90" t="s">
        <v>3994</v>
      </c>
      <c r="D693" s="90"/>
      <c r="E693" s="90"/>
      <c r="F693" s="90"/>
      <c r="G693" s="90"/>
      <c r="I693" s="79"/>
      <c r="J693" s="80"/>
      <c r="K693" s="80"/>
    </row>
    <row r="694" ht="12.75" customHeight="1">
      <c r="I694" s="79"/>
      <c r="J694" s="80"/>
      <c r="K694" s="80"/>
    </row>
    <row r="695" ht="12.75" customHeight="1">
      <c r="A695" s="89" t="s">
        <v>677</v>
      </c>
      <c r="B695" s="90" t="s">
        <v>3995</v>
      </c>
      <c r="D695" s="90"/>
      <c r="E695" s="90"/>
      <c r="F695" s="90"/>
      <c r="G695" s="90"/>
      <c r="H695" s="89" t="s">
        <v>75</v>
      </c>
      <c r="I695" s="91">
        <v>1.0</v>
      </c>
      <c r="J695" s="92">
        <v>113.51</v>
      </c>
      <c r="K695" s="92">
        <v>113.51</v>
      </c>
    </row>
    <row r="696" ht="12.75" customHeight="1">
      <c r="I696" s="79"/>
      <c r="J696" s="80"/>
      <c r="K696" s="80"/>
    </row>
    <row r="697" ht="12.75" customHeight="1">
      <c r="A697" s="89" t="s">
        <v>679</v>
      </c>
      <c r="B697" s="90" t="s">
        <v>3996</v>
      </c>
      <c r="D697" s="90"/>
      <c r="E697" s="90"/>
      <c r="F697" s="90"/>
      <c r="G697" s="90"/>
      <c r="H697" s="89" t="s">
        <v>75</v>
      </c>
      <c r="I697" s="91">
        <v>1.0</v>
      </c>
      <c r="J697" s="92">
        <v>466.86</v>
      </c>
      <c r="K697" s="92">
        <v>466.86</v>
      </c>
    </row>
    <row r="698" ht="12.75" customHeight="1">
      <c r="I698" s="79"/>
      <c r="J698" s="80"/>
      <c r="K698" s="80"/>
    </row>
    <row r="699" ht="12.75" customHeight="1">
      <c r="A699" s="89" t="s">
        <v>681</v>
      </c>
      <c r="B699" s="90" t="s">
        <v>3997</v>
      </c>
      <c r="D699" s="90"/>
      <c r="E699" s="90"/>
      <c r="F699" s="90"/>
      <c r="G699" s="90"/>
      <c r="H699" s="89" t="s">
        <v>75</v>
      </c>
      <c r="I699" s="91">
        <v>1.0</v>
      </c>
      <c r="J699" s="92">
        <v>459.95</v>
      </c>
      <c r="K699" s="92">
        <v>459.95</v>
      </c>
    </row>
    <row r="700" ht="12.75" customHeight="1">
      <c r="I700" s="79"/>
      <c r="J700" s="80"/>
      <c r="K700" s="80"/>
    </row>
    <row r="701" ht="12.75" customHeight="1">
      <c r="A701" s="89" t="s">
        <v>683</v>
      </c>
      <c r="B701" s="90" t="s">
        <v>3998</v>
      </c>
      <c r="D701" s="90"/>
      <c r="E701" s="90"/>
      <c r="F701" s="90"/>
      <c r="G701" s="90"/>
      <c r="H701" s="89" t="s">
        <v>75</v>
      </c>
      <c r="I701" s="91">
        <v>1.0</v>
      </c>
      <c r="J701" s="92">
        <v>304.99</v>
      </c>
      <c r="K701" s="92">
        <v>304.99</v>
      </c>
    </row>
    <row r="702" ht="12.75" customHeight="1">
      <c r="I702" s="79"/>
      <c r="J702" s="80"/>
      <c r="K702" s="80"/>
    </row>
    <row r="703" ht="12.75" customHeight="1">
      <c r="A703" s="89" t="s">
        <v>685</v>
      </c>
      <c r="B703" s="90" t="s">
        <v>3999</v>
      </c>
      <c r="D703" s="90"/>
      <c r="E703" s="90"/>
      <c r="F703" s="90"/>
      <c r="G703" s="90"/>
      <c r="H703" s="89" t="s">
        <v>75</v>
      </c>
      <c r="I703" s="91">
        <v>1.0</v>
      </c>
      <c r="J703" s="92">
        <v>590.23</v>
      </c>
      <c r="K703" s="92">
        <v>590.23</v>
      </c>
    </row>
    <row r="704" ht="12.75" customHeight="1">
      <c r="I704" s="79"/>
      <c r="J704" s="80"/>
      <c r="K704" s="80"/>
    </row>
    <row r="705" ht="12.75" customHeight="1">
      <c r="A705" s="89" t="s">
        <v>687</v>
      </c>
      <c r="B705" s="90" t="s">
        <v>4000</v>
      </c>
      <c r="D705" s="90"/>
      <c r="E705" s="90"/>
      <c r="F705" s="90"/>
      <c r="G705" s="90"/>
      <c r="H705" s="89" t="s">
        <v>75</v>
      </c>
      <c r="I705" s="91">
        <v>1.0</v>
      </c>
      <c r="J705" s="92">
        <v>615.89</v>
      </c>
      <c r="K705" s="92">
        <v>615.89</v>
      </c>
    </row>
    <row r="706" ht="12.75" customHeight="1">
      <c r="I706" s="79"/>
      <c r="J706" s="80"/>
      <c r="K706" s="80"/>
    </row>
    <row r="707" ht="12.75" customHeight="1">
      <c r="A707" s="89" t="s">
        <v>689</v>
      </c>
      <c r="B707" s="90" t="s">
        <v>4001</v>
      </c>
      <c r="D707" s="90"/>
      <c r="E707" s="90"/>
      <c r="F707" s="90"/>
      <c r="G707" s="90"/>
      <c r="H707" s="89" t="s">
        <v>75</v>
      </c>
      <c r="I707" s="91">
        <v>1.0</v>
      </c>
      <c r="J707" s="92">
        <v>488.57</v>
      </c>
      <c r="K707" s="92">
        <v>488.57</v>
      </c>
    </row>
    <row r="708" ht="12.75" customHeight="1">
      <c r="I708" s="79"/>
      <c r="J708" s="80"/>
      <c r="K708" s="80"/>
    </row>
    <row r="709" ht="12.75" customHeight="1">
      <c r="A709" s="89" t="s">
        <v>691</v>
      </c>
      <c r="B709" s="90" t="s">
        <v>4002</v>
      </c>
      <c r="D709" s="90"/>
      <c r="E709" s="90"/>
      <c r="F709" s="90"/>
      <c r="G709" s="90"/>
      <c r="H709" s="89" t="s">
        <v>75</v>
      </c>
      <c r="I709" s="91">
        <v>1.0</v>
      </c>
      <c r="J709" s="92">
        <v>713.61</v>
      </c>
      <c r="K709" s="92">
        <v>713.61</v>
      </c>
    </row>
    <row r="710" ht="12.75" customHeight="1">
      <c r="I710" s="79"/>
      <c r="J710" s="80"/>
      <c r="K710" s="80"/>
    </row>
    <row r="711" ht="12.75" customHeight="1">
      <c r="A711" s="89" t="s">
        <v>693</v>
      </c>
      <c r="B711" s="90" t="s">
        <v>4003</v>
      </c>
      <c r="D711" s="90"/>
      <c r="E711" s="90"/>
      <c r="F711" s="90"/>
      <c r="G711" s="90"/>
      <c r="H711" s="89" t="s">
        <v>75</v>
      </c>
      <c r="I711" s="91">
        <v>1.0</v>
      </c>
      <c r="J711" s="92">
        <v>719.53</v>
      </c>
      <c r="K711" s="92">
        <v>719.53</v>
      </c>
    </row>
    <row r="712" ht="12.75" customHeight="1">
      <c r="I712" s="79"/>
      <c r="J712" s="80"/>
      <c r="K712" s="80"/>
    </row>
    <row r="713" ht="12.75" customHeight="1">
      <c r="A713" s="89" t="s">
        <v>695</v>
      </c>
      <c r="B713" s="90" t="s">
        <v>4004</v>
      </c>
      <c r="D713" s="90"/>
      <c r="E713" s="90"/>
      <c r="F713" s="90"/>
      <c r="G713" s="90"/>
      <c r="H713" s="89" t="s">
        <v>75</v>
      </c>
      <c r="I713" s="91">
        <v>1.0</v>
      </c>
      <c r="J713" s="92">
        <v>259.58</v>
      </c>
      <c r="K713" s="92">
        <v>259.58</v>
      </c>
    </row>
    <row r="714" ht="12.75" customHeight="1">
      <c r="I714" s="79"/>
      <c r="J714" s="80"/>
      <c r="K714" s="80"/>
    </row>
    <row r="715" ht="12.75" customHeight="1">
      <c r="A715" s="89" t="s">
        <v>697</v>
      </c>
      <c r="B715" s="90" t="s">
        <v>4005</v>
      </c>
      <c r="D715" s="90"/>
      <c r="E715" s="90"/>
      <c r="F715" s="90"/>
      <c r="G715" s="90"/>
      <c r="H715" s="89" t="s">
        <v>75</v>
      </c>
      <c r="I715" s="91">
        <v>1.0</v>
      </c>
      <c r="J715" s="92">
        <v>1720.36</v>
      </c>
      <c r="K715" s="92">
        <v>1720.36</v>
      </c>
    </row>
    <row r="716" ht="12.75" customHeight="1">
      <c r="I716" s="79"/>
      <c r="J716" s="80"/>
      <c r="K716" s="80"/>
    </row>
    <row r="717" ht="12.75" customHeight="1">
      <c r="A717" s="89" t="s">
        <v>699</v>
      </c>
      <c r="B717" s="90" t="s">
        <v>4006</v>
      </c>
      <c r="D717" s="90"/>
      <c r="E717" s="90"/>
      <c r="F717" s="90"/>
      <c r="G717" s="90"/>
      <c r="H717" s="89" t="s">
        <v>75</v>
      </c>
      <c r="I717" s="91">
        <v>1.0</v>
      </c>
      <c r="J717" s="92">
        <v>472.78</v>
      </c>
      <c r="K717" s="92">
        <v>472.78</v>
      </c>
    </row>
    <row r="718" ht="12.75" customHeight="1">
      <c r="I718" s="79"/>
      <c r="J718" s="80"/>
      <c r="K718" s="80"/>
    </row>
    <row r="719" ht="12.75" customHeight="1">
      <c r="A719" s="89" t="s">
        <v>701</v>
      </c>
      <c r="B719" s="90" t="s">
        <v>4007</v>
      </c>
      <c r="D719" s="90"/>
      <c r="E719" s="90"/>
      <c r="F719" s="90"/>
      <c r="G719" s="90"/>
      <c r="H719" s="89" t="s">
        <v>75</v>
      </c>
      <c r="I719" s="91">
        <v>1.0</v>
      </c>
      <c r="J719" s="92">
        <v>200.36</v>
      </c>
      <c r="K719" s="92">
        <v>200.36</v>
      </c>
    </row>
    <row r="720" ht="12.75" customHeight="1">
      <c r="I720" s="79"/>
      <c r="J720" s="80"/>
      <c r="K720" s="80"/>
    </row>
    <row r="721" ht="12.75" customHeight="1">
      <c r="A721" s="89" t="s">
        <v>703</v>
      </c>
      <c r="B721" s="90" t="s">
        <v>4008</v>
      </c>
      <c r="D721" s="90"/>
      <c r="E721" s="90"/>
      <c r="F721" s="90"/>
      <c r="G721" s="90"/>
      <c r="H721" s="89" t="s">
        <v>75</v>
      </c>
      <c r="I721" s="91">
        <v>1.0</v>
      </c>
      <c r="J721" s="92">
        <v>255.64</v>
      </c>
      <c r="K721" s="92">
        <v>255.64</v>
      </c>
    </row>
    <row r="722" ht="12.75" customHeight="1">
      <c r="I722" s="79"/>
      <c r="J722" s="80"/>
      <c r="K722" s="80"/>
    </row>
    <row r="723" ht="12.75" customHeight="1">
      <c r="A723" s="89" t="s">
        <v>705</v>
      </c>
      <c r="B723" s="90" t="s">
        <v>4009</v>
      </c>
      <c r="D723" s="90"/>
      <c r="E723" s="90"/>
      <c r="F723" s="90"/>
      <c r="G723" s="90"/>
      <c r="H723" s="89" t="s">
        <v>75</v>
      </c>
      <c r="I723" s="91">
        <v>1.0</v>
      </c>
      <c r="J723" s="92">
        <v>328.67</v>
      </c>
      <c r="K723" s="92">
        <v>328.67</v>
      </c>
    </row>
    <row r="724" ht="12.75" customHeight="1">
      <c r="I724" s="79"/>
      <c r="J724" s="80"/>
      <c r="K724" s="80"/>
    </row>
    <row r="725" ht="12.75" customHeight="1">
      <c r="A725" s="89" t="s">
        <v>707</v>
      </c>
      <c r="B725" s="90" t="s">
        <v>4010</v>
      </c>
      <c r="D725" s="90"/>
      <c r="E725" s="90"/>
      <c r="F725" s="90"/>
      <c r="G725" s="90"/>
      <c r="H725" s="89" t="s">
        <v>75</v>
      </c>
      <c r="I725" s="91">
        <v>1.0</v>
      </c>
      <c r="J725" s="92">
        <v>417.51</v>
      </c>
      <c r="K725" s="92">
        <v>417.51</v>
      </c>
    </row>
    <row r="726" ht="12.75" customHeight="1">
      <c r="I726" s="79"/>
      <c r="J726" s="80"/>
      <c r="K726" s="80"/>
    </row>
    <row r="727" ht="12.75" customHeight="1">
      <c r="A727" s="89" t="s">
        <v>709</v>
      </c>
      <c r="B727" s="90" t="s">
        <v>4011</v>
      </c>
      <c r="D727" s="90"/>
      <c r="E727" s="90"/>
      <c r="F727" s="90"/>
      <c r="G727" s="90"/>
      <c r="H727" s="89" t="s">
        <v>75</v>
      </c>
      <c r="I727" s="91">
        <v>1.0</v>
      </c>
      <c r="J727" s="92">
        <v>223.06</v>
      </c>
      <c r="K727" s="92">
        <v>223.06</v>
      </c>
    </row>
    <row r="728" ht="12.75" customHeight="1">
      <c r="I728" s="79"/>
      <c r="J728" s="80"/>
      <c r="K728" s="80"/>
    </row>
    <row r="729" ht="12.75" customHeight="1">
      <c r="A729" s="89" t="s">
        <v>711</v>
      </c>
      <c r="B729" s="90" t="s">
        <v>3673</v>
      </c>
      <c r="D729" s="90"/>
      <c r="E729" s="90"/>
      <c r="F729" s="90"/>
      <c r="G729" s="90"/>
      <c r="I729" s="79"/>
      <c r="J729" s="80"/>
      <c r="K729" s="80"/>
    </row>
    <row r="730" ht="12.75" customHeight="1">
      <c r="I730" s="79"/>
      <c r="J730" s="80"/>
      <c r="K730" s="80"/>
    </row>
    <row r="731" ht="12.75" customHeight="1">
      <c r="A731" s="89" t="s">
        <v>713</v>
      </c>
      <c r="B731" s="90" t="s">
        <v>4012</v>
      </c>
      <c r="D731" s="90"/>
      <c r="E731" s="90"/>
      <c r="F731" s="90"/>
      <c r="G731" s="90"/>
      <c r="I731" s="79"/>
      <c r="J731" s="80"/>
      <c r="K731" s="80"/>
    </row>
    <row r="732" ht="12.75" customHeight="1">
      <c r="I732" s="79"/>
      <c r="J732" s="80"/>
      <c r="K732" s="80"/>
    </row>
    <row r="733" ht="12.75" customHeight="1">
      <c r="A733" s="89" t="s">
        <v>715</v>
      </c>
      <c r="B733" s="90" t="s">
        <v>4013</v>
      </c>
      <c r="D733" s="90"/>
      <c r="E733" s="90"/>
      <c r="F733" s="90"/>
      <c r="G733" s="90"/>
      <c r="H733" s="89" t="s">
        <v>75</v>
      </c>
      <c r="I733" s="91">
        <v>1.0</v>
      </c>
      <c r="J733" s="92">
        <v>4836.19</v>
      </c>
      <c r="K733" s="92">
        <v>4836.19</v>
      </c>
    </row>
    <row r="734" ht="12.75" customHeight="1">
      <c r="I734" s="79"/>
      <c r="J734" s="80"/>
      <c r="K734" s="80"/>
    </row>
    <row r="735" ht="12.75" customHeight="1">
      <c r="A735" s="89" t="s">
        <v>717</v>
      </c>
      <c r="B735" s="90" t="s">
        <v>3677</v>
      </c>
      <c r="D735" s="90"/>
      <c r="E735" s="90"/>
      <c r="F735" s="90"/>
      <c r="G735" s="90"/>
      <c r="I735" s="79"/>
      <c r="J735" s="80"/>
      <c r="K735" s="80"/>
    </row>
    <row r="736" ht="12.75" customHeight="1">
      <c r="I736" s="79"/>
      <c r="J736" s="80"/>
      <c r="K736" s="80"/>
    </row>
    <row r="737" ht="12.75" customHeight="1">
      <c r="A737" s="89" t="s">
        <v>719</v>
      </c>
      <c r="B737" s="90" t="s">
        <v>4014</v>
      </c>
      <c r="D737" s="90"/>
      <c r="E737" s="90"/>
      <c r="F737" s="90"/>
      <c r="G737" s="90"/>
      <c r="H737" s="89" t="s">
        <v>161</v>
      </c>
      <c r="I737" s="91">
        <v>1.0</v>
      </c>
      <c r="J737" s="92">
        <v>4525.85</v>
      </c>
      <c r="K737" s="92">
        <v>4525.85</v>
      </c>
    </row>
    <row r="738" ht="12.75" customHeight="1">
      <c r="I738" s="79"/>
      <c r="J738" s="80"/>
      <c r="K738" s="80"/>
    </row>
    <row r="739" ht="12.75" customHeight="1">
      <c r="A739" s="89" t="s">
        <v>721</v>
      </c>
      <c r="B739" s="90" t="s">
        <v>4015</v>
      </c>
      <c r="D739" s="90"/>
      <c r="E739" s="90"/>
      <c r="F739" s="90"/>
      <c r="G739" s="90"/>
      <c r="I739" s="79"/>
      <c r="J739" s="80"/>
      <c r="K739" s="80"/>
    </row>
    <row r="740" ht="12.75" customHeight="1">
      <c r="I740" s="79"/>
      <c r="J740" s="80"/>
      <c r="K740" s="80"/>
    </row>
    <row r="741" ht="12.75" customHeight="1">
      <c r="A741" s="89" t="s">
        <v>723</v>
      </c>
      <c r="B741" s="90" t="s">
        <v>4016</v>
      </c>
      <c r="D741" s="90"/>
      <c r="E741" s="90"/>
      <c r="F741" s="90"/>
      <c r="G741" s="90"/>
      <c r="H741" s="89" t="s">
        <v>75</v>
      </c>
      <c r="I741" s="91">
        <v>1.0</v>
      </c>
      <c r="J741" s="92">
        <v>6435.55</v>
      </c>
      <c r="K741" s="92">
        <v>6435.55</v>
      </c>
    </row>
    <row r="742" ht="12.75" customHeight="1">
      <c r="I742" s="79"/>
      <c r="J742" s="80"/>
      <c r="K742" s="80"/>
    </row>
    <row r="743" ht="12.75" customHeight="1">
      <c r="A743" s="89" t="s">
        <v>3990</v>
      </c>
      <c r="B743" s="90" t="s">
        <v>2884</v>
      </c>
      <c r="D743" s="90"/>
      <c r="E743" s="90"/>
      <c r="F743" s="90"/>
      <c r="G743" s="90"/>
      <c r="I743" s="79"/>
      <c r="J743" s="80"/>
      <c r="K743" s="92">
        <v>34068.69</v>
      </c>
    </row>
    <row r="744" ht="12.75" customHeight="1">
      <c r="I744" s="79"/>
      <c r="J744" s="80"/>
      <c r="K744" s="80"/>
    </row>
    <row r="745" ht="12.75" customHeight="1">
      <c r="I745" s="79"/>
      <c r="J745" s="80"/>
      <c r="K745" s="80"/>
    </row>
    <row r="746" ht="12.75" customHeight="1">
      <c r="A746" s="89" t="s">
        <v>4017</v>
      </c>
      <c r="B746" s="90" t="s">
        <v>3606</v>
      </c>
      <c r="D746" s="90"/>
      <c r="E746" s="90"/>
      <c r="F746" s="90"/>
      <c r="G746" s="90"/>
      <c r="I746" s="79"/>
      <c r="J746" s="80"/>
      <c r="K746" s="80"/>
    </row>
    <row r="747" ht="12.75" customHeight="1">
      <c r="I747" s="79"/>
      <c r="J747" s="80"/>
      <c r="K747" s="80"/>
    </row>
    <row r="748" ht="12.75" customHeight="1">
      <c r="A748" s="89" t="s">
        <v>726</v>
      </c>
      <c r="B748" s="90" t="s">
        <v>3607</v>
      </c>
      <c r="D748" s="90"/>
      <c r="E748" s="90"/>
      <c r="F748" s="90"/>
      <c r="G748" s="90"/>
      <c r="I748" s="79"/>
      <c r="J748" s="80"/>
      <c r="K748" s="80"/>
    </row>
    <row r="749" ht="12.75" customHeight="1">
      <c r="I749" s="79"/>
      <c r="J749" s="80"/>
      <c r="K749" s="80"/>
    </row>
    <row r="750" ht="12.75" customHeight="1">
      <c r="A750" s="89" t="s">
        <v>728</v>
      </c>
      <c r="B750" s="90" t="s">
        <v>4018</v>
      </c>
      <c r="D750" s="90"/>
      <c r="E750" s="90"/>
      <c r="F750" s="90"/>
      <c r="G750" s="90"/>
      <c r="H750" s="89" t="s">
        <v>40</v>
      </c>
      <c r="I750" s="91">
        <v>77.14</v>
      </c>
      <c r="J750" s="92">
        <v>133.8</v>
      </c>
      <c r="K750" s="92">
        <v>10321.33</v>
      </c>
    </row>
    <row r="751" ht="12.75" customHeight="1">
      <c r="I751" s="79"/>
      <c r="J751" s="80"/>
      <c r="K751" s="80"/>
    </row>
    <row r="752" ht="12.75" customHeight="1">
      <c r="A752" s="89" t="s">
        <v>730</v>
      </c>
      <c r="B752" s="90" t="s">
        <v>4019</v>
      </c>
      <c r="D752" s="90"/>
      <c r="E752" s="90"/>
      <c r="F752" s="90"/>
      <c r="G752" s="90"/>
      <c r="H752" s="89" t="s">
        <v>40</v>
      </c>
      <c r="I752" s="91">
        <v>168.06</v>
      </c>
      <c r="J752" s="92">
        <v>25.72</v>
      </c>
      <c r="K752" s="92">
        <v>4322.5</v>
      </c>
    </row>
    <row r="753" ht="12.75" customHeight="1">
      <c r="I753" s="79"/>
      <c r="J753" s="80"/>
      <c r="K753" s="80"/>
    </row>
    <row r="754" ht="12.75" customHeight="1">
      <c r="A754" s="89" t="s">
        <v>732</v>
      </c>
      <c r="B754" s="90" t="s">
        <v>4020</v>
      </c>
      <c r="D754" s="90"/>
      <c r="E754" s="90"/>
      <c r="F754" s="90"/>
      <c r="G754" s="90"/>
      <c r="H754" s="89" t="s">
        <v>40</v>
      </c>
      <c r="I754" s="91">
        <v>168.06</v>
      </c>
      <c r="J754" s="92">
        <v>9.05</v>
      </c>
      <c r="K754" s="92">
        <v>1520.94</v>
      </c>
    </row>
    <row r="755" ht="12.75" customHeight="1">
      <c r="I755" s="79"/>
      <c r="J755" s="80"/>
      <c r="K755" s="80"/>
    </row>
    <row r="756" ht="12.75" customHeight="1">
      <c r="A756" s="89" t="s">
        <v>734</v>
      </c>
      <c r="B756" s="90" t="s">
        <v>4021</v>
      </c>
      <c r="D756" s="90"/>
      <c r="E756" s="90"/>
      <c r="F756" s="90"/>
      <c r="G756" s="90"/>
      <c r="H756" s="89" t="s">
        <v>161</v>
      </c>
      <c r="I756" s="91">
        <v>153.59</v>
      </c>
      <c r="J756" s="92">
        <v>96.98</v>
      </c>
      <c r="K756" s="92">
        <v>14895.16</v>
      </c>
    </row>
    <row r="757" ht="12.75" customHeight="1">
      <c r="I757" s="79"/>
      <c r="J757" s="80"/>
      <c r="K757" s="80"/>
    </row>
    <row r="758" ht="12.75" customHeight="1">
      <c r="A758" s="89" t="s">
        <v>736</v>
      </c>
      <c r="B758" s="90" t="s">
        <v>3612</v>
      </c>
      <c r="D758" s="90"/>
      <c r="E758" s="90"/>
      <c r="F758" s="90"/>
      <c r="G758" s="90"/>
      <c r="I758" s="79"/>
      <c r="J758" s="80"/>
      <c r="K758" s="80"/>
    </row>
    <row r="759" ht="12.75" customHeight="1">
      <c r="I759" s="79"/>
      <c r="J759" s="80"/>
      <c r="K759" s="80"/>
    </row>
    <row r="760" ht="12.75" customHeight="1">
      <c r="A760" s="89" t="s">
        <v>738</v>
      </c>
      <c r="B760" s="90" t="s">
        <v>4022</v>
      </c>
      <c r="D760" s="90"/>
      <c r="E760" s="90"/>
      <c r="F760" s="90"/>
      <c r="G760" s="90"/>
      <c r="I760" s="79"/>
      <c r="J760" s="80"/>
      <c r="K760" s="80"/>
    </row>
    <row r="761" ht="12.75" customHeight="1">
      <c r="I761" s="79"/>
      <c r="J761" s="80"/>
      <c r="K761" s="80"/>
    </row>
    <row r="762" ht="12.75" customHeight="1">
      <c r="A762" s="89" t="s">
        <v>740</v>
      </c>
      <c r="B762" s="90" t="s">
        <v>3615</v>
      </c>
      <c r="D762" s="90"/>
      <c r="E762" s="90"/>
      <c r="F762" s="90"/>
      <c r="G762" s="90"/>
      <c r="H762" s="89" t="s">
        <v>742</v>
      </c>
      <c r="I762" s="91">
        <v>90.98</v>
      </c>
      <c r="J762" s="92">
        <v>213.29</v>
      </c>
      <c r="K762" s="92">
        <v>19405.12</v>
      </c>
    </row>
    <row r="763" ht="12.75" customHeight="1">
      <c r="I763" s="79"/>
      <c r="J763" s="80"/>
      <c r="K763" s="80"/>
    </row>
    <row r="764" ht="12.75" customHeight="1">
      <c r="A764" s="89" t="s">
        <v>743</v>
      </c>
      <c r="B764" s="90" t="s">
        <v>3617</v>
      </c>
      <c r="D764" s="90"/>
      <c r="E764" s="90"/>
      <c r="F764" s="90"/>
      <c r="G764" s="90"/>
      <c r="H764" s="89" t="s">
        <v>742</v>
      </c>
      <c r="I764" s="91">
        <v>27.29</v>
      </c>
      <c r="J764" s="92">
        <v>149.67</v>
      </c>
      <c r="K764" s="92">
        <v>4084.49</v>
      </c>
    </row>
    <row r="765" ht="12.75" customHeight="1">
      <c r="I765" s="79"/>
      <c r="J765" s="80"/>
      <c r="K765" s="80"/>
    </row>
    <row r="766" ht="12.75" customHeight="1">
      <c r="A766" s="89" t="s">
        <v>745</v>
      </c>
      <c r="B766" s="90" t="s">
        <v>4023</v>
      </c>
      <c r="D766" s="90"/>
      <c r="E766" s="90"/>
      <c r="F766" s="90"/>
      <c r="G766" s="90"/>
      <c r="I766" s="79"/>
      <c r="J766" s="80"/>
      <c r="K766" s="80"/>
    </row>
    <row r="767" ht="12.75" customHeight="1">
      <c r="I767" s="79"/>
      <c r="J767" s="80"/>
      <c r="K767" s="80"/>
    </row>
    <row r="768" ht="12.75" customHeight="1">
      <c r="A768" s="89" t="s">
        <v>747</v>
      </c>
      <c r="B768" s="90" t="s">
        <v>3701</v>
      </c>
      <c r="D768" s="90"/>
      <c r="E768" s="90"/>
      <c r="F768" s="90"/>
      <c r="G768" s="90"/>
      <c r="H768" s="89" t="s">
        <v>40</v>
      </c>
      <c r="I768" s="91">
        <v>31.0</v>
      </c>
      <c r="J768" s="92">
        <v>32.0</v>
      </c>
      <c r="K768" s="92">
        <v>992.0</v>
      </c>
    </row>
    <row r="769" ht="12.75" customHeight="1">
      <c r="I769" s="79"/>
      <c r="J769" s="80"/>
      <c r="K769" s="80"/>
    </row>
    <row r="770" ht="12.75" customHeight="1">
      <c r="A770" s="89" t="s">
        <v>749</v>
      </c>
      <c r="B770" s="90" t="s">
        <v>4024</v>
      </c>
      <c r="D770" s="90"/>
      <c r="E770" s="90"/>
      <c r="F770" s="90"/>
      <c r="G770" s="90"/>
      <c r="H770" s="89" t="s">
        <v>40</v>
      </c>
      <c r="I770" s="91">
        <v>62.0</v>
      </c>
      <c r="J770" s="92">
        <v>25.72</v>
      </c>
      <c r="K770" s="92">
        <v>1594.64</v>
      </c>
    </row>
    <row r="771" ht="12.75" customHeight="1">
      <c r="I771" s="79"/>
      <c r="J771" s="80"/>
      <c r="K771" s="80"/>
    </row>
    <row r="772" ht="12.75" customHeight="1">
      <c r="A772" s="89" t="s">
        <v>750</v>
      </c>
      <c r="B772" s="90" t="s">
        <v>4020</v>
      </c>
      <c r="D772" s="90"/>
      <c r="E772" s="90"/>
      <c r="F772" s="90"/>
      <c r="G772" s="90"/>
      <c r="H772" s="89" t="s">
        <v>40</v>
      </c>
      <c r="I772" s="91">
        <v>62.0</v>
      </c>
      <c r="J772" s="92">
        <v>9.05</v>
      </c>
      <c r="K772" s="92">
        <v>561.1</v>
      </c>
    </row>
    <row r="773" ht="12.75" customHeight="1">
      <c r="I773" s="79"/>
      <c r="J773" s="80"/>
      <c r="K773" s="80"/>
    </row>
    <row r="774" ht="12.75" customHeight="1">
      <c r="A774" s="89" t="s">
        <v>751</v>
      </c>
      <c r="B774" s="90" t="s">
        <v>4025</v>
      </c>
      <c r="D774" s="90"/>
      <c r="E774" s="90"/>
      <c r="F774" s="90"/>
      <c r="G774" s="90"/>
      <c r="H774" s="89" t="s">
        <v>40</v>
      </c>
      <c r="I774" s="91">
        <v>17.11</v>
      </c>
      <c r="J774" s="92">
        <v>32.62</v>
      </c>
      <c r="K774" s="92">
        <v>558.13</v>
      </c>
    </row>
    <row r="775" ht="12.75" customHeight="1">
      <c r="I775" s="79"/>
      <c r="J775" s="80"/>
      <c r="K775" s="80"/>
    </row>
    <row r="776" ht="12.75" customHeight="1">
      <c r="A776" s="89" t="s">
        <v>753</v>
      </c>
      <c r="B776" s="90" t="s">
        <v>4026</v>
      </c>
      <c r="D776" s="90"/>
      <c r="E776" s="90"/>
      <c r="F776" s="90"/>
      <c r="G776" s="90"/>
      <c r="H776" s="89" t="s">
        <v>40</v>
      </c>
      <c r="I776" s="91">
        <v>7.38</v>
      </c>
      <c r="J776" s="92">
        <v>581.9</v>
      </c>
      <c r="K776" s="92">
        <v>4294.42</v>
      </c>
    </row>
    <row r="777" ht="12.75" customHeight="1">
      <c r="I777" s="79"/>
      <c r="J777" s="80"/>
      <c r="K777" s="80"/>
    </row>
    <row r="778" ht="12.75" customHeight="1">
      <c r="A778" s="89" t="s">
        <v>755</v>
      </c>
      <c r="B778" s="90" t="s">
        <v>4027</v>
      </c>
      <c r="D778" s="90"/>
      <c r="E778" s="90"/>
      <c r="F778" s="90"/>
      <c r="G778" s="90"/>
      <c r="I778" s="79"/>
      <c r="J778" s="80"/>
      <c r="K778" s="80"/>
    </row>
    <row r="779" ht="12.75" customHeight="1">
      <c r="I779" s="79"/>
      <c r="J779" s="80"/>
      <c r="K779" s="80"/>
    </row>
    <row r="780" ht="12.75" customHeight="1">
      <c r="A780" s="89" t="s">
        <v>757</v>
      </c>
      <c r="B780" s="90" t="s">
        <v>4028</v>
      </c>
      <c r="D780" s="90"/>
      <c r="E780" s="90"/>
      <c r="F780" s="90"/>
      <c r="G780" s="90"/>
      <c r="H780" s="89" t="s">
        <v>75</v>
      </c>
      <c r="I780" s="91">
        <v>1.0</v>
      </c>
      <c r="J780" s="92">
        <v>2005.6</v>
      </c>
      <c r="K780" s="92">
        <v>2005.6</v>
      </c>
    </row>
    <row r="781" ht="12.75" customHeight="1">
      <c r="I781" s="79"/>
      <c r="J781" s="80"/>
      <c r="K781" s="80"/>
    </row>
    <row r="782" ht="12.75" customHeight="1">
      <c r="A782" s="89" t="s">
        <v>759</v>
      </c>
      <c r="B782" s="90" t="s">
        <v>4029</v>
      </c>
      <c r="D782" s="90"/>
      <c r="E782" s="90"/>
      <c r="F782" s="90"/>
      <c r="G782" s="90"/>
      <c r="I782" s="79"/>
      <c r="J782" s="80"/>
      <c r="K782" s="80"/>
    </row>
    <row r="783" ht="12.75" customHeight="1">
      <c r="I783" s="79"/>
      <c r="J783" s="80"/>
      <c r="K783" s="80"/>
    </row>
    <row r="784" ht="12.75" customHeight="1">
      <c r="A784" s="89" t="s">
        <v>761</v>
      </c>
      <c r="B784" s="90" t="s">
        <v>4030</v>
      </c>
      <c r="D784" s="90"/>
      <c r="E784" s="90"/>
      <c r="F784" s="90"/>
      <c r="G784" s="90"/>
      <c r="H784" s="89" t="s">
        <v>75</v>
      </c>
      <c r="I784" s="91">
        <v>1.0</v>
      </c>
      <c r="J784" s="92">
        <v>4454.86</v>
      </c>
      <c r="K784" s="92">
        <v>4454.86</v>
      </c>
    </row>
    <row r="785" ht="12.75" customHeight="1">
      <c r="I785" s="79"/>
      <c r="J785" s="80"/>
      <c r="K785" s="80"/>
    </row>
    <row r="786" ht="12.75" customHeight="1">
      <c r="A786" s="89" t="s">
        <v>763</v>
      </c>
      <c r="B786" s="90" t="s">
        <v>4031</v>
      </c>
      <c r="D786" s="90"/>
      <c r="E786" s="90"/>
      <c r="F786" s="90"/>
      <c r="G786" s="90"/>
      <c r="I786" s="79"/>
      <c r="J786" s="80"/>
      <c r="K786" s="80"/>
    </row>
    <row r="787" ht="12.75" customHeight="1">
      <c r="I787" s="79"/>
      <c r="J787" s="80"/>
      <c r="K787" s="80"/>
    </row>
    <row r="788" ht="12.75" customHeight="1">
      <c r="A788" s="89" t="s">
        <v>765</v>
      </c>
      <c r="B788" s="90" t="s">
        <v>4032</v>
      </c>
      <c r="D788" s="90"/>
      <c r="E788" s="90"/>
      <c r="F788" s="90"/>
      <c r="G788" s="90"/>
      <c r="H788" s="89" t="s">
        <v>75</v>
      </c>
      <c r="I788" s="91">
        <v>1.0</v>
      </c>
      <c r="J788" s="92">
        <v>3272.19</v>
      </c>
      <c r="K788" s="92">
        <v>3272.19</v>
      </c>
    </row>
    <row r="789" ht="12.75" customHeight="1">
      <c r="I789" s="79"/>
      <c r="J789" s="80"/>
      <c r="K789" s="80"/>
    </row>
    <row r="790" ht="12.75" customHeight="1">
      <c r="A790" s="89" t="s">
        <v>767</v>
      </c>
      <c r="B790" s="90" t="s">
        <v>4033</v>
      </c>
      <c r="D790" s="90"/>
      <c r="E790" s="90"/>
      <c r="F790" s="90"/>
      <c r="G790" s="90"/>
      <c r="H790" s="89" t="s">
        <v>75</v>
      </c>
      <c r="I790" s="91">
        <v>1.0</v>
      </c>
      <c r="J790" s="92">
        <v>3078.22</v>
      </c>
      <c r="K790" s="92">
        <v>3078.22</v>
      </c>
    </row>
    <row r="791" ht="12.75" customHeight="1">
      <c r="I791" s="79"/>
      <c r="J791" s="80"/>
      <c r="K791" s="80"/>
    </row>
    <row r="792" ht="12.75" customHeight="1">
      <c r="A792" s="89" t="s">
        <v>769</v>
      </c>
      <c r="B792" s="90" t="s">
        <v>4034</v>
      </c>
      <c r="D792" s="90"/>
      <c r="E792" s="90"/>
      <c r="F792" s="90"/>
      <c r="G792" s="90"/>
      <c r="H792" s="89" t="s">
        <v>161</v>
      </c>
      <c r="I792" s="91">
        <v>2.1</v>
      </c>
      <c r="J792" s="92">
        <v>226.29</v>
      </c>
      <c r="K792" s="92">
        <v>475.21</v>
      </c>
    </row>
    <row r="793" ht="12.75" customHeight="1">
      <c r="I793" s="79"/>
      <c r="J793" s="80"/>
      <c r="K793" s="80"/>
    </row>
    <row r="794" ht="12.75" customHeight="1">
      <c r="A794" s="89" t="s">
        <v>4017</v>
      </c>
      <c r="B794" s="90" t="s">
        <v>3606</v>
      </c>
      <c r="D794" s="90"/>
      <c r="E794" s="90"/>
      <c r="F794" s="90"/>
      <c r="G794" s="90"/>
      <c r="I794" s="79"/>
      <c r="J794" s="80"/>
      <c r="K794" s="92">
        <v>75835.91</v>
      </c>
    </row>
    <row r="795" ht="12.75" customHeight="1">
      <c r="I795" s="79"/>
      <c r="J795" s="80"/>
      <c r="K795" s="80"/>
    </row>
    <row r="796" ht="12.75" customHeight="1">
      <c r="A796" s="89" t="s">
        <v>3696</v>
      </c>
      <c r="B796" s="90" t="s">
        <v>3697</v>
      </c>
      <c r="D796" s="90"/>
      <c r="E796" s="90"/>
      <c r="F796" s="90"/>
      <c r="G796" s="90"/>
      <c r="I796" s="79"/>
      <c r="J796" s="80"/>
      <c r="K796" s="92">
        <v>903603.82</v>
      </c>
    </row>
    <row r="797" ht="12.75" customHeight="1">
      <c r="I797" s="79"/>
      <c r="J797" s="80"/>
      <c r="K797" s="80"/>
    </row>
    <row r="798" ht="12.75" customHeight="1">
      <c r="I798" s="79"/>
      <c r="J798" s="80"/>
      <c r="K798" s="80"/>
    </row>
    <row r="799" ht="12.75" customHeight="1">
      <c r="B799" s="90" t="s">
        <v>4035</v>
      </c>
      <c r="D799" s="90"/>
      <c r="E799" s="90"/>
      <c r="F799" s="90"/>
      <c r="G799" s="90"/>
      <c r="I799" s="79"/>
      <c r="J799" s="80"/>
      <c r="K799" s="80"/>
    </row>
    <row r="800" ht="12.75" customHeight="1">
      <c r="I800" s="79"/>
      <c r="J800" s="80"/>
      <c r="K800" s="80"/>
    </row>
    <row r="801" ht="12.75" customHeight="1">
      <c r="A801" s="89" t="s">
        <v>27</v>
      </c>
      <c r="B801" s="90" t="s">
        <v>1929</v>
      </c>
      <c r="D801" s="90"/>
      <c r="E801" s="90"/>
      <c r="F801" s="90"/>
      <c r="G801" s="90"/>
      <c r="I801" s="79"/>
      <c r="J801" s="80"/>
      <c r="K801" s="80"/>
    </row>
    <row r="802" ht="12.75" customHeight="1">
      <c r="I802" s="79"/>
      <c r="J802" s="80"/>
      <c r="K802" s="80"/>
    </row>
    <row r="803" ht="12.75" customHeight="1">
      <c r="A803" s="89" t="s">
        <v>772</v>
      </c>
      <c r="B803" s="90" t="s">
        <v>4036</v>
      </c>
      <c r="D803" s="90"/>
      <c r="E803" s="90"/>
      <c r="F803" s="90"/>
      <c r="G803" s="90"/>
      <c r="H803" s="89" t="s">
        <v>75</v>
      </c>
      <c r="I803" s="91">
        <v>1.0</v>
      </c>
      <c r="J803" s="92">
        <v>3879.3</v>
      </c>
      <c r="K803" s="92">
        <v>3879.3</v>
      </c>
    </row>
    <row r="804" ht="12.75" customHeight="1">
      <c r="I804" s="79"/>
      <c r="J804" s="80"/>
      <c r="K804" s="80"/>
    </row>
    <row r="805" ht="12.75" customHeight="1">
      <c r="A805" s="89" t="s">
        <v>774</v>
      </c>
      <c r="B805" s="90" t="s">
        <v>4037</v>
      </c>
      <c r="D805" s="90"/>
      <c r="E805" s="90"/>
      <c r="F805" s="90"/>
      <c r="G805" s="90"/>
      <c r="H805" s="89" t="s">
        <v>776</v>
      </c>
      <c r="I805" s="91">
        <v>2234.27</v>
      </c>
      <c r="J805" s="92">
        <v>10.99</v>
      </c>
      <c r="K805" s="92">
        <v>24554.63</v>
      </c>
    </row>
    <row r="806" ht="12.75" customHeight="1">
      <c r="I806" s="79"/>
      <c r="J806" s="80"/>
      <c r="K806" s="80"/>
    </row>
    <row r="807" ht="12.75" customHeight="1">
      <c r="A807" s="89" t="s">
        <v>777</v>
      </c>
      <c r="B807" s="90" t="s">
        <v>4038</v>
      </c>
      <c r="D807" s="90"/>
      <c r="E807" s="90"/>
      <c r="F807" s="90"/>
      <c r="G807" s="90"/>
      <c r="H807" s="89" t="s">
        <v>776</v>
      </c>
      <c r="I807" s="91">
        <v>482.44</v>
      </c>
      <c r="J807" s="92">
        <v>10.99</v>
      </c>
      <c r="K807" s="92">
        <v>5302.02</v>
      </c>
    </row>
    <row r="808" ht="12.75" customHeight="1">
      <c r="I808" s="79"/>
      <c r="J808" s="80"/>
      <c r="K808" s="80"/>
    </row>
    <row r="809" ht="12.75" customHeight="1">
      <c r="A809" s="89" t="s">
        <v>779</v>
      </c>
      <c r="B809" s="90" t="s">
        <v>4039</v>
      </c>
      <c r="D809" s="90"/>
      <c r="E809" s="90"/>
      <c r="F809" s="90"/>
      <c r="G809" s="90"/>
      <c r="I809" s="79"/>
      <c r="J809" s="80"/>
      <c r="K809" s="80"/>
    </row>
    <row r="810" ht="12.75" customHeight="1">
      <c r="I810" s="79"/>
      <c r="J810" s="80"/>
      <c r="K810" s="80"/>
    </row>
    <row r="811" ht="12.75" customHeight="1">
      <c r="A811" s="89" t="s">
        <v>781</v>
      </c>
      <c r="B811" s="90" t="s">
        <v>4040</v>
      </c>
      <c r="D811" s="90"/>
      <c r="E811" s="90"/>
      <c r="F811" s="90"/>
      <c r="G811" s="90"/>
      <c r="H811" s="89" t="s">
        <v>776</v>
      </c>
      <c r="I811" s="91">
        <v>2102.2</v>
      </c>
      <c r="J811" s="92">
        <v>8.41</v>
      </c>
      <c r="K811" s="92">
        <v>17679.5</v>
      </c>
    </row>
    <row r="812" ht="12.75" customHeight="1">
      <c r="I812" s="79"/>
      <c r="J812" s="80"/>
      <c r="K812" s="80"/>
    </row>
    <row r="813" ht="12.75" customHeight="1">
      <c r="A813" s="89" t="s">
        <v>27</v>
      </c>
      <c r="B813" s="90" t="s">
        <v>1929</v>
      </c>
      <c r="D813" s="90"/>
      <c r="E813" s="90"/>
      <c r="F813" s="90"/>
      <c r="G813" s="90"/>
      <c r="I813" s="79"/>
      <c r="J813" s="80"/>
      <c r="K813" s="92">
        <v>51415.45</v>
      </c>
    </row>
    <row r="814" ht="12.75" customHeight="1">
      <c r="I814" s="79"/>
      <c r="J814" s="80"/>
      <c r="K814" s="80"/>
    </row>
    <row r="815" ht="12.75" customHeight="1">
      <c r="I815" s="79"/>
      <c r="J815" s="80"/>
      <c r="K815" s="80"/>
    </row>
    <row r="816" ht="12.75" customHeight="1">
      <c r="A816" s="89" t="s">
        <v>3696</v>
      </c>
      <c r="B816" s="90" t="s">
        <v>4041</v>
      </c>
      <c r="D816" s="90"/>
      <c r="E816" s="90"/>
      <c r="F816" s="90"/>
      <c r="G816" s="90"/>
      <c r="I816" s="79"/>
      <c r="J816" s="80"/>
      <c r="K816" s="80"/>
    </row>
    <row r="817" ht="12.75" customHeight="1">
      <c r="I817" s="79"/>
      <c r="J817" s="80"/>
      <c r="K817" s="80"/>
    </row>
    <row r="818" ht="12.75" customHeight="1">
      <c r="A818" s="89" t="s">
        <v>784</v>
      </c>
      <c r="B818" s="90" t="s">
        <v>4042</v>
      </c>
      <c r="D818" s="90"/>
      <c r="E818" s="90"/>
      <c r="F818" s="90"/>
      <c r="G818" s="90"/>
      <c r="I818" s="79"/>
      <c r="J818" s="80"/>
      <c r="K818" s="80"/>
    </row>
    <row r="819" ht="12.75" customHeight="1">
      <c r="I819" s="79"/>
      <c r="J819" s="80"/>
      <c r="K819" s="80"/>
    </row>
    <row r="820" ht="12.75" customHeight="1">
      <c r="A820" s="89" t="s">
        <v>36</v>
      </c>
      <c r="B820" s="90" t="s">
        <v>4043</v>
      </c>
      <c r="D820" s="90"/>
      <c r="E820" s="90"/>
      <c r="F820" s="90"/>
      <c r="G820" s="90"/>
      <c r="I820" s="79"/>
      <c r="J820" s="80"/>
      <c r="K820" s="80"/>
    </row>
    <row r="821" ht="12.75" customHeight="1">
      <c r="I821" s="79"/>
      <c r="J821" s="80"/>
      <c r="K821" s="80"/>
    </row>
    <row r="822" ht="12.75" customHeight="1">
      <c r="A822" s="89" t="s">
        <v>38</v>
      </c>
      <c r="B822" s="90" t="s">
        <v>4044</v>
      </c>
      <c r="D822" s="90"/>
      <c r="E822" s="90"/>
      <c r="F822" s="90"/>
      <c r="G822" s="90"/>
      <c r="H822" s="89" t="s">
        <v>40</v>
      </c>
      <c r="I822" s="91">
        <v>329.7</v>
      </c>
      <c r="J822" s="92">
        <v>9.15</v>
      </c>
      <c r="K822" s="92">
        <v>3016.76</v>
      </c>
    </row>
    <row r="823" ht="12.75" customHeight="1">
      <c r="I823" s="79"/>
      <c r="J823" s="80"/>
      <c r="K823" s="80"/>
    </row>
    <row r="824" ht="12.75" customHeight="1">
      <c r="A824" s="89" t="s">
        <v>45</v>
      </c>
      <c r="B824" s="90" t="s">
        <v>4045</v>
      </c>
      <c r="D824" s="90"/>
      <c r="E824" s="90"/>
      <c r="F824" s="90"/>
      <c r="G824" s="90"/>
      <c r="I824" s="79"/>
      <c r="J824" s="80"/>
      <c r="K824" s="80"/>
    </row>
    <row r="825" ht="12.75" customHeight="1">
      <c r="I825" s="79"/>
      <c r="J825" s="80"/>
      <c r="K825" s="80"/>
    </row>
    <row r="826" ht="12.75" customHeight="1">
      <c r="A826" s="89" t="s">
        <v>47</v>
      </c>
      <c r="B826" s="90" t="s">
        <v>1954</v>
      </c>
      <c r="D826" s="90"/>
      <c r="E826" s="90"/>
      <c r="F826" s="90"/>
      <c r="G826" s="90"/>
      <c r="H826" s="89" t="s">
        <v>776</v>
      </c>
      <c r="I826" s="91">
        <v>29.25</v>
      </c>
      <c r="J826" s="92">
        <v>153.61</v>
      </c>
      <c r="K826" s="92">
        <v>4493.09</v>
      </c>
    </row>
    <row r="827" ht="12.75" customHeight="1">
      <c r="I827" s="79"/>
      <c r="J827" s="80"/>
      <c r="K827" s="80"/>
    </row>
    <row r="828" ht="12.75" customHeight="1">
      <c r="A828" s="89" t="s">
        <v>49</v>
      </c>
      <c r="B828" s="90" t="s">
        <v>4046</v>
      </c>
      <c r="D828" s="90"/>
      <c r="E828" s="90"/>
      <c r="F828" s="90"/>
      <c r="G828" s="90"/>
      <c r="H828" s="89" t="s">
        <v>776</v>
      </c>
      <c r="I828" s="91">
        <v>8.94</v>
      </c>
      <c r="J828" s="92">
        <v>153.61</v>
      </c>
      <c r="K828" s="92">
        <v>1373.27</v>
      </c>
    </row>
    <row r="829" ht="12.75" customHeight="1">
      <c r="I829" s="79"/>
      <c r="J829" s="80"/>
      <c r="K829" s="80"/>
    </row>
    <row r="830" ht="12.75" customHeight="1">
      <c r="A830" s="89" t="s">
        <v>51</v>
      </c>
      <c r="B830" s="90" t="s">
        <v>4047</v>
      </c>
      <c r="D830" s="90"/>
      <c r="E830" s="90"/>
      <c r="F830" s="90"/>
      <c r="G830" s="90"/>
      <c r="H830" s="89" t="s">
        <v>776</v>
      </c>
      <c r="I830" s="91">
        <v>106.22</v>
      </c>
      <c r="J830" s="92">
        <v>153.61</v>
      </c>
      <c r="K830" s="92">
        <v>16316.45</v>
      </c>
    </row>
    <row r="831" ht="12.75" customHeight="1">
      <c r="I831" s="79"/>
      <c r="J831" s="80"/>
      <c r="K831" s="80"/>
    </row>
    <row r="832" ht="12.75" customHeight="1">
      <c r="A832" s="89" t="s">
        <v>792</v>
      </c>
      <c r="B832" s="90" t="s">
        <v>1963</v>
      </c>
      <c r="D832" s="90"/>
      <c r="E832" s="90"/>
      <c r="F832" s="90"/>
      <c r="G832" s="90"/>
      <c r="H832" s="89" t="s">
        <v>776</v>
      </c>
      <c r="I832" s="91">
        <v>3.02</v>
      </c>
      <c r="J832" s="92">
        <v>153.61</v>
      </c>
      <c r="K832" s="92">
        <v>463.9</v>
      </c>
    </row>
    <row r="833" ht="12.75" customHeight="1">
      <c r="I833" s="79"/>
      <c r="J833" s="80"/>
      <c r="K833" s="80"/>
    </row>
    <row r="834" ht="12.75" customHeight="1">
      <c r="A834" s="89" t="s">
        <v>53</v>
      </c>
      <c r="B834" s="90" t="s">
        <v>4048</v>
      </c>
      <c r="D834" s="90"/>
      <c r="E834" s="90"/>
      <c r="F834" s="90"/>
      <c r="G834" s="90"/>
      <c r="I834" s="79"/>
      <c r="J834" s="80"/>
      <c r="K834" s="80"/>
    </row>
    <row r="835" ht="12.75" customHeight="1">
      <c r="I835" s="79"/>
      <c r="J835" s="80"/>
      <c r="K835" s="80"/>
    </row>
    <row r="836" ht="12.75" customHeight="1">
      <c r="A836" s="89" t="s">
        <v>55</v>
      </c>
      <c r="B836" s="90" t="s">
        <v>4049</v>
      </c>
      <c r="D836" s="90"/>
      <c r="E836" s="90"/>
      <c r="F836" s="90"/>
      <c r="G836" s="90"/>
      <c r="H836" s="89" t="s">
        <v>776</v>
      </c>
      <c r="I836" s="91">
        <v>2.51</v>
      </c>
      <c r="J836" s="92">
        <v>153.61</v>
      </c>
      <c r="K836" s="92">
        <v>385.56</v>
      </c>
    </row>
    <row r="837" ht="12.75" customHeight="1">
      <c r="I837" s="79"/>
      <c r="J837" s="80"/>
      <c r="K837" s="80"/>
    </row>
    <row r="838" ht="12.75" customHeight="1">
      <c r="A838" s="89" t="s">
        <v>57</v>
      </c>
      <c r="B838" s="90" t="s">
        <v>4050</v>
      </c>
      <c r="D838" s="90"/>
      <c r="E838" s="90"/>
      <c r="F838" s="90"/>
      <c r="G838" s="90"/>
      <c r="H838" s="89" t="s">
        <v>776</v>
      </c>
      <c r="I838" s="91">
        <v>88.26</v>
      </c>
      <c r="J838" s="92">
        <v>153.61</v>
      </c>
      <c r="K838" s="92">
        <v>13557.62</v>
      </c>
    </row>
    <row r="839" ht="12.75" customHeight="1">
      <c r="I839" s="79"/>
      <c r="J839" s="80"/>
      <c r="K839" s="80"/>
    </row>
    <row r="840" ht="12.75" customHeight="1">
      <c r="A840" s="89" t="s">
        <v>57</v>
      </c>
      <c r="B840" s="90" t="s">
        <v>4051</v>
      </c>
      <c r="D840" s="90"/>
      <c r="E840" s="90"/>
      <c r="F840" s="90"/>
      <c r="G840" s="90"/>
      <c r="H840" s="89" t="s">
        <v>776</v>
      </c>
      <c r="I840" s="91">
        <v>1.32</v>
      </c>
      <c r="J840" s="92">
        <v>153.61</v>
      </c>
      <c r="K840" s="92">
        <v>202.77</v>
      </c>
    </row>
    <row r="841" ht="12.75" customHeight="1">
      <c r="I841" s="79"/>
      <c r="J841" s="80"/>
      <c r="K841" s="80"/>
    </row>
    <row r="842" ht="12.75" customHeight="1">
      <c r="A842" s="89" t="s">
        <v>798</v>
      </c>
      <c r="B842" s="90" t="s">
        <v>4052</v>
      </c>
      <c r="D842" s="90"/>
      <c r="E842" s="90"/>
      <c r="F842" s="90"/>
      <c r="G842" s="90"/>
      <c r="I842" s="79"/>
      <c r="J842" s="80"/>
      <c r="K842" s="80"/>
    </row>
    <row r="843" ht="12.75" customHeight="1">
      <c r="I843" s="79"/>
      <c r="J843" s="80"/>
      <c r="K843" s="80"/>
    </row>
    <row r="844" ht="12.75" customHeight="1">
      <c r="A844" s="89" t="s">
        <v>800</v>
      </c>
      <c r="B844" s="90" t="s">
        <v>1978</v>
      </c>
      <c r="D844" s="90"/>
      <c r="E844" s="90"/>
      <c r="F844" s="90"/>
      <c r="G844" s="90"/>
      <c r="H844" s="89" t="s">
        <v>776</v>
      </c>
      <c r="I844" s="91">
        <v>7.28</v>
      </c>
      <c r="J844" s="92">
        <v>177.72</v>
      </c>
      <c r="K844" s="92">
        <v>1293.8</v>
      </c>
    </row>
    <row r="845" ht="12.75" customHeight="1">
      <c r="I845" s="79"/>
      <c r="J845" s="80"/>
      <c r="K845" s="80"/>
    </row>
    <row r="846" ht="12.75" customHeight="1">
      <c r="A846" s="89" t="s">
        <v>802</v>
      </c>
      <c r="B846" s="90" t="s">
        <v>1981</v>
      </c>
      <c r="D846" s="90"/>
      <c r="E846" s="90"/>
      <c r="F846" s="90"/>
      <c r="G846" s="90"/>
      <c r="H846" s="89" t="s">
        <v>776</v>
      </c>
      <c r="I846" s="91">
        <v>27.46</v>
      </c>
      <c r="J846" s="92">
        <v>177.72</v>
      </c>
      <c r="K846" s="92">
        <v>4880.19</v>
      </c>
    </row>
    <row r="847" ht="12.75" customHeight="1">
      <c r="I847" s="79"/>
      <c r="J847" s="80"/>
      <c r="K847" s="80"/>
    </row>
    <row r="848" ht="12.75" customHeight="1">
      <c r="A848" s="89" t="s">
        <v>798</v>
      </c>
      <c r="B848" s="90" t="s">
        <v>4053</v>
      </c>
      <c r="D848" s="90"/>
      <c r="E848" s="90"/>
      <c r="F848" s="90"/>
      <c r="G848" s="90"/>
      <c r="I848" s="79"/>
      <c r="J848" s="80"/>
      <c r="K848" s="80"/>
    </row>
    <row r="849" ht="12.75" customHeight="1">
      <c r="I849" s="79"/>
      <c r="J849" s="80"/>
      <c r="K849" s="80"/>
    </row>
    <row r="850" ht="12.75" customHeight="1">
      <c r="A850" s="89" t="s">
        <v>805</v>
      </c>
      <c r="B850" s="90" t="s">
        <v>1985</v>
      </c>
      <c r="D850" s="90"/>
      <c r="E850" s="90"/>
      <c r="F850" s="90"/>
      <c r="G850" s="90"/>
      <c r="H850" s="89" t="s">
        <v>776</v>
      </c>
      <c r="I850" s="91">
        <v>52.37</v>
      </c>
      <c r="J850" s="92">
        <v>182.74</v>
      </c>
      <c r="K850" s="92">
        <v>9570.09</v>
      </c>
    </row>
    <row r="851" ht="12.75" customHeight="1">
      <c r="I851" s="79"/>
      <c r="J851" s="80"/>
      <c r="K851" s="80"/>
    </row>
    <row r="852" ht="12.75" customHeight="1">
      <c r="A852" s="89" t="s">
        <v>807</v>
      </c>
      <c r="B852" s="90" t="s">
        <v>1988</v>
      </c>
      <c r="D852" s="90"/>
      <c r="E852" s="90"/>
      <c r="F852" s="90"/>
      <c r="G852" s="90"/>
      <c r="H852" s="89" t="s">
        <v>776</v>
      </c>
      <c r="I852" s="91">
        <v>60.12</v>
      </c>
      <c r="J852" s="92">
        <v>182.74</v>
      </c>
      <c r="K852" s="92">
        <v>10986.33</v>
      </c>
    </row>
    <row r="853" ht="12.75" customHeight="1">
      <c r="I853" s="79"/>
      <c r="J853" s="80"/>
      <c r="K853" s="80"/>
    </row>
    <row r="854" ht="12.75" customHeight="1">
      <c r="A854" s="89" t="s">
        <v>809</v>
      </c>
      <c r="B854" s="90" t="s">
        <v>1991</v>
      </c>
      <c r="D854" s="90"/>
      <c r="E854" s="90"/>
      <c r="F854" s="90"/>
      <c r="G854" s="90"/>
      <c r="H854" s="89" t="s">
        <v>776</v>
      </c>
      <c r="I854" s="91">
        <v>50.41</v>
      </c>
      <c r="J854" s="92">
        <v>182.74</v>
      </c>
      <c r="K854" s="92">
        <v>9211.92</v>
      </c>
    </row>
    <row r="855" ht="12.75" customHeight="1">
      <c r="I855" s="79"/>
      <c r="J855" s="80"/>
      <c r="K855" s="80"/>
    </row>
    <row r="856" ht="12.75" customHeight="1">
      <c r="A856" s="89" t="s">
        <v>811</v>
      </c>
      <c r="B856" s="90" t="s">
        <v>1994</v>
      </c>
      <c r="D856" s="90"/>
      <c r="E856" s="90"/>
      <c r="F856" s="90"/>
      <c r="G856" s="90"/>
      <c r="H856" s="89" t="s">
        <v>776</v>
      </c>
      <c r="I856" s="91">
        <v>1.91</v>
      </c>
      <c r="J856" s="92">
        <v>182.74</v>
      </c>
      <c r="K856" s="92">
        <v>349.03</v>
      </c>
    </row>
    <row r="857" ht="12.75" customHeight="1">
      <c r="I857" s="79"/>
      <c r="J857" s="80"/>
      <c r="K857" s="80"/>
    </row>
    <row r="858" ht="12.75" customHeight="1">
      <c r="A858" s="89" t="s">
        <v>813</v>
      </c>
      <c r="B858" s="90" t="s">
        <v>4054</v>
      </c>
      <c r="D858" s="90"/>
      <c r="E858" s="90"/>
      <c r="F858" s="90"/>
      <c r="G858" s="90"/>
      <c r="I858" s="79"/>
      <c r="J858" s="80"/>
      <c r="K858" s="80"/>
    </row>
    <row r="859" ht="12.75" customHeight="1">
      <c r="I859" s="79"/>
      <c r="J859" s="80"/>
      <c r="K859" s="80"/>
    </row>
    <row r="860" ht="12.75" customHeight="1">
      <c r="A860" s="89" t="s">
        <v>815</v>
      </c>
      <c r="B860" s="90" t="s">
        <v>1981</v>
      </c>
      <c r="D860" s="90"/>
      <c r="E860" s="90"/>
      <c r="F860" s="90"/>
      <c r="G860" s="90"/>
      <c r="H860" s="89" t="s">
        <v>776</v>
      </c>
      <c r="I860" s="91">
        <v>30.26</v>
      </c>
      <c r="J860" s="92">
        <v>177.72</v>
      </c>
      <c r="K860" s="92">
        <v>5377.81</v>
      </c>
    </row>
    <row r="861" ht="12.75" customHeight="1">
      <c r="I861" s="79"/>
      <c r="J861" s="80"/>
      <c r="K861" s="80"/>
    </row>
    <row r="862" ht="12.75" customHeight="1">
      <c r="A862" s="89" t="s">
        <v>816</v>
      </c>
      <c r="B862" s="90" t="s">
        <v>2001</v>
      </c>
      <c r="D862" s="90"/>
      <c r="E862" s="90"/>
      <c r="F862" s="90"/>
      <c r="G862" s="90"/>
      <c r="H862" s="89" t="s">
        <v>776</v>
      </c>
      <c r="I862" s="91">
        <v>21.41</v>
      </c>
      <c r="J862" s="92">
        <v>177.72</v>
      </c>
      <c r="K862" s="92">
        <v>3804.99</v>
      </c>
    </row>
    <row r="863" ht="12.75" customHeight="1">
      <c r="I863" s="79"/>
      <c r="J863" s="80"/>
      <c r="K863" s="80"/>
    </row>
    <row r="864" ht="12.75" customHeight="1">
      <c r="A864" s="89" t="s">
        <v>818</v>
      </c>
      <c r="B864" s="90" t="s">
        <v>2004</v>
      </c>
      <c r="D864" s="90"/>
      <c r="E864" s="90"/>
      <c r="F864" s="90"/>
      <c r="G864" s="90"/>
      <c r="H864" s="89" t="s">
        <v>776</v>
      </c>
      <c r="I864" s="91">
        <v>3.06</v>
      </c>
      <c r="J864" s="92">
        <v>177.72</v>
      </c>
      <c r="K864" s="92">
        <v>543.82</v>
      </c>
    </row>
    <row r="865" ht="12.75" customHeight="1">
      <c r="I865" s="79"/>
      <c r="J865" s="80"/>
      <c r="K865" s="80"/>
    </row>
    <row r="866" ht="12.75" customHeight="1">
      <c r="A866" s="89" t="s">
        <v>820</v>
      </c>
      <c r="B866" s="90" t="s">
        <v>2007</v>
      </c>
      <c r="D866" s="90"/>
      <c r="E866" s="90"/>
      <c r="F866" s="90"/>
      <c r="G866" s="90"/>
      <c r="H866" s="89" t="s">
        <v>776</v>
      </c>
      <c r="I866" s="91">
        <v>1.18</v>
      </c>
      <c r="J866" s="92">
        <v>177.72</v>
      </c>
      <c r="K866" s="92">
        <v>209.71</v>
      </c>
    </row>
    <row r="867" ht="12.75" customHeight="1">
      <c r="I867" s="79"/>
      <c r="J867" s="80"/>
      <c r="K867" s="80"/>
    </row>
    <row r="868" ht="12.75" customHeight="1">
      <c r="A868" s="89" t="s">
        <v>784</v>
      </c>
      <c r="B868" s="90" t="s">
        <v>4042</v>
      </c>
      <c r="D868" s="90"/>
      <c r="E868" s="90"/>
      <c r="F868" s="90"/>
      <c r="G868" s="90"/>
      <c r="I868" s="79"/>
      <c r="J868" s="80"/>
      <c r="K868" s="92">
        <v>86037.11</v>
      </c>
    </row>
    <row r="869" ht="12.75" customHeight="1">
      <c r="I869" s="79"/>
      <c r="J869" s="80"/>
      <c r="K869" s="80"/>
    </row>
    <row r="870" ht="12.75" customHeight="1">
      <c r="I870" s="79"/>
      <c r="J870" s="80"/>
      <c r="K870" s="80"/>
    </row>
    <row r="871" ht="12.75" customHeight="1">
      <c r="A871" s="89" t="s">
        <v>822</v>
      </c>
      <c r="B871" s="90" t="s">
        <v>4055</v>
      </c>
      <c r="D871" s="90"/>
      <c r="E871" s="90"/>
      <c r="F871" s="90"/>
      <c r="G871" s="90"/>
      <c r="I871" s="79"/>
      <c r="J871" s="80"/>
      <c r="K871" s="80"/>
    </row>
    <row r="872" ht="12.75" customHeight="1">
      <c r="I872" s="79"/>
      <c r="J872" s="80"/>
      <c r="K872" s="80"/>
    </row>
    <row r="873" ht="12.75" customHeight="1">
      <c r="A873" s="89" t="s">
        <v>69</v>
      </c>
      <c r="B873" s="90" t="s">
        <v>4056</v>
      </c>
      <c r="D873" s="90"/>
      <c r="E873" s="90"/>
      <c r="F873" s="90"/>
      <c r="G873" s="90"/>
      <c r="I873" s="79"/>
      <c r="J873" s="80"/>
      <c r="K873" s="80"/>
    </row>
    <row r="874" ht="12.75" customHeight="1">
      <c r="I874" s="79"/>
      <c r="J874" s="80"/>
      <c r="K874" s="80"/>
    </row>
    <row r="875" ht="12.75" customHeight="1">
      <c r="A875" s="89" t="s">
        <v>71</v>
      </c>
      <c r="B875" s="90" t="s">
        <v>4057</v>
      </c>
      <c r="D875" s="90"/>
      <c r="E875" s="90"/>
      <c r="F875" s="90"/>
      <c r="G875" s="90"/>
      <c r="I875" s="79"/>
      <c r="J875" s="80"/>
      <c r="K875" s="80"/>
    </row>
    <row r="876" ht="12.75" customHeight="1">
      <c r="I876" s="79"/>
      <c r="J876" s="80"/>
      <c r="K876" s="80"/>
    </row>
    <row r="877" ht="12.75" customHeight="1">
      <c r="B877" s="90" t="s">
        <v>826</v>
      </c>
      <c r="D877" s="90"/>
      <c r="E877" s="90"/>
      <c r="F877" s="90"/>
      <c r="G877" s="90"/>
      <c r="H877" s="89" t="s">
        <v>827</v>
      </c>
      <c r="I877" s="91">
        <v>421.74</v>
      </c>
      <c r="J877" s="92">
        <v>1.7</v>
      </c>
      <c r="K877" s="92">
        <v>716.96</v>
      </c>
    </row>
    <row r="878" ht="12.75" customHeight="1">
      <c r="I878" s="79"/>
      <c r="J878" s="80"/>
      <c r="K878" s="80"/>
    </row>
    <row r="879" ht="12.75" customHeight="1">
      <c r="A879" s="89" t="s">
        <v>82</v>
      </c>
      <c r="B879" s="90" t="s">
        <v>4058</v>
      </c>
      <c r="D879" s="90"/>
      <c r="E879" s="90"/>
      <c r="F879" s="90"/>
      <c r="G879" s="90"/>
      <c r="I879" s="79"/>
      <c r="J879" s="80"/>
      <c r="K879" s="80"/>
    </row>
    <row r="880" ht="12.75" customHeight="1">
      <c r="I880" s="79"/>
      <c r="J880" s="80"/>
      <c r="K880" s="80"/>
    </row>
    <row r="881" ht="12.75" customHeight="1">
      <c r="B881" s="90" t="s">
        <v>829</v>
      </c>
      <c r="D881" s="90"/>
      <c r="E881" s="90"/>
      <c r="F881" s="90"/>
      <c r="G881" s="90"/>
      <c r="H881" s="89" t="s">
        <v>827</v>
      </c>
      <c r="I881" s="91">
        <v>1572.83</v>
      </c>
      <c r="J881" s="92">
        <v>1.59</v>
      </c>
      <c r="K881" s="92">
        <v>2500.8</v>
      </c>
    </row>
    <row r="882" ht="12.75" customHeight="1">
      <c r="I882" s="79"/>
      <c r="J882" s="80"/>
      <c r="K882" s="80"/>
    </row>
    <row r="883" ht="12.75" customHeight="1">
      <c r="B883" s="90" t="s">
        <v>826</v>
      </c>
      <c r="D883" s="90"/>
      <c r="E883" s="90"/>
      <c r="F883" s="90"/>
      <c r="G883" s="90"/>
      <c r="H883" s="89" t="s">
        <v>827</v>
      </c>
      <c r="I883" s="91">
        <v>3799.07</v>
      </c>
      <c r="J883" s="92">
        <v>1.7</v>
      </c>
      <c r="K883" s="92">
        <v>6458.42</v>
      </c>
    </row>
    <row r="884" ht="12.75" customHeight="1">
      <c r="I884" s="79"/>
      <c r="J884" s="80"/>
      <c r="K884" s="80"/>
    </row>
    <row r="885" ht="12.75" customHeight="1">
      <c r="A885" s="89" t="s">
        <v>830</v>
      </c>
      <c r="B885" s="90" t="s">
        <v>4059</v>
      </c>
      <c r="D885" s="90"/>
      <c r="E885" s="90"/>
      <c r="F885" s="90"/>
      <c r="G885" s="90"/>
      <c r="I885" s="79"/>
      <c r="J885" s="80"/>
      <c r="K885" s="80"/>
    </row>
    <row r="886" ht="12.75" customHeight="1">
      <c r="I886" s="79"/>
      <c r="J886" s="80"/>
      <c r="K886" s="80"/>
    </row>
    <row r="887" ht="12.75" customHeight="1">
      <c r="B887" s="90" t="s">
        <v>826</v>
      </c>
      <c r="D887" s="90"/>
      <c r="E887" s="90"/>
      <c r="F887" s="90"/>
      <c r="G887" s="90"/>
      <c r="H887" s="89" t="s">
        <v>827</v>
      </c>
      <c r="I887" s="91">
        <v>289.81</v>
      </c>
      <c r="J887" s="92">
        <v>1.7</v>
      </c>
      <c r="K887" s="92">
        <v>492.68</v>
      </c>
    </row>
    <row r="888" ht="12.75" customHeight="1">
      <c r="I888" s="79"/>
      <c r="J888" s="80"/>
      <c r="K888" s="80"/>
    </row>
    <row r="889" ht="12.75" customHeight="1">
      <c r="B889" s="90" t="s">
        <v>832</v>
      </c>
      <c r="D889" s="90"/>
      <c r="E889" s="90"/>
      <c r="F889" s="90"/>
      <c r="G889" s="90"/>
      <c r="H889" s="89" t="s">
        <v>827</v>
      </c>
      <c r="I889" s="91">
        <v>412.85</v>
      </c>
      <c r="J889" s="92">
        <v>1.7</v>
      </c>
      <c r="K889" s="92">
        <v>701.85</v>
      </c>
    </row>
    <row r="890" ht="12.75" customHeight="1">
      <c r="I890" s="79"/>
      <c r="J890" s="80"/>
      <c r="K890" s="80"/>
    </row>
    <row r="891" ht="12.75" customHeight="1">
      <c r="A891" s="89" t="s">
        <v>833</v>
      </c>
      <c r="B891" s="90" t="s">
        <v>2023</v>
      </c>
      <c r="D891" s="90"/>
      <c r="E891" s="90"/>
      <c r="F891" s="90"/>
      <c r="G891" s="90"/>
      <c r="I891" s="79"/>
      <c r="J891" s="80"/>
      <c r="K891" s="80"/>
    </row>
    <row r="892" ht="12.75" customHeight="1">
      <c r="I892" s="79"/>
      <c r="J892" s="80"/>
      <c r="K892" s="80"/>
    </row>
    <row r="893" ht="12.75" customHeight="1">
      <c r="B893" s="90" t="s">
        <v>829</v>
      </c>
      <c r="D893" s="90"/>
      <c r="E893" s="90"/>
      <c r="F893" s="90"/>
      <c r="G893" s="90"/>
      <c r="H893" s="89" t="s">
        <v>827</v>
      </c>
      <c r="I893" s="91">
        <v>651.95</v>
      </c>
      <c r="J893" s="92">
        <v>1.59</v>
      </c>
      <c r="K893" s="92">
        <v>1036.6</v>
      </c>
    </row>
    <row r="894" ht="12.75" customHeight="1">
      <c r="I894" s="79"/>
      <c r="J894" s="80"/>
      <c r="K894" s="80"/>
    </row>
    <row r="895" ht="12.75" customHeight="1">
      <c r="B895" s="90" t="s">
        <v>826</v>
      </c>
      <c r="D895" s="90"/>
      <c r="E895" s="90"/>
      <c r="F895" s="90"/>
      <c r="G895" s="90"/>
      <c r="H895" s="89" t="s">
        <v>827</v>
      </c>
      <c r="I895" s="91">
        <v>132.8</v>
      </c>
      <c r="J895" s="92">
        <v>1.7</v>
      </c>
      <c r="K895" s="92">
        <v>225.76</v>
      </c>
    </row>
    <row r="896" ht="12.75" customHeight="1">
      <c r="I896" s="79"/>
      <c r="J896" s="80"/>
      <c r="K896" s="80"/>
    </row>
    <row r="897" ht="12.75" customHeight="1">
      <c r="B897" s="90" t="s">
        <v>832</v>
      </c>
      <c r="D897" s="90"/>
      <c r="E897" s="90"/>
      <c r="F897" s="90"/>
      <c r="G897" s="90"/>
      <c r="H897" s="89" t="s">
        <v>827</v>
      </c>
      <c r="I897" s="91">
        <v>477.82</v>
      </c>
      <c r="J897" s="92">
        <v>1.7</v>
      </c>
      <c r="K897" s="92">
        <v>812.29</v>
      </c>
    </row>
    <row r="898" ht="12.75" customHeight="1">
      <c r="I898" s="79"/>
      <c r="J898" s="80"/>
      <c r="K898" s="80"/>
    </row>
    <row r="899" ht="12.75" customHeight="1">
      <c r="B899" s="90" t="s">
        <v>835</v>
      </c>
      <c r="D899" s="90"/>
      <c r="E899" s="90"/>
      <c r="F899" s="90"/>
      <c r="G899" s="90"/>
      <c r="H899" s="89" t="s">
        <v>827</v>
      </c>
      <c r="I899" s="91">
        <v>1878.6</v>
      </c>
      <c r="J899" s="92">
        <v>1.78</v>
      </c>
      <c r="K899" s="92">
        <v>3343.91</v>
      </c>
    </row>
    <row r="900" ht="12.75" customHeight="1">
      <c r="I900" s="79"/>
      <c r="J900" s="80"/>
      <c r="K900" s="80"/>
    </row>
    <row r="901" ht="12.75" customHeight="1">
      <c r="A901" s="89" t="s">
        <v>836</v>
      </c>
      <c r="B901" s="90" t="s">
        <v>4060</v>
      </c>
      <c r="D901" s="90"/>
      <c r="E901" s="90"/>
      <c r="F901" s="90"/>
      <c r="G901" s="90"/>
      <c r="I901" s="79"/>
      <c r="J901" s="80"/>
      <c r="K901" s="80"/>
    </row>
    <row r="902" ht="12.75" customHeight="1">
      <c r="I902" s="79"/>
      <c r="J902" s="80"/>
      <c r="K902" s="80"/>
    </row>
    <row r="903" ht="12.75" customHeight="1">
      <c r="B903" s="90" t="s">
        <v>829</v>
      </c>
      <c r="D903" s="90"/>
      <c r="E903" s="90"/>
      <c r="F903" s="90"/>
      <c r="G903" s="90"/>
      <c r="H903" s="89" t="s">
        <v>827</v>
      </c>
      <c r="I903" s="91">
        <v>861.38</v>
      </c>
      <c r="J903" s="92">
        <v>1.59</v>
      </c>
      <c r="K903" s="92">
        <v>1369.59</v>
      </c>
    </row>
    <row r="904" ht="12.75" customHeight="1">
      <c r="I904" s="79"/>
      <c r="J904" s="80"/>
      <c r="K904" s="80"/>
    </row>
    <row r="905" ht="12.75" customHeight="1">
      <c r="B905" s="90" t="s">
        <v>826</v>
      </c>
      <c r="D905" s="90"/>
      <c r="E905" s="90"/>
      <c r="F905" s="90"/>
      <c r="G905" s="90"/>
      <c r="H905" s="89" t="s">
        <v>827</v>
      </c>
      <c r="I905" s="91">
        <v>4610.89</v>
      </c>
      <c r="J905" s="92">
        <v>1.7</v>
      </c>
      <c r="K905" s="92">
        <v>7838.51</v>
      </c>
    </row>
    <row r="906" ht="12.75" customHeight="1">
      <c r="I906" s="79"/>
      <c r="J906" s="80"/>
      <c r="K906" s="80"/>
    </row>
    <row r="907" ht="12.75" customHeight="1">
      <c r="B907" s="90" t="s">
        <v>832</v>
      </c>
      <c r="D907" s="90"/>
      <c r="E907" s="90"/>
      <c r="F907" s="90"/>
      <c r="G907" s="90"/>
      <c r="H907" s="89" t="s">
        <v>827</v>
      </c>
      <c r="I907" s="91">
        <v>12447.9</v>
      </c>
      <c r="J907" s="92">
        <v>1.7</v>
      </c>
      <c r="K907" s="92">
        <v>21161.43</v>
      </c>
    </row>
    <row r="908" ht="12.75" customHeight="1">
      <c r="I908" s="79"/>
      <c r="J908" s="80"/>
      <c r="K908" s="80"/>
    </row>
    <row r="909" ht="12.75" customHeight="1">
      <c r="A909" s="89" t="s">
        <v>838</v>
      </c>
      <c r="B909" s="90" t="s">
        <v>2034</v>
      </c>
      <c r="D909" s="90"/>
      <c r="E909" s="90"/>
      <c r="F909" s="90"/>
      <c r="G909" s="90"/>
      <c r="I909" s="79"/>
      <c r="J909" s="80"/>
      <c r="K909" s="80"/>
    </row>
    <row r="910" ht="12.75" customHeight="1">
      <c r="I910" s="79"/>
      <c r="J910" s="80"/>
      <c r="K910" s="80"/>
    </row>
    <row r="911" ht="12.75" customHeight="1">
      <c r="B911" s="90" t="s">
        <v>829</v>
      </c>
      <c r="D911" s="90"/>
      <c r="E911" s="90"/>
      <c r="F911" s="90"/>
      <c r="G911" s="90"/>
      <c r="H911" s="89" t="s">
        <v>827</v>
      </c>
      <c r="I911" s="91">
        <v>873.77</v>
      </c>
      <c r="J911" s="92">
        <v>1.59</v>
      </c>
      <c r="K911" s="92">
        <v>1389.29</v>
      </c>
    </row>
    <row r="912" ht="12.75" customHeight="1">
      <c r="I912" s="79"/>
      <c r="J912" s="80"/>
      <c r="K912" s="80"/>
    </row>
    <row r="913" ht="12.75" customHeight="1">
      <c r="B913" s="90" t="s">
        <v>832</v>
      </c>
      <c r="D913" s="90"/>
      <c r="E913" s="90"/>
      <c r="F913" s="90"/>
      <c r="G913" s="90"/>
      <c r="H913" s="89" t="s">
        <v>827</v>
      </c>
      <c r="I913" s="91">
        <v>1173.14</v>
      </c>
      <c r="J913" s="92">
        <v>1.7</v>
      </c>
      <c r="K913" s="92">
        <v>1994.34</v>
      </c>
    </row>
    <row r="914" ht="12.75" customHeight="1">
      <c r="I914" s="79"/>
      <c r="J914" s="80"/>
      <c r="K914" s="80"/>
    </row>
    <row r="915" ht="12.75" customHeight="1">
      <c r="B915" s="90" t="s">
        <v>835</v>
      </c>
      <c r="D915" s="90"/>
      <c r="E915" s="90"/>
      <c r="F915" s="90"/>
      <c r="G915" s="90"/>
      <c r="H915" s="89" t="s">
        <v>827</v>
      </c>
      <c r="I915" s="91">
        <v>851.86</v>
      </c>
      <c r="J915" s="92">
        <v>1.78</v>
      </c>
      <c r="K915" s="92">
        <v>1516.31</v>
      </c>
    </row>
    <row r="916" ht="12.75" customHeight="1">
      <c r="I916" s="79"/>
      <c r="J916" s="80"/>
      <c r="K916" s="80"/>
    </row>
    <row r="917" ht="12.75" customHeight="1">
      <c r="A917" s="89" t="s">
        <v>840</v>
      </c>
      <c r="B917" s="90" t="s">
        <v>2039</v>
      </c>
      <c r="D917" s="90"/>
      <c r="E917" s="90"/>
      <c r="F917" s="90"/>
      <c r="G917" s="90"/>
      <c r="I917" s="79"/>
      <c r="J917" s="80"/>
      <c r="K917" s="80"/>
    </row>
    <row r="918" ht="12.75" customHeight="1">
      <c r="I918" s="79"/>
      <c r="J918" s="80"/>
      <c r="K918" s="80"/>
    </row>
    <row r="919" ht="12.75" customHeight="1">
      <c r="B919" s="90" t="s">
        <v>829</v>
      </c>
      <c r="D919" s="90"/>
      <c r="E919" s="90"/>
      <c r="F919" s="90"/>
      <c r="G919" s="90"/>
      <c r="H919" s="89" t="s">
        <v>827</v>
      </c>
      <c r="I919" s="91">
        <v>2505.02</v>
      </c>
      <c r="J919" s="92">
        <v>1.59</v>
      </c>
      <c r="K919" s="92">
        <v>3982.98</v>
      </c>
    </row>
    <row r="920" ht="12.75" customHeight="1">
      <c r="I920" s="79"/>
      <c r="J920" s="80"/>
      <c r="K920" s="80"/>
    </row>
    <row r="921" ht="12.75" customHeight="1">
      <c r="B921" s="90" t="s">
        <v>826</v>
      </c>
      <c r="D921" s="90"/>
      <c r="E921" s="90"/>
      <c r="F921" s="90"/>
      <c r="G921" s="90"/>
      <c r="H921" s="89" t="s">
        <v>827</v>
      </c>
      <c r="I921" s="91">
        <v>113.14</v>
      </c>
      <c r="J921" s="92">
        <v>1.7</v>
      </c>
      <c r="K921" s="92">
        <v>192.34</v>
      </c>
    </row>
    <row r="922" ht="12.75" customHeight="1">
      <c r="I922" s="79"/>
      <c r="J922" s="80"/>
      <c r="K922" s="80"/>
    </row>
    <row r="923" ht="12.75" customHeight="1">
      <c r="B923" s="90" t="s">
        <v>832</v>
      </c>
      <c r="D923" s="90"/>
      <c r="E923" s="90"/>
      <c r="F923" s="90"/>
      <c r="G923" s="90"/>
      <c r="H923" s="89" t="s">
        <v>827</v>
      </c>
      <c r="I923" s="91">
        <v>145.88</v>
      </c>
      <c r="J923" s="92">
        <v>1.7</v>
      </c>
      <c r="K923" s="92">
        <v>248.0</v>
      </c>
    </row>
    <row r="924" ht="12.75" customHeight="1">
      <c r="I924" s="79"/>
      <c r="J924" s="80"/>
      <c r="K924" s="80"/>
    </row>
    <row r="925" ht="12.75" customHeight="1">
      <c r="B925" s="90" t="s">
        <v>835</v>
      </c>
      <c r="D925" s="90"/>
      <c r="E925" s="90"/>
      <c r="F925" s="90"/>
      <c r="G925" s="90"/>
      <c r="H925" s="89" t="s">
        <v>827</v>
      </c>
      <c r="I925" s="91">
        <v>6059.68</v>
      </c>
      <c r="J925" s="92">
        <v>1.78</v>
      </c>
      <c r="K925" s="92">
        <v>10786.23</v>
      </c>
    </row>
    <row r="926" ht="12.75" customHeight="1">
      <c r="I926" s="79"/>
      <c r="J926" s="80"/>
      <c r="K926" s="80"/>
    </row>
    <row r="927" ht="12.75" customHeight="1">
      <c r="A927" s="89" t="s">
        <v>842</v>
      </c>
      <c r="B927" s="90" t="s">
        <v>2045</v>
      </c>
      <c r="D927" s="90"/>
      <c r="E927" s="90"/>
      <c r="F927" s="90"/>
      <c r="G927" s="90"/>
      <c r="I927" s="79"/>
      <c r="J927" s="80"/>
      <c r="K927" s="80"/>
    </row>
    <row r="928" ht="12.75" customHeight="1">
      <c r="I928" s="79"/>
      <c r="J928" s="80"/>
      <c r="K928" s="80"/>
    </row>
    <row r="929" ht="12.75" customHeight="1">
      <c r="B929" s="90" t="s">
        <v>826</v>
      </c>
      <c r="D929" s="90"/>
      <c r="E929" s="90"/>
      <c r="F929" s="90"/>
      <c r="G929" s="90"/>
      <c r="H929" s="89" t="s">
        <v>827</v>
      </c>
      <c r="I929" s="91">
        <v>3007.17</v>
      </c>
      <c r="J929" s="92">
        <v>1.7</v>
      </c>
      <c r="K929" s="92">
        <v>5112.19</v>
      </c>
    </row>
    <row r="930" ht="12.75" customHeight="1">
      <c r="I930" s="79"/>
      <c r="J930" s="80"/>
      <c r="K930" s="80"/>
    </row>
    <row r="931" ht="12.75" customHeight="1">
      <c r="B931" s="90" t="s">
        <v>832</v>
      </c>
      <c r="D931" s="90"/>
      <c r="E931" s="90"/>
      <c r="F931" s="90"/>
      <c r="G931" s="90"/>
      <c r="H931" s="89" t="s">
        <v>827</v>
      </c>
      <c r="I931" s="91">
        <v>14406.06</v>
      </c>
      <c r="J931" s="92">
        <v>1.7</v>
      </c>
      <c r="K931" s="92">
        <v>24490.3</v>
      </c>
    </row>
    <row r="932" ht="12.75" customHeight="1">
      <c r="I932" s="79"/>
      <c r="J932" s="80"/>
      <c r="K932" s="80"/>
    </row>
    <row r="933" ht="12.75" customHeight="1">
      <c r="A933" s="89" t="s">
        <v>844</v>
      </c>
      <c r="B933" s="90" t="s">
        <v>2049</v>
      </c>
      <c r="D933" s="90"/>
      <c r="E933" s="90"/>
      <c r="F933" s="90"/>
      <c r="G933" s="90"/>
      <c r="I933" s="79"/>
      <c r="J933" s="80"/>
      <c r="K933" s="80"/>
    </row>
    <row r="934" ht="12.75" customHeight="1">
      <c r="I934" s="79"/>
      <c r="J934" s="80"/>
      <c r="K934" s="80"/>
    </row>
    <row r="935" ht="12.75" customHeight="1">
      <c r="B935" s="90" t="s">
        <v>826</v>
      </c>
      <c r="D935" s="90"/>
      <c r="E935" s="90"/>
      <c r="F935" s="90"/>
      <c r="G935" s="90"/>
      <c r="H935" s="89" t="s">
        <v>827</v>
      </c>
      <c r="I935" s="91">
        <v>601.06</v>
      </c>
      <c r="J935" s="92">
        <v>1.7</v>
      </c>
      <c r="K935" s="92">
        <v>1021.8</v>
      </c>
    </row>
    <row r="936" ht="12.75" customHeight="1">
      <c r="I936" s="79"/>
      <c r="J936" s="80"/>
      <c r="K936" s="80"/>
    </row>
    <row r="937" ht="12.75" customHeight="1">
      <c r="A937" s="89" t="s">
        <v>846</v>
      </c>
      <c r="B937" s="90" t="s">
        <v>4061</v>
      </c>
      <c r="D937" s="90"/>
      <c r="E937" s="90"/>
      <c r="F937" s="90"/>
      <c r="G937" s="90"/>
      <c r="I937" s="79"/>
      <c r="J937" s="80"/>
      <c r="K937" s="80"/>
    </row>
    <row r="938" ht="12.75" customHeight="1">
      <c r="I938" s="79"/>
      <c r="J938" s="80"/>
      <c r="K938" s="80"/>
    </row>
    <row r="939" ht="12.75" customHeight="1">
      <c r="B939" s="90" t="s">
        <v>829</v>
      </c>
      <c r="D939" s="90"/>
      <c r="E939" s="90"/>
      <c r="F939" s="90"/>
      <c r="G939" s="90"/>
      <c r="H939" s="89" t="s">
        <v>827</v>
      </c>
      <c r="I939" s="91">
        <v>977.88</v>
      </c>
      <c r="J939" s="92">
        <v>1.59</v>
      </c>
      <c r="K939" s="92">
        <v>1554.83</v>
      </c>
    </row>
    <row r="940" ht="12.75" customHeight="1">
      <c r="I940" s="79"/>
      <c r="J940" s="80"/>
      <c r="K940" s="80"/>
    </row>
    <row r="941" ht="12.75" customHeight="1">
      <c r="B941" s="90" t="s">
        <v>826</v>
      </c>
      <c r="D941" s="90"/>
      <c r="E941" s="90"/>
      <c r="F941" s="90"/>
      <c r="G941" s="90"/>
      <c r="H941" s="89" t="s">
        <v>827</v>
      </c>
      <c r="I941" s="91">
        <v>2445.29</v>
      </c>
      <c r="J941" s="92">
        <v>1.7</v>
      </c>
      <c r="K941" s="92">
        <v>4156.99</v>
      </c>
    </row>
    <row r="942" ht="12.75" customHeight="1">
      <c r="I942" s="79"/>
      <c r="J942" s="80"/>
      <c r="K942" s="80"/>
    </row>
    <row r="943" ht="12.75" customHeight="1">
      <c r="B943" s="90" t="s">
        <v>832</v>
      </c>
      <c r="D943" s="90"/>
      <c r="E943" s="90"/>
      <c r="F943" s="90"/>
      <c r="G943" s="90"/>
      <c r="H943" s="89" t="s">
        <v>827</v>
      </c>
      <c r="I943" s="91">
        <v>4767.93</v>
      </c>
      <c r="J943" s="92">
        <v>1.7</v>
      </c>
      <c r="K943" s="92">
        <v>8105.48</v>
      </c>
    </row>
    <row r="944" ht="12.75" customHeight="1">
      <c r="I944" s="79"/>
      <c r="J944" s="80"/>
      <c r="K944" s="80"/>
    </row>
    <row r="945" ht="12.75" customHeight="1">
      <c r="A945" s="89" t="s">
        <v>848</v>
      </c>
      <c r="B945" s="90" t="s">
        <v>2057</v>
      </c>
      <c r="D945" s="90"/>
      <c r="E945" s="90"/>
      <c r="F945" s="90"/>
      <c r="G945" s="90"/>
      <c r="I945" s="79"/>
      <c r="J945" s="80"/>
      <c r="K945" s="80"/>
    </row>
    <row r="946" ht="12.75" customHeight="1">
      <c r="I946" s="79"/>
      <c r="J946" s="80"/>
      <c r="K946" s="80"/>
    </row>
    <row r="947" ht="12.75" customHeight="1">
      <c r="B947" s="90" t="s">
        <v>829</v>
      </c>
      <c r="D947" s="90"/>
      <c r="E947" s="90"/>
      <c r="F947" s="90"/>
      <c r="G947" s="90"/>
      <c r="H947" s="89" t="s">
        <v>827</v>
      </c>
      <c r="I947" s="91">
        <v>539.19</v>
      </c>
      <c r="J947" s="92">
        <v>1.59</v>
      </c>
      <c r="K947" s="92">
        <v>857.31</v>
      </c>
    </row>
    <row r="948" ht="12.75" customHeight="1">
      <c r="I948" s="79"/>
      <c r="J948" s="80"/>
      <c r="K948" s="80"/>
    </row>
    <row r="949" ht="12.75" customHeight="1">
      <c r="B949" s="90" t="s">
        <v>832</v>
      </c>
      <c r="D949" s="90"/>
      <c r="E949" s="90"/>
      <c r="F949" s="90"/>
      <c r="G949" s="90"/>
      <c r="H949" s="89" t="s">
        <v>827</v>
      </c>
      <c r="I949" s="91">
        <v>44.55</v>
      </c>
      <c r="J949" s="92">
        <v>1.7</v>
      </c>
      <c r="K949" s="92">
        <v>75.74</v>
      </c>
    </row>
    <row r="950" ht="12.75" customHeight="1">
      <c r="I950" s="79"/>
      <c r="J950" s="80"/>
      <c r="K950" s="80"/>
    </row>
    <row r="951" ht="12.75" customHeight="1">
      <c r="A951" s="89" t="s">
        <v>822</v>
      </c>
      <c r="B951" s="90" t="s">
        <v>4055</v>
      </c>
      <c r="D951" s="90"/>
      <c r="E951" s="90"/>
      <c r="F951" s="90"/>
      <c r="G951" s="90"/>
      <c r="I951" s="79"/>
      <c r="J951" s="80"/>
      <c r="K951" s="92">
        <v>112142.93</v>
      </c>
    </row>
    <row r="952" ht="12.75" customHeight="1">
      <c r="I952" s="79"/>
      <c r="J952" s="80"/>
      <c r="K952" s="80"/>
    </row>
    <row r="953" ht="12.75" customHeight="1">
      <c r="I953" s="79"/>
      <c r="J953" s="80"/>
      <c r="K953" s="80"/>
    </row>
    <row r="954" ht="12.75" customHeight="1">
      <c r="A954" s="89" t="s">
        <v>850</v>
      </c>
      <c r="B954" s="90" t="s">
        <v>4062</v>
      </c>
      <c r="D954" s="90"/>
      <c r="E954" s="90"/>
      <c r="F954" s="90"/>
      <c r="G954" s="90"/>
      <c r="I954" s="79"/>
      <c r="J954" s="80"/>
      <c r="K954" s="80"/>
    </row>
    <row r="955" ht="12.75" customHeight="1">
      <c r="I955" s="79"/>
      <c r="J955" s="80"/>
      <c r="K955" s="80"/>
    </row>
    <row r="956" ht="12.75" customHeight="1">
      <c r="A956" s="89" t="s">
        <v>96</v>
      </c>
      <c r="B956" s="90" t="s">
        <v>4063</v>
      </c>
      <c r="D956" s="90"/>
      <c r="E956" s="90"/>
      <c r="F956" s="90"/>
      <c r="G956" s="90"/>
      <c r="I956" s="79"/>
      <c r="J956" s="80"/>
      <c r="K956" s="80"/>
    </row>
    <row r="957" ht="12.75" customHeight="1">
      <c r="I957" s="79"/>
      <c r="J957" s="80"/>
      <c r="K957" s="80"/>
    </row>
    <row r="958" ht="12.75" customHeight="1">
      <c r="A958" s="89" t="s">
        <v>98</v>
      </c>
      <c r="B958" s="90" t="s">
        <v>1954</v>
      </c>
      <c r="D958" s="90"/>
      <c r="E958" s="90"/>
      <c r="F958" s="90"/>
      <c r="G958" s="90"/>
      <c r="H958" s="89" t="s">
        <v>40</v>
      </c>
      <c r="I958" s="91">
        <v>166.13</v>
      </c>
      <c r="J958" s="92">
        <v>36.21</v>
      </c>
      <c r="K958" s="92">
        <v>6015.57</v>
      </c>
    </row>
    <row r="959" ht="12.75" customHeight="1">
      <c r="I959" s="79"/>
      <c r="J959" s="80"/>
      <c r="K959" s="80"/>
    </row>
    <row r="960" ht="12.75" customHeight="1">
      <c r="A960" s="89" t="s">
        <v>853</v>
      </c>
      <c r="B960" s="90" t="s">
        <v>4057</v>
      </c>
      <c r="D960" s="90"/>
      <c r="E960" s="90"/>
      <c r="F960" s="90"/>
      <c r="G960" s="90"/>
      <c r="H960" s="89" t="s">
        <v>40</v>
      </c>
      <c r="I960" s="91">
        <v>17.75</v>
      </c>
      <c r="J960" s="92">
        <v>36.21</v>
      </c>
      <c r="K960" s="92">
        <v>642.73</v>
      </c>
    </row>
    <row r="961" ht="12.75" customHeight="1">
      <c r="I961" s="79"/>
      <c r="J961" s="80"/>
      <c r="K961" s="80"/>
    </row>
    <row r="962" ht="12.75" customHeight="1">
      <c r="A962" s="89" t="s">
        <v>854</v>
      </c>
      <c r="B962" s="90" t="s">
        <v>4064</v>
      </c>
      <c r="D962" s="90"/>
      <c r="E962" s="90"/>
      <c r="F962" s="90"/>
      <c r="G962" s="90"/>
      <c r="H962" s="89" t="s">
        <v>40</v>
      </c>
      <c r="I962" s="91">
        <v>188.65</v>
      </c>
      <c r="J962" s="92">
        <v>36.21</v>
      </c>
      <c r="K962" s="92">
        <v>6831.02</v>
      </c>
    </row>
    <row r="963" ht="12.75" customHeight="1">
      <c r="I963" s="79"/>
      <c r="J963" s="80"/>
      <c r="K963" s="80"/>
    </row>
    <row r="964" ht="12.75" customHeight="1">
      <c r="A964" s="89" t="s">
        <v>856</v>
      </c>
      <c r="B964" s="90" t="s">
        <v>4065</v>
      </c>
      <c r="D964" s="90"/>
      <c r="E964" s="90"/>
      <c r="F964" s="90"/>
      <c r="G964" s="90"/>
      <c r="H964" s="89" t="s">
        <v>40</v>
      </c>
      <c r="I964" s="91">
        <v>913.44</v>
      </c>
      <c r="J964" s="92">
        <v>36.21</v>
      </c>
      <c r="K964" s="92">
        <v>33075.66</v>
      </c>
    </row>
    <row r="965" ht="12.75" customHeight="1">
      <c r="I965" s="79"/>
      <c r="J965" s="80"/>
      <c r="K965" s="80"/>
    </row>
    <row r="966" ht="12.75" customHeight="1">
      <c r="A966" s="89" t="s">
        <v>858</v>
      </c>
      <c r="B966" s="90" t="s">
        <v>1978</v>
      </c>
      <c r="D966" s="90"/>
      <c r="E966" s="90"/>
      <c r="F966" s="90"/>
      <c r="G966" s="90"/>
      <c r="H966" s="89" t="s">
        <v>40</v>
      </c>
      <c r="I966" s="91">
        <v>127.0</v>
      </c>
      <c r="J966" s="92">
        <v>36.21</v>
      </c>
      <c r="K966" s="92">
        <v>4598.67</v>
      </c>
    </row>
    <row r="967" ht="12.75" customHeight="1">
      <c r="I967" s="79"/>
      <c r="J967" s="80"/>
      <c r="K967" s="80"/>
    </row>
    <row r="968" ht="12.75" customHeight="1">
      <c r="A968" s="89" t="s">
        <v>859</v>
      </c>
      <c r="B968" s="90" t="s">
        <v>2070</v>
      </c>
      <c r="D968" s="90"/>
      <c r="E968" s="90"/>
      <c r="F968" s="90"/>
      <c r="G968" s="90"/>
      <c r="H968" s="89" t="s">
        <v>40</v>
      </c>
      <c r="I968" s="91">
        <v>280.94</v>
      </c>
      <c r="J968" s="92">
        <v>36.21</v>
      </c>
      <c r="K968" s="92">
        <v>10172.84</v>
      </c>
    </row>
    <row r="969" ht="12.75" customHeight="1">
      <c r="I969" s="79"/>
      <c r="J969" s="80"/>
      <c r="K969" s="80"/>
    </row>
    <row r="970" ht="12.75" customHeight="1">
      <c r="A970" s="89" t="s">
        <v>861</v>
      </c>
      <c r="B970" s="90" t="s">
        <v>2001</v>
      </c>
      <c r="D970" s="90"/>
      <c r="E970" s="90"/>
      <c r="F970" s="90"/>
      <c r="G970" s="90"/>
      <c r="H970" s="89" t="s">
        <v>40</v>
      </c>
      <c r="I970" s="91">
        <v>17.46</v>
      </c>
      <c r="J970" s="92">
        <v>36.21</v>
      </c>
      <c r="K970" s="92">
        <v>632.23</v>
      </c>
    </row>
    <row r="971" ht="12.75" customHeight="1">
      <c r="I971" s="79"/>
      <c r="J971" s="80"/>
      <c r="K971" s="80"/>
    </row>
    <row r="972" ht="12.75" customHeight="1">
      <c r="A972" s="89" t="s">
        <v>862</v>
      </c>
      <c r="B972" s="90" t="s">
        <v>2073</v>
      </c>
      <c r="D972" s="90"/>
      <c r="E972" s="90"/>
      <c r="F972" s="90"/>
      <c r="G972" s="90"/>
      <c r="H972" s="89" t="s">
        <v>40</v>
      </c>
      <c r="I972" s="91">
        <v>268.51</v>
      </c>
      <c r="J972" s="92">
        <v>36.21</v>
      </c>
      <c r="K972" s="92">
        <v>9722.75</v>
      </c>
    </row>
    <row r="973" ht="12.75" customHeight="1">
      <c r="I973" s="79"/>
      <c r="J973" s="80"/>
      <c r="K973" s="80"/>
    </row>
    <row r="974" ht="12.75" customHeight="1">
      <c r="A974" s="89" t="s">
        <v>864</v>
      </c>
      <c r="B974" s="90" t="s">
        <v>2075</v>
      </c>
      <c r="D974" s="90"/>
      <c r="E974" s="90"/>
      <c r="F974" s="90"/>
      <c r="G974" s="90"/>
      <c r="H974" s="89" t="s">
        <v>40</v>
      </c>
      <c r="I974" s="91">
        <v>7.58</v>
      </c>
      <c r="J974" s="92">
        <v>36.21</v>
      </c>
      <c r="K974" s="92">
        <v>274.47</v>
      </c>
    </row>
    <row r="975" ht="12.75" customHeight="1">
      <c r="I975" s="79"/>
      <c r="J975" s="80"/>
      <c r="K975" s="80"/>
    </row>
    <row r="976" ht="12.75" customHeight="1">
      <c r="A976" s="89" t="s">
        <v>866</v>
      </c>
      <c r="B976" s="90" t="s">
        <v>2077</v>
      </c>
      <c r="D976" s="90"/>
      <c r="E976" s="90"/>
      <c r="F976" s="90"/>
      <c r="G976" s="90"/>
      <c r="H976" s="89" t="s">
        <v>40</v>
      </c>
      <c r="I976" s="91">
        <v>29.03</v>
      </c>
      <c r="J976" s="92">
        <v>36.21</v>
      </c>
      <c r="K976" s="92">
        <v>1051.18</v>
      </c>
    </row>
    <row r="977" ht="12.75" customHeight="1">
      <c r="I977" s="79"/>
      <c r="J977" s="80"/>
      <c r="K977" s="80"/>
    </row>
    <row r="978" ht="12.75" customHeight="1">
      <c r="A978" s="89" t="s">
        <v>138</v>
      </c>
      <c r="B978" s="90" t="s">
        <v>4066</v>
      </c>
      <c r="D978" s="90"/>
      <c r="E978" s="90"/>
      <c r="F978" s="90"/>
      <c r="G978" s="90"/>
      <c r="I978" s="79"/>
      <c r="J978" s="80"/>
      <c r="K978" s="80"/>
    </row>
    <row r="979" ht="12.75" customHeight="1">
      <c r="I979" s="79"/>
      <c r="J979" s="80"/>
      <c r="K979" s="80"/>
    </row>
    <row r="980" ht="12.75" customHeight="1">
      <c r="A980" s="89" t="s">
        <v>869</v>
      </c>
      <c r="B980" s="90" t="s">
        <v>4067</v>
      </c>
      <c r="D980" s="90"/>
      <c r="E980" s="90"/>
      <c r="F980" s="90"/>
      <c r="G980" s="90"/>
      <c r="H980" s="89" t="s">
        <v>40</v>
      </c>
      <c r="I980" s="91">
        <v>157.61</v>
      </c>
      <c r="J980" s="92">
        <v>64.66</v>
      </c>
      <c r="K980" s="92">
        <v>10191.06</v>
      </c>
    </row>
    <row r="981" ht="12.75" customHeight="1">
      <c r="I981" s="79"/>
      <c r="J981" s="80"/>
      <c r="K981" s="80"/>
    </row>
    <row r="982" ht="12.75" customHeight="1">
      <c r="A982" s="89" t="s">
        <v>871</v>
      </c>
      <c r="B982" s="90" t="s">
        <v>2070</v>
      </c>
      <c r="D982" s="90"/>
      <c r="E982" s="90"/>
      <c r="F982" s="90"/>
      <c r="G982" s="90"/>
      <c r="H982" s="89" t="s">
        <v>40</v>
      </c>
      <c r="I982" s="91">
        <v>81.58</v>
      </c>
      <c r="J982" s="92">
        <v>64.66</v>
      </c>
      <c r="K982" s="92">
        <v>5274.96</v>
      </c>
    </row>
    <row r="983" ht="12.75" customHeight="1">
      <c r="I983" s="79"/>
      <c r="J983" s="80"/>
      <c r="K983" s="80"/>
    </row>
    <row r="984" ht="12.75" customHeight="1">
      <c r="A984" s="89" t="s">
        <v>872</v>
      </c>
      <c r="B984" s="90" t="s">
        <v>2001</v>
      </c>
      <c r="D984" s="90"/>
      <c r="E984" s="90"/>
      <c r="F984" s="90"/>
      <c r="G984" s="90"/>
      <c r="H984" s="89" t="s">
        <v>40</v>
      </c>
      <c r="I984" s="91">
        <v>515.45</v>
      </c>
      <c r="J984" s="92">
        <v>64.66</v>
      </c>
      <c r="K984" s="92">
        <v>33329.0</v>
      </c>
    </row>
    <row r="985" ht="12.75" customHeight="1">
      <c r="I985" s="79"/>
      <c r="J985" s="80"/>
      <c r="K985" s="80"/>
    </row>
    <row r="986" ht="12.75" customHeight="1">
      <c r="A986" s="89" t="s">
        <v>850</v>
      </c>
      <c r="B986" s="90" t="s">
        <v>4062</v>
      </c>
      <c r="D986" s="90"/>
      <c r="E986" s="90"/>
      <c r="F986" s="90"/>
      <c r="G986" s="90"/>
      <c r="I986" s="79"/>
      <c r="J986" s="80"/>
      <c r="K986" s="92">
        <v>121812.14</v>
      </c>
    </row>
    <row r="987" ht="12.75" customHeight="1">
      <c r="I987" s="79"/>
      <c r="J987" s="80"/>
      <c r="K987" s="80"/>
    </row>
    <row r="988" ht="12.75" customHeight="1">
      <c r="I988" s="79"/>
      <c r="J988" s="80"/>
      <c r="K988" s="80"/>
    </row>
    <row r="989" ht="12.75" customHeight="1">
      <c r="A989" s="89" t="s">
        <v>873</v>
      </c>
      <c r="B989" s="90" t="s">
        <v>4068</v>
      </c>
      <c r="D989" s="90"/>
      <c r="E989" s="90"/>
      <c r="F989" s="90"/>
      <c r="G989" s="90"/>
      <c r="I989" s="79"/>
      <c r="J989" s="80"/>
      <c r="K989" s="80"/>
    </row>
    <row r="990" ht="12.75" customHeight="1">
      <c r="I990" s="79"/>
      <c r="J990" s="80"/>
      <c r="K990" s="80"/>
    </row>
    <row r="991" ht="12.75" customHeight="1">
      <c r="A991" s="89" t="s">
        <v>147</v>
      </c>
      <c r="B991" s="90" t="s">
        <v>4069</v>
      </c>
      <c r="D991" s="90"/>
      <c r="E991" s="90"/>
      <c r="F991" s="90"/>
      <c r="G991" s="90"/>
      <c r="I991" s="79"/>
      <c r="J991" s="80"/>
      <c r="K991" s="80"/>
    </row>
    <row r="992" ht="12.75" customHeight="1">
      <c r="I992" s="79"/>
      <c r="J992" s="80"/>
      <c r="K992" s="80"/>
    </row>
    <row r="993" ht="12.75" customHeight="1">
      <c r="A993" s="89" t="s">
        <v>149</v>
      </c>
      <c r="B993" s="90" t="s">
        <v>4070</v>
      </c>
      <c r="D993" s="90"/>
      <c r="E993" s="90"/>
      <c r="F993" s="90"/>
      <c r="G993" s="90"/>
      <c r="H993" s="89" t="s">
        <v>877</v>
      </c>
      <c r="I993" s="91">
        <v>1218.48</v>
      </c>
      <c r="J993" s="92">
        <v>16.28</v>
      </c>
      <c r="K993" s="92">
        <v>19836.85</v>
      </c>
    </row>
    <row r="994" ht="12.75" customHeight="1">
      <c r="I994" s="79"/>
      <c r="J994" s="80"/>
      <c r="K994" s="80"/>
    </row>
    <row r="995" ht="12.75" customHeight="1">
      <c r="A995" s="89" t="s">
        <v>878</v>
      </c>
      <c r="B995" s="90" t="s">
        <v>2088</v>
      </c>
      <c r="D995" s="90"/>
      <c r="E995" s="90"/>
      <c r="F995" s="90"/>
      <c r="G995" s="90"/>
      <c r="H995" s="89" t="s">
        <v>75</v>
      </c>
      <c r="I995" s="91">
        <v>58.0</v>
      </c>
      <c r="J995" s="80"/>
      <c r="K995" s="135" t="s">
        <v>880</v>
      </c>
    </row>
    <row r="996" ht="12.75" customHeight="1">
      <c r="I996" s="79"/>
      <c r="J996" s="80"/>
      <c r="K996" s="80"/>
    </row>
    <row r="997" ht="12.75" customHeight="1">
      <c r="A997" s="89" t="s">
        <v>881</v>
      </c>
      <c r="B997" s="90" t="s">
        <v>2090</v>
      </c>
      <c r="D997" s="90"/>
      <c r="E997" s="90"/>
      <c r="F997" s="90"/>
      <c r="G997" s="90"/>
      <c r="H997" s="89" t="s">
        <v>75</v>
      </c>
      <c r="I997" s="91">
        <v>58.0</v>
      </c>
      <c r="J997" s="80"/>
      <c r="K997" s="135" t="s">
        <v>880</v>
      </c>
    </row>
    <row r="998" ht="12.75" customHeight="1">
      <c r="I998" s="79"/>
      <c r="J998" s="80"/>
      <c r="K998" s="80"/>
    </row>
    <row r="999" ht="12.75" customHeight="1">
      <c r="A999" s="89" t="s">
        <v>873</v>
      </c>
      <c r="B999" s="90" t="s">
        <v>4068</v>
      </c>
      <c r="D999" s="90"/>
      <c r="E999" s="90"/>
      <c r="F999" s="90"/>
      <c r="G999" s="90"/>
      <c r="I999" s="79"/>
      <c r="J999" s="80"/>
      <c r="K999" s="92">
        <v>19836.85</v>
      </c>
    </row>
    <row r="1000" ht="12.75" customHeight="1">
      <c r="I1000" s="79"/>
      <c r="J1000" s="80"/>
      <c r="K1000" s="80"/>
    </row>
    <row r="1001" ht="12.75" customHeight="1">
      <c r="I1001" s="79"/>
      <c r="J1001" s="80"/>
      <c r="K1001" s="80"/>
    </row>
    <row r="1002" ht="12.75" customHeight="1">
      <c r="A1002" s="89" t="s">
        <v>883</v>
      </c>
      <c r="B1002" s="90" t="s">
        <v>2091</v>
      </c>
      <c r="D1002" s="90"/>
      <c r="E1002" s="90"/>
      <c r="F1002" s="90"/>
      <c r="G1002" s="90"/>
      <c r="I1002" s="79"/>
      <c r="J1002" s="80"/>
      <c r="K1002" s="80"/>
    </row>
    <row r="1003" ht="12.75" customHeight="1">
      <c r="I1003" s="79"/>
      <c r="J1003" s="80"/>
      <c r="K1003" s="80"/>
    </row>
    <row r="1004" ht="12.75" customHeight="1">
      <c r="A1004" s="89" t="s">
        <v>166</v>
      </c>
      <c r="B1004" s="90" t="s">
        <v>4071</v>
      </c>
      <c r="D1004" s="90"/>
      <c r="E1004" s="90"/>
      <c r="F1004" s="90"/>
      <c r="G1004" s="90"/>
      <c r="I1004" s="79"/>
      <c r="J1004" s="80"/>
      <c r="K1004" s="80"/>
    </row>
    <row r="1005" ht="12.75" customHeight="1">
      <c r="I1005" s="79"/>
      <c r="J1005" s="80"/>
      <c r="K1005" s="80"/>
    </row>
    <row r="1006" ht="12.75" customHeight="1">
      <c r="A1006" s="89" t="s">
        <v>170</v>
      </c>
      <c r="B1006" s="90" t="s">
        <v>2094</v>
      </c>
      <c r="D1006" s="90"/>
      <c r="E1006" s="90"/>
      <c r="F1006" s="90"/>
      <c r="G1006" s="90"/>
      <c r="H1006" s="89" t="s">
        <v>75</v>
      </c>
      <c r="I1006" s="91">
        <v>638.0</v>
      </c>
      <c r="J1006" s="92">
        <v>4.08</v>
      </c>
      <c r="K1006" s="92">
        <v>2603.04</v>
      </c>
    </row>
    <row r="1007" ht="12.75" customHeight="1">
      <c r="I1007" s="79"/>
      <c r="J1007" s="80"/>
      <c r="K1007" s="80"/>
    </row>
    <row r="1008" ht="12.75" customHeight="1">
      <c r="A1008" s="89" t="s">
        <v>883</v>
      </c>
      <c r="B1008" s="90" t="s">
        <v>2091</v>
      </c>
      <c r="D1008" s="90"/>
      <c r="E1008" s="90"/>
      <c r="F1008" s="90"/>
      <c r="G1008" s="90"/>
      <c r="I1008" s="79"/>
      <c r="J1008" s="80"/>
      <c r="K1008" s="92">
        <v>2603.04</v>
      </c>
    </row>
    <row r="1009" ht="12.75" customHeight="1">
      <c r="I1009" s="79"/>
      <c r="J1009" s="80"/>
      <c r="K1009" s="80"/>
    </row>
    <row r="1010" ht="12.75" customHeight="1">
      <c r="I1010" s="79"/>
      <c r="J1010" s="80"/>
      <c r="K1010" s="80"/>
    </row>
    <row r="1011" ht="12.75" customHeight="1">
      <c r="A1011" s="89" t="s">
        <v>887</v>
      </c>
      <c r="B1011" s="90" t="s">
        <v>4072</v>
      </c>
      <c r="D1011" s="90"/>
      <c r="E1011" s="90"/>
      <c r="F1011" s="90"/>
      <c r="G1011" s="90"/>
      <c r="I1011" s="79"/>
      <c r="J1011" s="80"/>
      <c r="K1011" s="80"/>
    </row>
    <row r="1012" ht="12.75" customHeight="1">
      <c r="I1012" s="79"/>
      <c r="J1012" s="80"/>
      <c r="K1012" s="80"/>
    </row>
    <row r="1013" ht="12.75" customHeight="1">
      <c r="A1013" s="89" t="s">
        <v>198</v>
      </c>
      <c r="B1013" s="90" t="s">
        <v>4073</v>
      </c>
      <c r="D1013" s="90"/>
      <c r="E1013" s="90"/>
      <c r="F1013" s="90"/>
      <c r="G1013" s="90"/>
      <c r="I1013" s="79"/>
      <c r="J1013" s="80"/>
      <c r="K1013" s="80"/>
    </row>
    <row r="1014" ht="12.75" customHeight="1">
      <c r="I1014" s="79"/>
      <c r="J1014" s="80"/>
      <c r="K1014" s="80"/>
    </row>
    <row r="1015" ht="12.75" customHeight="1">
      <c r="B1015" s="90" t="s">
        <v>2098</v>
      </c>
      <c r="D1015" s="90"/>
      <c r="E1015" s="90"/>
      <c r="F1015" s="90"/>
      <c r="G1015" s="90"/>
      <c r="H1015" s="89" t="s">
        <v>827</v>
      </c>
      <c r="I1015" s="91">
        <v>4360.88</v>
      </c>
      <c r="J1015" s="92">
        <v>11.64</v>
      </c>
      <c r="K1015" s="92">
        <v>50760.64</v>
      </c>
    </row>
    <row r="1016" ht="12.75" customHeight="1">
      <c r="I1016" s="79"/>
      <c r="J1016" s="80"/>
      <c r="K1016" s="80"/>
    </row>
    <row r="1017" ht="12.75" customHeight="1">
      <c r="B1017" s="90" t="s">
        <v>2100</v>
      </c>
      <c r="D1017" s="90"/>
      <c r="E1017" s="90"/>
      <c r="F1017" s="90"/>
      <c r="G1017" s="90"/>
      <c r="H1017" s="89" t="s">
        <v>827</v>
      </c>
      <c r="I1017" s="91">
        <v>112.9</v>
      </c>
      <c r="J1017" s="92">
        <v>11.64</v>
      </c>
      <c r="K1017" s="92">
        <v>1314.16</v>
      </c>
    </row>
    <row r="1018" ht="12.75" customHeight="1">
      <c r="I1018" s="79"/>
      <c r="J1018" s="80"/>
      <c r="K1018" s="80"/>
    </row>
    <row r="1019" ht="12.75" customHeight="1">
      <c r="A1019" s="89" t="s">
        <v>230</v>
      </c>
      <c r="B1019" s="90" t="s">
        <v>4074</v>
      </c>
      <c r="D1019" s="90"/>
      <c r="E1019" s="90"/>
      <c r="F1019" s="90"/>
      <c r="G1019" s="90"/>
      <c r="H1019" s="89" t="s">
        <v>827</v>
      </c>
      <c r="I1019" s="91">
        <v>1501.78</v>
      </c>
      <c r="J1019" s="92">
        <v>11.64</v>
      </c>
      <c r="K1019" s="92">
        <v>17480.72</v>
      </c>
    </row>
    <row r="1020" ht="12.75" customHeight="1">
      <c r="I1020" s="79"/>
      <c r="J1020" s="80"/>
      <c r="K1020" s="80"/>
    </row>
    <row r="1021" ht="12.75" customHeight="1">
      <c r="A1021" s="89" t="s">
        <v>240</v>
      </c>
      <c r="B1021" s="90" t="s">
        <v>4075</v>
      </c>
      <c r="D1021" s="90"/>
      <c r="E1021" s="90"/>
      <c r="F1021" s="90"/>
      <c r="G1021" s="90"/>
      <c r="I1021" s="79"/>
      <c r="J1021" s="80"/>
      <c r="K1021" s="80"/>
    </row>
    <row r="1022" ht="12.75" customHeight="1">
      <c r="I1022" s="79"/>
      <c r="J1022" s="80"/>
      <c r="K1022" s="80"/>
    </row>
    <row r="1023" ht="12.75" customHeight="1">
      <c r="B1023" s="90" t="s">
        <v>2103</v>
      </c>
      <c r="D1023" s="90"/>
      <c r="E1023" s="90"/>
      <c r="F1023" s="90"/>
      <c r="G1023" s="90"/>
      <c r="H1023" s="89" t="s">
        <v>827</v>
      </c>
      <c r="I1023" s="91">
        <v>3972.81</v>
      </c>
      <c r="J1023" s="92">
        <v>11.64</v>
      </c>
      <c r="K1023" s="92">
        <v>46243.51</v>
      </c>
    </row>
    <row r="1024" ht="12.75" customHeight="1">
      <c r="I1024" s="79"/>
      <c r="J1024" s="80"/>
      <c r="K1024" s="80"/>
    </row>
    <row r="1025" ht="12.75" customHeight="1">
      <c r="A1025" s="89" t="s">
        <v>895</v>
      </c>
      <c r="B1025" s="90" t="s">
        <v>4076</v>
      </c>
      <c r="D1025" s="90"/>
      <c r="E1025" s="90"/>
      <c r="F1025" s="90"/>
      <c r="G1025" s="90"/>
      <c r="H1025" s="89" t="s">
        <v>33</v>
      </c>
      <c r="I1025" s="91">
        <v>1.0</v>
      </c>
      <c r="J1025" s="92">
        <v>16163.75</v>
      </c>
      <c r="K1025" s="92">
        <v>16163.75</v>
      </c>
    </row>
    <row r="1026" ht="12.75" customHeight="1">
      <c r="I1026" s="79"/>
      <c r="J1026" s="80"/>
      <c r="K1026" s="80"/>
    </row>
    <row r="1027" ht="12.75" customHeight="1">
      <c r="A1027" s="89" t="s">
        <v>897</v>
      </c>
      <c r="B1027" s="90" t="s">
        <v>4077</v>
      </c>
      <c r="D1027" s="90"/>
      <c r="E1027" s="90"/>
      <c r="F1027" s="90"/>
      <c r="G1027" s="90"/>
      <c r="I1027" s="79"/>
      <c r="J1027" s="80"/>
      <c r="K1027" s="80"/>
    </row>
    <row r="1028" ht="12.75" customHeight="1">
      <c r="I1028" s="79"/>
      <c r="J1028" s="80"/>
      <c r="K1028" s="80"/>
    </row>
    <row r="1029" ht="12.75" customHeight="1">
      <c r="A1029" s="89" t="s">
        <v>246</v>
      </c>
      <c r="B1029" s="90" t="s">
        <v>4078</v>
      </c>
      <c r="D1029" s="90"/>
      <c r="E1029" s="90"/>
      <c r="F1029" s="90"/>
      <c r="G1029" s="90"/>
      <c r="I1029" s="79"/>
      <c r="J1029" s="80"/>
      <c r="K1029" s="80"/>
    </row>
    <row r="1030" ht="12.75" customHeight="1">
      <c r="I1030" s="79"/>
      <c r="J1030" s="80"/>
      <c r="K1030" s="80"/>
    </row>
    <row r="1031" ht="12.75" customHeight="1">
      <c r="B1031" s="90" t="s">
        <v>900</v>
      </c>
      <c r="D1031" s="90"/>
      <c r="E1031" s="90"/>
      <c r="F1031" s="90"/>
      <c r="G1031" s="90"/>
      <c r="H1031" s="89" t="s">
        <v>827</v>
      </c>
      <c r="I1031" s="91">
        <v>4.79</v>
      </c>
      <c r="J1031" s="92">
        <v>11.64</v>
      </c>
      <c r="K1031" s="92">
        <v>55.76</v>
      </c>
    </row>
    <row r="1032" ht="12.75" customHeight="1">
      <c r="I1032" s="79"/>
      <c r="J1032" s="80"/>
      <c r="K1032" s="80"/>
    </row>
    <row r="1033" ht="12.75" customHeight="1">
      <c r="B1033" s="90" t="s">
        <v>901</v>
      </c>
      <c r="D1033" s="90"/>
      <c r="E1033" s="90"/>
      <c r="F1033" s="90"/>
      <c r="G1033" s="90"/>
      <c r="H1033" s="89" t="s">
        <v>827</v>
      </c>
      <c r="I1033" s="91">
        <v>2265.99</v>
      </c>
      <c r="J1033" s="92">
        <v>11.64</v>
      </c>
      <c r="K1033" s="92">
        <v>26376.12</v>
      </c>
    </row>
    <row r="1034" ht="12.75" customHeight="1">
      <c r="I1034" s="79"/>
      <c r="J1034" s="80"/>
      <c r="K1034" s="80"/>
    </row>
    <row r="1035" ht="12.75" customHeight="1">
      <c r="B1035" s="90" t="s">
        <v>902</v>
      </c>
      <c r="D1035" s="90"/>
      <c r="E1035" s="90"/>
      <c r="F1035" s="90"/>
      <c r="G1035" s="90"/>
      <c r="H1035" s="89" t="s">
        <v>827</v>
      </c>
      <c r="I1035" s="91">
        <v>5.44</v>
      </c>
      <c r="J1035" s="92">
        <v>11.64</v>
      </c>
      <c r="K1035" s="92">
        <v>63.32</v>
      </c>
    </row>
    <row r="1036" ht="12.75" customHeight="1">
      <c r="I1036" s="79"/>
      <c r="J1036" s="80"/>
      <c r="K1036" s="80"/>
    </row>
    <row r="1037" ht="12.75" customHeight="1">
      <c r="B1037" s="90" t="s">
        <v>903</v>
      </c>
      <c r="D1037" s="90"/>
      <c r="E1037" s="90"/>
      <c r="F1037" s="90"/>
      <c r="G1037" s="90"/>
      <c r="H1037" s="89" t="s">
        <v>827</v>
      </c>
      <c r="I1037" s="91">
        <v>220.49</v>
      </c>
      <c r="J1037" s="92">
        <v>11.64</v>
      </c>
      <c r="K1037" s="92">
        <v>2566.5</v>
      </c>
    </row>
    <row r="1038" ht="12.75" customHeight="1">
      <c r="I1038" s="79"/>
      <c r="J1038" s="80"/>
      <c r="K1038" s="80"/>
    </row>
    <row r="1039" ht="12.75" customHeight="1">
      <c r="B1039" s="90" t="s">
        <v>2112</v>
      </c>
      <c r="D1039" s="90"/>
      <c r="E1039" s="90"/>
      <c r="F1039" s="90"/>
      <c r="G1039" s="90"/>
      <c r="H1039" s="89" t="s">
        <v>827</v>
      </c>
      <c r="I1039" s="91">
        <v>256.76</v>
      </c>
      <c r="J1039" s="92">
        <v>11.64</v>
      </c>
      <c r="K1039" s="92">
        <v>2988.69</v>
      </c>
    </row>
    <row r="1040" ht="12.75" customHeight="1">
      <c r="I1040" s="79"/>
      <c r="J1040" s="80"/>
      <c r="K1040" s="80"/>
    </row>
    <row r="1041" ht="12.75" customHeight="1">
      <c r="A1041" s="89" t="s">
        <v>887</v>
      </c>
      <c r="B1041" s="90" t="s">
        <v>4072</v>
      </c>
      <c r="D1041" s="90"/>
      <c r="E1041" s="90"/>
      <c r="F1041" s="90"/>
      <c r="G1041" s="90"/>
      <c r="I1041" s="79"/>
      <c r="J1041" s="80"/>
      <c r="K1041" s="92">
        <v>164013.17</v>
      </c>
    </row>
    <row r="1042" ht="12.75" customHeight="1">
      <c r="I1042" s="79"/>
      <c r="J1042" s="80"/>
      <c r="K1042" s="80"/>
    </row>
    <row r="1043" ht="12.75" customHeight="1">
      <c r="I1043" s="79"/>
      <c r="J1043" s="80"/>
      <c r="K1043" s="80"/>
    </row>
    <row r="1044" ht="12.75" customHeight="1">
      <c r="A1044" s="89" t="s">
        <v>905</v>
      </c>
      <c r="B1044" s="90" t="s">
        <v>2113</v>
      </c>
      <c r="D1044" s="90"/>
      <c r="E1044" s="90"/>
      <c r="F1044" s="90"/>
      <c r="G1044" s="90"/>
      <c r="I1044" s="79"/>
      <c r="J1044" s="80"/>
      <c r="K1044" s="80"/>
    </row>
    <row r="1045" ht="12.75" customHeight="1">
      <c r="I1045" s="79"/>
      <c r="J1045" s="80"/>
      <c r="K1045" s="80"/>
    </row>
    <row r="1046" ht="12.75" customHeight="1">
      <c r="A1046" s="89" t="s">
        <v>381</v>
      </c>
      <c r="B1046" s="90" t="s">
        <v>4079</v>
      </c>
      <c r="D1046" s="90"/>
      <c r="E1046" s="90"/>
      <c r="F1046" s="90"/>
      <c r="G1046" s="90"/>
      <c r="I1046" s="79"/>
      <c r="J1046" s="80"/>
      <c r="K1046" s="80"/>
    </row>
    <row r="1047" ht="12.75" customHeight="1">
      <c r="I1047" s="79"/>
      <c r="J1047" s="80"/>
      <c r="K1047" s="80"/>
    </row>
    <row r="1048" ht="12.75" customHeight="1">
      <c r="A1048" s="89" t="s">
        <v>384</v>
      </c>
      <c r="B1048" s="90" t="s">
        <v>4080</v>
      </c>
      <c r="D1048" s="90"/>
      <c r="E1048" s="90"/>
      <c r="F1048" s="90"/>
      <c r="G1048" s="90"/>
      <c r="I1048" s="79"/>
      <c r="J1048" s="80"/>
      <c r="K1048" s="80"/>
    </row>
    <row r="1049" ht="12.75" customHeight="1">
      <c r="I1049" s="79"/>
      <c r="J1049" s="80"/>
      <c r="K1049" s="80"/>
    </row>
    <row r="1050" ht="12.75" customHeight="1">
      <c r="B1050" s="90" t="s">
        <v>909</v>
      </c>
      <c r="D1050" s="90"/>
      <c r="E1050" s="90"/>
      <c r="F1050" s="90"/>
      <c r="G1050" s="90"/>
      <c r="H1050" s="89" t="s">
        <v>40</v>
      </c>
      <c r="I1050" s="91">
        <v>246.48</v>
      </c>
      <c r="J1050" s="92">
        <v>43.62</v>
      </c>
      <c r="K1050" s="92">
        <v>10751.46</v>
      </c>
    </row>
    <row r="1051" ht="12.75" customHeight="1">
      <c r="I1051" s="79"/>
      <c r="J1051" s="80"/>
      <c r="K1051" s="80"/>
    </row>
    <row r="1052" ht="12.75" customHeight="1">
      <c r="B1052" s="90" t="s">
        <v>910</v>
      </c>
      <c r="D1052" s="90"/>
      <c r="E1052" s="90"/>
      <c r="F1052" s="90"/>
      <c r="G1052" s="90"/>
      <c r="H1052" s="89" t="s">
        <v>40</v>
      </c>
      <c r="I1052" s="91">
        <v>11.46</v>
      </c>
      <c r="J1052" s="92">
        <v>43.62</v>
      </c>
      <c r="K1052" s="92">
        <v>499.89</v>
      </c>
    </row>
    <row r="1053" ht="12.75" customHeight="1">
      <c r="I1053" s="79"/>
      <c r="J1053" s="80"/>
      <c r="K1053" s="80"/>
    </row>
    <row r="1054" ht="12.75" customHeight="1">
      <c r="A1054" s="89" t="s">
        <v>384</v>
      </c>
      <c r="B1054" s="90" t="s">
        <v>4081</v>
      </c>
      <c r="D1054" s="90"/>
      <c r="E1054" s="90"/>
      <c r="F1054" s="90"/>
      <c r="G1054" s="90"/>
      <c r="I1054" s="79"/>
      <c r="J1054" s="80"/>
      <c r="K1054" s="80"/>
    </row>
    <row r="1055" ht="12.75" customHeight="1">
      <c r="I1055" s="79"/>
      <c r="J1055" s="80"/>
      <c r="K1055" s="80"/>
    </row>
    <row r="1056" ht="12.75" customHeight="1">
      <c r="B1056" s="90" t="s">
        <v>912</v>
      </c>
      <c r="D1056" s="90"/>
      <c r="E1056" s="90"/>
      <c r="F1056" s="90"/>
      <c r="G1056" s="90"/>
      <c r="H1056" s="89" t="s">
        <v>40</v>
      </c>
      <c r="I1056" s="91">
        <v>63.73</v>
      </c>
      <c r="J1056" s="92">
        <v>45.47</v>
      </c>
      <c r="K1056" s="92">
        <v>2897.8</v>
      </c>
    </row>
    <row r="1057" ht="12.75" customHeight="1">
      <c r="I1057" s="79"/>
      <c r="J1057" s="80"/>
      <c r="K1057" s="80"/>
    </row>
    <row r="1058" ht="12.75" customHeight="1">
      <c r="B1058" s="90" t="s">
        <v>913</v>
      </c>
      <c r="D1058" s="90"/>
      <c r="E1058" s="90"/>
      <c r="F1058" s="90"/>
      <c r="G1058" s="90"/>
      <c r="H1058" s="89" t="s">
        <v>40</v>
      </c>
      <c r="I1058" s="91">
        <v>24.52</v>
      </c>
      <c r="J1058" s="92">
        <v>45.47</v>
      </c>
      <c r="K1058" s="92">
        <v>1114.92</v>
      </c>
    </row>
    <row r="1059" ht="12.75" customHeight="1">
      <c r="I1059" s="79"/>
      <c r="J1059" s="80"/>
      <c r="K1059" s="80"/>
    </row>
    <row r="1060" ht="12.75" customHeight="1">
      <c r="B1060" s="90" t="s">
        <v>914</v>
      </c>
      <c r="D1060" s="90"/>
      <c r="E1060" s="90"/>
      <c r="F1060" s="90"/>
      <c r="G1060" s="90"/>
      <c r="H1060" s="89" t="s">
        <v>40</v>
      </c>
      <c r="I1060" s="91">
        <v>15.37</v>
      </c>
      <c r="J1060" s="92">
        <v>45.47</v>
      </c>
      <c r="K1060" s="92">
        <v>698.87</v>
      </c>
    </row>
    <row r="1061" ht="12.75" customHeight="1">
      <c r="I1061" s="79"/>
      <c r="J1061" s="80"/>
      <c r="K1061" s="80"/>
    </row>
    <row r="1062" ht="12.75" customHeight="1">
      <c r="B1062" s="90" t="s">
        <v>915</v>
      </c>
      <c r="D1062" s="90"/>
      <c r="E1062" s="90"/>
      <c r="F1062" s="90"/>
      <c r="G1062" s="90"/>
      <c r="H1062" s="89" t="s">
        <v>40</v>
      </c>
      <c r="I1062" s="91">
        <v>21.88</v>
      </c>
      <c r="J1062" s="92">
        <v>45.47</v>
      </c>
      <c r="K1062" s="92">
        <v>994.88</v>
      </c>
    </row>
    <row r="1063" ht="12.75" customHeight="1">
      <c r="I1063" s="79"/>
      <c r="J1063" s="80"/>
      <c r="K1063" s="80"/>
    </row>
    <row r="1064" ht="12.75" customHeight="1">
      <c r="A1064" s="89" t="s">
        <v>905</v>
      </c>
      <c r="B1064" s="90" t="s">
        <v>2113</v>
      </c>
      <c r="D1064" s="90"/>
      <c r="E1064" s="90"/>
      <c r="F1064" s="90"/>
      <c r="G1064" s="90"/>
      <c r="I1064" s="79"/>
      <c r="J1064" s="80"/>
      <c r="K1064" s="92">
        <v>16957.82</v>
      </c>
    </row>
    <row r="1065" ht="12.75" customHeight="1">
      <c r="I1065" s="79"/>
      <c r="J1065" s="80"/>
      <c r="K1065" s="80"/>
    </row>
    <row r="1066" ht="12.75" customHeight="1">
      <c r="I1066" s="79"/>
      <c r="J1066" s="80"/>
      <c r="K1066" s="80"/>
    </row>
    <row r="1067" ht="12.75" customHeight="1">
      <c r="A1067" s="89" t="s">
        <v>916</v>
      </c>
      <c r="B1067" s="90" t="s">
        <v>2122</v>
      </c>
      <c r="D1067" s="90"/>
      <c r="E1067" s="90"/>
      <c r="F1067" s="90"/>
      <c r="G1067" s="90"/>
      <c r="I1067" s="79"/>
      <c r="J1067" s="80"/>
      <c r="K1067" s="80"/>
    </row>
    <row r="1068" ht="12.75" customHeight="1">
      <c r="I1068" s="79"/>
      <c r="J1068" s="80"/>
      <c r="K1068" s="80"/>
    </row>
    <row r="1069" ht="12.75" customHeight="1">
      <c r="A1069" s="89" t="s">
        <v>537</v>
      </c>
      <c r="B1069" s="90" t="s">
        <v>4082</v>
      </c>
      <c r="D1069" s="90"/>
      <c r="E1069" s="90"/>
      <c r="F1069" s="90"/>
      <c r="G1069" s="90"/>
      <c r="I1069" s="79"/>
      <c r="J1069" s="80"/>
      <c r="K1069" s="80"/>
    </row>
    <row r="1070" ht="12.75" customHeight="1">
      <c r="I1070" s="79"/>
      <c r="J1070" s="80"/>
      <c r="K1070" s="80"/>
    </row>
    <row r="1071" ht="12.75" customHeight="1">
      <c r="A1071" s="89" t="s">
        <v>539</v>
      </c>
      <c r="B1071" s="90" t="s">
        <v>4083</v>
      </c>
      <c r="D1071" s="90"/>
      <c r="E1071" s="90"/>
      <c r="F1071" s="90"/>
      <c r="G1071" s="90"/>
      <c r="I1071" s="79"/>
      <c r="J1071" s="80"/>
      <c r="K1071" s="80"/>
    </row>
    <row r="1072" ht="12.75" customHeight="1">
      <c r="I1072" s="79"/>
      <c r="J1072" s="80"/>
      <c r="K1072" s="80"/>
    </row>
    <row r="1073" ht="12.75" customHeight="1">
      <c r="B1073" s="90" t="s">
        <v>920</v>
      </c>
      <c r="D1073" s="90"/>
      <c r="E1073" s="90"/>
      <c r="F1073" s="90"/>
      <c r="G1073" s="90"/>
      <c r="H1073" s="89" t="s">
        <v>877</v>
      </c>
      <c r="I1073" s="91">
        <v>42.55</v>
      </c>
      <c r="J1073" s="92">
        <v>308.17</v>
      </c>
      <c r="K1073" s="92">
        <v>13112.63</v>
      </c>
    </row>
    <row r="1074" ht="12.75" customHeight="1">
      <c r="I1074" s="79"/>
      <c r="J1074" s="80"/>
      <c r="K1074" s="80"/>
    </row>
    <row r="1075" ht="12.75" customHeight="1">
      <c r="B1075" s="90" t="s">
        <v>921</v>
      </c>
      <c r="D1075" s="90"/>
      <c r="E1075" s="90"/>
      <c r="F1075" s="90"/>
      <c r="G1075" s="90"/>
      <c r="H1075" s="89" t="s">
        <v>877</v>
      </c>
      <c r="I1075" s="91">
        <v>3.92</v>
      </c>
      <c r="J1075" s="92">
        <v>376.42</v>
      </c>
      <c r="K1075" s="92">
        <v>1475.57</v>
      </c>
    </row>
    <row r="1076" ht="12.75" customHeight="1">
      <c r="I1076" s="79"/>
      <c r="J1076" s="80"/>
      <c r="K1076" s="80"/>
    </row>
    <row r="1077" ht="12.75" customHeight="1">
      <c r="B1077" s="90" t="s">
        <v>922</v>
      </c>
      <c r="D1077" s="90"/>
      <c r="E1077" s="90"/>
      <c r="F1077" s="90"/>
      <c r="G1077" s="90"/>
      <c r="H1077" s="89" t="s">
        <v>877</v>
      </c>
      <c r="I1077" s="91">
        <v>3.88</v>
      </c>
      <c r="J1077" s="92">
        <v>470.49</v>
      </c>
      <c r="K1077" s="92">
        <v>1825.5</v>
      </c>
    </row>
    <row r="1078" ht="12.75" customHeight="1">
      <c r="I1078" s="79"/>
      <c r="J1078" s="80"/>
      <c r="K1078" s="80"/>
    </row>
    <row r="1079" ht="12.75" customHeight="1">
      <c r="B1079" s="90" t="s">
        <v>923</v>
      </c>
      <c r="D1079" s="90"/>
      <c r="E1079" s="90"/>
      <c r="F1079" s="90"/>
      <c r="G1079" s="90"/>
      <c r="H1079" s="89" t="s">
        <v>877</v>
      </c>
      <c r="I1079" s="91">
        <v>4.5</v>
      </c>
      <c r="J1079" s="92">
        <v>376.42</v>
      </c>
      <c r="K1079" s="92">
        <v>1693.89</v>
      </c>
    </row>
    <row r="1080" ht="12.75" customHeight="1">
      <c r="I1080" s="79"/>
      <c r="J1080" s="80"/>
      <c r="K1080" s="80"/>
    </row>
    <row r="1081" ht="12.75" customHeight="1">
      <c r="A1081" s="89" t="s">
        <v>924</v>
      </c>
      <c r="B1081" s="90" t="s">
        <v>4084</v>
      </c>
      <c r="D1081" s="90"/>
      <c r="E1081" s="90"/>
      <c r="F1081" s="90"/>
      <c r="G1081" s="90"/>
      <c r="I1081" s="79"/>
      <c r="J1081" s="80"/>
      <c r="K1081" s="80"/>
    </row>
    <row r="1082" ht="12.75" customHeight="1">
      <c r="I1082" s="79"/>
      <c r="J1082" s="80"/>
      <c r="K1082" s="80"/>
    </row>
    <row r="1083" ht="12.75" customHeight="1">
      <c r="B1083" s="90" t="s">
        <v>922</v>
      </c>
      <c r="D1083" s="90"/>
      <c r="E1083" s="90"/>
      <c r="F1083" s="90"/>
      <c r="G1083" s="90"/>
      <c r="H1083" s="89" t="s">
        <v>877</v>
      </c>
      <c r="I1083" s="91">
        <v>3.88</v>
      </c>
      <c r="J1083" s="92">
        <v>470.49</v>
      </c>
      <c r="K1083" s="92">
        <v>1825.5</v>
      </c>
    </row>
    <row r="1084" ht="12.75" customHeight="1">
      <c r="I1084" s="79"/>
      <c r="J1084" s="80"/>
      <c r="K1084" s="80"/>
    </row>
    <row r="1085" ht="12.75" customHeight="1">
      <c r="B1085" s="90" t="s">
        <v>926</v>
      </c>
      <c r="D1085" s="90"/>
      <c r="E1085" s="90"/>
      <c r="F1085" s="90"/>
      <c r="G1085" s="90"/>
      <c r="H1085" s="89" t="s">
        <v>877</v>
      </c>
      <c r="I1085" s="91">
        <v>6.39</v>
      </c>
      <c r="J1085" s="92">
        <v>338.74</v>
      </c>
      <c r="K1085" s="92">
        <v>2164.55</v>
      </c>
    </row>
    <row r="1086" ht="12.75" customHeight="1">
      <c r="I1086" s="79"/>
      <c r="J1086" s="80"/>
      <c r="K1086" s="80"/>
    </row>
    <row r="1087" ht="12.75" customHeight="1">
      <c r="A1087" s="89" t="s">
        <v>916</v>
      </c>
      <c r="B1087" s="90" t="s">
        <v>2122</v>
      </c>
      <c r="D1087" s="90"/>
      <c r="E1087" s="90"/>
      <c r="F1087" s="90"/>
      <c r="G1087" s="90"/>
      <c r="I1087" s="79"/>
      <c r="J1087" s="80"/>
      <c r="K1087" s="92">
        <v>22097.64</v>
      </c>
    </row>
    <row r="1088" ht="12.75" customHeight="1">
      <c r="I1088" s="79"/>
      <c r="J1088" s="80"/>
      <c r="K1088" s="80"/>
    </row>
    <row r="1089" ht="12.75" customHeight="1">
      <c r="I1089" s="79"/>
      <c r="J1089" s="80"/>
      <c r="K1089" s="80"/>
    </row>
    <row r="1090" ht="12.75" customHeight="1">
      <c r="A1090" s="89" t="s">
        <v>927</v>
      </c>
      <c r="B1090" s="90" t="s">
        <v>2132</v>
      </c>
      <c r="D1090" s="90"/>
      <c r="E1090" s="90"/>
      <c r="F1090" s="90"/>
      <c r="G1090" s="90"/>
      <c r="I1090" s="79"/>
      <c r="J1090" s="80"/>
      <c r="K1090" s="80"/>
    </row>
    <row r="1091" ht="12.75" customHeight="1">
      <c r="I1091" s="79"/>
      <c r="J1091" s="80"/>
      <c r="K1091" s="80"/>
    </row>
    <row r="1092" ht="12.75" customHeight="1">
      <c r="A1092" s="89" t="s">
        <v>610</v>
      </c>
      <c r="B1092" s="90" t="s">
        <v>2133</v>
      </c>
      <c r="D1092" s="90"/>
      <c r="E1092" s="90"/>
      <c r="F1092" s="90"/>
      <c r="G1092" s="90"/>
      <c r="I1092" s="79"/>
      <c r="J1092" s="80"/>
      <c r="K1092" s="80"/>
    </row>
    <row r="1093" ht="12.75" customHeight="1">
      <c r="I1093" s="79"/>
      <c r="J1093" s="80"/>
      <c r="K1093" s="80"/>
    </row>
    <row r="1094" ht="12.75" customHeight="1">
      <c r="A1094" s="89" t="s">
        <v>612</v>
      </c>
      <c r="B1094" s="90" t="s">
        <v>4085</v>
      </c>
      <c r="D1094" s="90"/>
      <c r="E1094" s="90"/>
      <c r="F1094" s="90"/>
      <c r="G1094" s="90"/>
      <c r="H1094" s="89" t="s">
        <v>877</v>
      </c>
      <c r="I1094" s="91">
        <v>45.8</v>
      </c>
      <c r="J1094" s="92">
        <v>28.45</v>
      </c>
      <c r="K1094" s="92">
        <v>1303.01</v>
      </c>
    </row>
    <row r="1095" ht="12.75" customHeight="1">
      <c r="I1095" s="79"/>
      <c r="J1095" s="80"/>
      <c r="K1095" s="80"/>
    </row>
    <row r="1096" ht="12.75" customHeight="1">
      <c r="A1096" s="89" t="s">
        <v>620</v>
      </c>
      <c r="B1096" s="90" t="s">
        <v>4086</v>
      </c>
      <c r="D1096" s="90"/>
      <c r="E1096" s="90"/>
      <c r="F1096" s="90"/>
      <c r="G1096" s="90"/>
      <c r="H1096" s="89" t="s">
        <v>877</v>
      </c>
      <c r="I1096" s="91">
        <v>10.42</v>
      </c>
      <c r="J1096" s="92">
        <v>35.56</v>
      </c>
      <c r="K1096" s="92">
        <v>370.54</v>
      </c>
    </row>
    <row r="1097" ht="12.75" customHeight="1">
      <c r="I1097" s="79"/>
      <c r="J1097" s="80"/>
      <c r="K1097" s="80"/>
    </row>
    <row r="1098" ht="12.75" customHeight="1">
      <c r="A1098" s="89" t="s">
        <v>626</v>
      </c>
      <c r="B1098" s="90" t="s">
        <v>4087</v>
      </c>
      <c r="D1098" s="90"/>
      <c r="E1098" s="90"/>
      <c r="F1098" s="90"/>
      <c r="G1098" s="90"/>
      <c r="H1098" s="89" t="s">
        <v>933</v>
      </c>
      <c r="I1098" s="91">
        <v>41.25</v>
      </c>
      <c r="J1098" s="92">
        <v>179.17</v>
      </c>
      <c r="K1098" s="92">
        <v>7390.76</v>
      </c>
    </row>
    <row r="1099" ht="12.75" customHeight="1">
      <c r="I1099" s="79"/>
      <c r="J1099" s="80"/>
      <c r="K1099" s="80"/>
    </row>
    <row r="1100" ht="12.75" customHeight="1">
      <c r="A1100" s="89" t="s">
        <v>628</v>
      </c>
      <c r="B1100" s="90" t="s">
        <v>4088</v>
      </c>
      <c r="D1100" s="90"/>
      <c r="E1100" s="90"/>
      <c r="F1100" s="90"/>
      <c r="G1100" s="90"/>
      <c r="I1100" s="79"/>
      <c r="J1100" s="80"/>
      <c r="K1100" s="80"/>
    </row>
    <row r="1101" ht="12.75" customHeight="1">
      <c r="I1101" s="79"/>
      <c r="J1101" s="80"/>
      <c r="K1101" s="80"/>
    </row>
    <row r="1102" ht="12.75" customHeight="1">
      <c r="A1102" s="89" t="s">
        <v>935</v>
      </c>
      <c r="B1102" s="90" t="s">
        <v>4089</v>
      </c>
      <c r="D1102" s="90"/>
      <c r="E1102" s="90"/>
      <c r="F1102" s="90"/>
      <c r="G1102" s="90"/>
      <c r="H1102" s="89" t="s">
        <v>33</v>
      </c>
      <c r="I1102" s="91">
        <v>1.0</v>
      </c>
      <c r="J1102" s="92">
        <v>3827.24</v>
      </c>
      <c r="K1102" s="92">
        <v>3827.24</v>
      </c>
    </row>
    <row r="1103" ht="12.75" customHeight="1">
      <c r="I1103" s="79"/>
      <c r="J1103" s="80"/>
      <c r="K1103" s="80"/>
    </row>
    <row r="1104" ht="12.75" customHeight="1">
      <c r="A1104" s="89" t="s">
        <v>927</v>
      </c>
      <c r="B1104" s="90" t="s">
        <v>2132</v>
      </c>
      <c r="D1104" s="90"/>
      <c r="E1104" s="90"/>
      <c r="F1104" s="90"/>
      <c r="G1104" s="90"/>
      <c r="I1104" s="79"/>
      <c r="J1104" s="80"/>
      <c r="K1104" s="92">
        <v>12891.55</v>
      </c>
    </row>
    <row r="1105" ht="12.75" customHeight="1">
      <c r="I1105" s="79"/>
      <c r="J1105" s="80"/>
      <c r="K1105" s="80"/>
    </row>
    <row r="1106" ht="12.75" customHeight="1">
      <c r="A1106" s="89" t="s">
        <v>3696</v>
      </c>
      <c r="B1106" s="90" t="s">
        <v>4041</v>
      </c>
      <c r="D1106" s="90"/>
      <c r="E1106" s="90"/>
      <c r="F1106" s="90"/>
      <c r="G1106" s="90"/>
      <c r="I1106" s="79"/>
      <c r="J1106" s="80"/>
      <c r="K1106" s="92">
        <v>558392.25</v>
      </c>
    </row>
    <row r="1107" ht="12.75" customHeight="1">
      <c r="I1107" s="79"/>
      <c r="J1107" s="80"/>
      <c r="K1107" s="80"/>
    </row>
    <row r="1108" ht="12.75" customHeight="1">
      <c r="I1108" s="79"/>
      <c r="J1108" s="80"/>
      <c r="K1108" s="80"/>
    </row>
    <row r="1109" ht="12.75" customHeight="1">
      <c r="A1109" s="89" t="s">
        <v>4090</v>
      </c>
      <c r="B1109" s="90" t="s">
        <v>4091</v>
      </c>
      <c r="D1109" s="90"/>
      <c r="E1109" s="90"/>
      <c r="F1109" s="90"/>
      <c r="G1109" s="90"/>
      <c r="I1109" s="79"/>
      <c r="J1109" s="80"/>
      <c r="K1109" s="80"/>
    </row>
    <row r="1110" ht="12.75" customHeight="1">
      <c r="I1110" s="79"/>
      <c r="J1110" s="80"/>
      <c r="K1110" s="80"/>
    </row>
    <row r="1111" ht="12.75" customHeight="1">
      <c r="A1111" s="89" t="s">
        <v>4090</v>
      </c>
      <c r="B1111" s="90" t="s">
        <v>4092</v>
      </c>
      <c r="D1111" s="90"/>
      <c r="E1111" s="90"/>
      <c r="F1111" s="90"/>
      <c r="G1111" s="90"/>
      <c r="I1111" s="79"/>
      <c r="J1111" s="80"/>
      <c r="K1111" s="80"/>
    </row>
    <row r="1112" ht="12.75" customHeight="1">
      <c r="I1112" s="79"/>
      <c r="J1112" s="80"/>
      <c r="K1112" s="80"/>
    </row>
    <row r="1113" ht="12.75" customHeight="1">
      <c r="A1113" s="89" t="s">
        <v>4093</v>
      </c>
      <c r="B1113" s="90" t="s">
        <v>4094</v>
      </c>
      <c r="D1113" s="90"/>
      <c r="E1113" s="90"/>
      <c r="F1113" s="90"/>
      <c r="G1113" s="90"/>
      <c r="I1113" s="79"/>
      <c r="J1113" s="80"/>
      <c r="K1113" s="80"/>
    </row>
    <row r="1114" ht="12.75" customHeight="1">
      <c r="I1114" s="79"/>
      <c r="J1114" s="80"/>
      <c r="K1114" s="80"/>
    </row>
    <row r="1115" ht="12.75" customHeight="1">
      <c r="A1115" s="89" t="s">
        <v>940</v>
      </c>
      <c r="B1115" s="90" t="s">
        <v>4095</v>
      </c>
      <c r="D1115" s="90"/>
      <c r="E1115" s="90"/>
      <c r="F1115" s="90"/>
      <c r="G1115" s="90"/>
      <c r="I1115" s="79"/>
      <c r="J1115" s="80"/>
      <c r="K1115" s="80"/>
    </row>
    <row r="1116" ht="12.75" customHeight="1">
      <c r="I1116" s="79"/>
      <c r="J1116" s="80"/>
      <c r="K1116" s="80"/>
    </row>
    <row r="1117" ht="12.75" customHeight="1">
      <c r="A1117" s="89" t="s">
        <v>942</v>
      </c>
      <c r="B1117" s="90" t="s">
        <v>2613</v>
      </c>
      <c r="D1117" s="90"/>
      <c r="E1117" s="90"/>
      <c r="F1117" s="90"/>
      <c r="G1117" s="90"/>
      <c r="H1117" s="89" t="s">
        <v>161</v>
      </c>
      <c r="I1117" s="91">
        <v>111.35</v>
      </c>
      <c r="J1117" s="92">
        <v>4.54</v>
      </c>
      <c r="K1117" s="92">
        <v>505.53</v>
      </c>
    </row>
    <row r="1118" ht="12.75" customHeight="1">
      <c r="I1118" s="79"/>
      <c r="J1118" s="80"/>
      <c r="K1118" s="80"/>
    </row>
    <row r="1119" ht="12.75" customHeight="1">
      <c r="A1119" s="89" t="s">
        <v>944</v>
      </c>
      <c r="B1119" s="90" t="s">
        <v>2615</v>
      </c>
      <c r="D1119" s="90"/>
      <c r="E1119" s="90"/>
      <c r="F1119" s="90"/>
      <c r="G1119" s="90"/>
      <c r="H1119" s="89" t="s">
        <v>161</v>
      </c>
      <c r="I1119" s="91">
        <v>1.7</v>
      </c>
      <c r="J1119" s="92">
        <v>6.23</v>
      </c>
      <c r="K1119" s="92">
        <v>10.59</v>
      </c>
    </row>
    <row r="1120" ht="12.75" customHeight="1">
      <c r="I1120" s="79"/>
      <c r="J1120" s="80"/>
      <c r="K1120" s="80"/>
    </row>
    <row r="1121" ht="12.75" customHeight="1">
      <c r="A1121" s="89" t="s">
        <v>946</v>
      </c>
      <c r="B1121" s="90" t="s">
        <v>2617</v>
      </c>
      <c r="D1121" s="90"/>
      <c r="E1121" s="90"/>
      <c r="F1121" s="90"/>
      <c r="G1121" s="90"/>
      <c r="H1121" s="89" t="s">
        <v>161</v>
      </c>
      <c r="I1121" s="91">
        <v>42.4</v>
      </c>
      <c r="J1121" s="92">
        <v>8.74</v>
      </c>
      <c r="K1121" s="92">
        <v>370.58</v>
      </c>
    </row>
    <row r="1122" ht="12.75" customHeight="1">
      <c r="I1122" s="79"/>
      <c r="J1122" s="80"/>
      <c r="K1122" s="80"/>
    </row>
    <row r="1123" ht="12.75" customHeight="1">
      <c r="A1123" s="89" t="s">
        <v>948</v>
      </c>
      <c r="B1123" s="90" t="s">
        <v>4096</v>
      </c>
      <c r="D1123" s="90"/>
      <c r="E1123" s="90"/>
      <c r="F1123" s="90"/>
      <c r="G1123" s="90"/>
      <c r="I1123" s="79"/>
      <c r="J1123" s="80"/>
      <c r="K1123" s="80"/>
    </row>
    <row r="1124" ht="12.75" customHeight="1">
      <c r="I1124" s="79"/>
      <c r="J1124" s="80"/>
      <c r="K1124" s="80"/>
    </row>
    <row r="1125" ht="12.75" customHeight="1">
      <c r="A1125" s="89" t="s">
        <v>950</v>
      </c>
      <c r="B1125" s="90" t="s">
        <v>2620</v>
      </c>
      <c r="D1125" s="90"/>
      <c r="E1125" s="90"/>
      <c r="F1125" s="90"/>
      <c r="G1125" s="90"/>
      <c r="H1125" s="89" t="s">
        <v>161</v>
      </c>
      <c r="I1125" s="91">
        <v>64.54</v>
      </c>
      <c r="J1125" s="92">
        <v>11.64</v>
      </c>
      <c r="K1125" s="92">
        <v>751.25</v>
      </c>
    </row>
    <row r="1126" ht="12.75" customHeight="1">
      <c r="I1126" s="79"/>
      <c r="J1126" s="80"/>
      <c r="K1126" s="80"/>
    </row>
    <row r="1127" ht="12.75" customHeight="1">
      <c r="A1127" s="89" t="s">
        <v>952</v>
      </c>
      <c r="B1127" s="90" t="s">
        <v>2622</v>
      </c>
      <c r="D1127" s="90"/>
      <c r="E1127" s="90"/>
      <c r="F1127" s="90"/>
      <c r="G1127" s="90"/>
      <c r="H1127" s="89" t="s">
        <v>161</v>
      </c>
      <c r="I1127" s="91">
        <v>82.73</v>
      </c>
      <c r="J1127" s="92">
        <v>12.59</v>
      </c>
      <c r="K1127" s="92">
        <v>1041.57</v>
      </c>
    </row>
    <row r="1128" ht="12.75" customHeight="1">
      <c r="I1128" s="79"/>
      <c r="J1128" s="80"/>
      <c r="K1128" s="80"/>
    </row>
    <row r="1129" ht="12.75" customHeight="1">
      <c r="A1129" s="89" t="s">
        <v>954</v>
      </c>
      <c r="B1129" s="90" t="s">
        <v>2624</v>
      </c>
      <c r="D1129" s="90"/>
      <c r="E1129" s="90"/>
      <c r="F1129" s="90"/>
      <c r="G1129" s="90"/>
      <c r="H1129" s="89" t="s">
        <v>161</v>
      </c>
      <c r="I1129" s="91">
        <v>39.6</v>
      </c>
      <c r="J1129" s="92">
        <v>16.77</v>
      </c>
      <c r="K1129" s="92">
        <v>664.09</v>
      </c>
    </row>
    <row r="1130" ht="12.75" customHeight="1">
      <c r="I1130" s="79"/>
      <c r="J1130" s="80"/>
      <c r="K1130" s="80"/>
    </row>
    <row r="1131" ht="12.75" customHeight="1">
      <c r="A1131" s="89" t="s">
        <v>956</v>
      </c>
      <c r="B1131" s="90" t="s">
        <v>2626</v>
      </c>
      <c r="D1131" s="90"/>
      <c r="E1131" s="90"/>
      <c r="F1131" s="90"/>
      <c r="G1131" s="90"/>
      <c r="H1131" s="89" t="s">
        <v>161</v>
      </c>
      <c r="I1131" s="91">
        <v>27.8</v>
      </c>
      <c r="J1131" s="92">
        <v>20.75</v>
      </c>
      <c r="K1131" s="92">
        <v>576.85</v>
      </c>
    </row>
    <row r="1132" ht="12.75" customHeight="1">
      <c r="I1132" s="79"/>
      <c r="J1132" s="80"/>
      <c r="K1132" s="80"/>
    </row>
    <row r="1133" ht="12.75" customHeight="1">
      <c r="A1133" s="89" t="s">
        <v>958</v>
      </c>
      <c r="B1133" s="90" t="s">
        <v>2628</v>
      </c>
      <c r="D1133" s="90"/>
      <c r="E1133" s="90"/>
      <c r="F1133" s="90"/>
      <c r="G1133" s="90"/>
      <c r="H1133" s="89" t="s">
        <v>161</v>
      </c>
      <c r="I1133" s="91">
        <v>17.28</v>
      </c>
      <c r="J1133" s="92">
        <v>32.69</v>
      </c>
      <c r="K1133" s="92">
        <v>564.88</v>
      </c>
    </row>
    <row r="1134" ht="12.75" customHeight="1">
      <c r="I1134" s="79"/>
      <c r="J1134" s="80"/>
      <c r="K1134" s="80"/>
    </row>
    <row r="1135" ht="12.75" customHeight="1">
      <c r="A1135" s="89" t="s">
        <v>4097</v>
      </c>
      <c r="B1135" s="90" t="s">
        <v>4098</v>
      </c>
      <c r="D1135" s="90"/>
      <c r="E1135" s="90"/>
      <c r="F1135" s="90"/>
      <c r="G1135" s="90"/>
      <c r="I1135" s="79"/>
      <c r="J1135" s="80"/>
      <c r="K1135" s="80"/>
    </row>
    <row r="1136" ht="12.75" customHeight="1">
      <c r="I1136" s="79"/>
      <c r="J1136" s="80"/>
      <c r="K1136" s="80"/>
    </row>
    <row r="1137" ht="12.75" customHeight="1">
      <c r="A1137" s="89" t="s">
        <v>961</v>
      </c>
      <c r="B1137" s="90" t="s">
        <v>4099</v>
      </c>
      <c r="D1137" s="90"/>
      <c r="E1137" s="90"/>
      <c r="F1137" s="90"/>
      <c r="G1137" s="90"/>
      <c r="I1137" s="79"/>
      <c r="J1137" s="80"/>
      <c r="K1137" s="80"/>
    </row>
    <row r="1138" ht="12.75" customHeight="1">
      <c r="I1138" s="79"/>
      <c r="J1138" s="80"/>
      <c r="K1138" s="80"/>
    </row>
    <row r="1139" ht="12.75" customHeight="1">
      <c r="A1139" s="89" t="s">
        <v>963</v>
      </c>
      <c r="B1139" s="90" t="s">
        <v>2620</v>
      </c>
      <c r="D1139" s="90"/>
      <c r="E1139" s="90"/>
      <c r="F1139" s="90"/>
      <c r="G1139" s="90"/>
      <c r="H1139" s="89" t="s">
        <v>161</v>
      </c>
      <c r="I1139" s="91">
        <v>33.18</v>
      </c>
      <c r="J1139" s="92">
        <v>11.64</v>
      </c>
      <c r="K1139" s="92">
        <v>386.22</v>
      </c>
    </row>
    <row r="1140" ht="12.75" customHeight="1">
      <c r="I1140" s="79"/>
      <c r="J1140" s="80"/>
      <c r="K1140" s="80"/>
    </row>
    <row r="1141" ht="12.75" customHeight="1">
      <c r="A1141" s="89" t="s">
        <v>964</v>
      </c>
      <c r="B1141" s="90" t="s">
        <v>2622</v>
      </c>
      <c r="D1141" s="90"/>
      <c r="E1141" s="90"/>
      <c r="F1141" s="90"/>
      <c r="G1141" s="90"/>
      <c r="H1141" s="89" t="s">
        <v>161</v>
      </c>
      <c r="I1141" s="91">
        <v>87.49</v>
      </c>
      <c r="J1141" s="92">
        <v>12.59</v>
      </c>
      <c r="K1141" s="92">
        <v>1101.5</v>
      </c>
    </row>
    <row r="1142" ht="12.75" customHeight="1">
      <c r="I1142" s="79"/>
      <c r="J1142" s="80"/>
      <c r="K1142" s="80"/>
    </row>
    <row r="1143" ht="12.75" customHeight="1">
      <c r="A1143" s="89" t="s">
        <v>965</v>
      </c>
      <c r="B1143" s="90" t="s">
        <v>2624</v>
      </c>
      <c r="D1143" s="90"/>
      <c r="E1143" s="90"/>
      <c r="F1143" s="90"/>
      <c r="G1143" s="90"/>
      <c r="H1143" s="89" t="s">
        <v>161</v>
      </c>
      <c r="I1143" s="91">
        <v>45.63</v>
      </c>
      <c r="J1143" s="92">
        <v>16.77</v>
      </c>
      <c r="K1143" s="92">
        <v>765.22</v>
      </c>
    </row>
    <row r="1144" ht="12.75" customHeight="1">
      <c r="I1144" s="79"/>
      <c r="J1144" s="80"/>
      <c r="K1144" s="80"/>
    </row>
    <row r="1145" ht="12.75" customHeight="1">
      <c r="A1145" s="89" t="s">
        <v>966</v>
      </c>
      <c r="B1145" s="90" t="s">
        <v>2626</v>
      </c>
      <c r="D1145" s="90"/>
      <c r="E1145" s="90"/>
      <c r="F1145" s="90"/>
      <c r="G1145" s="90"/>
      <c r="H1145" s="89" t="s">
        <v>161</v>
      </c>
      <c r="I1145" s="91">
        <v>13.94</v>
      </c>
      <c r="J1145" s="92">
        <v>20.75</v>
      </c>
      <c r="K1145" s="92">
        <v>289.26</v>
      </c>
    </row>
    <row r="1146" ht="12.75" customHeight="1">
      <c r="I1146" s="79"/>
      <c r="J1146" s="80"/>
      <c r="K1146" s="80"/>
    </row>
    <row r="1147" ht="12.75" customHeight="1">
      <c r="A1147" s="89" t="s">
        <v>4100</v>
      </c>
      <c r="B1147" s="90" t="s">
        <v>4101</v>
      </c>
      <c r="D1147" s="90"/>
      <c r="E1147" s="90"/>
      <c r="F1147" s="90"/>
      <c r="G1147" s="90"/>
      <c r="I1147" s="79"/>
      <c r="J1147" s="80"/>
      <c r="K1147" s="80"/>
    </row>
    <row r="1148" ht="12.75" customHeight="1">
      <c r="I1148" s="79"/>
      <c r="J1148" s="80"/>
      <c r="K1148" s="80"/>
    </row>
    <row r="1149" ht="12.75" customHeight="1">
      <c r="A1149" s="89" t="s">
        <v>968</v>
      </c>
      <c r="B1149" s="90" t="s">
        <v>4102</v>
      </c>
      <c r="D1149" s="90"/>
      <c r="E1149" s="90"/>
      <c r="F1149" s="90"/>
      <c r="G1149" s="90"/>
      <c r="I1149" s="79"/>
      <c r="J1149" s="80"/>
      <c r="K1149" s="80"/>
    </row>
    <row r="1150" ht="12.75" customHeight="1">
      <c r="I1150" s="79"/>
      <c r="J1150" s="80"/>
      <c r="K1150" s="80"/>
    </row>
    <row r="1151" ht="12.75" customHeight="1">
      <c r="A1151" s="89" t="s">
        <v>970</v>
      </c>
      <c r="B1151" s="90" t="s">
        <v>2620</v>
      </c>
      <c r="D1151" s="90"/>
      <c r="E1151" s="90"/>
      <c r="F1151" s="90"/>
      <c r="G1151" s="90"/>
      <c r="H1151" s="89" t="s">
        <v>161</v>
      </c>
      <c r="I1151" s="91">
        <v>121.86</v>
      </c>
      <c r="J1151" s="92">
        <v>11.64</v>
      </c>
      <c r="K1151" s="92">
        <v>1418.45</v>
      </c>
    </row>
    <row r="1152" ht="12.75" customHeight="1">
      <c r="I1152" s="79"/>
      <c r="J1152" s="80"/>
      <c r="K1152" s="80"/>
    </row>
    <row r="1153" ht="12.75" customHeight="1">
      <c r="A1153" s="89" t="s">
        <v>971</v>
      </c>
      <c r="B1153" s="90" t="s">
        <v>2622</v>
      </c>
      <c r="D1153" s="90"/>
      <c r="E1153" s="90"/>
      <c r="F1153" s="90"/>
      <c r="G1153" s="90"/>
      <c r="H1153" s="89" t="s">
        <v>161</v>
      </c>
      <c r="I1153" s="91">
        <v>22.29</v>
      </c>
      <c r="J1153" s="92">
        <v>12.59</v>
      </c>
      <c r="K1153" s="92">
        <v>280.63</v>
      </c>
    </row>
    <row r="1154" ht="12.75" customHeight="1">
      <c r="I1154" s="79"/>
      <c r="J1154" s="80"/>
      <c r="K1154" s="80"/>
    </row>
    <row r="1155" ht="12.75" customHeight="1">
      <c r="A1155" s="89" t="s">
        <v>4103</v>
      </c>
      <c r="B1155" s="90" t="s">
        <v>4104</v>
      </c>
      <c r="D1155" s="90"/>
      <c r="E1155" s="90"/>
      <c r="F1155" s="90"/>
      <c r="G1155" s="90"/>
      <c r="H1155" s="89" t="s">
        <v>75</v>
      </c>
      <c r="I1155" s="91">
        <v>1.0</v>
      </c>
      <c r="J1155" s="92">
        <v>1016.69</v>
      </c>
      <c r="K1155" s="92">
        <v>1016.69</v>
      </c>
    </row>
    <row r="1156" ht="12.75" customHeight="1">
      <c r="I1156" s="79"/>
      <c r="J1156" s="80"/>
      <c r="K1156" s="80"/>
    </row>
    <row r="1157" ht="12.75" customHeight="1">
      <c r="A1157" s="89" t="s">
        <v>4105</v>
      </c>
      <c r="B1157" s="90" t="s">
        <v>4106</v>
      </c>
      <c r="D1157" s="90"/>
      <c r="E1157" s="90"/>
      <c r="F1157" s="90"/>
      <c r="G1157" s="90"/>
      <c r="H1157" s="89" t="s">
        <v>75</v>
      </c>
      <c r="I1157" s="91">
        <v>1.0</v>
      </c>
      <c r="J1157" s="92">
        <v>7027.17</v>
      </c>
      <c r="K1157" s="92">
        <v>7027.17</v>
      </c>
    </row>
    <row r="1158" ht="12.75" customHeight="1">
      <c r="I1158" s="79"/>
      <c r="J1158" s="80"/>
      <c r="K1158" s="80"/>
    </row>
    <row r="1159" ht="12.75" customHeight="1">
      <c r="A1159" s="89" t="s">
        <v>4107</v>
      </c>
      <c r="B1159" s="90" t="s">
        <v>4108</v>
      </c>
      <c r="D1159" s="90"/>
      <c r="E1159" s="90"/>
      <c r="F1159" s="90"/>
      <c r="G1159" s="90"/>
      <c r="H1159" s="89" t="s">
        <v>75</v>
      </c>
      <c r="I1159" s="91">
        <v>3.0</v>
      </c>
      <c r="J1159" s="92">
        <v>28.63</v>
      </c>
      <c r="K1159" s="92">
        <v>85.89</v>
      </c>
    </row>
    <row r="1160" ht="12.75" customHeight="1">
      <c r="I1160" s="79"/>
      <c r="J1160" s="80"/>
      <c r="K1160" s="80"/>
    </row>
    <row r="1161" ht="12.75" customHeight="1">
      <c r="A1161" s="89" t="s">
        <v>4109</v>
      </c>
      <c r="B1161" s="90" t="s">
        <v>4110</v>
      </c>
      <c r="D1161" s="90"/>
      <c r="E1161" s="90"/>
      <c r="F1161" s="90"/>
      <c r="G1161" s="90"/>
      <c r="H1161" s="89" t="s">
        <v>75</v>
      </c>
      <c r="I1161" s="91">
        <v>1.0</v>
      </c>
      <c r="J1161" s="92">
        <v>28.63</v>
      </c>
      <c r="K1161" s="92">
        <v>28.63</v>
      </c>
    </row>
    <row r="1162" ht="12.75" customHeight="1">
      <c r="I1162" s="79"/>
      <c r="J1162" s="80"/>
      <c r="K1162" s="80"/>
    </row>
    <row r="1163" ht="12.75" customHeight="1">
      <c r="A1163" s="89" t="s">
        <v>4111</v>
      </c>
      <c r="B1163" s="90" t="s">
        <v>4112</v>
      </c>
      <c r="D1163" s="90"/>
      <c r="E1163" s="90"/>
      <c r="F1163" s="90"/>
      <c r="G1163" s="90"/>
      <c r="H1163" s="89" t="s">
        <v>75</v>
      </c>
      <c r="I1163" s="91">
        <v>19.0</v>
      </c>
      <c r="J1163" s="92">
        <v>36.94</v>
      </c>
      <c r="K1163" s="92">
        <v>701.86</v>
      </c>
    </row>
    <row r="1164" ht="12.75" customHeight="1">
      <c r="I1164" s="79"/>
      <c r="J1164" s="80"/>
      <c r="K1164" s="80"/>
    </row>
    <row r="1165" ht="12.75" customHeight="1">
      <c r="A1165" s="89" t="s">
        <v>4113</v>
      </c>
      <c r="B1165" s="90" t="s">
        <v>4114</v>
      </c>
      <c r="D1165" s="90"/>
      <c r="E1165" s="90"/>
      <c r="F1165" s="90"/>
      <c r="G1165" s="90"/>
      <c r="H1165" s="89" t="s">
        <v>75</v>
      </c>
      <c r="I1165" s="91">
        <v>4.0</v>
      </c>
      <c r="J1165" s="92">
        <v>335.0</v>
      </c>
      <c r="K1165" s="92">
        <v>1340.0</v>
      </c>
    </row>
    <row r="1166" ht="12.75" customHeight="1">
      <c r="I1166" s="79"/>
      <c r="J1166" s="80"/>
      <c r="K1166" s="80"/>
    </row>
    <row r="1167" ht="12.75" customHeight="1">
      <c r="A1167" s="89" t="s">
        <v>4115</v>
      </c>
      <c r="B1167" s="90" t="s">
        <v>4116</v>
      </c>
      <c r="D1167" s="90"/>
      <c r="E1167" s="90"/>
      <c r="F1167" s="90"/>
      <c r="G1167" s="90"/>
      <c r="H1167" s="89" t="s">
        <v>75</v>
      </c>
      <c r="I1167" s="91">
        <v>1.0</v>
      </c>
      <c r="J1167" s="92">
        <v>657.85</v>
      </c>
      <c r="K1167" s="92">
        <v>657.85</v>
      </c>
    </row>
    <row r="1168" ht="12.75" customHeight="1">
      <c r="I1168" s="79"/>
      <c r="J1168" s="80"/>
      <c r="K1168" s="80"/>
    </row>
    <row r="1169" ht="12.75" customHeight="1">
      <c r="A1169" s="89" t="s">
        <v>4117</v>
      </c>
      <c r="B1169" s="90" t="s">
        <v>4118</v>
      </c>
      <c r="D1169" s="90"/>
      <c r="E1169" s="90"/>
      <c r="F1169" s="90"/>
      <c r="G1169" s="90"/>
      <c r="H1169" s="89" t="s">
        <v>33</v>
      </c>
      <c r="I1169" s="91">
        <v>1.0</v>
      </c>
      <c r="J1169" s="92">
        <v>3232.75</v>
      </c>
      <c r="K1169" s="92">
        <v>3232.75</v>
      </c>
    </row>
    <row r="1170" ht="12.75" customHeight="1">
      <c r="I1170" s="79"/>
      <c r="J1170" s="80"/>
      <c r="K1170" s="80"/>
    </row>
    <row r="1171" ht="12.75" customHeight="1">
      <c r="A1171" s="89" t="s">
        <v>4119</v>
      </c>
      <c r="B1171" s="90" t="s">
        <v>4120</v>
      </c>
      <c r="D1171" s="90"/>
      <c r="E1171" s="90"/>
      <c r="F1171" s="90"/>
      <c r="G1171" s="90"/>
      <c r="H1171" s="89" t="s">
        <v>75</v>
      </c>
      <c r="I1171" s="91">
        <v>1.0</v>
      </c>
      <c r="J1171" s="92">
        <v>1326.02</v>
      </c>
      <c r="K1171" s="92">
        <v>1326.02</v>
      </c>
    </row>
    <row r="1172" ht="12.75" customHeight="1">
      <c r="I1172" s="79"/>
      <c r="J1172" s="80"/>
      <c r="K1172" s="80"/>
    </row>
    <row r="1173" ht="12.75" customHeight="1">
      <c r="A1173" s="89" t="s">
        <v>4121</v>
      </c>
      <c r="B1173" s="90" t="s">
        <v>4122</v>
      </c>
      <c r="D1173" s="90"/>
      <c r="E1173" s="90"/>
      <c r="F1173" s="90"/>
      <c r="G1173" s="90"/>
      <c r="I1173" s="79"/>
      <c r="J1173" s="80"/>
      <c r="K1173" s="80"/>
    </row>
    <row r="1174" ht="12.75" customHeight="1">
      <c r="I1174" s="79"/>
      <c r="J1174" s="80"/>
      <c r="K1174" s="80"/>
    </row>
    <row r="1175" ht="12.75" customHeight="1">
      <c r="A1175" s="89" t="s">
        <v>982</v>
      </c>
      <c r="B1175" s="90" t="s">
        <v>4123</v>
      </c>
      <c r="D1175" s="90"/>
      <c r="E1175" s="90"/>
      <c r="F1175" s="90"/>
      <c r="G1175" s="90"/>
      <c r="I1175" s="79"/>
      <c r="J1175" s="80"/>
      <c r="K1175" s="80"/>
    </row>
    <row r="1176" ht="12.75" customHeight="1">
      <c r="I1176" s="79"/>
      <c r="J1176" s="80"/>
      <c r="K1176" s="80"/>
    </row>
    <row r="1177" ht="12.75" customHeight="1">
      <c r="A1177" s="89" t="s">
        <v>984</v>
      </c>
      <c r="B1177" s="90" t="s">
        <v>2659</v>
      </c>
      <c r="D1177" s="90"/>
      <c r="E1177" s="90"/>
      <c r="F1177" s="90"/>
      <c r="G1177" s="90"/>
      <c r="H1177" s="89" t="s">
        <v>161</v>
      </c>
      <c r="I1177" s="91">
        <v>52.18</v>
      </c>
      <c r="J1177" s="92">
        <v>11.59</v>
      </c>
      <c r="K1177" s="92">
        <v>604.77</v>
      </c>
    </row>
    <row r="1178" ht="12.75" customHeight="1">
      <c r="I1178" s="79"/>
      <c r="J1178" s="80"/>
      <c r="K1178" s="80"/>
    </row>
    <row r="1179" ht="12.75" customHeight="1">
      <c r="A1179" s="89" t="s">
        <v>986</v>
      </c>
      <c r="B1179" s="90" t="s">
        <v>4124</v>
      </c>
      <c r="D1179" s="90"/>
      <c r="E1179" s="90"/>
      <c r="F1179" s="90"/>
      <c r="G1179" s="90"/>
      <c r="I1179" s="79"/>
      <c r="J1179" s="80"/>
      <c r="K1179" s="80"/>
    </row>
    <row r="1180" ht="12.75" customHeight="1">
      <c r="I1180" s="79"/>
      <c r="J1180" s="80"/>
      <c r="K1180" s="80"/>
    </row>
    <row r="1181" ht="12.75" customHeight="1">
      <c r="A1181" s="89" t="s">
        <v>988</v>
      </c>
      <c r="B1181" s="90" t="s">
        <v>2663</v>
      </c>
      <c r="D1181" s="90"/>
      <c r="E1181" s="90"/>
      <c r="F1181" s="90"/>
      <c r="G1181" s="90"/>
      <c r="H1181" s="89" t="s">
        <v>161</v>
      </c>
      <c r="I1181" s="91">
        <v>30.19</v>
      </c>
      <c r="J1181" s="92">
        <v>21.58</v>
      </c>
      <c r="K1181" s="92">
        <v>651.5</v>
      </c>
    </row>
    <row r="1182" ht="12.75" customHeight="1">
      <c r="I1182" s="79"/>
      <c r="J1182" s="80"/>
      <c r="K1182" s="80"/>
    </row>
    <row r="1183" ht="12.75" customHeight="1">
      <c r="A1183" s="89" t="s">
        <v>990</v>
      </c>
      <c r="B1183" s="90" t="s">
        <v>4125</v>
      </c>
      <c r="D1183" s="90"/>
      <c r="E1183" s="90"/>
      <c r="F1183" s="90"/>
      <c r="G1183" s="90"/>
      <c r="I1183" s="79"/>
      <c r="J1183" s="80"/>
      <c r="K1183" s="80"/>
    </row>
    <row r="1184" ht="12.75" customHeight="1">
      <c r="I1184" s="79"/>
      <c r="J1184" s="80"/>
      <c r="K1184" s="80"/>
    </row>
    <row r="1185" ht="12.75" customHeight="1">
      <c r="A1185" s="89" t="s">
        <v>992</v>
      </c>
      <c r="B1185" s="90" t="s">
        <v>4126</v>
      </c>
      <c r="D1185" s="90"/>
      <c r="E1185" s="90"/>
      <c r="F1185" s="90"/>
      <c r="G1185" s="90"/>
      <c r="H1185" s="89" t="s">
        <v>75</v>
      </c>
      <c r="I1185" s="91">
        <v>1.0</v>
      </c>
      <c r="J1185" s="92">
        <v>4411.7</v>
      </c>
      <c r="K1185" s="92">
        <v>4411.7</v>
      </c>
    </row>
    <row r="1186" ht="12.75" customHeight="1">
      <c r="I1186" s="79"/>
      <c r="J1186" s="80"/>
      <c r="K1186" s="80"/>
    </row>
    <row r="1187" ht="12.75" customHeight="1">
      <c r="A1187" s="89" t="s">
        <v>994</v>
      </c>
      <c r="B1187" s="90" t="s">
        <v>4127</v>
      </c>
      <c r="D1187" s="90"/>
      <c r="E1187" s="90"/>
      <c r="F1187" s="90"/>
      <c r="G1187" s="90"/>
      <c r="I1187" s="79"/>
      <c r="J1187" s="80"/>
      <c r="K1187" s="80"/>
    </row>
    <row r="1188" ht="12.75" customHeight="1">
      <c r="I1188" s="79"/>
      <c r="J1188" s="80"/>
      <c r="K1188" s="80"/>
    </row>
    <row r="1189" ht="12.75" customHeight="1">
      <c r="A1189" s="89" t="s">
        <v>996</v>
      </c>
      <c r="B1189" s="90" t="s">
        <v>4128</v>
      </c>
      <c r="D1189" s="90"/>
      <c r="E1189" s="90"/>
      <c r="F1189" s="90"/>
      <c r="G1189" s="90"/>
      <c r="H1189" s="89" t="s">
        <v>75</v>
      </c>
      <c r="I1189" s="91">
        <v>1.0</v>
      </c>
      <c r="J1189" s="92">
        <v>2797.12</v>
      </c>
      <c r="K1189" s="92">
        <v>2797.12</v>
      </c>
    </row>
    <row r="1190" ht="12.75" customHeight="1">
      <c r="I1190" s="79"/>
      <c r="J1190" s="80"/>
      <c r="K1190" s="80"/>
    </row>
    <row r="1191" ht="12.75" customHeight="1">
      <c r="A1191" s="89" t="s">
        <v>998</v>
      </c>
      <c r="B1191" s="90" t="s">
        <v>4129</v>
      </c>
      <c r="D1191" s="90"/>
      <c r="E1191" s="90"/>
      <c r="F1191" s="90"/>
      <c r="G1191" s="90"/>
      <c r="H1191" s="89" t="s">
        <v>75</v>
      </c>
      <c r="I1191" s="91">
        <v>1.0</v>
      </c>
      <c r="J1191" s="92">
        <v>149.43</v>
      </c>
      <c r="K1191" s="92">
        <v>149.43</v>
      </c>
    </row>
    <row r="1192" ht="12.75" customHeight="1">
      <c r="I1192" s="79"/>
      <c r="J1192" s="80"/>
      <c r="K1192" s="80"/>
    </row>
    <row r="1193" ht="12.75" customHeight="1">
      <c r="A1193" s="89" t="s">
        <v>1000</v>
      </c>
      <c r="B1193" s="90" t="s">
        <v>4130</v>
      </c>
      <c r="D1193" s="90"/>
      <c r="E1193" s="90"/>
      <c r="F1193" s="90"/>
      <c r="G1193" s="90"/>
      <c r="H1193" s="89" t="s">
        <v>75</v>
      </c>
      <c r="I1193" s="91">
        <v>5.0</v>
      </c>
      <c r="J1193" s="92">
        <v>94.18</v>
      </c>
      <c r="K1193" s="92">
        <v>470.9</v>
      </c>
    </row>
    <row r="1194" ht="12.75" customHeight="1">
      <c r="I1194" s="79"/>
      <c r="J1194" s="80"/>
      <c r="K1194" s="80"/>
    </row>
    <row r="1195" ht="12.75" customHeight="1">
      <c r="A1195" s="89" t="s">
        <v>1002</v>
      </c>
      <c r="B1195" s="90" t="s">
        <v>4131</v>
      </c>
      <c r="D1195" s="90"/>
      <c r="E1195" s="90"/>
      <c r="F1195" s="90"/>
      <c r="G1195" s="90"/>
      <c r="H1195" s="89" t="s">
        <v>75</v>
      </c>
      <c r="I1195" s="91">
        <v>1.0</v>
      </c>
      <c r="J1195" s="92">
        <v>62.75</v>
      </c>
      <c r="K1195" s="92">
        <v>62.75</v>
      </c>
    </row>
    <row r="1196" ht="12.75" customHeight="1">
      <c r="I1196" s="79"/>
      <c r="J1196" s="80"/>
      <c r="K1196" s="80"/>
    </row>
    <row r="1197" ht="12.75" customHeight="1">
      <c r="A1197" s="89" t="s">
        <v>1004</v>
      </c>
      <c r="B1197" s="90" t="s">
        <v>4132</v>
      </c>
      <c r="D1197" s="90"/>
      <c r="E1197" s="90"/>
      <c r="F1197" s="90"/>
      <c r="G1197" s="90"/>
      <c r="H1197" s="89" t="s">
        <v>75</v>
      </c>
      <c r="I1197" s="91">
        <v>1.0</v>
      </c>
      <c r="J1197" s="92">
        <v>44.17</v>
      </c>
      <c r="K1197" s="92">
        <v>44.17</v>
      </c>
    </row>
    <row r="1198" ht="12.75" customHeight="1">
      <c r="I1198" s="79"/>
      <c r="J1198" s="80"/>
      <c r="K1198" s="80"/>
    </row>
    <row r="1199" ht="12.75" customHeight="1">
      <c r="A1199" s="89" t="s">
        <v>1006</v>
      </c>
      <c r="B1199" s="90" t="s">
        <v>4133</v>
      </c>
      <c r="D1199" s="90"/>
      <c r="E1199" s="90"/>
      <c r="F1199" s="90"/>
      <c r="G1199" s="90"/>
      <c r="H1199" s="89" t="s">
        <v>75</v>
      </c>
      <c r="I1199" s="91">
        <v>5.0</v>
      </c>
      <c r="J1199" s="92">
        <v>53.77</v>
      </c>
      <c r="K1199" s="92">
        <v>268.85</v>
      </c>
    </row>
    <row r="1200" ht="12.75" customHeight="1">
      <c r="I1200" s="79"/>
      <c r="J1200" s="80"/>
      <c r="K1200" s="80"/>
    </row>
    <row r="1201" ht="12.75" customHeight="1">
      <c r="A1201" s="89" t="s">
        <v>1008</v>
      </c>
      <c r="B1201" s="90" t="s">
        <v>4134</v>
      </c>
      <c r="D1201" s="90"/>
      <c r="E1201" s="90"/>
      <c r="F1201" s="90"/>
      <c r="G1201" s="90"/>
      <c r="H1201" s="89" t="s">
        <v>75</v>
      </c>
      <c r="I1201" s="91">
        <v>1.0</v>
      </c>
      <c r="J1201" s="92">
        <v>107.09</v>
      </c>
      <c r="K1201" s="92">
        <v>107.09</v>
      </c>
    </row>
    <row r="1202" ht="12.75" customHeight="1">
      <c r="I1202" s="79"/>
      <c r="J1202" s="80"/>
      <c r="K1202" s="80"/>
    </row>
    <row r="1203" ht="12.75" customHeight="1">
      <c r="A1203" s="89" t="s">
        <v>1010</v>
      </c>
      <c r="B1203" s="90" t="s">
        <v>4135</v>
      </c>
      <c r="D1203" s="90"/>
      <c r="E1203" s="90"/>
      <c r="F1203" s="90"/>
      <c r="G1203" s="90"/>
      <c r="H1203" s="89" t="s">
        <v>75</v>
      </c>
      <c r="I1203" s="91">
        <v>1.0</v>
      </c>
      <c r="J1203" s="92">
        <v>764.0</v>
      </c>
      <c r="K1203" s="92">
        <v>764.0</v>
      </c>
    </row>
    <row r="1204" ht="12.75" customHeight="1">
      <c r="I1204" s="79"/>
      <c r="J1204" s="80"/>
      <c r="K1204" s="80"/>
    </row>
    <row r="1205" ht="12.75" customHeight="1">
      <c r="A1205" s="89" t="s">
        <v>1012</v>
      </c>
      <c r="B1205" s="90" t="s">
        <v>4136</v>
      </c>
      <c r="D1205" s="90"/>
      <c r="E1205" s="90"/>
      <c r="F1205" s="90"/>
      <c r="G1205" s="90"/>
      <c r="H1205" s="89" t="s">
        <v>75</v>
      </c>
      <c r="I1205" s="91">
        <v>15.0</v>
      </c>
      <c r="J1205" s="92">
        <v>18.03</v>
      </c>
      <c r="K1205" s="92">
        <v>270.45</v>
      </c>
    </row>
    <row r="1206" ht="12.75" customHeight="1">
      <c r="I1206" s="79"/>
      <c r="J1206" s="80"/>
      <c r="K1206" s="80"/>
    </row>
    <row r="1207" ht="12.75" customHeight="1">
      <c r="A1207" s="89" t="s">
        <v>1014</v>
      </c>
      <c r="B1207" s="90" t="s">
        <v>4137</v>
      </c>
      <c r="D1207" s="90"/>
      <c r="E1207" s="90"/>
      <c r="F1207" s="90"/>
      <c r="G1207" s="90"/>
      <c r="H1207" s="89" t="s">
        <v>75</v>
      </c>
      <c r="I1207" s="91">
        <v>1.0</v>
      </c>
      <c r="J1207" s="92">
        <v>28.72</v>
      </c>
      <c r="K1207" s="92">
        <v>28.72</v>
      </c>
    </row>
    <row r="1208" ht="12.75" customHeight="1">
      <c r="I1208" s="79"/>
      <c r="J1208" s="80"/>
      <c r="K1208" s="80"/>
    </row>
    <row r="1209" ht="12.75" customHeight="1">
      <c r="A1209" s="89" t="s">
        <v>4138</v>
      </c>
      <c r="B1209" s="90" t="s">
        <v>4139</v>
      </c>
      <c r="D1209" s="90"/>
      <c r="E1209" s="90"/>
      <c r="F1209" s="90"/>
      <c r="G1209" s="90"/>
      <c r="I1209" s="79"/>
      <c r="J1209" s="80"/>
      <c r="K1209" s="80"/>
    </row>
    <row r="1210" ht="12.75" customHeight="1">
      <c r="I1210" s="79"/>
      <c r="J1210" s="80"/>
      <c r="K1210" s="80"/>
    </row>
    <row r="1211" ht="12.75" customHeight="1">
      <c r="A1211" s="89" t="s">
        <v>1017</v>
      </c>
      <c r="B1211" s="90" t="s">
        <v>4140</v>
      </c>
      <c r="D1211" s="90"/>
      <c r="E1211" s="90"/>
      <c r="F1211" s="90"/>
      <c r="G1211" s="90"/>
      <c r="I1211" s="79"/>
      <c r="J1211" s="80"/>
      <c r="K1211" s="80"/>
    </row>
    <row r="1212" ht="12.75" customHeight="1">
      <c r="I1212" s="79"/>
      <c r="J1212" s="80"/>
      <c r="K1212" s="80"/>
    </row>
    <row r="1213" ht="12.75" customHeight="1">
      <c r="A1213" s="89" t="s">
        <v>1019</v>
      </c>
      <c r="B1213" s="90" t="s">
        <v>2659</v>
      </c>
      <c r="D1213" s="90"/>
      <c r="E1213" s="90"/>
      <c r="F1213" s="90"/>
      <c r="G1213" s="90"/>
      <c r="H1213" s="89" t="s">
        <v>161</v>
      </c>
      <c r="I1213" s="91">
        <v>34.84</v>
      </c>
      <c r="J1213" s="92">
        <v>11.59</v>
      </c>
      <c r="K1213" s="92">
        <v>403.8</v>
      </c>
    </row>
    <row r="1214" ht="12.75" customHeight="1">
      <c r="I1214" s="79"/>
      <c r="J1214" s="80"/>
      <c r="K1214" s="80"/>
    </row>
    <row r="1215" ht="12.75" customHeight="1">
      <c r="A1215" s="89" t="s">
        <v>1020</v>
      </c>
      <c r="B1215" s="90" t="s">
        <v>4141</v>
      </c>
      <c r="D1215" s="90"/>
      <c r="E1215" s="90"/>
      <c r="F1215" s="90"/>
      <c r="G1215" s="90"/>
      <c r="I1215" s="79"/>
      <c r="J1215" s="80"/>
      <c r="K1215" s="80"/>
    </row>
    <row r="1216" ht="12.75" customHeight="1">
      <c r="I1216" s="79"/>
      <c r="J1216" s="80"/>
      <c r="K1216" s="80"/>
    </row>
    <row r="1217" ht="12.75" customHeight="1">
      <c r="A1217" s="89" t="s">
        <v>1022</v>
      </c>
      <c r="B1217" s="90" t="s">
        <v>4142</v>
      </c>
      <c r="D1217" s="90"/>
      <c r="E1217" s="90"/>
      <c r="F1217" s="90"/>
      <c r="G1217" s="90"/>
      <c r="H1217" s="89" t="s">
        <v>75</v>
      </c>
      <c r="I1217" s="91">
        <v>1.0</v>
      </c>
      <c r="J1217" s="92">
        <v>1657.88</v>
      </c>
      <c r="K1217" s="92">
        <v>1657.88</v>
      </c>
    </row>
    <row r="1218" ht="12.75" customHeight="1">
      <c r="I1218" s="79"/>
      <c r="J1218" s="80"/>
      <c r="K1218" s="80"/>
    </row>
    <row r="1219" ht="12.75" customHeight="1">
      <c r="A1219" s="89" t="s">
        <v>1024</v>
      </c>
      <c r="B1219" s="90" t="s">
        <v>4143</v>
      </c>
      <c r="D1219" s="90"/>
      <c r="E1219" s="90"/>
      <c r="F1219" s="90"/>
      <c r="G1219" s="90"/>
      <c r="H1219" s="89" t="s">
        <v>75</v>
      </c>
      <c r="I1219" s="91">
        <v>1.0</v>
      </c>
      <c r="J1219" s="92">
        <v>301.74</v>
      </c>
      <c r="K1219" s="92">
        <v>301.74</v>
      </c>
    </row>
    <row r="1220" ht="12.75" customHeight="1">
      <c r="I1220" s="79"/>
      <c r="J1220" s="80"/>
      <c r="K1220" s="80"/>
    </row>
    <row r="1221" ht="12.75" customHeight="1">
      <c r="A1221" s="89" t="s">
        <v>1026</v>
      </c>
      <c r="B1221" s="90" t="s">
        <v>4144</v>
      </c>
      <c r="D1221" s="90"/>
      <c r="E1221" s="90"/>
      <c r="F1221" s="90"/>
      <c r="G1221" s="90"/>
      <c r="H1221" s="89" t="s">
        <v>75</v>
      </c>
      <c r="I1221" s="91">
        <v>4.0</v>
      </c>
      <c r="J1221" s="92">
        <v>70.62</v>
      </c>
      <c r="K1221" s="92">
        <v>282.48</v>
      </c>
    </row>
    <row r="1222" ht="12.75" customHeight="1">
      <c r="I1222" s="79"/>
      <c r="J1222" s="80"/>
      <c r="K1222" s="80"/>
    </row>
    <row r="1223" ht="12.75" customHeight="1">
      <c r="A1223" s="89" t="s">
        <v>1028</v>
      </c>
      <c r="B1223" s="90" t="s">
        <v>4145</v>
      </c>
      <c r="D1223" s="90"/>
      <c r="E1223" s="90"/>
      <c r="F1223" s="90"/>
      <c r="G1223" s="90"/>
      <c r="H1223" s="89" t="s">
        <v>75</v>
      </c>
      <c r="I1223" s="91">
        <v>1.0</v>
      </c>
      <c r="J1223" s="92">
        <v>109.63</v>
      </c>
      <c r="K1223" s="92">
        <v>109.63</v>
      </c>
    </row>
    <row r="1224" ht="12.75" customHeight="1">
      <c r="I1224" s="79"/>
      <c r="J1224" s="80"/>
      <c r="K1224" s="80"/>
    </row>
    <row r="1225" ht="12.75" customHeight="1">
      <c r="A1225" s="89" t="s">
        <v>1030</v>
      </c>
      <c r="B1225" s="90" t="s">
        <v>4146</v>
      </c>
      <c r="D1225" s="90"/>
      <c r="E1225" s="90"/>
      <c r="F1225" s="90"/>
      <c r="G1225" s="90"/>
      <c r="H1225" s="89" t="s">
        <v>75</v>
      </c>
      <c r="I1225" s="91">
        <v>1.0</v>
      </c>
      <c r="J1225" s="92">
        <v>685.01</v>
      </c>
      <c r="K1225" s="92">
        <v>685.01</v>
      </c>
    </row>
    <row r="1226" ht="12.75" customHeight="1">
      <c r="I1226" s="79"/>
      <c r="J1226" s="80"/>
      <c r="K1226" s="80"/>
    </row>
    <row r="1227" ht="12.75" customHeight="1">
      <c r="A1227" s="89" t="s">
        <v>1032</v>
      </c>
      <c r="B1227" s="90" t="s">
        <v>4147</v>
      </c>
      <c r="D1227" s="90"/>
      <c r="E1227" s="90"/>
      <c r="F1227" s="90"/>
      <c r="G1227" s="90"/>
      <c r="H1227" s="89" t="s">
        <v>75</v>
      </c>
      <c r="I1227" s="91">
        <v>1.0</v>
      </c>
      <c r="J1227" s="92">
        <v>183.48</v>
      </c>
      <c r="K1227" s="92">
        <v>183.48</v>
      </c>
    </row>
    <row r="1228" ht="12.75" customHeight="1">
      <c r="I1228" s="79"/>
      <c r="J1228" s="80"/>
      <c r="K1228" s="80"/>
    </row>
    <row r="1229" ht="12.75" customHeight="1">
      <c r="A1229" s="89" t="s">
        <v>1034</v>
      </c>
      <c r="B1229" s="90" t="s">
        <v>4118</v>
      </c>
      <c r="D1229" s="90"/>
      <c r="E1229" s="90"/>
      <c r="F1229" s="90"/>
      <c r="G1229" s="90"/>
      <c r="H1229" s="89" t="s">
        <v>33</v>
      </c>
      <c r="I1229" s="91">
        <v>1.0</v>
      </c>
      <c r="J1229" s="92">
        <v>1939.65</v>
      </c>
      <c r="K1229" s="92">
        <v>1939.65</v>
      </c>
    </row>
    <row r="1230" ht="12.75" customHeight="1">
      <c r="I1230" s="79"/>
      <c r="J1230" s="80"/>
      <c r="K1230" s="80"/>
    </row>
    <row r="1231" ht="12.75" customHeight="1">
      <c r="A1231" s="89" t="s">
        <v>4090</v>
      </c>
      <c r="B1231" s="90" t="s">
        <v>4091</v>
      </c>
      <c r="D1231" s="90"/>
      <c r="E1231" s="90"/>
      <c r="F1231" s="90"/>
      <c r="G1231" s="90"/>
      <c r="I1231" s="79"/>
      <c r="J1231" s="80"/>
      <c r="K1231" s="92">
        <v>40338.6</v>
      </c>
    </row>
    <row r="1232" ht="12.75" customHeight="1">
      <c r="I1232" s="79"/>
      <c r="J1232" s="80"/>
      <c r="K1232" s="80"/>
    </row>
    <row r="1233" ht="12.75" customHeight="1">
      <c r="I1233" s="79"/>
      <c r="J1233" s="80"/>
      <c r="K1233" s="80"/>
    </row>
    <row r="1234" ht="12.75" customHeight="1">
      <c r="A1234" s="89" t="s">
        <v>4148</v>
      </c>
      <c r="B1234" s="90" t="s">
        <v>4149</v>
      </c>
      <c r="D1234" s="90"/>
      <c r="E1234" s="90"/>
      <c r="F1234" s="90"/>
      <c r="G1234" s="90"/>
      <c r="I1234" s="79"/>
      <c r="J1234" s="80"/>
      <c r="K1234" s="80"/>
    </row>
    <row r="1235" ht="12.75" customHeight="1">
      <c r="I1235" s="79"/>
      <c r="J1235" s="80"/>
      <c r="K1235" s="80"/>
    </row>
    <row r="1236" ht="12.75" customHeight="1">
      <c r="A1236" s="89" t="s">
        <v>4150</v>
      </c>
      <c r="B1236" s="90" t="s">
        <v>4151</v>
      </c>
      <c r="D1236" s="90"/>
      <c r="E1236" s="90"/>
      <c r="F1236" s="90"/>
      <c r="G1236" s="90"/>
      <c r="I1236" s="79"/>
      <c r="J1236" s="80"/>
      <c r="K1236" s="80"/>
    </row>
    <row r="1237" ht="12.75" customHeight="1">
      <c r="I1237" s="79"/>
      <c r="J1237" s="80"/>
      <c r="K1237" s="80"/>
    </row>
    <row r="1238" ht="12.75" customHeight="1">
      <c r="A1238" s="89" t="s">
        <v>1037</v>
      </c>
      <c r="B1238" s="90" t="s">
        <v>4152</v>
      </c>
      <c r="D1238" s="90"/>
      <c r="E1238" s="90"/>
      <c r="F1238" s="90"/>
      <c r="G1238" s="90"/>
      <c r="I1238" s="79"/>
      <c r="J1238" s="80"/>
      <c r="K1238" s="80"/>
    </row>
    <row r="1239" ht="12.75" customHeight="1">
      <c r="I1239" s="79"/>
      <c r="J1239" s="80"/>
      <c r="K1239" s="80"/>
    </row>
    <row r="1240" ht="12.75" customHeight="1">
      <c r="A1240" s="89" t="s">
        <v>1039</v>
      </c>
      <c r="B1240" s="90" t="s">
        <v>4153</v>
      </c>
      <c r="D1240" s="90"/>
      <c r="E1240" s="90"/>
      <c r="F1240" s="90"/>
      <c r="G1240" s="90"/>
      <c r="H1240" s="89" t="s">
        <v>161</v>
      </c>
      <c r="I1240" s="91">
        <v>45.73</v>
      </c>
      <c r="J1240" s="92">
        <v>14.95</v>
      </c>
      <c r="K1240" s="92">
        <v>683.66</v>
      </c>
    </row>
    <row r="1241" ht="12.75" customHeight="1">
      <c r="I1241" s="79"/>
      <c r="J1241" s="80"/>
      <c r="K1241" s="80"/>
    </row>
    <row r="1242" ht="12.75" customHeight="1">
      <c r="A1242" s="89" t="s">
        <v>1041</v>
      </c>
      <c r="B1242" s="90" t="s">
        <v>4154</v>
      </c>
      <c r="D1242" s="90"/>
      <c r="E1242" s="90"/>
      <c r="F1242" s="90"/>
      <c r="G1242" s="90"/>
      <c r="I1242" s="79"/>
      <c r="J1242" s="80"/>
      <c r="K1242" s="80"/>
    </row>
    <row r="1243" ht="12.75" customHeight="1">
      <c r="I1243" s="79"/>
      <c r="J1243" s="80"/>
      <c r="K1243" s="80"/>
    </row>
    <row r="1244" ht="12.75" customHeight="1">
      <c r="A1244" s="89" t="s">
        <v>1043</v>
      </c>
      <c r="B1244" s="90" t="s">
        <v>4155</v>
      </c>
      <c r="D1244" s="90"/>
      <c r="E1244" s="90"/>
      <c r="F1244" s="90"/>
      <c r="G1244" s="90"/>
      <c r="H1244" s="89" t="s">
        <v>161</v>
      </c>
      <c r="I1244" s="91">
        <v>15.56</v>
      </c>
      <c r="J1244" s="92">
        <v>19.85</v>
      </c>
      <c r="K1244" s="92">
        <v>308.87</v>
      </c>
    </row>
    <row r="1245" ht="12.75" customHeight="1">
      <c r="I1245" s="79"/>
      <c r="J1245" s="80"/>
      <c r="K1245" s="80"/>
    </row>
    <row r="1246" ht="12.75" customHeight="1">
      <c r="A1246" s="89" t="s">
        <v>1045</v>
      </c>
      <c r="B1246" s="90" t="s">
        <v>4156</v>
      </c>
      <c r="D1246" s="90"/>
      <c r="E1246" s="90"/>
      <c r="F1246" s="90"/>
      <c r="G1246" s="90"/>
      <c r="H1246" s="89" t="s">
        <v>161</v>
      </c>
      <c r="I1246" s="91">
        <v>14.62</v>
      </c>
      <c r="J1246" s="92">
        <v>20.92</v>
      </c>
      <c r="K1246" s="92">
        <v>305.85</v>
      </c>
    </row>
    <row r="1247" ht="12.75" customHeight="1">
      <c r="I1247" s="79"/>
      <c r="J1247" s="80"/>
      <c r="K1247" s="80"/>
    </row>
    <row r="1248" ht="12.75" customHeight="1">
      <c r="A1248" s="89" t="s">
        <v>1047</v>
      </c>
      <c r="B1248" s="90" t="s">
        <v>4157</v>
      </c>
      <c r="D1248" s="90"/>
      <c r="E1248" s="90"/>
      <c r="F1248" s="90"/>
      <c r="G1248" s="90"/>
      <c r="H1248" s="89" t="s">
        <v>161</v>
      </c>
      <c r="I1248" s="91">
        <v>18.36</v>
      </c>
      <c r="J1248" s="92">
        <v>25.05</v>
      </c>
      <c r="K1248" s="92">
        <v>459.92</v>
      </c>
    </row>
    <row r="1249" ht="12.75" customHeight="1">
      <c r="I1249" s="79"/>
      <c r="J1249" s="80"/>
      <c r="K1249" s="80"/>
    </row>
    <row r="1250" ht="12.75" customHeight="1">
      <c r="A1250" s="89" t="s">
        <v>1049</v>
      </c>
      <c r="B1250" s="90" t="s">
        <v>4158</v>
      </c>
      <c r="D1250" s="90"/>
      <c r="E1250" s="90"/>
      <c r="F1250" s="90"/>
      <c r="G1250" s="90"/>
      <c r="H1250" s="89" t="s">
        <v>161</v>
      </c>
      <c r="I1250" s="91">
        <v>68.48</v>
      </c>
      <c r="J1250" s="92">
        <v>26.43</v>
      </c>
      <c r="K1250" s="92">
        <v>1809.93</v>
      </c>
    </row>
    <row r="1251" ht="12.75" customHeight="1">
      <c r="I1251" s="79"/>
      <c r="J1251" s="80"/>
      <c r="K1251" s="80"/>
    </row>
    <row r="1252" ht="12.75" customHeight="1">
      <c r="A1252" s="89" t="s">
        <v>1051</v>
      </c>
      <c r="B1252" s="90" t="s">
        <v>4159</v>
      </c>
      <c r="D1252" s="90"/>
      <c r="E1252" s="90"/>
      <c r="F1252" s="90"/>
      <c r="G1252" s="90"/>
      <c r="I1252" s="79"/>
      <c r="J1252" s="80"/>
      <c r="K1252" s="80"/>
    </row>
    <row r="1253" ht="12.75" customHeight="1">
      <c r="I1253" s="79"/>
      <c r="J1253" s="80"/>
      <c r="K1253" s="80"/>
    </row>
    <row r="1254" ht="12.75" customHeight="1">
      <c r="A1254" s="89" t="s">
        <v>1053</v>
      </c>
      <c r="B1254" s="90" t="s">
        <v>4157</v>
      </c>
      <c r="D1254" s="90"/>
      <c r="E1254" s="90"/>
      <c r="F1254" s="90"/>
      <c r="G1254" s="90"/>
      <c r="H1254" s="89" t="s">
        <v>161</v>
      </c>
      <c r="I1254" s="91">
        <v>6.58</v>
      </c>
      <c r="J1254" s="92">
        <v>112.47</v>
      </c>
      <c r="K1254" s="92">
        <v>740.05</v>
      </c>
    </row>
    <row r="1255" ht="12.75" customHeight="1">
      <c r="I1255" s="79"/>
      <c r="J1255" s="80"/>
      <c r="K1255" s="80"/>
    </row>
    <row r="1256" ht="12.75" customHeight="1">
      <c r="A1256" s="89" t="s">
        <v>1054</v>
      </c>
      <c r="B1256" s="90" t="s">
        <v>4158</v>
      </c>
      <c r="D1256" s="90"/>
      <c r="E1256" s="90"/>
      <c r="F1256" s="90"/>
      <c r="G1256" s="90"/>
      <c r="H1256" s="89" t="s">
        <v>161</v>
      </c>
      <c r="I1256" s="91">
        <v>17.65</v>
      </c>
      <c r="J1256" s="92">
        <v>119.78</v>
      </c>
      <c r="K1256" s="92">
        <v>2114.12</v>
      </c>
    </row>
    <row r="1257" ht="12.75" customHeight="1">
      <c r="I1257" s="79"/>
      <c r="J1257" s="80"/>
      <c r="K1257" s="80"/>
    </row>
    <row r="1258" ht="12.75" customHeight="1">
      <c r="A1258" s="89" t="s">
        <v>1055</v>
      </c>
      <c r="B1258" s="90" t="s">
        <v>4160</v>
      </c>
      <c r="D1258" s="90"/>
      <c r="E1258" s="90"/>
      <c r="F1258" s="90"/>
      <c r="G1258" s="90"/>
      <c r="H1258" s="89" t="s">
        <v>161</v>
      </c>
      <c r="I1258" s="91">
        <v>17.62</v>
      </c>
      <c r="J1258" s="92">
        <v>13.94</v>
      </c>
      <c r="K1258" s="92">
        <v>245.62</v>
      </c>
    </row>
    <row r="1259" ht="12.75" customHeight="1">
      <c r="I1259" s="79"/>
      <c r="J1259" s="80"/>
      <c r="K1259" s="80"/>
    </row>
    <row r="1260" ht="12.75" customHeight="1">
      <c r="A1260" s="89" t="s">
        <v>4161</v>
      </c>
      <c r="B1260" s="90" t="s">
        <v>4162</v>
      </c>
      <c r="D1260" s="90"/>
      <c r="E1260" s="90"/>
      <c r="F1260" s="90"/>
      <c r="G1260" s="90"/>
      <c r="H1260" s="89" t="s">
        <v>161</v>
      </c>
      <c r="I1260" s="91">
        <v>3.84</v>
      </c>
      <c r="J1260" s="92">
        <v>16.81</v>
      </c>
      <c r="K1260" s="92">
        <v>64.55</v>
      </c>
    </row>
    <row r="1261" ht="12.75" customHeight="1">
      <c r="I1261" s="79"/>
      <c r="J1261" s="80"/>
      <c r="K1261" s="80"/>
    </row>
    <row r="1262" ht="12.75" customHeight="1">
      <c r="A1262" s="89" t="s">
        <v>4163</v>
      </c>
      <c r="B1262" s="90" t="s">
        <v>4164</v>
      </c>
      <c r="D1262" s="90"/>
      <c r="E1262" s="90"/>
      <c r="F1262" s="90"/>
      <c r="G1262" s="90"/>
      <c r="I1262" s="79"/>
      <c r="J1262" s="80"/>
      <c r="K1262" s="80"/>
    </row>
    <row r="1263" ht="12.75" customHeight="1">
      <c r="I1263" s="79"/>
      <c r="J1263" s="80"/>
      <c r="K1263" s="80"/>
    </row>
    <row r="1264" ht="12.75" customHeight="1">
      <c r="A1264" s="89" t="s">
        <v>1059</v>
      </c>
      <c r="B1264" s="90" t="s">
        <v>4165</v>
      </c>
      <c r="D1264" s="90"/>
      <c r="E1264" s="90"/>
      <c r="F1264" s="90"/>
      <c r="G1264" s="90"/>
      <c r="I1264" s="79"/>
      <c r="J1264" s="80"/>
      <c r="K1264" s="80"/>
    </row>
    <row r="1265" ht="12.75" customHeight="1">
      <c r="I1265" s="79"/>
      <c r="J1265" s="80"/>
      <c r="K1265" s="80"/>
    </row>
    <row r="1266" ht="12.75" customHeight="1">
      <c r="A1266" s="89" t="s">
        <v>1061</v>
      </c>
      <c r="B1266" s="90" t="s">
        <v>4166</v>
      </c>
      <c r="D1266" s="90"/>
      <c r="E1266" s="90"/>
      <c r="F1266" s="90"/>
      <c r="G1266" s="90"/>
      <c r="H1266" s="89" t="s">
        <v>75</v>
      </c>
      <c r="I1266" s="91">
        <v>1.0</v>
      </c>
      <c r="J1266" s="92">
        <v>226.29</v>
      </c>
      <c r="K1266" s="92">
        <v>226.29</v>
      </c>
    </row>
    <row r="1267" ht="12.75" customHeight="1">
      <c r="I1267" s="79"/>
      <c r="J1267" s="80"/>
      <c r="K1267" s="80"/>
    </row>
    <row r="1268" ht="12.75" customHeight="1">
      <c r="A1268" s="89" t="s">
        <v>1063</v>
      </c>
      <c r="B1268" s="90" t="s">
        <v>4167</v>
      </c>
      <c r="D1268" s="90"/>
      <c r="E1268" s="90"/>
      <c r="F1268" s="90"/>
      <c r="G1268" s="90"/>
      <c r="H1268" s="89" t="s">
        <v>75</v>
      </c>
      <c r="I1268" s="91">
        <v>1.0</v>
      </c>
      <c r="J1268" s="92">
        <v>232.76</v>
      </c>
      <c r="K1268" s="92">
        <v>232.76</v>
      </c>
    </row>
    <row r="1269" ht="12.75" customHeight="1">
      <c r="I1269" s="79"/>
      <c r="J1269" s="80"/>
      <c r="K1269" s="80"/>
    </row>
    <row r="1270" ht="12.75" customHeight="1">
      <c r="A1270" s="89" t="s">
        <v>1065</v>
      </c>
      <c r="B1270" s="90" t="s">
        <v>4168</v>
      </c>
      <c r="D1270" s="90"/>
      <c r="E1270" s="90"/>
      <c r="F1270" s="90"/>
      <c r="G1270" s="90"/>
      <c r="H1270" s="89" t="s">
        <v>75</v>
      </c>
      <c r="I1270" s="91">
        <v>1.0</v>
      </c>
      <c r="J1270" s="92">
        <v>258.62</v>
      </c>
      <c r="K1270" s="92">
        <v>258.62</v>
      </c>
    </row>
    <row r="1271" ht="12.75" customHeight="1">
      <c r="I1271" s="79"/>
      <c r="J1271" s="80"/>
      <c r="K1271" s="80"/>
    </row>
    <row r="1272" ht="12.75" customHeight="1">
      <c r="A1272" s="89" t="s">
        <v>1067</v>
      </c>
      <c r="B1272" s="90" t="s">
        <v>4169</v>
      </c>
      <c r="D1272" s="90"/>
      <c r="E1272" s="90"/>
      <c r="F1272" s="90"/>
      <c r="G1272" s="90"/>
      <c r="H1272" s="89" t="s">
        <v>75</v>
      </c>
      <c r="I1272" s="91">
        <v>2.0</v>
      </c>
      <c r="J1272" s="92">
        <v>646.55</v>
      </c>
      <c r="K1272" s="92">
        <v>1293.1</v>
      </c>
    </row>
    <row r="1273" ht="12.75" customHeight="1">
      <c r="I1273" s="79"/>
      <c r="J1273" s="80"/>
      <c r="K1273" s="80"/>
    </row>
    <row r="1274" ht="12.75" customHeight="1">
      <c r="A1274" s="89" t="s">
        <v>1069</v>
      </c>
      <c r="B1274" s="90" t="s">
        <v>4170</v>
      </c>
      <c r="D1274" s="90"/>
      <c r="E1274" s="90"/>
      <c r="F1274" s="90"/>
      <c r="G1274" s="90"/>
      <c r="H1274" s="89" t="s">
        <v>75</v>
      </c>
      <c r="I1274" s="91">
        <v>1.0</v>
      </c>
      <c r="J1274" s="92">
        <v>711.21</v>
      </c>
      <c r="K1274" s="92">
        <v>711.21</v>
      </c>
    </row>
    <row r="1275" ht="12.75" customHeight="1">
      <c r="I1275" s="79"/>
      <c r="J1275" s="80"/>
      <c r="K1275" s="80"/>
    </row>
    <row r="1276" ht="12.75" customHeight="1">
      <c r="A1276" s="89" t="s">
        <v>4171</v>
      </c>
      <c r="B1276" s="90" t="s">
        <v>4172</v>
      </c>
      <c r="D1276" s="90"/>
      <c r="E1276" s="90"/>
      <c r="F1276" s="90"/>
      <c r="G1276" s="90"/>
      <c r="H1276" s="89" t="s">
        <v>75</v>
      </c>
      <c r="I1276" s="91">
        <v>1.0</v>
      </c>
      <c r="J1276" s="92">
        <v>52.12</v>
      </c>
      <c r="K1276" s="92">
        <v>52.12</v>
      </c>
    </row>
    <row r="1277" ht="12.75" customHeight="1">
      <c r="I1277" s="79"/>
      <c r="J1277" s="80"/>
      <c r="K1277" s="80"/>
    </row>
    <row r="1278" ht="12.75" customHeight="1">
      <c r="A1278" s="89" t="s">
        <v>4173</v>
      </c>
      <c r="B1278" s="90" t="s">
        <v>4174</v>
      </c>
      <c r="D1278" s="90"/>
      <c r="E1278" s="90"/>
      <c r="F1278" s="90"/>
      <c r="G1278" s="90"/>
      <c r="H1278" s="89" t="s">
        <v>75</v>
      </c>
      <c r="I1278" s="91">
        <v>1.0</v>
      </c>
      <c r="J1278" s="92">
        <v>8234.62</v>
      </c>
      <c r="K1278" s="92">
        <v>8234.62</v>
      </c>
    </row>
    <row r="1279" ht="12.75" customHeight="1">
      <c r="I1279" s="79"/>
      <c r="J1279" s="80"/>
      <c r="K1279" s="80"/>
    </row>
    <row r="1280" ht="12.75" customHeight="1">
      <c r="A1280" s="89" t="s">
        <v>4175</v>
      </c>
      <c r="B1280" s="90" t="s">
        <v>4120</v>
      </c>
      <c r="D1280" s="90"/>
      <c r="E1280" s="90"/>
      <c r="F1280" s="90"/>
      <c r="G1280" s="90"/>
      <c r="H1280" s="89" t="s">
        <v>75</v>
      </c>
      <c r="I1280" s="91">
        <v>1.0</v>
      </c>
      <c r="J1280" s="92">
        <v>1326.02</v>
      </c>
      <c r="K1280" s="92">
        <v>1326.02</v>
      </c>
    </row>
    <row r="1281" ht="12.75" customHeight="1">
      <c r="I1281" s="79"/>
      <c r="J1281" s="80"/>
      <c r="K1281" s="80"/>
    </row>
    <row r="1282" ht="12.75" customHeight="1">
      <c r="A1282" s="89" t="s">
        <v>4176</v>
      </c>
      <c r="B1282" s="90" t="s">
        <v>4177</v>
      </c>
      <c r="D1282" s="90"/>
      <c r="E1282" s="90"/>
      <c r="F1282" s="90"/>
      <c r="G1282" s="90"/>
      <c r="H1282" s="89" t="s">
        <v>33</v>
      </c>
      <c r="I1282" s="91">
        <v>1.0</v>
      </c>
      <c r="J1282" s="92">
        <v>3232.75</v>
      </c>
      <c r="K1282" s="92">
        <v>3232.75</v>
      </c>
    </row>
    <row r="1283" ht="12.75" customHeight="1">
      <c r="I1283" s="79"/>
      <c r="J1283" s="80"/>
      <c r="K1283" s="80"/>
    </row>
    <row r="1284" ht="12.75" customHeight="1">
      <c r="A1284" s="89" t="s">
        <v>4178</v>
      </c>
      <c r="B1284" s="90" t="s">
        <v>4179</v>
      </c>
      <c r="D1284" s="90"/>
      <c r="E1284" s="90"/>
      <c r="F1284" s="90"/>
      <c r="G1284" s="90"/>
      <c r="I1284" s="79"/>
      <c r="J1284" s="80"/>
      <c r="K1284" s="80"/>
    </row>
    <row r="1285" ht="12.75" customHeight="1">
      <c r="I1285" s="79"/>
      <c r="J1285" s="80"/>
      <c r="K1285" s="80"/>
    </row>
    <row r="1286" ht="12.75" customHeight="1">
      <c r="A1286" s="89" t="s">
        <v>1075</v>
      </c>
      <c r="B1286" s="90" t="s">
        <v>4152</v>
      </c>
      <c r="D1286" s="90"/>
      <c r="E1286" s="90"/>
      <c r="F1286" s="90"/>
      <c r="G1286" s="90"/>
      <c r="I1286" s="79"/>
      <c r="J1286" s="80"/>
      <c r="K1286" s="80"/>
    </row>
    <row r="1287" ht="12.75" customHeight="1">
      <c r="I1287" s="79"/>
      <c r="J1287" s="80"/>
      <c r="K1287" s="80"/>
    </row>
    <row r="1288" ht="12.75" customHeight="1">
      <c r="A1288" s="89" t="s">
        <v>1076</v>
      </c>
      <c r="B1288" s="90" t="s">
        <v>4153</v>
      </c>
      <c r="D1288" s="90"/>
      <c r="E1288" s="90"/>
      <c r="F1288" s="90"/>
      <c r="G1288" s="90"/>
      <c r="H1288" s="89" t="s">
        <v>161</v>
      </c>
      <c r="I1288" s="91">
        <v>80.05</v>
      </c>
      <c r="J1288" s="92">
        <v>14.95</v>
      </c>
      <c r="K1288" s="92">
        <v>1196.75</v>
      </c>
    </row>
    <row r="1289" ht="12.75" customHeight="1">
      <c r="I1289" s="79"/>
      <c r="J1289" s="80"/>
      <c r="K1289" s="80"/>
    </row>
    <row r="1290" ht="12.75" customHeight="1">
      <c r="A1290" s="89" t="s">
        <v>1077</v>
      </c>
      <c r="B1290" s="90" t="s">
        <v>4180</v>
      </c>
      <c r="D1290" s="90"/>
      <c r="E1290" s="90"/>
      <c r="F1290" s="90"/>
      <c r="G1290" s="90"/>
      <c r="H1290" s="89" t="s">
        <v>161</v>
      </c>
      <c r="I1290" s="91">
        <v>12.6</v>
      </c>
      <c r="J1290" s="92">
        <v>16.81</v>
      </c>
      <c r="K1290" s="92">
        <v>211.81</v>
      </c>
    </row>
    <row r="1291" ht="12.75" customHeight="1">
      <c r="I1291" s="79"/>
      <c r="J1291" s="80"/>
      <c r="K1291" s="80"/>
    </row>
    <row r="1292" ht="12.75" customHeight="1">
      <c r="A1292" s="89" t="s">
        <v>1079</v>
      </c>
      <c r="B1292" s="90" t="s">
        <v>4181</v>
      </c>
      <c r="D1292" s="90"/>
      <c r="E1292" s="90"/>
      <c r="F1292" s="90"/>
      <c r="G1292" s="90"/>
      <c r="I1292" s="79"/>
      <c r="J1292" s="80"/>
      <c r="K1292" s="80"/>
    </row>
    <row r="1293" ht="12.75" customHeight="1">
      <c r="I1293" s="79"/>
      <c r="J1293" s="80"/>
      <c r="K1293" s="80"/>
    </row>
    <row r="1294" ht="12.75" customHeight="1">
      <c r="A1294" s="89" t="s">
        <v>1081</v>
      </c>
      <c r="B1294" s="90" t="s">
        <v>4156</v>
      </c>
      <c r="D1294" s="90"/>
      <c r="E1294" s="90"/>
      <c r="F1294" s="90"/>
      <c r="G1294" s="90"/>
      <c r="H1294" s="89" t="s">
        <v>161</v>
      </c>
      <c r="I1294" s="91">
        <v>37.36</v>
      </c>
      <c r="J1294" s="92">
        <v>20.92</v>
      </c>
      <c r="K1294" s="92">
        <v>781.57</v>
      </c>
    </row>
    <row r="1295" ht="12.75" customHeight="1">
      <c r="I1295" s="79"/>
      <c r="J1295" s="80"/>
      <c r="K1295" s="80"/>
    </row>
    <row r="1296" ht="12.75" customHeight="1">
      <c r="A1296" s="89" t="s">
        <v>1082</v>
      </c>
      <c r="B1296" s="90" t="s">
        <v>4157</v>
      </c>
      <c r="D1296" s="90"/>
      <c r="E1296" s="90"/>
      <c r="F1296" s="90"/>
      <c r="G1296" s="90"/>
      <c r="H1296" s="89" t="s">
        <v>161</v>
      </c>
      <c r="I1296" s="91">
        <v>11.41</v>
      </c>
      <c r="J1296" s="92">
        <v>25.05</v>
      </c>
      <c r="K1296" s="92">
        <v>285.82</v>
      </c>
    </row>
    <row r="1297" ht="12.75" customHeight="1">
      <c r="I1297" s="79"/>
      <c r="J1297" s="80"/>
      <c r="K1297" s="80"/>
    </row>
    <row r="1298" ht="12.75" customHeight="1">
      <c r="A1298" s="89" t="s">
        <v>1083</v>
      </c>
      <c r="B1298" s="90" t="s">
        <v>4158</v>
      </c>
      <c r="D1298" s="90"/>
      <c r="E1298" s="90"/>
      <c r="F1298" s="90"/>
      <c r="G1298" s="90"/>
      <c r="H1298" s="89" t="s">
        <v>161</v>
      </c>
      <c r="I1298" s="91">
        <v>23.75</v>
      </c>
      <c r="J1298" s="92">
        <v>26.43</v>
      </c>
      <c r="K1298" s="92">
        <v>627.71</v>
      </c>
    </row>
    <row r="1299" ht="12.75" customHeight="1">
      <c r="I1299" s="79"/>
      <c r="J1299" s="80"/>
      <c r="K1299" s="80"/>
    </row>
    <row r="1300" ht="12.75" customHeight="1">
      <c r="A1300" s="89" t="s">
        <v>1084</v>
      </c>
      <c r="B1300" s="90" t="s">
        <v>4153</v>
      </c>
      <c r="D1300" s="90"/>
      <c r="E1300" s="90"/>
      <c r="F1300" s="90"/>
      <c r="G1300" s="90"/>
      <c r="H1300" s="89" t="s">
        <v>161</v>
      </c>
      <c r="I1300" s="91">
        <v>3.22</v>
      </c>
      <c r="J1300" s="92">
        <v>30.63</v>
      </c>
      <c r="K1300" s="92">
        <v>98.63</v>
      </c>
    </row>
    <row r="1301" ht="12.75" customHeight="1">
      <c r="I1301" s="79"/>
      <c r="J1301" s="80"/>
      <c r="K1301" s="80"/>
    </row>
    <row r="1302" ht="12.75" customHeight="1">
      <c r="A1302" s="89" t="s">
        <v>1085</v>
      </c>
      <c r="B1302" s="90" t="s">
        <v>4159</v>
      </c>
      <c r="D1302" s="90"/>
      <c r="E1302" s="90"/>
      <c r="F1302" s="90"/>
      <c r="G1302" s="90"/>
      <c r="I1302" s="79"/>
      <c r="J1302" s="80"/>
      <c r="K1302" s="80"/>
    </row>
    <row r="1303" ht="12.75" customHeight="1">
      <c r="I1303" s="79"/>
      <c r="J1303" s="80"/>
      <c r="K1303" s="80"/>
    </row>
    <row r="1304" ht="12.75" customHeight="1">
      <c r="A1304" s="89" t="s">
        <v>1086</v>
      </c>
      <c r="B1304" s="90" t="s">
        <v>4158</v>
      </c>
      <c r="D1304" s="90"/>
      <c r="E1304" s="90"/>
      <c r="F1304" s="90"/>
      <c r="G1304" s="90"/>
      <c r="H1304" s="89" t="s">
        <v>161</v>
      </c>
      <c r="I1304" s="91">
        <v>54.39</v>
      </c>
      <c r="J1304" s="92">
        <v>119.78</v>
      </c>
      <c r="K1304" s="92">
        <v>6514.83</v>
      </c>
    </row>
    <row r="1305" ht="12.75" customHeight="1">
      <c r="I1305" s="79"/>
      <c r="J1305" s="80"/>
      <c r="K1305" s="80"/>
    </row>
    <row r="1306" ht="12.75" customHeight="1">
      <c r="A1306" s="89" t="s">
        <v>1087</v>
      </c>
      <c r="B1306" s="90" t="s">
        <v>4153</v>
      </c>
      <c r="D1306" s="90"/>
      <c r="E1306" s="90"/>
      <c r="F1306" s="90"/>
      <c r="G1306" s="90"/>
      <c r="H1306" s="89" t="s">
        <v>161</v>
      </c>
      <c r="I1306" s="91">
        <v>5.52</v>
      </c>
      <c r="J1306" s="92">
        <v>122.75</v>
      </c>
      <c r="K1306" s="92">
        <v>677.58</v>
      </c>
    </row>
    <row r="1307" ht="12.75" customHeight="1">
      <c r="I1307" s="79"/>
      <c r="J1307" s="80"/>
      <c r="K1307" s="80"/>
    </row>
    <row r="1308" ht="12.75" customHeight="1">
      <c r="A1308" s="89" t="s">
        <v>1088</v>
      </c>
      <c r="B1308" s="90" t="s">
        <v>4182</v>
      </c>
      <c r="D1308" s="90"/>
      <c r="E1308" s="90"/>
      <c r="F1308" s="90"/>
      <c r="G1308" s="90"/>
      <c r="H1308" s="89" t="s">
        <v>161</v>
      </c>
      <c r="I1308" s="91">
        <v>8.24</v>
      </c>
      <c r="J1308" s="92">
        <v>25.42</v>
      </c>
      <c r="K1308" s="92">
        <v>209.46</v>
      </c>
    </row>
    <row r="1309" ht="12.75" customHeight="1">
      <c r="I1309" s="79"/>
      <c r="J1309" s="80"/>
      <c r="K1309" s="80"/>
    </row>
    <row r="1310" ht="12.75" customHeight="1">
      <c r="A1310" s="89" t="s">
        <v>1090</v>
      </c>
      <c r="B1310" s="90" t="s">
        <v>4183</v>
      </c>
      <c r="D1310" s="90"/>
      <c r="E1310" s="90"/>
      <c r="F1310" s="90"/>
      <c r="G1310" s="90"/>
      <c r="H1310" s="89" t="s">
        <v>161</v>
      </c>
      <c r="I1310" s="91">
        <v>23.04</v>
      </c>
      <c r="J1310" s="92">
        <v>10.64</v>
      </c>
      <c r="K1310" s="92">
        <v>245.15</v>
      </c>
    </row>
    <row r="1311" ht="12.75" customHeight="1">
      <c r="I1311" s="79"/>
      <c r="J1311" s="80"/>
      <c r="K1311" s="80"/>
    </row>
    <row r="1312" ht="12.75" customHeight="1">
      <c r="A1312" s="89" t="s">
        <v>1092</v>
      </c>
      <c r="B1312" s="90" t="s">
        <v>4184</v>
      </c>
      <c r="D1312" s="90"/>
      <c r="E1312" s="90"/>
      <c r="F1312" s="90"/>
      <c r="G1312" s="90"/>
      <c r="H1312" s="89" t="s">
        <v>161</v>
      </c>
      <c r="I1312" s="91">
        <v>21.36</v>
      </c>
      <c r="J1312" s="92">
        <v>10.64</v>
      </c>
      <c r="K1312" s="92">
        <v>227.27</v>
      </c>
    </row>
    <row r="1313" ht="12.75" customHeight="1">
      <c r="I1313" s="79"/>
      <c r="J1313" s="80"/>
      <c r="K1313" s="80"/>
    </row>
    <row r="1314" ht="12.75" customHeight="1">
      <c r="A1314" s="89" t="s">
        <v>1094</v>
      </c>
      <c r="B1314" s="90" t="s">
        <v>4185</v>
      </c>
      <c r="D1314" s="90"/>
      <c r="E1314" s="90"/>
      <c r="F1314" s="90"/>
      <c r="G1314" s="90"/>
      <c r="H1314" s="89" t="s">
        <v>161</v>
      </c>
      <c r="I1314" s="91">
        <v>2.25</v>
      </c>
      <c r="J1314" s="92">
        <v>21.58</v>
      </c>
      <c r="K1314" s="92">
        <v>48.56</v>
      </c>
    </row>
    <row r="1315" ht="12.75" customHeight="1">
      <c r="I1315" s="79"/>
      <c r="J1315" s="80"/>
      <c r="K1315" s="80"/>
    </row>
    <row r="1316" ht="12.75" customHeight="1">
      <c r="A1316" s="89" t="s">
        <v>1096</v>
      </c>
      <c r="B1316" s="90" t="s">
        <v>4186</v>
      </c>
      <c r="D1316" s="90"/>
      <c r="E1316" s="90"/>
      <c r="F1316" s="90"/>
      <c r="G1316" s="90"/>
      <c r="H1316" s="89" t="s">
        <v>161</v>
      </c>
      <c r="I1316" s="91">
        <v>50.2</v>
      </c>
      <c r="J1316" s="92">
        <v>6.76</v>
      </c>
      <c r="K1316" s="92">
        <v>339.35</v>
      </c>
    </row>
    <row r="1317" ht="12.75" customHeight="1">
      <c r="I1317" s="79"/>
      <c r="J1317" s="80"/>
      <c r="K1317" s="80"/>
    </row>
    <row r="1318" ht="12.75" customHeight="1">
      <c r="A1318" s="89" t="s">
        <v>4187</v>
      </c>
      <c r="B1318" s="90" t="s">
        <v>4188</v>
      </c>
      <c r="D1318" s="90"/>
      <c r="E1318" s="90"/>
      <c r="F1318" s="90"/>
      <c r="G1318" s="90"/>
      <c r="H1318" s="89" t="s">
        <v>161</v>
      </c>
      <c r="I1318" s="91">
        <v>278.97</v>
      </c>
      <c r="J1318" s="92">
        <v>16.16</v>
      </c>
      <c r="K1318" s="92">
        <v>4508.16</v>
      </c>
    </row>
    <row r="1319" ht="12.75" customHeight="1">
      <c r="I1319" s="79"/>
      <c r="J1319" s="80"/>
      <c r="K1319" s="80"/>
    </row>
    <row r="1320" ht="12.75" customHeight="1">
      <c r="A1320" s="89" t="s">
        <v>4189</v>
      </c>
      <c r="B1320" s="90" t="s">
        <v>4190</v>
      </c>
      <c r="D1320" s="90"/>
      <c r="E1320" s="90"/>
      <c r="F1320" s="90"/>
      <c r="G1320" s="90"/>
      <c r="H1320" s="89" t="s">
        <v>161</v>
      </c>
      <c r="I1320" s="91">
        <v>7.4</v>
      </c>
      <c r="J1320" s="92">
        <v>16.81</v>
      </c>
      <c r="K1320" s="92">
        <v>124.39</v>
      </c>
    </row>
    <row r="1321" ht="12.75" customHeight="1">
      <c r="I1321" s="79"/>
      <c r="J1321" s="80"/>
      <c r="K1321" s="80"/>
    </row>
    <row r="1322" ht="12.75" customHeight="1">
      <c r="A1322" s="89" t="s">
        <v>4191</v>
      </c>
      <c r="B1322" s="90" t="s">
        <v>4164</v>
      </c>
      <c r="D1322" s="90"/>
      <c r="E1322" s="90"/>
      <c r="F1322" s="90"/>
      <c r="G1322" s="90"/>
      <c r="I1322" s="79"/>
      <c r="J1322" s="80"/>
      <c r="K1322" s="80"/>
    </row>
    <row r="1323" ht="12.75" customHeight="1">
      <c r="I1323" s="79"/>
      <c r="J1323" s="80"/>
      <c r="K1323" s="80"/>
    </row>
    <row r="1324" ht="12.75" customHeight="1">
      <c r="A1324" s="89" t="s">
        <v>1100</v>
      </c>
      <c r="B1324" s="90" t="s">
        <v>4165</v>
      </c>
      <c r="D1324" s="90"/>
      <c r="E1324" s="90"/>
      <c r="F1324" s="90"/>
      <c r="G1324" s="90"/>
      <c r="I1324" s="79"/>
      <c r="J1324" s="80"/>
      <c r="K1324" s="80"/>
    </row>
    <row r="1325" ht="12.75" customHeight="1">
      <c r="I1325" s="79"/>
      <c r="J1325" s="80"/>
      <c r="K1325" s="80"/>
    </row>
    <row r="1326" ht="12.75" customHeight="1">
      <c r="A1326" s="89" t="s">
        <v>1101</v>
      </c>
      <c r="B1326" s="90" t="s">
        <v>4166</v>
      </c>
      <c r="D1326" s="90"/>
      <c r="E1326" s="90"/>
      <c r="F1326" s="90"/>
      <c r="G1326" s="90"/>
      <c r="H1326" s="89" t="s">
        <v>75</v>
      </c>
      <c r="I1326" s="91">
        <v>3.0</v>
      </c>
      <c r="J1326" s="92">
        <v>226.29</v>
      </c>
      <c r="K1326" s="92">
        <v>678.87</v>
      </c>
    </row>
    <row r="1327" ht="12.75" customHeight="1">
      <c r="I1327" s="79"/>
      <c r="J1327" s="80"/>
      <c r="K1327" s="80"/>
    </row>
    <row r="1328" ht="12.75" customHeight="1">
      <c r="A1328" s="89" t="s">
        <v>1102</v>
      </c>
      <c r="B1328" s="90" t="s">
        <v>4167</v>
      </c>
      <c r="D1328" s="90"/>
      <c r="E1328" s="90"/>
      <c r="F1328" s="90"/>
      <c r="G1328" s="90"/>
      <c r="H1328" s="89" t="s">
        <v>75</v>
      </c>
      <c r="I1328" s="91">
        <v>1.0</v>
      </c>
      <c r="J1328" s="92">
        <v>232.76</v>
      </c>
      <c r="K1328" s="92">
        <v>232.76</v>
      </c>
    </row>
    <row r="1329" ht="12.75" customHeight="1">
      <c r="I1329" s="79"/>
      <c r="J1329" s="80"/>
      <c r="K1329" s="80"/>
    </row>
    <row r="1330" ht="12.75" customHeight="1">
      <c r="A1330" s="89" t="s">
        <v>1103</v>
      </c>
      <c r="B1330" s="90" t="s">
        <v>4168</v>
      </c>
      <c r="D1330" s="90"/>
      <c r="E1330" s="90"/>
      <c r="F1330" s="90"/>
      <c r="G1330" s="90"/>
      <c r="H1330" s="89" t="s">
        <v>75</v>
      </c>
      <c r="I1330" s="91">
        <v>3.0</v>
      </c>
      <c r="J1330" s="92">
        <v>258.62</v>
      </c>
      <c r="K1330" s="92">
        <v>775.86</v>
      </c>
    </row>
    <row r="1331" ht="12.75" customHeight="1">
      <c r="I1331" s="79"/>
      <c r="J1331" s="80"/>
      <c r="K1331" s="80"/>
    </row>
    <row r="1332" ht="12.75" customHeight="1">
      <c r="A1332" s="89" t="s">
        <v>1104</v>
      </c>
      <c r="B1332" s="90" t="s">
        <v>4192</v>
      </c>
      <c r="D1332" s="90"/>
      <c r="E1332" s="90"/>
      <c r="F1332" s="90"/>
      <c r="G1332" s="90"/>
      <c r="H1332" s="89" t="s">
        <v>75</v>
      </c>
      <c r="I1332" s="91">
        <v>2.0</v>
      </c>
      <c r="J1332" s="92">
        <v>646.55</v>
      </c>
      <c r="K1332" s="92">
        <v>1293.1</v>
      </c>
    </row>
    <row r="1333" ht="12.75" customHeight="1">
      <c r="I1333" s="79"/>
      <c r="J1333" s="80"/>
      <c r="K1333" s="80"/>
    </row>
    <row r="1334" ht="12.75" customHeight="1">
      <c r="A1334" s="89" t="s">
        <v>1106</v>
      </c>
      <c r="B1334" s="90" t="s">
        <v>4169</v>
      </c>
      <c r="D1334" s="90"/>
      <c r="E1334" s="90"/>
      <c r="F1334" s="90"/>
      <c r="G1334" s="90"/>
      <c r="H1334" s="89" t="s">
        <v>75</v>
      </c>
      <c r="I1334" s="91">
        <v>4.0</v>
      </c>
      <c r="J1334" s="92">
        <v>646.55</v>
      </c>
      <c r="K1334" s="92">
        <v>2586.2</v>
      </c>
    </row>
    <row r="1335" ht="12.75" customHeight="1">
      <c r="I1335" s="79"/>
      <c r="J1335" s="80"/>
      <c r="K1335" s="80"/>
    </row>
    <row r="1336" ht="12.75" customHeight="1">
      <c r="A1336" s="89" t="s">
        <v>1107</v>
      </c>
      <c r="B1336" s="90" t="s">
        <v>4193</v>
      </c>
      <c r="D1336" s="90"/>
      <c r="E1336" s="90"/>
      <c r="F1336" s="90"/>
      <c r="G1336" s="90"/>
      <c r="H1336" s="89" t="s">
        <v>75</v>
      </c>
      <c r="I1336" s="91">
        <v>1.0</v>
      </c>
      <c r="J1336" s="92">
        <v>711.21</v>
      </c>
      <c r="K1336" s="92">
        <v>711.21</v>
      </c>
    </row>
    <row r="1337" ht="12.75" customHeight="1">
      <c r="I1337" s="79"/>
      <c r="J1337" s="80"/>
      <c r="K1337" s="80"/>
    </row>
    <row r="1338" ht="12.75" customHeight="1">
      <c r="A1338" s="89" t="s">
        <v>4194</v>
      </c>
      <c r="B1338" s="90" t="s">
        <v>4195</v>
      </c>
      <c r="D1338" s="90"/>
      <c r="E1338" s="90"/>
      <c r="F1338" s="90"/>
      <c r="G1338" s="90"/>
      <c r="H1338" s="89" t="s">
        <v>75</v>
      </c>
      <c r="I1338" s="91">
        <v>8.0</v>
      </c>
      <c r="J1338" s="92">
        <v>711.21</v>
      </c>
      <c r="K1338" s="92">
        <v>5689.68</v>
      </c>
    </row>
    <row r="1339" ht="12.75" customHeight="1">
      <c r="I1339" s="79"/>
      <c r="J1339" s="80"/>
      <c r="K1339" s="80"/>
    </row>
    <row r="1340" ht="12.75" customHeight="1">
      <c r="A1340" s="89" t="s">
        <v>4196</v>
      </c>
      <c r="B1340" s="90" t="s">
        <v>4197</v>
      </c>
      <c r="D1340" s="90"/>
      <c r="E1340" s="90"/>
      <c r="F1340" s="90"/>
      <c r="G1340" s="90"/>
      <c r="H1340" s="89" t="s">
        <v>75</v>
      </c>
      <c r="I1340" s="91">
        <v>9.0</v>
      </c>
      <c r="J1340" s="92">
        <v>58.19</v>
      </c>
      <c r="K1340" s="92">
        <v>523.71</v>
      </c>
    </row>
    <row r="1341" ht="12.75" customHeight="1">
      <c r="I1341" s="79"/>
      <c r="J1341" s="80"/>
      <c r="K1341" s="80"/>
    </row>
    <row r="1342" ht="12.75" customHeight="1">
      <c r="A1342" s="89" t="s">
        <v>4198</v>
      </c>
      <c r="B1342" s="90" t="s">
        <v>4199</v>
      </c>
      <c r="D1342" s="90"/>
      <c r="E1342" s="90"/>
      <c r="F1342" s="90"/>
      <c r="G1342" s="90"/>
      <c r="H1342" s="89" t="s">
        <v>75</v>
      </c>
      <c r="I1342" s="91">
        <v>3.0</v>
      </c>
      <c r="J1342" s="92">
        <v>58.19</v>
      </c>
      <c r="K1342" s="92">
        <v>174.57</v>
      </c>
    </row>
    <row r="1343" ht="12.75" customHeight="1">
      <c r="I1343" s="79"/>
      <c r="J1343" s="80"/>
      <c r="K1343" s="80"/>
    </row>
    <row r="1344" ht="12.75" customHeight="1">
      <c r="A1344" s="89" t="s">
        <v>4200</v>
      </c>
      <c r="B1344" s="90" t="s">
        <v>4201</v>
      </c>
      <c r="D1344" s="90"/>
      <c r="E1344" s="90"/>
      <c r="F1344" s="90"/>
      <c r="G1344" s="90"/>
      <c r="H1344" s="89" t="s">
        <v>161</v>
      </c>
      <c r="I1344" s="91">
        <v>5.5</v>
      </c>
      <c r="J1344" s="92">
        <v>323.28</v>
      </c>
      <c r="K1344" s="92">
        <v>1778.04</v>
      </c>
    </row>
    <row r="1345" ht="12.75" customHeight="1">
      <c r="I1345" s="79"/>
      <c r="J1345" s="80"/>
      <c r="K1345" s="80"/>
    </row>
    <row r="1346" ht="12.75" customHeight="1">
      <c r="A1346" s="89" t="s">
        <v>4202</v>
      </c>
      <c r="B1346" s="90" t="s">
        <v>4203</v>
      </c>
      <c r="D1346" s="90"/>
      <c r="E1346" s="90"/>
      <c r="F1346" s="90"/>
      <c r="G1346" s="90"/>
      <c r="H1346" s="89" t="s">
        <v>161</v>
      </c>
      <c r="I1346" s="91">
        <v>2.0</v>
      </c>
      <c r="J1346" s="92">
        <v>187.9</v>
      </c>
      <c r="K1346" s="92">
        <v>375.8</v>
      </c>
    </row>
    <row r="1347" ht="12.75" customHeight="1">
      <c r="I1347" s="79"/>
      <c r="J1347" s="80"/>
      <c r="K1347" s="80"/>
    </row>
    <row r="1348" ht="12.75" customHeight="1">
      <c r="A1348" s="89" t="s">
        <v>4204</v>
      </c>
      <c r="B1348" s="90" t="s">
        <v>4205</v>
      </c>
      <c r="D1348" s="90"/>
      <c r="E1348" s="90"/>
      <c r="F1348" s="90"/>
      <c r="G1348" s="90"/>
      <c r="I1348" s="79"/>
      <c r="J1348" s="80"/>
      <c r="K1348" s="80"/>
    </row>
    <row r="1349" ht="12.75" customHeight="1">
      <c r="I1349" s="79"/>
      <c r="J1349" s="80"/>
      <c r="K1349" s="80"/>
    </row>
    <row r="1350" ht="12.75" customHeight="1">
      <c r="B1350" s="90" t="s">
        <v>1115</v>
      </c>
      <c r="D1350" s="90"/>
      <c r="E1350" s="90"/>
      <c r="F1350" s="90"/>
      <c r="G1350" s="90"/>
      <c r="H1350" s="89" t="s">
        <v>75</v>
      </c>
      <c r="I1350" s="91">
        <v>1.0</v>
      </c>
      <c r="J1350" s="92">
        <v>229.38</v>
      </c>
      <c r="K1350" s="92">
        <v>229.38</v>
      </c>
    </row>
    <row r="1351" ht="12.75" customHeight="1">
      <c r="I1351" s="79"/>
      <c r="J1351" s="80"/>
      <c r="K1351" s="80"/>
    </row>
    <row r="1352" ht="12.75" customHeight="1">
      <c r="B1352" s="90" t="s">
        <v>1116</v>
      </c>
      <c r="D1352" s="90"/>
      <c r="E1352" s="90"/>
      <c r="F1352" s="90"/>
      <c r="G1352" s="90"/>
      <c r="H1352" s="89" t="s">
        <v>75</v>
      </c>
      <c r="I1352" s="91">
        <v>1.0</v>
      </c>
      <c r="J1352" s="92">
        <v>304.28</v>
      </c>
      <c r="K1352" s="92">
        <v>304.28</v>
      </c>
    </row>
    <row r="1353" ht="12.75" customHeight="1">
      <c r="I1353" s="79"/>
      <c r="J1353" s="80"/>
      <c r="K1353" s="80"/>
    </row>
    <row r="1354" ht="12.75" customHeight="1">
      <c r="A1354" s="89" t="s">
        <v>4206</v>
      </c>
      <c r="B1354" s="90" t="s">
        <v>4207</v>
      </c>
      <c r="D1354" s="90"/>
      <c r="E1354" s="90"/>
      <c r="F1354" s="90"/>
      <c r="G1354" s="90"/>
      <c r="I1354" s="79"/>
      <c r="J1354" s="80"/>
      <c r="K1354" s="80"/>
    </row>
    <row r="1355" ht="12.75" customHeight="1">
      <c r="I1355" s="79"/>
      <c r="J1355" s="80"/>
      <c r="K1355" s="80"/>
    </row>
    <row r="1356" ht="12.75" customHeight="1">
      <c r="A1356" s="89" t="s">
        <v>1118</v>
      </c>
      <c r="B1356" s="90" t="s">
        <v>4208</v>
      </c>
      <c r="D1356" s="90"/>
      <c r="E1356" s="90"/>
      <c r="F1356" s="90"/>
      <c r="G1356" s="90"/>
      <c r="H1356" s="89" t="s">
        <v>75</v>
      </c>
      <c r="I1356" s="91">
        <v>2.0</v>
      </c>
      <c r="J1356" s="92">
        <v>193.97</v>
      </c>
      <c r="K1356" s="92">
        <v>387.94</v>
      </c>
    </row>
    <row r="1357" ht="12.75" customHeight="1">
      <c r="I1357" s="79"/>
      <c r="J1357" s="80"/>
      <c r="K1357" s="80"/>
    </row>
    <row r="1358" ht="12.75" customHeight="1">
      <c r="A1358" s="89" t="s">
        <v>4209</v>
      </c>
      <c r="B1358" s="90" t="s">
        <v>4210</v>
      </c>
      <c r="D1358" s="90"/>
      <c r="E1358" s="90"/>
      <c r="F1358" s="90"/>
      <c r="G1358" s="90"/>
      <c r="H1358" s="89" t="s">
        <v>75</v>
      </c>
      <c r="I1358" s="91">
        <v>1.0</v>
      </c>
      <c r="J1358" s="92">
        <v>14107.38</v>
      </c>
      <c r="K1358" s="92">
        <v>14107.38</v>
      </c>
    </row>
    <row r="1359" ht="12.75" customHeight="1">
      <c r="I1359" s="79"/>
      <c r="J1359" s="80"/>
      <c r="K1359" s="80"/>
    </row>
    <row r="1360" ht="12.75" customHeight="1">
      <c r="A1360" s="89" t="s">
        <v>4211</v>
      </c>
      <c r="B1360" s="90" t="s">
        <v>4212</v>
      </c>
      <c r="D1360" s="90"/>
      <c r="E1360" s="90"/>
      <c r="F1360" s="90"/>
      <c r="G1360" s="90"/>
      <c r="H1360" s="89" t="s">
        <v>75</v>
      </c>
      <c r="I1360" s="91">
        <v>2.0</v>
      </c>
      <c r="J1360" s="92">
        <v>708.05</v>
      </c>
      <c r="K1360" s="92">
        <v>1416.1</v>
      </c>
    </row>
    <row r="1361" ht="12.75" customHeight="1">
      <c r="I1361" s="79"/>
      <c r="J1361" s="80"/>
      <c r="K1361" s="80"/>
    </row>
    <row r="1362" ht="12.75" customHeight="1">
      <c r="A1362" s="89" t="s">
        <v>4213</v>
      </c>
      <c r="B1362" s="90" t="s">
        <v>4120</v>
      </c>
      <c r="D1362" s="90"/>
      <c r="E1362" s="90"/>
      <c r="F1362" s="90"/>
      <c r="G1362" s="90"/>
      <c r="H1362" s="89" t="s">
        <v>75</v>
      </c>
      <c r="I1362" s="91">
        <v>1.0</v>
      </c>
      <c r="J1362" s="92">
        <v>1326.02</v>
      </c>
      <c r="K1362" s="92">
        <v>1326.02</v>
      </c>
    </row>
    <row r="1363" ht="12.75" customHeight="1">
      <c r="I1363" s="79"/>
      <c r="J1363" s="80"/>
      <c r="K1363" s="80"/>
    </row>
    <row r="1364" ht="12.75" customHeight="1">
      <c r="A1364" s="89" t="s">
        <v>4214</v>
      </c>
      <c r="B1364" s="90" t="s">
        <v>4177</v>
      </c>
      <c r="D1364" s="90"/>
      <c r="E1364" s="90"/>
      <c r="F1364" s="90"/>
      <c r="G1364" s="90"/>
      <c r="H1364" s="89" t="s">
        <v>33</v>
      </c>
      <c r="I1364" s="91">
        <v>1.0</v>
      </c>
      <c r="J1364" s="92">
        <v>3232.75</v>
      </c>
      <c r="K1364" s="92">
        <v>3232.75</v>
      </c>
    </row>
    <row r="1365" ht="12.75" customHeight="1">
      <c r="I1365" s="79"/>
      <c r="J1365" s="80"/>
      <c r="K1365" s="80"/>
    </row>
    <row r="1366" ht="12.75" customHeight="1">
      <c r="A1366" s="89" t="s">
        <v>4148</v>
      </c>
      <c r="B1366" s="90" t="s">
        <v>4149</v>
      </c>
      <c r="D1366" s="90"/>
      <c r="E1366" s="90"/>
      <c r="F1366" s="90"/>
      <c r="G1366" s="90"/>
      <c r="I1366" s="79"/>
      <c r="J1366" s="80"/>
      <c r="K1366" s="92">
        <v>74220.75</v>
      </c>
    </row>
    <row r="1367" ht="12.75" customHeight="1">
      <c r="I1367" s="79"/>
      <c r="J1367" s="80"/>
      <c r="K1367" s="80"/>
    </row>
    <row r="1368" ht="12.75" customHeight="1">
      <c r="I1368" s="79"/>
      <c r="J1368" s="80"/>
      <c r="K1368" s="80"/>
    </row>
    <row r="1369" ht="12.75" customHeight="1">
      <c r="A1369" s="89" t="s">
        <v>4215</v>
      </c>
      <c r="B1369" s="90" t="s">
        <v>2696</v>
      </c>
      <c r="D1369" s="90"/>
      <c r="E1369" s="90"/>
      <c r="F1369" s="90"/>
      <c r="G1369" s="90"/>
      <c r="I1369" s="79"/>
      <c r="J1369" s="80"/>
      <c r="K1369" s="80"/>
    </row>
    <row r="1370" ht="12.75" customHeight="1">
      <c r="I1370" s="79"/>
      <c r="J1370" s="80"/>
      <c r="K1370" s="80"/>
    </row>
    <row r="1371" ht="12.75" customHeight="1">
      <c r="A1371" s="89" t="s">
        <v>4216</v>
      </c>
      <c r="B1371" s="90" t="s">
        <v>2697</v>
      </c>
      <c r="D1371" s="90"/>
      <c r="E1371" s="90"/>
      <c r="F1371" s="90"/>
      <c r="G1371" s="90"/>
      <c r="I1371" s="79"/>
      <c r="J1371" s="80"/>
      <c r="K1371" s="80"/>
    </row>
    <row r="1372" ht="12.75" customHeight="1">
      <c r="I1372" s="79"/>
      <c r="J1372" s="80"/>
      <c r="K1372" s="80"/>
    </row>
    <row r="1373" ht="12.75" customHeight="1">
      <c r="A1373" s="89" t="s">
        <v>1124</v>
      </c>
      <c r="B1373" s="90" t="s">
        <v>4217</v>
      </c>
      <c r="D1373" s="90"/>
      <c r="E1373" s="90"/>
      <c r="F1373" s="90"/>
      <c r="G1373" s="90"/>
      <c r="H1373" s="89" t="s">
        <v>161</v>
      </c>
      <c r="I1373" s="91">
        <v>19.19</v>
      </c>
      <c r="J1373" s="92">
        <v>12.93</v>
      </c>
      <c r="K1373" s="92">
        <v>248.13</v>
      </c>
    </row>
    <row r="1374" ht="12.75" customHeight="1">
      <c r="I1374" s="79"/>
      <c r="J1374" s="80"/>
      <c r="K1374" s="80"/>
    </row>
    <row r="1375" ht="12.75" customHeight="1">
      <c r="A1375" s="89" t="s">
        <v>1126</v>
      </c>
      <c r="B1375" s="90" t="s">
        <v>4218</v>
      </c>
      <c r="D1375" s="90"/>
      <c r="E1375" s="90"/>
      <c r="F1375" s="90"/>
      <c r="G1375" s="90"/>
      <c r="H1375" s="89" t="s">
        <v>161</v>
      </c>
      <c r="I1375" s="91">
        <v>13.91</v>
      </c>
      <c r="J1375" s="92">
        <v>16.16</v>
      </c>
      <c r="K1375" s="92">
        <v>224.79</v>
      </c>
    </row>
    <row r="1376" ht="12.75" customHeight="1">
      <c r="I1376" s="79"/>
      <c r="J1376" s="80"/>
      <c r="K1376" s="80"/>
    </row>
    <row r="1377" ht="12.75" customHeight="1">
      <c r="A1377" s="89" t="s">
        <v>4219</v>
      </c>
      <c r="B1377" s="90" t="s">
        <v>2702</v>
      </c>
      <c r="D1377" s="90"/>
      <c r="E1377" s="90"/>
      <c r="F1377" s="90"/>
      <c r="G1377" s="90"/>
      <c r="I1377" s="79"/>
      <c r="J1377" s="80"/>
      <c r="K1377" s="80"/>
    </row>
    <row r="1378" ht="12.75" customHeight="1">
      <c r="I1378" s="79"/>
      <c r="J1378" s="80"/>
      <c r="K1378" s="80"/>
    </row>
    <row r="1379" ht="12.75" customHeight="1">
      <c r="A1379" s="89" t="s">
        <v>1129</v>
      </c>
      <c r="B1379" s="90" t="s">
        <v>4220</v>
      </c>
      <c r="D1379" s="90"/>
      <c r="E1379" s="90"/>
      <c r="F1379" s="90"/>
      <c r="G1379" s="90"/>
      <c r="H1379" s="89" t="s">
        <v>33</v>
      </c>
      <c r="I1379" s="91">
        <v>1.0</v>
      </c>
      <c r="J1379" s="92">
        <v>323.28</v>
      </c>
      <c r="K1379" s="92">
        <v>323.28</v>
      </c>
    </row>
    <row r="1380" ht="12.75" customHeight="1">
      <c r="I1380" s="79"/>
      <c r="J1380" s="80"/>
      <c r="K1380" s="80"/>
    </row>
    <row r="1381" ht="12.75" customHeight="1">
      <c r="A1381" s="89" t="s">
        <v>1131</v>
      </c>
      <c r="B1381" s="90" t="s">
        <v>4221</v>
      </c>
      <c r="D1381" s="90"/>
      <c r="E1381" s="90"/>
      <c r="F1381" s="90"/>
      <c r="G1381" s="90"/>
      <c r="H1381" s="89" t="s">
        <v>33</v>
      </c>
      <c r="I1381" s="91">
        <v>1.0</v>
      </c>
      <c r="J1381" s="92">
        <v>484.91</v>
      </c>
      <c r="K1381" s="92">
        <v>484.91</v>
      </c>
    </row>
    <row r="1382" ht="12.75" customHeight="1">
      <c r="I1382" s="79"/>
      <c r="J1382" s="80"/>
      <c r="K1382" s="80"/>
    </row>
    <row r="1383" ht="12.75" customHeight="1">
      <c r="A1383" s="89" t="s">
        <v>4222</v>
      </c>
      <c r="B1383" s="90" t="s">
        <v>2132</v>
      </c>
      <c r="D1383" s="90"/>
      <c r="E1383" s="90"/>
      <c r="F1383" s="90"/>
      <c r="G1383" s="90"/>
      <c r="I1383" s="79"/>
      <c r="J1383" s="80"/>
      <c r="K1383" s="80"/>
    </row>
    <row r="1384" ht="12.75" customHeight="1">
      <c r="I1384" s="79"/>
      <c r="J1384" s="80"/>
      <c r="K1384" s="80"/>
    </row>
    <row r="1385" ht="12.75" customHeight="1">
      <c r="A1385" s="89" t="s">
        <v>1133</v>
      </c>
      <c r="B1385" s="90" t="s">
        <v>4223</v>
      </c>
      <c r="D1385" s="90"/>
      <c r="E1385" s="90"/>
      <c r="F1385" s="90"/>
      <c r="G1385" s="90"/>
      <c r="H1385" s="89" t="s">
        <v>33</v>
      </c>
      <c r="I1385" s="91">
        <v>1.0</v>
      </c>
      <c r="J1385" s="92">
        <v>1293.1</v>
      </c>
      <c r="K1385" s="92">
        <v>1293.1</v>
      </c>
    </row>
    <row r="1386" ht="12.75" customHeight="1">
      <c r="I1386" s="79"/>
      <c r="J1386" s="80"/>
      <c r="K1386" s="80"/>
    </row>
    <row r="1387" ht="12.75" customHeight="1">
      <c r="A1387" s="89" t="s">
        <v>1134</v>
      </c>
      <c r="B1387" s="90" t="s">
        <v>4224</v>
      </c>
      <c r="D1387" s="90"/>
      <c r="E1387" s="90"/>
      <c r="F1387" s="90"/>
      <c r="G1387" s="90"/>
      <c r="H1387" s="89" t="s">
        <v>33</v>
      </c>
      <c r="I1387" s="91">
        <v>1.0</v>
      </c>
      <c r="J1387" s="92">
        <v>193.97</v>
      </c>
      <c r="K1387" s="92">
        <v>193.97</v>
      </c>
    </row>
    <row r="1388" ht="12.75" customHeight="1">
      <c r="I1388" s="79"/>
      <c r="J1388" s="80"/>
      <c r="K1388" s="80"/>
    </row>
    <row r="1389" ht="12.75" customHeight="1">
      <c r="A1389" s="89" t="s">
        <v>4215</v>
      </c>
      <c r="B1389" s="90" t="s">
        <v>2696</v>
      </c>
      <c r="D1389" s="90"/>
      <c r="E1389" s="90"/>
      <c r="F1389" s="90"/>
      <c r="G1389" s="90"/>
      <c r="I1389" s="79"/>
      <c r="J1389" s="80"/>
      <c r="K1389" s="92">
        <v>2768.18</v>
      </c>
    </row>
    <row r="1390" ht="12.75" customHeight="1">
      <c r="I1390" s="79"/>
      <c r="J1390" s="80"/>
      <c r="K1390" s="80"/>
    </row>
    <row r="1391" ht="12.75" customHeight="1">
      <c r="I1391" s="79"/>
      <c r="J1391" s="80"/>
      <c r="K1391" s="80"/>
    </row>
    <row r="1392" ht="12.75" customHeight="1">
      <c r="A1392" s="89" t="s">
        <v>4225</v>
      </c>
      <c r="B1392" s="90" t="s">
        <v>4226</v>
      </c>
      <c r="D1392" s="90"/>
      <c r="E1392" s="90"/>
      <c r="F1392" s="90"/>
      <c r="G1392" s="90"/>
      <c r="I1392" s="79"/>
      <c r="J1392" s="80"/>
      <c r="K1392" s="80"/>
    </row>
    <row r="1393" ht="12.75" customHeight="1">
      <c r="I1393" s="79"/>
      <c r="J1393" s="80"/>
      <c r="K1393" s="80"/>
    </row>
    <row r="1394" ht="12.75" customHeight="1">
      <c r="A1394" s="89" t="s">
        <v>1137</v>
      </c>
      <c r="B1394" s="90" t="s">
        <v>4227</v>
      </c>
      <c r="D1394" s="90"/>
      <c r="E1394" s="90"/>
      <c r="F1394" s="90"/>
      <c r="G1394" s="90"/>
      <c r="H1394" s="89" t="s">
        <v>75</v>
      </c>
      <c r="I1394" s="91">
        <v>1.0</v>
      </c>
      <c r="J1394" s="92">
        <v>13774.59</v>
      </c>
      <c r="K1394" s="92">
        <v>13774.59</v>
      </c>
    </row>
    <row r="1395" ht="12.75" customHeight="1">
      <c r="I1395" s="79"/>
      <c r="J1395" s="80"/>
      <c r="K1395" s="80"/>
    </row>
    <row r="1396" ht="12.75" customHeight="1">
      <c r="A1396" s="89" t="s">
        <v>1139</v>
      </c>
      <c r="B1396" s="90" t="s">
        <v>4228</v>
      </c>
      <c r="D1396" s="90"/>
      <c r="E1396" s="90"/>
      <c r="F1396" s="90"/>
      <c r="G1396" s="90"/>
      <c r="I1396" s="79"/>
      <c r="J1396" s="80"/>
      <c r="K1396" s="80"/>
    </row>
    <row r="1397" ht="12.75" customHeight="1">
      <c r="I1397" s="79"/>
      <c r="J1397" s="80"/>
      <c r="K1397" s="80"/>
    </row>
    <row r="1398" ht="12.75" customHeight="1">
      <c r="B1398" s="90" t="s">
        <v>1141</v>
      </c>
      <c r="D1398" s="90"/>
      <c r="E1398" s="90"/>
      <c r="F1398" s="90"/>
      <c r="G1398" s="90"/>
      <c r="H1398" s="89" t="s">
        <v>75</v>
      </c>
      <c r="I1398" s="91">
        <v>2.0</v>
      </c>
      <c r="J1398" s="92">
        <v>1668.93</v>
      </c>
      <c r="K1398" s="92">
        <v>3337.86</v>
      </c>
    </row>
    <row r="1399" ht="12.75" customHeight="1">
      <c r="I1399" s="79"/>
      <c r="J1399" s="80"/>
      <c r="K1399" s="80"/>
    </row>
    <row r="1400" ht="12.75" customHeight="1">
      <c r="B1400" s="90" t="s">
        <v>1142</v>
      </c>
      <c r="D1400" s="90"/>
      <c r="E1400" s="90"/>
      <c r="F1400" s="90"/>
      <c r="G1400" s="90"/>
      <c r="H1400" s="89" t="s">
        <v>75</v>
      </c>
      <c r="I1400" s="91">
        <v>4.0</v>
      </c>
      <c r="J1400" s="92">
        <v>1773.41</v>
      </c>
      <c r="K1400" s="92">
        <v>7093.64</v>
      </c>
    </row>
    <row r="1401" ht="12.75" customHeight="1">
      <c r="I1401" s="79"/>
      <c r="J1401" s="80"/>
      <c r="K1401" s="80"/>
    </row>
    <row r="1402" ht="12.75" customHeight="1">
      <c r="B1402" s="90" t="s">
        <v>1143</v>
      </c>
      <c r="D1402" s="90"/>
      <c r="E1402" s="90"/>
      <c r="F1402" s="90"/>
      <c r="G1402" s="90"/>
      <c r="H1402" s="89" t="s">
        <v>75</v>
      </c>
      <c r="I1402" s="91">
        <v>1.0</v>
      </c>
      <c r="J1402" s="92">
        <v>2703.28</v>
      </c>
      <c r="K1402" s="92">
        <v>2703.28</v>
      </c>
    </row>
    <row r="1403" ht="12.75" customHeight="1">
      <c r="I1403" s="79"/>
      <c r="J1403" s="80"/>
      <c r="K1403" s="80"/>
    </row>
    <row r="1404" ht="12.75" customHeight="1">
      <c r="A1404" s="89" t="s">
        <v>1144</v>
      </c>
      <c r="B1404" s="90" t="s">
        <v>4229</v>
      </c>
      <c r="D1404" s="90"/>
      <c r="E1404" s="90"/>
      <c r="F1404" s="90"/>
      <c r="G1404" s="90"/>
      <c r="I1404" s="79"/>
      <c r="J1404" s="80"/>
      <c r="K1404" s="80"/>
    </row>
    <row r="1405" ht="12.75" customHeight="1">
      <c r="I1405" s="79"/>
      <c r="J1405" s="80"/>
      <c r="K1405" s="80"/>
    </row>
    <row r="1406" ht="12.75" customHeight="1">
      <c r="B1406" s="90" t="s">
        <v>2723</v>
      </c>
      <c r="D1406" s="90"/>
      <c r="E1406" s="90"/>
      <c r="F1406" s="90"/>
      <c r="G1406" s="90"/>
      <c r="H1406" s="89" t="s">
        <v>75</v>
      </c>
      <c r="I1406" s="91">
        <v>7.0</v>
      </c>
      <c r="J1406" s="92">
        <v>41.9</v>
      </c>
      <c r="K1406" s="92">
        <v>293.3</v>
      </c>
    </row>
    <row r="1407" ht="12.75" customHeight="1">
      <c r="I1407" s="79"/>
      <c r="J1407" s="80"/>
      <c r="K1407" s="80"/>
    </row>
    <row r="1408" ht="12.75" customHeight="1">
      <c r="A1408" s="89" t="s">
        <v>1147</v>
      </c>
      <c r="B1408" s="90" t="s">
        <v>4230</v>
      </c>
      <c r="D1408" s="90"/>
      <c r="E1408" s="90"/>
      <c r="F1408" s="90"/>
      <c r="G1408" s="90"/>
      <c r="I1408" s="79"/>
      <c r="J1408" s="80"/>
      <c r="K1408" s="80"/>
    </row>
    <row r="1409" ht="12.75" customHeight="1">
      <c r="I1409" s="79"/>
      <c r="J1409" s="80"/>
      <c r="K1409" s="80"/>
    </row>
    <row r="1410" ht="12.75" customHeight="1">
      <c r="B1410" s="90" t="s">
        <v>1149</v>
      </c>
      <c r="D1410" s="90"/>
      <c r="E1410" s="90"/>
      <c r="F1410" s="90"/>
      <c r="G1410" s="90"/>
      <c r="H1410" s="89" t="s">
        <v>75</v>
      </c>
      <c r="I1410" s="91">
        <v>6.0</v>
      </c>
      <c r="J1410" s="92">
        <v>214.72</v>
      </c>
      <c r="K1410" s="92">
        <v>1288.32</v>
      </c>
    </row>
    <row r="1411" ht="12.75" customHeight="1">
      <c r="I1411" s="79"/>
      <c r="J1411" s="80"/>
      <c r="K1411" s="80"/>
    </row>
    <row r="1412" ht="12.75" customHeight="1">
      <c r="A1412" s="89" t="s">
        <v>1150</v>
      </c>
      <c r="B1412" s="90" t="s">
        <v>4231</v>
      </c>
      <c r="D1412" s="90"/>
      <c r="E1412" s="90"/>
      <c r="F1412" s="90"/>
      <c r="G1412" s="90"/>
      <c r="I1412" s="79"/>
      <c r="J1412" s="80"/>
      <c r="K1412" s="80"/>
    </row>
    <row r="1413" ht="12.75" customHeight="1">
      <c r="I1413" s="79"/>
      <c r="J1413" s="80"/>
      <c r="K1413" s="80"/>
    </row>
    <row r="1414" ht="12.75" customHeight="1">
      <c r="B1414" s="90" t="s">
        <v>1152</v>
      </c>
      <c r="D1414" s="90"/>
      <c r="E1414" s="90"/>
      <c r="F1414" s="90"/>
      <c r="G1414" s="90"/>
      <c r="H1414" s="89" t="s">
        <v>75</v>
      </c>
      <c r="I1414" s="91">
        <v>1.0</v>
      </c>
      <c r="J1414" s="92">
        <v>13551.34</v>
      </c>
      <c r="K1414" s="92">
        <v>13551.34</v>
      </c>
    </row>
    <row r="1415" ht="12.75" customHeight="1">
      <c r="I1415" s="79"/>
      <c r="J1415" s="80"/>
      <c r="K1415" s="80"/>
    </row>
    <row r="1416" ht="12.75" customHeight="1">
      <c r="A1416" s="89" t="s">
        <v>1153</v>
      </c>
      <c r="B1416" s="90" t="s">
        <v>4232</v>
      </c>
      <c r="D1416" s="90"/>
      <c r="E1416" s="90"/>
      <c r="F1416" s="90"/>
      <c r="G1416" s="90"/>
      <c r="H1416" s="89" t="s">
        <v>75</v>
      </c>
      <c r="I1416" s="91">
        <v>1.0</v>
      </c>
      <c r="J1416" s="92">
        <v>4023.77</v>
      </c>
      <c r="K1416" s="92">
        <v>4023.77</v>
      </c>
    </row>
    <row r="1417" ht="12.75" customHeight="1">
      <c r="I1417" s="79"/>
      <c r="J1417" s="80"/>
      <c r="K1417" s="80"/>
    </row>
    <row r="1418" ht="12.75" customHeight="1">
      <c r="A1418" s="89" t="s">
        <v>1155</v>
      </c>
      <c r="B1418" s="90" t="s">
        <v>4233</v>
      </c>
      <c r="D1418" s="90"/>
      <c r="E1418" s="90"/>
      <c r="F1418" s="90"/>
      <c r="G1418" s="90"/>
      <c r="H1418" s="89" t="s">
        <v>75</v>
      </c>
      <c r="I1418" s="91">
        <v>7.0</v>
      </c>
      <c r="J1418" s="92">
        <v>176.82</v>
      </c>
      <c r="K1418" s="92">
        <v>1237.74</v>
      </c>
    </row>
    <row r="1419" ht="12.75" customHeight="1">
      <c r="I1419" s="79"/>
      <c r="J1419" s="80"/>
      <c r="K1419" s="80"/>
    </row>
    <row r="1420" ht="12.75" customHeight="1">
      <c r="A1420" s="89" t="s">
        <v>1157</v>
      </c>
      <c r="B1420" s="90" t="s">
        <v>4234</v>
      </c>
      <c r="D1420" s="90"/>
      <c r="E1420" s="90"/>
      <c r="F1420" s="90"/>
      <c r="G1420" s="90"/>
      <c r="I1420" s="79"/>
      <c r="J1420" s="80"/>
      <c r="K1420" s="80"/>
    </row>
    <row r="1421" ht="12.75" customHeight="1">
      <c r="I1421" s="79"/>
      <c r="J1421" s="80"/>
      <c r="K1421" s="80"/>
    </row>
    <row r="1422" ht="12.75" customHeight="1">
      <c r="B1422" s="90" t="s">
        <v>1159</v>
      </c>
      <c r="D1422" s="90"/>
      <c r="E1422" s="90"/>
      <c r="F1422" s="90"/>
      <c r="G1422" s="90"/>
      <c r="H1422" s="89" t="s">
        <v>877</v>
      </c>
      <c r="I1422" s="91">
        <v>54.0</v>
      </c>
      <c r="J1422" s="92">
        <v>11.52</v>
      </c>
      <c r="K1422" s="92">
        <v>622.08</v>
      </c>
    </row>
    <row r="1423" ht="12.75" customHeight="1">
      <c r="I1423" s="79"/>
      <c r="J1423" s="80"/>
      <c r="K1423" s="80"/>
    </row>
    <row r="1424" ht="12.75" customHeight="1">
      <c r="B1424" s="90" t="s">
        <v>1160</v>
      </c>
      <c r="D1424" s="90"/>
      <c r="E1424" s="90"/>
      <c r="F1424" s="90"/>
      <c r="G1424" s="90"/>
      <c r="H1424" s="89" t="s">
        <v>877</v>
      </c>
      <c r="I1424" s="91">
        <v>22.0</v>
      </c>
      <c r="J1424" s="92">
        <v>14.24</v>
      </c>
      <c r="K1424" s="92">
        <v>313.28</v>
      </c>
    </row>
    <row r="1425" ht="12.75" customHeight="1">
      <c r="I1425" s="79"/>
      <c r="J1425" s="80"/>
      <c r="K1425" s="80"/>
    </row>
    <row r="1426" ht="12.75" customHeight="1">
      <c r="B1426" s="90" t="s">
        <v>1161</v>
      </c>
      <c r="D1426" s="90"/>
      <c r="E1426" s="90"/>
      <c r="F1426" s="90"/>
      <c r="G1426" s="90"/>
      <c r="H1426" s="89" t="s">
        <v>877</v>
      </c>
      <c r="I1426" s="91">
        <v>72.0</v>
      </c>
      <c r="J1426" s="92">
        <v>17.57</v>
      </c>
      <c r="K1426" s="92">
        <v>1265.04</v>
      </c>
    </row>
    <row r="1427" ht="12.75" customHeight="1">
      <c r="I1427" s="79"/>
      <c r="J1427" s="80"/>
      <c r="K1427" s="80"/>
    </row>
    <row r="1428" ht="12.75" customHeight="1">
      <c r="B1428" s="90" t="s">
        <v>1162</v>
      </c>
      <c r="D1428" s="90"/>
      <c r="E1428" s="90"/>
      <c r="F1428" s="90"/>
      <c r="G1428" s="90"/>
      <c r="H1428" s="89" t="s">
        <v>877</v>
      </c>
      <c r="I1428" s="91">
        <v>56.0</v>
      </c>
      <c r="J1428" s="92">
        <v>21.06</v>
      </c>
      <c r="K1428" s="92">
        <v>1179.36</v>
      </c>
    </row>
    <row r="1429" ht="12.75" customHeight="1">
      <c r="I1429" s="79"/>
      <c r="J1429" s="80"/>
      <c r="K1429" s="80"/>
    </row>
    <row r="1430" ht="12.75" customHeight="1">
      <c r="B1430" s="90" t="s">
        <v>1163</v>
      </c>
      <c r="D1430" s="90"/>
      <c r="E1430" s="90"/>
      <c r="F1430" s="90"/>
      <c r="G1430" s="90"/>
      <c r="H1430" s="89" t="s">
        <v>877</v>
      </c>
      <c r="I1430" s="91">
        <v>10.0</v>
      </c>
      <c r="J1430" s="92">
        <v>27.21</v>
      </c>
      <c r="K1430" s="92">
        <v>272.1</v>
      </c>
    </row>
    <row r="1431" ht="12.75" customHeight="1">
      <c r="I1431" s="79"/>
      <c r="J1431" s="80"/>
      <c r="K1431" s="80"/>
    </row>
    <row r="1432" ht="12.75" customHeight="1">
      <c r="B1432" s="90" t="s">
        <v>1164</v>
      </c>
      <c r="D1432" s="90"/>
      <c r="E1432" s="90"/>
      <c r="F1432" s="90"/>
      <c r="G1432" s="90"/>
      <c r="H1432" s="89" t="s">
        <v>877</v>
      </c>
      <c r="I1432" s="91">
        <v>8.0</v>
      </c>
      <c r="J1432" s="92">
        <v>28.33</v>
      </c>
      <c r="K1432" s="92">
        <v>226.64</v>
      </c>
    </row>
    <row r="1433" ht="12.75" customHeight="1">
      <c r="I1433" s="79"/>
      <c r="J1433" s="80"/>
      <c r="K1433" s="80"/>
    </row>
    <row r="1434" ht="12.75" customHeight="1">
      <c r="B1434" s="90" t="s">
        <v>1165</v>
      </c>
      <c r="D1434" s="90"/>
      <c r="E1434" s="90"/>
      <c r="F1434" s="90"/>
      <c r="G1434" s="90"/>
      <c r="H1434" s="89" t="s">
        <v>877</v>
      </c>
      <c r="I1434" s="91">
        <v>34.0</v>
      </c>
      <c r="J1434" s="92">
        <v>35.55</v>
      </c>
      <c r="K1434" s="92">
        <v>1208.7</v>
      </c>
    </row>
    <row r="1435" ht="12.75" customHeight="1">
      <c r="I1435" s="79"/>
      <c r="J1435" s="80"/>
      <c r="K1435" s="80"/>
    </row>
    <row r="1436" ht="12.75" customHeight="1">
      <c r="A1436" s="89" t="s">
        <v>4235</v>
      </c>
      <c r="B1436" s="90" t="s">
        <v>4236</v>
      </c>
      <c r="D1436" s="90"/>
      <c r="E1436" s="90"/>
      <c r="F1436" s="90"/>
      <c r="G1436" s="90"/>
      <c r="I1436" s="79"/>
      <c r="J1436" s="80"/>
      <c r="K1436" s="80"/>
    </row>
    <row r="1437" ht="12.75" customHeight="1">
      <c r="I1437" s="79"/>
      <c r="J1437" s="80"/>
      <c r="K1437" s="80"/>
    </row>
    <row r="1438" ht="12.75" customHeight="1">
      <c r="B1438" s="90" t="s">
        <v>1167</v>
      </c>
      <c r="D1438" s="90"/>
      <c r="E1438" s="90"/>
      <c r="F1438" s="90"/>
      <c r="G1438" s="90"/>
      <c r="H1438" s="89" t="s">
        <v>877</v>
      </c>
      <c r="I1438" s="91">
        <v>56.0</v>
      </c>
      <c r="J1438" s="92">
        <v>12.93</v>
      </c>
      <c r="K1438" s="92">
        <v>724.08</v>
      </c>
    </row>
    <row r="1439" ht="12.75" customHeight="1">
      <c r="I1439" s="79"/>
      <c r="J1439" s="80"/>
      <c r="K1439" s="80"/>
    </row>
    <row r="1440" ht="12.75" customHeight="1">
      <c r="A1440" s="89" t="s">
        <v>4237</v>
      </c>
      <c r="B1440" s="90" t="s">
        <v>4238</v>
      </c>
      <c r="D1440" s="90"/>
      <c r="E1440" s="90"/>
      <c r="F1440" s="90"/>
      <c r="G1440" s="90"/>
      <c r="I1440" s="79"/>
      <c r="J1440" s="80"/>
      <c r="K1440" s="80"/>
    </row>
    <row r="1441" ht="12.75" customHeight="1">
      <c r="I1441" s="79"/>
      <c r="J1441" s="80"/>
      <c r="K1441" s="80"/>
    </row>
    <row r="1442" ht="12.75" customHeight="1">
      <c r="B1442" s="90" t="s">
        <v>1169</v>
      </c>
      <c r="D1442" s="90"/>
      <c r="E1442" s="90"/>
      <c r="F1442" s="90"/>
      <c r="G1442" s="90"/>
      <c r="H1442" s="89" t="s">
        <v>877</v>
      </c>
      <c r="I1442" s="91">
        <v>28.0</v>
      </c>
      <c r="J1442" s="92">
        <v>12.59</v>
      </c>
      <c r="K1442" s="92">
        <v>352.52</v>
      </c>
    </row>
    <row r="1443" ht="12.75" customHeight="1">
      <c r="I1443" s="79"/>
      <c r="J1443" s="80"/>
      <c r="K1443" s="80"/>
    </row>
    <row r="1444" ht="12.75" customHeight="1">
      <c r="B1444" s="90" t="s">
        <v>1170</v>
      </c>
      <c r="D1444" s="90"/>
      <c r="E1444" s="90"/>
      <c r="F1444" s="90"/>
      <c r="G1444" s="90"/>
      <c r="H1444" s="89" t="s">
        <v>877</v>
      </c>
      <c r="I1444" s="91">
        <v>52.0</v>
      </c>
      <c r="J1444" s="92">
        <v>16.77</v>
      </c>
      <c r="K1444" s="92">
        <v>872.04</v>
      </c>
    </row>
    <row r="1445" ht="12.75" customHeight="1">
      <c r="I1445" s="79"/>
      <c r="J1445" s="80"/>
      <c r="K1445" s="80"/>
    </row>
    <row r="1446" ht="12.75" customHeight="1">
      <c r="B1446" s="90" t="s">
        <v>1167</v>
      </c>
      <c r="D1446" s="90"/>
      <c r="E1446" s="90"/>
      <c r="F1446" s="90"/>
      <c r="G1446" s="90"/>
      <c r="H1446" s="89" t="s">
        <v>877</v>
      </c>
      <c r="I1446" s="91">
        <v>76.0</v>
      </c>
      <c r="J1446" s="92">
        <v>20.75</v>
      </c>
      <c r="K1446" s="92">
        <v>1577.0</v>
      </c>
    </row>
    <row r="1447" ht="12.75" customHeight="1">
      <c r="I1447" s="79"/>
      <c r="J1447" s="80"/>
      <c r="K1447" s="80"/>
    </row>
    <row r="1448" ht="12.75" customHeight="1">
      <c r="B1448" s="90" t="s">
        <v>1171</v>
      </c>
      <c r="D1448" s="90"/>
      <c r="E1448" s="90"/>
      <c r="F1448" s="90"/>
      <c r="G1448" s="90"/>
      <c r="H1448" s="89" t="s">
        <v>877</v>
      </c>
      <c r="I1448" s="91">
        <v>20.0</v>
      </c>
      <c r="J1448" s="92">
        <v>32.69</v>
      </c>
      <c r="K1448" s="92">
        <v>653.8</v>
      </c>
    </row>
    <row r="1449" ht="12.75" customHeight="1">
      <c r="I1449" s="79"/>
      <c r="J1449" s="80"/>
      <c r="K1449" s="80"/>
    </row>
    <row r="1450" ht="12.75" customHeight="1">
      <c r="A1450" s="89" t="s">
        <v>1172</v>
      </c>
      <c r="B1450" s="90" t="s">
        <v>4239</v>
      </c>
      <c r="D1450" s="90"/>
      <c r="E1450" s="90"/>
      <c r="F1450" s="90"/>
      <c r="G1450" s="90"/>
      <c r="I1450" s="79"/>
      <c r="J1450" s="80"/>
      <c r="K1450" s="80"/>
    </row>
    <row r="1451" ht="12.75" customHeight="1">
      <c r="I1451" s="79"/>
      <c r="J1451" s="80"/>
      <c r="K1451" s="80"/>
    </row>
    <row r="1452" ht="12.75" customHeight="1">
      <c r="B1452" s="90" t="s">
        <v>1174</v>
      </c>
      <c r="D1452" s="90"/>
      <c r="E1452" s="90"/>
      <c r="F1452" s="90"/>
      <c r="G1452" s="90"/>
      <c r="H1452" s="89" t="s">
        <v>877</v>
      </c>
      <c r="I1452" s="91">
        <v>2200.0</v>
      </c>
      <c r="J1452" s="92">
        <v>2.59</v>
      </c>
      <c r="K1452" s="92">
        <v>5698.0</v>
      </c>
    </row>
    <row r="1453" ht="12.75" customHeight="1">
      <c r="I1453" s="79"/>
      <c r="J1453" s="80"/>
      <c r="K1453" s="80"/>
    </row>
    <row r="1454" ht="12.75" customHeight="1">
      <c r="B1454" s="90" t="s">
        <v>4240</v>
      </c>
      <c r="D1454" s="90"/>
      <c r="E1454" s="90"/>
      <c r="F1454" s="90"/>
      <c r="G1454" s="90"/>
      <c r="H1454" s="89" t="s">
        <v>40</v>
      </c>
      <c r="I1454" s="91">
        <v>300.0</v>
      </c>
      <c r="J1454" s="92">
        <v>32.17</v>
      </c>
      <c r="K1454" s="92">
        <v>9651.0</v>
      </c>
    </row>
    <row r="1455" ht="12.75" customHeight="1">
      <c r="I1455" s="79"/>
      <c r="J1455" s="80"/>
      <c r="K1455" s="80"/>
    </row>
    <row r="1456" ht="12.75" customHeight="1">
      <c r="B1456" s="90" t="s">
        <v>4241</v>
      </c>
      <c r="D1456" s="90"/>
      <c r="E1456" s="90"/>
      <c r="F1456" s="90"/>
      <c r="G1456" s="90"/>
      <c r="H1456" s="89" t="s">
        <v>877</v>
      </c>
      <c r="I1456" s="91">
        <v>270.0</v>
      </c>
      <c r="J1456" s="92">
        <v>2.94</v>
      </c>
      <c r="K1456" s="92">
        <v>793.8</v>
      </c>
    </row>
    <row r="1457" ht="12.75" customHeight="1">
      <c r="I1457" s="79"/>
      <c r="J1457" s="80"/>
      <c r="K1457" s="80"/>
    </row>
    <row r="1458" ht="12.75" customHeight="1">
      <c r="B1458" s="90" t="s">
        <v>4242</v>
      </c>
      <c r="D1458" s="90"/>
      <c r="E1458" s="90"/>
      <c r="F1458" s="90"/>
      <c r="G1458" s="90"/>
      <c r="H1458" s="89" t="s">
        <v>75</v>
      </c>
      <c r="I1458" s="91">
        <v>3.0</v>
      </c>
      <c r="J1458" s="92">
        <v>234.72</v>
      </c>
      <c r="K1458" s="92">
        <v>704.16</v>
      </c>
    </row>
    <row r="1459" ht="12.75" customHeight="1">
      <c r="I1459" s="79"/>
      <c r="J1459" s="80"/>
      <c r="K1459" s="80"/>
    </row>
    <row r="1460" ht="12.75" customHeight="1">
      <c r="B1460" s="90" t="s">
        <v>4243</v>
      </c>
      <c r="D1460" s="90"/>
      <c r="E1460" s="90"/>
      <c r="F1460" s="90"/>
      <c r="G1460" s="90"/>
      <c r="H1460" s="89" t="s">
        <v>75</v>
      </c>
      <c r="I1460" s="91">
        <v>300.0</v>
      </c>
      <c r="J1460" s="92">
        <v>1.11</v>
      </c>
      <c r="K1460" s="92">
        <v>333.0</v>
      </c>
    </row>
    <row r="1461" ht="12.75" customHeight="1">
      <c r="I1461" s="79"/>
      <c r="J1461" s="80"/>
      <c r="K1461" s="80"/>
    </row>
    <row r="1462" ht="12.75" customHeight="1">
      <c r="B1462" s="90" t="s">
        <v>4244</v>
      </c>
      <c r="D1462" s="90"/>
      <c r="E1462" s="90"/>
      <c r="F1462" s="90"/>
      <c r="G1462" s="90"/>
      <c r="H1462" s="89" t="s">
        <v>1180</v>
      </c>
      <c r="I1462" s="91">
        <v>4.0</v>
      </c>
      <c r="J1462" s="92">
        <v>72.4</v>
      </c>
      <c r="K1462" s="92">
        <v>289.6</v>
      </c>
    </row>
    <row r="1463" ht="12.75" customHeight="1">
      <c r="I1463" s="79"/>
      <c r="J1463" s="80"/>
      <c r="K1463" s="80"/>
    </row>
    <row r="1464" ht="12.75" customHeight="1">
      <c r="B1464" s="90" t="s">
        <v>4245</v>
      </c>
      <c r="D1464" s="90"/>
      <c r="E1464" s="90"/>
      <c r="F1464" s="90"/>
      <c r="G1464" s="90"/>
      <c r="H1464" s="89" t="s">
        <v>75</v>
      </c>
      <c r="I1464" s="91">
        <v>1.0</v>
      </c>
      <c r="J1464" s="92">
        <v>333.23</v>
      </c>
      <c r="K1464" s="92">
        <v>333.23</v>
      </c>
    </row>
    <row r="1465" ht="12.75" customHeight="1">
      <c r="I1465" s="79"/>
      <c r="J1465" s="80"/>
      <c r="K1465" s="80"/>
    </row>
    <row r="1466" ht="12.75" customHeight="1">
      <c r="B1466" s="90" t="s">
        <v>4246</v>
      </c>
      <c r="D1466" s="90"/>
      <c r="E1466" s="90"/>
      <c r="F1466" s="90"/>
      <c r="G1466" s="90"/>
      <c r="H1466" s="89" t="s">
        <v>75</v>
      </c>
      <c r="I1466" s="91">
        <v>2.0</v>
      </c>
      <c r="J1466" s="92">
        <v>365.55</v>
      </c>
      <c r="K1466" s="92">
        <v>731.1</v>
      </c>
    </row>
    <row r="1467" ht="12.75" customHeight="1">
      <c r="I1467" s="79"/>
      <c r="J1467" s="80"/>
      <c r="K1467" s="80"/>
    </row>
    <row r="1468" ht="12.75" customHeight="1">
      <c r="B1468" s="90" t="s">
        <v>4247</v>
      </c>
      <c r="D1468" s="90"/>
      <c r="E1468" s="90"/>
      <c r="F1468" s="90"/>
      <c r="G1468" s="90"/>
      <c r="H1468" s="89" t="s">
        <v>75</v>
      </c>
      <c r="I1468" s="91">
        <v>1.0</v>
      </c>
      <c r="J1468" s="92">
        <v>400.96</v>
      </c>
      <c r="K1468" s="92">
        <v>400.96</v>
      </c>
    </row>
    <row r="1469" ht="12.75" customHeight="1">
      <c r="I1469" s="79"/>
      <c r="J1469" s="80"/>
      <c r="K1469" s="80"/>
    </row>
    <row r="1470" ht="12.75" customHeight="1">
      <c r="B1470" s="90" t="s">
        <v>4248</v>
      </c>
      <c r="D1470" s="90"/>
      <c r="E1470" s="90"/>
      <c r="F1470" s="90"/>
      <c r="G1470" s="90"/>
      <c r="H1470" s="89" t="s">
        <v>75</v>
      </c>
      <c r="I1470" s="91">
        <v>1.0</v>
      </c>
      <c r="J1470" s="92">
        <v>242.12</v>
      </c>
      <c r="K1470" s="92">
        <v>242.12</v>
      </c>
    </row>
    <row r="1471" ht="12.75" customHeight="1">
      <c r="I1471" s="79"/>
      <c r="J1471" s="80"/>
      <c r="K1471" s="80"/>
    </row>
    <row r="1472" ht="12.75" customHeight="1">
      <c r="B1472" s="90" t="s">
        <v>4249</v>
      </c>
      <c r="D1472" s="90"/>
      <c r="E1472" s="90"/>
      <c r="F1472" s="90"/>
      <c r="G1472" s="90"/>
      <c r="H1472" s="89" t="s">
        <v>75</v>
      </c>
      <c r="I1472" s="91">
        <v>3.0</v>
      </c>
      <c r="J1472" s="92">
        <v>257.4</v>
      </c>
      <c r="K1472" s="92">
        <v>772.2</v>
      </c>
    </row>
    <row r="1473" ht="12.75" customHeight="1">
      <c r="I1473" s="79"/>
      <c r="J1473" s="80"/>
      <c r="K1473" s="80"/>
    </row>
    <row r="1474" ht="12.75" customHeight="1">
      <c r="B1474" s="90" t="s">
        <v>4250</v>
      </c>
      <c r="D1474" s="90"/>
      <c r="E1474" s="90"/>
      <c r="F1474" s="90"/>
      <c r="G1474" s="90"/>
      <c r="H1474" s="89" t="s">
        <v>75</v>
      </c>
      <c r="I1474" s="91">
        <v>8.0</v>
      </c>
      <c r="J1474" s="92">
        <v>92.78</v>
      </c>
      <c r="K1474" s="92">
        <v>742.24</v>
      </c>
    </row>
    <row r="1475" ht="12.75" customHeight="1">
      <c r="I1475" s="79"/>
      <c r="J1475" s="80"/>
      <c r="K1475" s="80"/>
    </row>
    <row r="1476" ht="12.75" customHeight="1">
      <c r="B1476" s="90" t="s">
        <v>4251</v>
      </c>
      <c r="D1476" s="90"/>
      <c r="E1476" s="90"/>
      <c r="F1476" s="90"/>
      <c r="G1476" s="90"/>
      <c r="H1476" s="89" t="s">
        <v>75</v>
      </c>
      <c r="I1476" s="91">
        <v>48.0</v>
      </c>
      <c r="J1476" s="92">
        <v>9.96</v>
      </c>
      <c r="K1476" s="92">
        <v>478.08</v>
      </c>
    </row>
    <row r="1477" ht="12.75" customHeight="1">
      <c r="I1477" s="79"/>
      <c r="J1477" s="80"/>
      <c r="K1477" s="80"/>
    </row>
    <row r="1478" ht="12.75" customHeight="1">
      <c r="B1478" s="90" t="s">
        <v>4252</v>
      </c>
      <c r="D1478" s="90"/>
      <c r="E1478" s="90"/>
      <c r="F1478" s="90"/>
      <c r="G1478" s="90"/>
      <c r="H1478" s="89" t="s">
        <v>75</v>
      </c>
      <c r="I1478" s="91">
        <v>1.0</v>
      </c>
      <c r="J1478" s="92">
        <v>2491.0</v>
      </c>
      <c r="K1478" s="92">
        <v>2491.0</v>
      </c>
    </row>
    <row r="1479" ht="12.75" customHeight="1">
      <c r="I1479" s="79"/>
      <c r="J1479" s="80"/>
      <c r="K1479" s="80"/>
    </row>
    <row r="1480" ht="12.75" customHeight="1">
      <c r="B1480" s="90" t="s">
        <v>4253</v>
      </c>
      <c r="D1480" s="90"/>
      <c r="E1480" s="90"/>
      <c r="F1480" s="90"/>
      <c r="G1480" s="90"/>
      <c r="H1480" s="89" t="s">
        <v>75</v>
      </c>
      <c r="I1480" s="91">
        <v>1.0</v>
      </c>
      <c r="J1480" s="92">
        <v>144.21</v>
      </c>
      <c r="K1480" s="92">
        <v>144.21</v>
      </c>
    </row>
    <row r="1481" ht="12.75" customHeight="1">
      <c r="I1481" s="79"/>
      <c r="J1481" s="80"/>
      <c r="K1481" s="80"/>
    </row>
    <row r="1482" ht="12.75" customHeight="1">
      <c r="B1482" s="90" t="s">
        <v>4254</v>
      </c>
      <c r="D1482" s="90"/>
      <c r="E1482" s="90"/>
      <c r="F1482" s="90"/>
      <c r="G1482" s="90"/>
      <c r="H1482" s="89" t="s">
        <v>75</v>
      </c>
      <c r="I1482" s="91">
        <v>1.0</v>
      </c>
      <c r="J1482" s="92">
        <v>304.73</v>
      </c>
      <c r="K1482" s="92">
        <v>304.73</v>
      </c>
    </row>
    <row r="1483" ht="12.75" customHeight="1">
      <c r="I1483" s="79"/>
      <c r="J1483" s="80"/>
      <c r="K1483" s="80"/>
    </row>
    <row r="1484" ht="12.75" customHeight="1">
      <c r="B1484" s="90" t="s">
        <v>4255</v>
      </c>
      <c r="D1484" s="90"/>
      <c r="E1484" s="90"/>
      <c r="F1484" s="90"/>
      <c r="G1484" s="90"/>
      <c r="H1484" s="89" t="s">
        <v>75</v>
      </c>
      <c r="I1484" s="91">
        <v>0.0</v>
      </c>
      <c r="J1484" s="80"/>
      <c r="K1484" s="92">
        <v>0.0</v>
      </c>
    </row>
    <row r="1485" ht="12.75" customHeight="1">
      <c r="I1485" s="79"/>
      <c r="J1485" s="80"/>
      <c r="K1485" s="80"/>
    </row>
    <row r="1486" ht="12.75" customHeight="1">
      <c r="B1486" s="90" t="s">
        <v>4256</v>
      </c>
      <c r="D1486" s="90"/>
      <c r="E1486" s="90"/>
      <c r="F1486" s="90"/>
      <c r="G1486" s="90"/>
      <c r="H1486" s="89" t="s">
        <v>75</v>
      </c>
      <c r="I1486" s="91">
        <v>24.0</v>
      </c>
      <c r="J1486" s="92">
        <v>49.19</v>
      </c>
      <c r="K1486" s="92">
        <v>1180.56</v>
      </c>
    </row>
    <row r="1487" ht="12.75" customHeight="1">
      <c r="I1487" s="79"/>
      <c r="J1487" s="80"/>
      <c r="K1487" s="80"/>
    </row>
    <row r="1488" ht="12.75" customHeight="1">
      <c r="B1488" s="90" t="s">
        <v>4257</v>
      </c>
      <c r="D1488" s="90"/>
      <c r="E1488" s="90"/>
      <c r="F1488" s="90"/>
      <c r="G1488" s="90"/>
      <c r="H1488" s="89" t="s">
        <v>75</v>
      </c>
      <c r="I1488" s="91">
        <v>2.0</v>
      </c>
      <c r="J1488" s="92">
        <v>1548.07</v>
      </c>
      <c r="K1488" s="92">
        <v>3096.14</v>
      </c>
    </row>
    <row r="1489" ht="12.75" customHeight="1">
      <c r="I1489" s="79"/>
      <c r="J1489" s="80"/>
      <c r="K1489" s="80"/>
    </row>
    <row r="1490" ht="12.75" customHeight="1">
      <c r="B1490" s="90" t="s">
        <v>4258</v>
      </c>
      <c r="D1490" s="90"/>
      <c r="E1490" s="90"/>
      <c r="F1490" s="90"/>
      <c r="G1490" s="90"/>
      <c r="H1490" s="89" t="s">
        <v>75</v>
      </c>
      <c r="I1490" s="91">
        <v>2.0</v>
      </c>
      <c r="J1490" s="80"/>
      <c r="K1490" s="135" t="s">
        <v>619</v>
      </c>
    </row>
    <row r="1491" ht="12.75" customHeight="1">
      <c r="I1491" s="79"/>
      <c r="J1491" s="80"/>
      <c r="K1491" s="80"/>
    </row>
    <row r="1492" ht="12.75" customHeight="1">
      <c r="B1492" s="90" t="s">
        <v>2795</v>
      </c>
      <c r="D1492" s="90"/>
      <c r="E1492" s="90"/>
      <c r="F1492" s="90"/>
      <c r="G1492" s="90"/>
      <c r="H1492" s="89" t="s">
        <v>75</v>
      </c>
      <c r="I1492" s="91">
        <v>2.0</v>
      </c>
      <c r="J1492" s="92">
        <v>273.04</v>
      </c>
      <c r="K1492" s="92">
        <v>546.08</v>
      </c>
    </row>
    <row r="1493" ht="12.75" customHeight="1">
      <c r="I1493" s="79"/>
      <c r="J1493" s="80"/>
      <c r="K1493" s="80"/>
    </row>
    <row r="1494" ht="12.75" customHeight="1">
      <c r="B1494" s="90" t="s">
        <v>4259</v>
      </c>
      <c r="D1494" s="90"/>
      <c r="E1494" s="90"/>
      <c r="F1494" s="90"/>
      <c r="G1494" s="90"/>
      <c r="H1494" s="89" t="s">
        <v>75</v>
      </c>
      <c r="I1494" s="91">
        <v>4.0</v>
      </c>
      <c r="J1494" s="80"/>
      <c r="K1494" s="135" t="s">
        <v>619</v>
      </c>
    </row>
    <row r="1495" ht="12.75" customHeight="1">
      <c r="I1495" s="79"/>
      <c r="J1495" s="80"/>
      <c r="K1495" s="80"/>
    </row>
    <row r="1496" ht="12.75" customHeight="1">
      <c r="B1496" s="90" t="s">
        <v>2799</v>
      </c>
      <c r="D1496" s="90"/>
      <c r="E1496" s="90"/>
      <c r="F1496" s="90"/>
      <c r="G1496" s="90"/>
      <c r="H1496" s="89" t="s">
        <v>75</v>
      </c>
      <c r="I1496" s="91">
        <v>4.0</v>
      </c>
      <c r="J1496" s="80"/>
      <c r="K1496" s="135" t="s">
        <v>619</v>
      </c>
    </row>
    <row r="1497" ht="12.75" customHeight="1">
      <c r="I1497" s="79"/>
      <c r="J1497" s="80"/>
      <c r="K1497" s="80"/>
    </row>
    <row r="1498" ht="12.75" customHeight="1">
      <c r="B1498" s="90" t="s">
        <v>2801</v>
      </c>
      <c r="D1498" s="90"/>
      <c r="E1498" s="90"/>
      <c r="F1498" s="90"/>
      <c r="G1498" s="90"/>
      <c r="H1498" s="89" t="s">
        <v>33</v>
      </c>
      <c r="I1498" s="91">
        <v>1.0</v>
      </c>
      <c r="J1498" s="92">
        <v>2589.17</v>
      </c>
      <c r="K1498" s="92">
        <v>2589.17</v>
      </c>
    </row>
    <row r="1499" ht="12.75" customHeight="1">
      <c r="I1499" s="79"/>
      <c r="J1499" s="80"/>
      <c r="K1499" s="80"/>
    </row>
    <row r="1500" ht="12.75" customHeight="1">
      <c r="A1500" s="89" t="s">
        <v>1199</v>
      </c>
      <c r="B1500" s="90" t="s">
        <v>4260</v>
      </c>
      <c r="D1500" s="90"/>
      <c r="E1500" s="90"/>
      <c r="F1500" s="90"/>
      <c r="G1500" s="90"/>
      <c r="I1500" s="79"/>
      <c r="J1500" s="80"/>
      <c r="K1500" s="80"/>
    </row>
    <row r="1501" ht="12.75" customHeight="1">
      <c r="I1501" s="79"/>
      <c r="J1501" s="80"/>
      <c r="K1501" s="80"/>
    </row>
    <row r="1502" ht="12.75" customHeight="1">
      <c r="B1502" s="90" t="s">
        <v>4261</v>
      </c>
      <c r="D1502" s="90"/>
      <c r="E1502" s="90"/>
      <c r="F1502" s="90"/>
      <c r="G1502" s="90"/>
      <c r="H1502" s="89" t="s">
        <v>1202</v>
      </c>
      <c r="I1502" s="91">
        <v>3.0</v>
      </c>
      <c r="J1502" s="92">
        <v>793.32</v>
      </c>
      <c r="K1502" s="92">
        <v>2379.96</v>
      </c>
    </row>
    <row r="1503" ht="12.75" customHeight="1">
      <c r="I1503" s="79"/>
      <c r="J1503" s="80"/>
      <c r="K1503" s="80"/>
    </row>
    <row r="1504" ht="12.75" customHeight="1">
      <c r="B1504" s="90" t="s">
        <v>2807</v>
      </c>
      <c r="D1504" s="90"/>
      <c r="E1504" s="90"/>
      <c r="F1504" s="90"/>
      <c r="G1504" s="90"/>
      <c r="H1504" s="89" t="s">
        <v>1202</v>
      </c>
      <c r="I1504" s="91">
        <v>3.0</v>
      </c>
      <c r="J1504" s="92">
        <v>1024.99</v>
      </c>
      <c r="K1504" s="92">
        <v>3074.97</v>
      </c>
    </row>
    <row r="1505" ht="12.75" customHeight="1">
      <c r="I1505" s="79"/>
      <c r="J1505" s="80"/>
      <c r="K1505" s="80"/>
    </row>
    <row r="1506" ht="12.75" customHeight="1">
      <c r="B1506" s="90" t="s">
        <v>4262</v>
      </c>
      <c r="D1506" s="90"/>
      <c r="E1506" s="90"/>
      <c r="F1506" s="90"/>
      <c r="G1506" s="90"/>
      <c r="H1506" s="89" t="s">
        <v>75</v>
      </c>
      <c r="I1506" s="91">
        <v>1.0</v>
      </c>
      <c r="J1506" s="92">
        <v>5205.12</v>
      </c>
      <c r="K1506" s="92">
        <v>5205.12</v>
      </c>
    </row>
    <row r="1507" ht="12.75" customHeight="1">
      <c r="I1507" s="79"/>
      <c r="J1507" s="80"/>
      <c r="K1507" s="80"/>
    </row>
    <row r="1508" ht="12.75" customHeight="1">
      <c r="B1508" s="90" t="s">
        <v>4263</v>
      </c>
      <c r="D1508" s="90"/>
      <c r="E1508" s="90"/>
      <c r="F1508" s="90"/>
      <c r="G1508" s="90"/>
      <c r="H1508" s="89" t="s">
        <v>75</v>
      </c>
      <c r="I1508" s="91">
        <v>1.0</v>
      </c>
      <c r="J1508" s="92">
        <v>1218.04</v>
      </c>
      <c r="K1508" s="92">
        <v>1218.04</v>
      </c>
    </row>
    <row r="1509" ht="12.75" customHeight="1">
      <c r="I1509" s="79"/>
      <c r="J1509" s="80"/>
      <c r="K1509" s="80"/>
    </row>
    <row r="1510" ht="12.75" customHeight="1">
      <c r="B1510" s="90" t="s">
        <v>4264</v>
      </c>
      <c r="D1510" s="90"/>
      <c r="E1510" s="90"/>
      <c r="F1510" s="90"/>
      <c r="G1510" s="90"/>
      <c r="H1510" s="89" t="s">
        <v>75</v>
      </c>
      <c r="I1510" s="91">
        <v>1.0</v>
      </c>
      <c r="J1510" s="92">
        <v>1170.29</v>
      </c>
      <c r="K1510" s="92">
        <v>1170.29</v>
      </c>
    </row>
    <row r="1511" ht="12.75" customHeight="1">
      <c r="I1511" s="79"/>
      <c r="J1511" s="80"/>
      <c r="K1511" s="80"/>
    </row>
    <row r="1512" ht="12.75" customHeight="1">
      <c r="B1512" s="90" t="s">
        <v>4265</v>
      </c>
      <c r="D1512" s="90"/>
      <c r="E1512" s="90"/>
      <c r="F1512" s="90"/>
      <c r="G1512" s="90"/>
      <c r="H1512" s="89" t="s">
        <v>1180</v>
      </c>
      <c r="I1512" s="91">
        <v>3.0</v>
      </c>
      <c r="J1512" s="92">
        <v>46.86</v>
      </c>
      <c r="K1512" s="92">
        <v>140.58</v>
      </c>
    </row>
    <row r="1513" ht="12.75" customHeight="1">
      <c r="I1513" s="79"/>
      <c r="J1513" s="80"/>
      <c r="K1513" s="80"/>
    </row>
    <row r="1514" ht="12.75" customHeight="1">
      <c r="B1514" s="90" t="s">
        <v>4266</v>
      </c>
      <c r="D1514" s="90"/>
      <c r="E1514" s="90"/>
      <c r="F1514" s="90"/>
      <c r="G1514" s="90"/>
      <c r="H1514" s="89" t="s">
        <v>75</v>
      </c>
      <c r="I1514" s="91">
        <v>1.0</v>
      </c>
      <c r="J1514" s="92">
        <v>296.42</v>
      </c>
      <c r="K1514" s="92">
        <v>296.42</v>
      </c>
    </row>
    <row r="1515" ht="12.75" customHeight="1">
      <c r="I1515" s="79"/>
      <c r="J1515" s="80"/>
      <c r="K1515" s="80"/>
    </row>
    <row r="1516" ht="12.75" customHeight="1">
      <c r="B1516" s="90" t="s">
        <v>4267</v>
      </c>
      <c r="D1516" s="90"/>
      <c r="E1516" s="90"/>
      <c r="F1516" s="90"/>
      <c r="G1516" s="90"/>
      <c r="H1516" s="89" t="s">
        <v>75</v>
      </c>
      <c r="I1516" s="91">
        <v>1.0</v>
      </c>
      <c r="J1516" s="92">
        <v>220.34</v>
      </c>
      <c r="K1516" s="92">
        <v>220.34</v>
      </c>
    </row>
    <row r="1517" ht="12.75" customHeight="1">
      <c r="I1517" s="79"/>
      <c r="J1517" s="80"/>
      <c r="K1517" s="80"/>
    </row>
    <row r="1518" ht="12.75" customHeight="1">
      <c r="B1518" s="90" t="s">
        <v>4268</v>
      </c>
      <c r="D1518" s="90"/>
      <c r="E1518" s="90"/>
      <c r="F1518" s="90"/>
      <c r="G1518" s="90"/>
      <c r="H1518" s="89" t="s">
        <v>75</v>
      </c>
      <c r="I1518" s="91">
        <v>1.0</v>
      </c>
      <c r="J1518" s="92">
        <v>185.92</v>
      </c>
      <c r="K1518" s="92">
        <v>185.92</v>
      </c>
    </row>
    <row r="1519" ht="12.75" customHeight="1">
      <c r="I1519" s="79"/>
      <c r="J1519" s="80"/>
      <c r="K1519" s="80"/>
    </row>
    <row r="1520" ht="12.75" customHeight="1">
      <c r="B1520" s="90" t="s">
        <v>1211</v>
      </c>
      <c r="D1520" s="90"/>
      <c r="E1520" s="90"/>
      <c r="F1520" s="90"/>
      <c r="G1520" s="90"/>
      <c r="H1520" s="89" t="s">
        <v>877</v>
      </c>
      <c r="I1520" s="91">
        <v>40.0</v>
      </c>
      <c r="J1520" s="92">
        <v>22.55</v>
      </c>
      <c r="K1520" s="92">
        <v>902.0</v>
      </c>
    </row>
    <row r="1521" ht="12.75" customHeight="1">
      <c r="I1521" s="79"/>
      <c r="J1521" s="80"/>
      <c r="K1521" s="80"/>
    </row>
    <row r="1522" ht="12.75" customHeight="1">
      <c r="B1522" s="90" t="s">
        <v>2824</v>
      </c>
      <c r="D1522" s="90"/>
      <c r="E1522" s="90"/>
      <c r="F1522" s="90"/>
      <c r="G1522" s="90"/>
      <c r="H1522" s="89" t="s">
        <v>75</v>
      </c>
      <c r="I1522" s="91">
        <v>1.0</v>
      </c>
      <c r="J1522" s="92">
        <v>109.98</v>
      </c>
      <c r="K1522" s="92">
        <v>109.98</v>
      </c>
    </row>
    <row r="1523" ht="12.75" customHeight="1">
      <c r="I1523" s="79"/>
      <c r="J1523" s="80"/>
      <c r="K1523" s="80"/>
    </row>
    <row r="1524" ht="12.75" customHeight="1">
      <c r="B1524" s="90" t="s">
        <v>4269</v>
      </c>
      <c r="D1524" s="90"/>
      <c r="E1524" s="90"/>
      <c r="F1524" s="90"/>
      <c r="G1524" s="90"/>
      <c r="H1524" s="89" t="s">
        <v>75</v>
      </c>
      <c r="I1524" s="91">
        <v>1.0</v>
      </c>
      <c r="J1524" s="80"/>
      <c r="K1524" s="135" t="s">
        <v>619</v>
      </c>
    </row>
    <row r="1525" ht="12.75" customHeight="1">
      <c r="I1525" s="79"/>
      <c r="J1525" s="80"/>
      <c r="K1525" s="80"/>
    </row>
    <row r="1526" ht="12.75" customHeight="1">
      <c r="B1526" s="90" t="s">
        <v>4270</v>
      </c>
      <c r="D1526" s="90"/>
      <c r="E1526" s="90"/>
      <c r="F1526" s="90"/>
      <c r="G1526" s="90"/>
      <c r="H1526" s="89" t="s">
        <v>75</v>
      </c>
      <c r="I1526" s="91">
        <v>1.0</v>
      </c>
      <c r="J1526" s="92">
        <v>545.21</v>
      </c>
      <c r="K1526" s="92">
        <v>545.21</v>
      </c>
    </row>
    <row r="1527" ht="12.75" customHeight="1">
      <c r="I1527" s="79"/>
      <c r="J1527" s="80"/>
      <c r="K1527" s="80"/>
    </row>
    <row r="1528" ht="12.75" customHeight="1">
      <c r="B1528" s="90" t="s">
        <v>4271</v>
      </c>
      <c r="D1528" s="90"/>
      <c r="E1528" s="90"/>
      <c r="F1528" s="90"/>
      <c r="G1528" s="90"/>
      <c r="H1528" s="89" t="s">
        <v>75</v>
      </c>
      <c r="I1528" s="91">
        <v>1.0</v>
      </c>
      <c r="J1528" s="92">
        <v>1468.47</v>
      </c>
      <c r="K1528" s="92">
        <v>1468.47</v>
      </c>
    </row>
    <row r="1529" ht="12.75" customHeight="1">
      <c r="I1529" s="79"/>
      <c r="J1529" s="80"/>
      <c r="K1529" s="80"/>
    </row>
    <row r="1530" ht="12.75" customHeight="1">
      <c r="B1530" s="90" t="s">
        <v>4272</v>
      </c>
      <c r="D1530" s="90"/>
      <c r="E1530" s="90"/>
      <c r="F1530" s="90"/>
      <c r="G1530" s="90"/>
      <c r="H1530" s="89" t="s">
        <v>75</v>
      </c>
      <c r="I1530" s="91">
        <v>1.0</v>
      </c>
      <c r="J1530" s="92">
        <v>1468.47</v>
      </c>
      <c r="K1530" s="92">
        <v>1468.47</v>
      </c>
    </row>
    <row r="1531" ht="12.75" customHeight="1">
      <c r="I1531" s="79"/>
      <c r="J1531" s="80"/>
      <c r="K1531" s="80"/>
    </row>
    <row r="1532" ht="12.75" customHeight="1">
      <c r="B1532" s="90" t="s">
        <v>4273</v>
      </c>
      <c r="D1532" s="90"/>
      <c r="E1532" s="90"/>
      <c r="F1532" s="90"/>
      <c r="G1532" s="90"/>
      <c r="H1532" s="89" t="s">
        <v>75</v>
      </c>
      <c r="I1532" s="91">
        <v>1.0</v>
      </c>
      <c r="J1532" s="92">
        <v>1468.47</v>
      </c>
      <c r="K1532" s="92">
        <v>1468.47</v>
      </c>
    </row>
    <row r="1533" ht="12.75" customHeight="1">
      <c r="I1533" s="79"/>
      <c r="J1533" s="80"/>
      <c r="K1533" s="80"/>
    </row>
    <row r="1534" ht="12.75" customHeight="1">
      <c r="B1534" s="90" t="s">
        <v>4274</v>
      </c>
      <c r="D1534" s="90"/>
      <c r="E1534" s="90"/>
      <c r="F1534" s="90"/>
      <c r="G1534" s="90"/>
      <c r="H1534" s="89" t="s">
        <v>75</v>
      </c>
      <c r="I1534" s="91">
        <v>1.0</v>
      </c>
      <c r="J1534" s="92">
        <v>1999.33</v>
      </c>
      <c r="K1534" s="92">
        <v>1999.33</v>
      </c>
    </row>
    <row r="1535" ht="12.75" customHeight="1">
      <c r="I1535" s="79"/>
      <c r="J1535" s="80"/>
      <c r="K1535" s="80"/>
    </row>
    <row r="1536" ht="12.75" customHeight="1">
      <c r="B1536" s="90" t="s">
        <v>2838</v>
      </c>
      <c r="D1536" s="90"/>
      <c r="E1536" s="90"/>
      <c r="F1536" s="90"/>
      <c r="G1536" s="90"/>
      <c r="H1536" s="89" t="s">
        <v>75</v>
      </c>
      <c r="I1536" s="91">
        <v>1.0</v>
      </c>
      <c r="J1536" s="92">
        <v>309.45</v>
      </c>
      <c r="K1536" s="92">
        <v>309.45</v>
      </c>
    </row>
    <row r="1537" ht="12.75" customHeight="1">
      <c r="I1537" s="79"/>
      <c r="J1537" s="80"/>
      <c r="K1537" s="80"/>
    </row>
    <row r="1538" ht="12.75" customHeight="1">
      <c r="B1538" s="90" t="s">
        <v>2840</v>
      </c>
      <c r="D1538" s="90"/>
      <c r="E1538" s="90"/>
      <c r="F1538" s="90"/>
      <c r="G1538" s="90"/>
      <c r="H1538" s="89" t="s">
        <v>75</v>
      </c>
      <c r="I1538" s="91">
        <v>1.0</v>
      </c>
      <c r="J1538" s="92">
        <v>301.65</v>
      </c>
      <c r="K1538" s="92">
        <v>301.65</v>
      </c>
    </row>
    <row r="1539" ht="12.75" customHeight="1">
      <c r="I1539" s="79"/>
      <c r="J1539" s="80"/>
      <c r="K1539" s="80"/>
    </row>
    <row r="1540" ht="12.75" customHeight="1">
      <c r="B1540" s="90" t="s">
        <v>2801</v>
      </c>
      <c r="D1540" s="90"/>
      <c r="E1540" s="90"/>
      <c r="F1540" s="90"/>
      <c r="G1540" s="90"/>
      <c r="H1540" s="89" t="s">
        <v>33</v>
      </c>
      <c r="I1540" s="91">
        <v>1.0</v>
      </c>
      <c r="J1540" s="92">
        <v>2167.42</v>
      </c>
      <c r="K1540" s="92">
        <v>2167.42</v>
      </c>
    </row>
    <row r="1541" ht="12.75" customHeight="1">
      <c r="I1541" s="79"/>
      <c r="J1541" s="80"/>
      <c r="K1541" s="80"/>
    </row>
    <row r="1542" ht="12.75" customHeight="1">
      <c r="A1542" s="89" t="s">
        <v>4275</v>
      </c>
      <c r="B1542" s="90" t="s">
        <v>4276</v>
      </c>
      <c r="D1542" s="90"/>
      <c r="E1542" s="90"/>
      <c r="F1542" s="90"/>
      <c r="G1542" s="90"/>
      <c r="I1542" s="79"/>
      <c r="J1542" s="80"/>
      <c r="K1542" s="80"/>
    </row>
    <row r="1543" ht="12.75" customHeight="1">
      <c r="I1543" s="79"/>
      <c r="J1543" s="80"/>
      <c r="K1543" s="80"/>
    </row>
    <row r="1544" ht="12.75" customHeight="1">
      <c r="B1544" s="90" t="s">
        <v>1222</v>
      </c>
      <c r="D1544" s="90"/>
      <c r="E1544" s="90"/>
      <c r="F1544" s="90"/>
      <c r="G1544" s="90"/>
      <c r="H1544" s="89" t="s">
        <v>75</v>
      </c>
      <c r="I1544" s="91">
        <v>1.0</v>
      </c>
      <c r="J1544" s="92">
        <v>8405.15</v>
      </c>
      <c r="K1544" s="92">
        <v>8405.15</v>
      </c>
    </row>
    <row r="1545" ht="12.75" customHeight="1">
      <c r="I1545" s="79"/>
      <c r="J1545" s="80"/>
      <c r="K1545" s="80"/>
    </row>
    <row r="1546" ht="12.75" customHeight="1">
      <c r="A1546" s="89" t="s">
        <v>1223</v>
      </c>
      <c r="B1546" s="90" t="s">
        <v>4277</v>
      </c>
      <c r="D1546" s="90"/>
      <c r="E1546" s="90"/>
      <c r="F1546" s="90"/>
      <c r="G1546" s="90"/>
      <c r="I1546" s="79"/>
      <c r="J1546" s="80"/>
      <c r="K1546" s="80"/>
    </row>
    <row r="1547" ht="12.75" customHeight="1">
      <c r="I1547" s="79"/>
      <c r="J1547" s="80"/>
      <c r="K1547" s="80"/>
    </row>
    <row r="1548" ht="12.75" customHeight="1">
      <c r="B1548" s="90" t="s">
        <v>1225</v>
      </c>
      <c r="D1548" s="90"/>
      <c r="E1548" s="90"/>
      <c r="F1548" s="90"/>
      <c r="G1548" s="90"/>
      <c r="H1548" s="89" t="s">
        <v>877</v>
      </c>
      <c r="I1548" s="91">
        <v>20.0</v>
      </c>
      <c r="J1548" s="92">
        <v>32.16</v>
      </c>
      <c r="K1548" s="92">
        <v>643.2</v>
      </c>
    </row>
    <row r="1549" ht="12.75" customHeight="1">
      <c r="I1549" s="79"/>
      <c r="J1549" s="80"/>
      <c r="K1549" s="80"/>
    </row>
    <row r="1550" ht="12.75" customHeight="1">
      <c r="B1550" s="90" t="s">
        <v>1226</v>
      </c>
      <c r="D1550" s="90"/>
      <c r="E1550" s="90"/>
      <c r="F1550" s="90"/>
      <c r="G1550" s="90"/>
      <c r="H1550" s="89" t="s">
        <v>877</v>
      </c>
      <c r="I1550" s="91">
        <v>22.0</v>
      </c>
      <c r="J1550" s="92">
        <v>48.58</v>
      </c>
      <c r="K1550" s="92">
        <v>1068.76</v>
      </c>
    </row>
    <row r="1551" ht="12.75" customHeight="1">
      <c r="I1551" s="79"/>
      <c r="J1551" s="80"/>
      <c r="K1551" s="80"/>
    </row>
    <row r="1552" ht="12.75" customHeight="1">
      <c r="A1552" s="89" t="s">
        <v>1227</v>
      </c>
      <c r="B1552" s="90" t="s">
        <v>4278</v>
      </c>
      <c r="D1552" s="90"/>
      <c r="E1552" s="90"/>
      <c r="F1552" s="90"/>
      <c r="G1552" s="90"/>
      <c r="I1552" s="79"/>
      <c r="J1552" s="80"/>
      <c r="K1552" s="80"/>
    </row>
    <row r="1553" ht="12.75" customHeight="1">
      <c r="I1553" s="79"/>
      <c r="J1553" s="80"/>
      <c r="K1553" s="80"/>
    </row>
    <row r="1554" ht="12.75" customHeight="1">
      <c r="B1554" s="90" t="s">
        <v>1229</v>
      </c>
      <c r="D1554" s="90"/>
      <c r="E1554" s="90"/>
      <c r="F1554" s="90"/>
      <c r="G1554" s="90"/>
      <c r="H1554" s="89" t="s">
        <v>877</v>
      </c>
      <c r="I1554" s="91">
        <v>236.0</v>
      </c>
      <c r="J1554" s="92">
        <v>26.07</v>
      </c>
      <c r="K1554" s="92">
        <v>6152.52</v>
      </c>
    </row>
    <row r="1555" ht="12.75" customHeight="1">
      <c r="I1555" s="79"/>
      <c r="J1555" s="80"/>
      <c r="K1555" s="80"/>
    </row>
    <row r="1556" ht="12.75" customHeight="1">
      <c r="A1556" s="89" t="s">
        <v>1230</v>
      </c>
      <c r="B1556" s="90" t="s">
        <v>4279</v>
      </c>
      <c r="D1556" s="90"/>
      <c r="E1556" s="90"/>
      <c r="F1556" s="90"/>
      <c r="G1556" s="90"/>
      <c r="I1556" s="79"/>
      <c r="J1556" s="80"/>
      <c r="K1556" s="80"/>
    </row>
    <row r="1557" ht="12.75" customHeight="1">
      <c r="I1557" s="79"/>
      <c r="J1557" s="80"/>
      <c r="K1557" s="80"/>
    </row>
    <row r="1558" ht="12.75" customHeight="1">
      <c r="B1558" s="90" t="s">
        <v>1232</v>
      </c>
      <c r="D1558" s="90"/>
      <c r="E1558" s="90"/>
      <c r="F1558" s="90"/>
      <c r="G1558" s="90"/>
      <c r="H1558" s="89" t="s">
        <v>877</v>
      </c>
      <c r="I1558" s="91">
        <v>8.0</v>
      </c>
      <c r="J1558" s="92">
        <v>19.89</v>
      </c>
      <c r="K1558" s="92">
        <v>159.12</v>
      </c>
    </row>
    <row r="1559" ht="12.75" customHeight="1">
      <c r="I1559" s="79"/>
      <c r="J1559" s="80"/>
      <c r="K1559" s="80"/>
    </row>
    <row r="1560" ht="12.75" customHeight="1">
      <c r="B1560" s="90" t="s">
        <v>1233</v>
      </c>
      <c r="D1560" s="90"/>
      <c r="E1560" s="90"/>
      <c r="F1560" s="90"/>
      <c r="G1560" s="90"/>
      <c r="H1560" s="89" t="s">
        <v>877</v>
      </c>
      <c r="I1560" s="91">
        <v>4.0</v>
      </c>
      <c r="J1560" s="92">
        <v>25.85</v>
      </c>
      <c r="K1560" s="92">
        <v>103.4</v>
      </c>
    </row>
    <row r="1561" ht="12.75" customHeight="1">
      <c r="I1561" s="79"/>
      <c r="J1561" s="80"/>
      <c r="K1561" s="80"/>
    </row>
    <row r="1562" ht="12.75" customHeight="1">
      <c r="A1562" s="89" t="s">
        <v>1234</v>
      </c>
      <c r="B1562" s="90" t="s">
        <v>4280</v>
      </c>
      <c r="D1562" s="90"/>
      <c r="E1562" s="90"/>
      <c r="F1562" s="90"/>
      <c r="G1562" s="90"/>
      <c r="H1562" s="89" t="s">
        <v>1236</v>
      </c>
      <c r="I1562" s="91">
        <v>110.0</v>
      </c>
      <c r="J1562" s="92">
        <v>83.09</v>
      </c>
      <c r="K1562" s="92">
        <v>9139.9</v>
      </c>
    </row>
    <row r="1563" ht="12.75" customHeight="1">
      <c r="I1563" s="79"/>
      <c r="J1563" s="80"/>
      <c r="K1563" s="80"/>
    </row>
    <row r="1564" ht="12.75" customHeight="1">
      <c r="A1564" s="89" t="s">
        <v>1237</v>
      </c>
      <c r="B1564" s="90" t="s">
        <v>4281</v>
      </c>
      <c r="D1564" s="90"/>
      <c r="E1564" s="90"/>
      <c r="F1564" s="90"/>
      <c r="G1564" s="90"/>
      <c r="I1564" s="79"/>
      <c r="J1564" s="80"/>
      <c r="K1564" s="80"/>
    </row>
    <row r="1565" ht="12.75" customHeight="1">
      <c r="I1565" s="79"/>
      <c r="J1565" s="80"/>
      <c r="K1565" s="80"/>
    </row>
    <row r="1566" ht="12.75" customHeight="1">
      <c r="B1566" s="90" t="s">
        <v>1239</v>
      </c>
      <c r="D1566" s="90"/>
      <c r="E1566" s="90"/>
      <c r="F1566" s="90"/>
      <c r="G1566" s="90"/>
      <c r="H1566" s="89" t="s">
        <v>75</v>
      </c>
      <c r="I1566" s="91">
        <v>1.0</v>
      </c>
      <c r="J1566" s="92">
        <v>6960.87</v>
      </c>
      <c r="K1566" s="92">
        <v>6960.87</v>
      </c>
    </row>
    <row r="1567" ht="12.75" customHeight="1">
      <c r="I1567" s="79"/>
      <c r="J1567" s="80"/>
      <c r="K1567" s="80"/>
    </row>
    <row r="1568" ht="12.75" customHeight="1">
      <c r="A1568" s="89" t="s">
        <v>1240</v>
      </c>
      <c r="B1568" s="90" t="s">
        <v>4282</v>
      </c>
      <c r="D1568" s="90"/>
      <c r="E1568" s="90"/>
      <c r="F1568" s="90"/>
      <c r="G1568" s="90"/>
      <c r="I1568" s="79"/>
      <c r="J1568" s="80"/>
      <c r="K1568" s="80"/>
    </row>
    <row r="1569" ht="12.75" customHeight="1">
      <c r="I1569" s="79"/>
      <c r="J1569" s="80"/>
      <c r="K1569" s="80"/>
    </row>
    <row r="1570" ht="12.75" customHeight="1">
      <c r="B1570" s="90" t="s">
        <v>1242</v>
      </c>
      <c r="D1570" s="90"/>
      <c r="E1570" s="90"/>
      <c r="F1570" s="90"/>
      <c r="G1570" s="90"/>
      <c r="H1570" s="89" t="s">
        <v>75</v>
      </c>
      <c r="I1570" s="91">
        <v>1.0</v>
      </c>
      <c r="J1570" s="92">
        <v>489.39</v>
      </c>
      <c r="K1570" s="92">
        <v>489.39</v>
      </c>
    </row>
    <row r="1571" ht="12.75" customHeight="1">
      <c r="I1571" s="79"/>
      <c r="J1571" s="80"/>
      <c r="K1571" s="80"/>
    </row>
    <row r="1572" ht="12.75" customHeight="1">
      <c r="A1572" s="89" t="s">
        <v>4283</v>
      </c>
      <c r="B1572" s="90" t="s">
        <v>4284</v>
      </c>
      <c r="D1572" s="90"/>
      <c r="E1572" s="90"/>
      <c r="F1572" s="90"/>
      <c r="G1572" s="90"/>
      <c r="H1572" s="89" t="s">
        <v>227</v>
      </c>
      <c r="I1572" s="91">
        <v>1.0</v>
      </c>
      <c r="J1572" s="92">
        <v>2623.54</v>
      </c>
      <c r="K1572" s="92">
        <v>2623.54</v>
      </c>
    </row>
    <row r="1573" ht="12.75" customHeight="1">
      <c r="I1573" s="79"/>
      <c r="J1573" s="80"/>
      <c r="K1573" s="80"/>
    </row>
    <row r="1574" ht="12.75" customHeight="1">
      <c r="A1574" s="89" t="s">
        <v>1244</v>
      </c>
      <c r="B1574" s="90" t="s">
        <v>4285</v>
      </c>
      <c r="D1574" s="90"/>
      <c r="E1574" s="90"/>
      <c r="F1574" s="90"/>
      <c r="G1574" s="90"/>
      <c r="I1574" s="79"/>
      <c r="J1574" s="80"/>
      <c r="K1574" s="80"/>
    </row>
    <row r="1575" ht="12.75" customHeight="1">
      <c r="I1575" s="79"/>
      <c r="J1575" s="80"/>
      <c r="K1575" s="80"/>
    </row>
    <row r="1576" ht="12.75" customHeight="1">
      <c r="B1576" s="90" t="s">
        <v>4286</v>
      </c>
      <c r="D1576" s="90"/>
      <c r="E1576" s="90"/>
      <c r="F1576" s="90"/>
      <c r="G1576" s="90"/>
      <c r="H1576" s="89" t="s">
        <v>75</v>
      </c>
      <c r="I1576" s="91">
        <v>10.0</v>
      </c>
      <c r="J1576" s="92">
        <v>32.5</v>
      </c>
      <c r="K1576" s="92">
        <v>325.0</v>
      </c>
    </row>
    <row r="1577" ht="12.75" customHeight="1">
      <c r="I1577" s="79"/>
      <c r="J1577" s="80"/>
      <c r="K1577" s="80"/>
    </row>
    <row r="1578" ht="12.75" customHeight="1">
      <c r="A1578" s="89" t="s">
        <v>1247</v>
      </c>
      <c r="B1578" s="90" t="s">
        <v>4287</v>
      </c>
      <c r="D1578" s="90"/>
      <c r="E1578" s="90"/>
      <c r="F1578" s="90"/>
      <c r="G1578" s="90"/>
      <c r="I1578" s="79"/>
      <c r="J1578" s="80"/>
      <c r="K1578" s="80"/>
    </row>
    <row r="1579" ht="12.75" customHeight="1">
      <c r="I1579" s="79"/>
      <c r="J1579" s="80"/>
      <c r="K1579" s="80"/>
    </row>
    <row r="1580" ht="12.75" customHeight="1">
      <c r="B1580" s="90" t="s">
        <v>1249</v>
      </c>
      <c r="D1580" s="90"/>
      <c r="E1580" s="90"/>
      <c r="F1580" s="90"/>
      <c r="G1580" s="90"/>
      <c r="H1580" s="89" t="s">
        <v>75</v>
      </c>
      <c r="I1580" s="91">
        <v>1.0</v>
      </c>
      <c r="J1580" s="92">
        <v>2201.61</v>
      </c>
      <c r="K1580" s="92">
        <v>2201.61</v>
      </c>
    </row>
    <row r="1581" ht="12.75" customHeight="1">
      <c r="I1581" s="79"/>
      <c r="J1581" s="80"/>
      <c r="K1581" s="80"/>
    </row>
    <row r="1582" ht="12.75" customHeight="1">
      <c r="B1582" s="90" t="s">
        <v>1250</v>
      </c>
      <c r="D1582" s="90"/>
      <c r="E1582" s="90"/>
      <c r="F1582" s="90"/>
      <c r="G1582" s="90"/>
      <c r="H1582" s="89" t="s">
        <v>75</v>
      </c>
      <c r="I1582" s="91">
        <v>1.0</v>
      </c>
      <c r="J1582" s="92">
        <v>4403.22</v>
      </c>
      <c r="K1582" s="92">
        <v>4403.22</v>
      </c>
    </row>
    <row r="1583" ht="12.75" customHeight="1">
      <c r="I1583" s="79"/>
      <c r="J1583" s="80"/>
      <c r="K1583" s="80"/>
    </row>
    <row r="1584" ht="12.75" customHeight="1">
      <c r="B1584" s="90" t="s">
        <v>1251</v>
      </c>
      <c r="D1584" s="90"/>
      <c r="E1584" s="90"/>
      <c r="F1584" s="90"/>
      <c r="G1584" s="90"/>
      <c r="H1584" s="89" t="s">
        <v>75</v>
      </c>
      <c r="I1584" s="91">
        <v>1.0</v>
      </c>
      <c r="J1584" s="92">
        <v>3331.12</v>
      </c>
      <c r="K1584" s="92">
        <v>3331.12</v>
      </c>
    </row>
    <row r="1585" ht="12.75" customHeight="1">
      <c r="I1585" s="79"/>
      <c r="J1585" s="80"/>
      <c r="K1585" s="80"/>
    </row>
    <row r="1586" ht="12.75" customHeight="1">
      <c r="B1586" s="90" t="s">
        <v>1252</v>
      </c>
      <c r="D1586" s="90"/>
      <c r="E1586" s="90"/>
      <c r="F1586" s="90"/>
      <c r="G1586" s="90"/>
      <c r="H1586" s="89" t="s">
        <v>75</v>
      </c>
      <c r="I1586" s="91">
        <v>3.0</v>
      </c>
      <c r="J1586" s="92">
        <v>2446.23</v>
      </c>
      <c r="K1586" s="92">
        <v>7338.69</v>
      </c>
    </row>
    <row r="1587" ht="12.75" customHeight="1">
      <c r="I1587" s="79"/>
      <c r="J1587" s="80"/>
      <c r="K1587" s="80"/>
    </row>
    <row r="1588" ht="12.75" customHeight="1">
      <c r="B1588" s="90" t="s">
        <v>1253</v>
      </c>
      <c r="D1588" s="90"/>
      <c r="E1588" s="90"/>
      <c r="F1588" s="90"/>
      <c r="G1588" s="90"/>
      <c r="H1588" s="89" t="s">
        <v>75</v>
      </c>
      <c r="I1588" s="91">
        <v>6.0</v>
      </c>
      <c r="J1588" s="92">
        <v>916.06</v>
      </c>
      <c r="K1588" s="92">
        <v>5496.36</v>
      </c>
    </row>
    <row r="1589" ht="12.75" customHeight="1">
      <c r="I1589" s="79"/>
      <c r="J1589" s="80"/>
      <c r="K1589" s="80"/>
    </row>
    <row r="1590" ht="12.75" customHeight="1">
      <c r="B1590" s="90" t="s">
        <v>1254</v>
      </c>
      <c r="D1590" s="90"/>
      <c r="E1590" s="90"/>
      <c r="F1590" s="90"/>
      <c r="G1590" s="90"/>
      <c r="H1590" s="89" t="s">
        <v>75</v>
      </c>
      <c r="I1590" s="91">
        <v>2.0</v>
      </c>
      <c r="J1590" s="92">
        <v>203.31</v>
      </c>
      <c r="K1590" s="92">
        <v>406.62</v>
      </c>
    </row>
    <row r="1591" ht="12.75" customHeight="1">
      <c r="I1591" s="79"/>
      <c r="J1591" s="80"/>
      <c r="K1591" s="80"/>
    </row>
    <row r="1592" ht="12.75" customHeight="1">
      <c r="B1592" s="90" t="s">
        <v>1255</v>
      </c>
      <c r="D1592" s="90"/>
      <c r="E1592" s="90"/>
      <c r="F1592" s="90"/>
      <c r="G1592" s="90"/>
      <c r="H1592" s="89" t="s">
        <v>75</v>
      </c>
      <c r="I1592" s="91">
        <v>2.0</v>
      </c>
      <c r="J1592" s="92">
        <v>203.31</v>
      </c>
      <c r="K1592" s="92">
        <v>406.62</v>
      </c>
    </row>
    <row r="1593" ht="12.75" customHeight="1">
      <c r="I1593" s="79"/>
      <c r="J1593" s="80"/>
      <c r="K1593" s="80"/>
    </row>
    <row r="1594" ht="12.75" customHeight="1">
      <c r="B1594" s="90" t="s">
        <v>1256</v>
      </c>
      <c r="D1594" s="90"/>
      <c r="E1594" s="90"/>
      <c r="F1594" s="90"/>
      <c r="G1594" s="90"/>
      <c r="H1594" s="89" t="s">
        <v>75</v>
      </c>
      <c r="I1594" s="91">
        <v>1.0</v>
      </c>
      <c r="J1594" s="92">
        <v>289.38</v>
      </c>
      <c r="K1594" s="92">
        <v>289.38</v>
      </c>
    </row>
    <row r="1595" ht="12.75" customHeight="1">
      <c r="I1595" s="79"/>
      <c r="J1595" s="80"/>
      <c r="K1595" s="80"/>
    </row>
    <row r="1596" ht="12.75" customHeight="1">
      <c r="B1596" s="90" t="s">
        <v>1257</v>
      </c>
      <c r="D1596" s="90"/>
      <c r="E1596" s="90"/>
      <c r="F1596" s="90"/>
      <c r="G1596" s="90"/>
      <c r="H1596" s="89" t="s">
        <v>75</v>
      </c>
      <c r="I1596" s="91">
        <v>1.0</v>
      </c>
      <c r="J1596" s="92">
        <v>289.38</v>
      </c>
      <c r="K1596" s="92">
        <v>289.38</v>
      </c>
    </row>
    <row r="1597" ht="12.75" customHeight="1">
      <c r="I1597" s="79"/>
      <c r="J1597" s="80"/>
      <c r="K1597" s="80"/>
    </row>
    <row r="1598" ht="12.75" customHeight="1">
      <c r="B1598" s="90" t="s">
        <v>1258</v>
      </c>
      <c r="D1598" s="90"/>
      <c r="E1598" s="90"/>
      <c r="F1598" s="90"/>
      <c r="G1598" s="90"/>
      <c r="H1598" s="89" t="s">
        <v>75</v>
      </c>
      <c r="I1598" s="91">
        <v>3.0</v>
      </c>
      <c r="J1598" s="92">
        <v>232.94</v>
      </c>
      <c r="K1598" s="92">
        <v>698.82</v>
      </c>
    </row>
    <row r="1599" ht="12.75" customHeight="1">
      <c r="I1599" s="79"/>
      <c r="J1599" s="80"/>
      <c r="K1599" s="80"/>
    </row>
    <row r="1600" ht="12.75" customHeight="1">
      <c r="B1600" s="90" t="s">
        <v>2883</v>
      </c>
      <c r="D1600" s="90"/>
      <c r="E1600" s="90"/>
      <c r="F1600" s="90"/>
      <c r="G1600" s="90"/>
      <c r="H1600" s="89" t="s">
        <v>75</v>
      </c>
      <c r="I1600" s="91">
        <v>1.0</v>
      </c>
      <c r="J1600" s="92">
        <v>133.33</v>
      </c>
      <c r="K1600" s="92">
        <v>133.33</v>
      </c>
    </row>
    <row r="1601" ht="12.75" customHeight="1">
      <c r="I1601" s="79"/>
      <c r="J1601" s="80"/>
      <c r="K1601" s="80"/>
    </row>
    <row r="1602" ht="12.75" customHeight="1">
      <c r="A1602" s="89" t="s">
        <v>1260</v>
      </c>
      <c r="B1602" s="90" t="s">
        <v>4288</v>
      </c>
      <c r="D1602" s="90"/>
      <c r="E1602" s="90"/>
      <c r="F1602" s="90"/>
      <c r="G1602" s="90"/>
      <c r="H1602" s="89" t="s">
        <v>33</v>
      </c>
      <c r="I1602" s="91">
        <v>1.0</v>
      </c>
      <c r="J1602" s="92">
        <v>2207.94</v>
      </c>
      <c r="K1602" s="92">
        <v>2207.94</v>
      </c>
    </row>
    <row r="1603" ht="12.75" customHeight="1">
      <c r="I1603" s="79"/>
      <c r="J1603" s="80"/>
      <c r="K1603" s="80"/>
    </row>
    <row r="1604" ht="12.75" customHeight="1">
      <c r="A1604" s="89" t="s">
        <v>1262</v>
      </c>
      <c r="B1604" s="90" t="s">
        <v>4289</v>
      </c>
      <c r="D1604" s="90"/>
      <c r="E1604" s="90"/>
      <c r="F1604" s="90"/>
      <c r="G1604" s="90"/>
      <c r="H1604" s="89" t="s">
        <v>227</v>
      </c>
      <c r="I1604" s="91">
        <v>1.0</v>
      </c>
      <c r="J1604" s="92">
        <v>2586.2</v>
      </c>
      <c r="K1604" s="92">
        <v>2586.2</v>
      </c>
    </row>
    <row r="1605" ht="12.75" customHeight="1">
      <c r="I1605" s="79"/>
      <c r="J1605" s="80"/>
      <c r="K1605" s="80"/>
    </row>
    <row r="1606" ht="12.75" customHeight="1">
      <c r="B1606" s="90" t="s">
        <v>2891</v>
      </c>
      <c r="D1606" s="90"/>
      <c r="E1606" s="90"/>
      <c r="F1606" s="90"/>
      <c r="G1606" s="90"/>
      <c r="H1606" s="89" t="s">
        <v>227</v>
      </c>
      <c r="I1606" s="91">
        <v>1.0</v>
      </c>
      <c r="J1606" s="92">
        <v>323.28</v>
      </c>
      <c r="K1606" s="92">
        <v>323.28</v>
      </c>
    </row>
    <row r="1607" ht="12.75" customHeight="1">
      <c r="I1607" s="79"/>
      <c r="J1607" s="80"/>
      <c r="K1607" s="80"/>
    </row>
    <row r="1608" ht="12.75" customHeight="1">
      <c r="B1608" s="90" t="s">
        <v>4290</v>
      </c>
      <c r="D1608" s="90"/>
      <c r="E1608" s="90"/>
      <c r="F1608" s="90"/>
      <c r="G1608" s="90"/>
      <c r="H1608" s="89" t="s">
        <v>227</v>
      </c>
      <c r="I1608" s="91">
        <v>1.0</v>
      </c>
      <c r="J1608" s="92">
        <v>370.78</v>
      </c>
      <c r="K1608" s="92">
        <v>370.78</v>
      </c>
    </row>
    <row r="1609" ht="12.75" customHeight="1">
      <c r="I1609" s="79"/>
      <c r="J1609" s="80"/>
      <c r="K1609" s="80"/>
    </row>
    <row r="1610" ht="12.75" customHeight="1">
      <c r="B1610" s="90" t="s">
        <v>4291</v>
      </c>
      <c r="D1610" s="90"/>
      <c r="E1610" s="90"/>
      <c r="F1610" s="90"/>
      <c r="G1610" s="90"/>
      <c r="H1610" s="89" t="s">
        <v>227</v>
      </c>
      <c r="I1610" s="91">
        <v>1.0</v>
      </c>
      <c r="J1610" s="92">
        <v>1962.85</v>
      </c>
      <c r="K1610" s="92">
        <v>1962.85</v>
      </c>
    </row>
    <row r="1611" ht="12.75" customHeight="1">
      <c r="I1611" s="79"/>
      <c r="J1611" s="80"/>
      <c r="K1611" s="80"/>
    </row>
    <row r="1612" ht="12.75" customHeight="1">
      <c r="A1612" s="89" t="s">
        <v>4225</v>
      </c>
      <c r="B1612" s="90" t="s">
        <v>4226</v>
      </c>
      <c r="D1612" s="90"/>
      <c r="E1612" s="90"/>
      <c r="F1612" s="90"/>
      <c r="G1612" s="90"/>
      <c r="I1612" s="79"/>
      <c r="J1612" s="80"/>
      <c r="K1612" s="92">
        <v>181241.0</v>
      </c>
    </row>
    <row r="1613" ht="12.75" customHeight="1">
      <c r="I1613" s="79"/>
      <c r="J1613" s="80"/>
      <c r="K1613" s="80"/>
    </row>
    <row r="1614" ht="12.75" customHeight="1">
      <c r="I1614" s="79"/>
      <c r="J1614" s="80"/>
      <c r="K1614" s="80"/>
    </row>
    <row r="1615" ht="12.75" customHeight="1">
      <c r="A1615" s="89" t="s">
        <v>4292</v>
      </c>
      <c r="B1615" s="90" t="s">
        <v>2896</v>
      </c>
      <c r="D1615" s="90"/>
      <c r="E1615" s="90"/>
      <c r="F1615" s="90"/>
      <c r="G1615" s="90"/>
      <c r="I1615" s="79"/>
      <c r="J1615" s="80"/>
      <c r="K1615" s="80"/>
    </row>
    <row r="1616" ht="12.75" customHeight="1">
      <c r="I1616" s="79"/>
      <c r="J1616" s="80"/>
      <c r="K1616" s="80"/>
    </row>
    <row r="1617" ht="12.75" customHeight="1">
      <c r="A1617" s="89" t="s">
        <v>1268</v>
      </c>
      <c r="B1617" s="90" t="s">
        <v>4293</v>
      </c>
      <c r="D1617" s="90"/>
      <c r="E1617" s="90"/>
      <c r="F1617" s="90"/>
      <c r="G1617" s="90"/>
      <c r="I1617" s="79"/>
      <c r="J1617" s="80"/>
      <c r="K1617" s="80"/>
    </row>
    <row r="1618" ht="12.75" customHeight="1">
      <c r="I1618" s="79"/>
      <c r="J1618" s="80"/>
      <c r="K1618" s="80"/>
    </row>
    <row r="1619" ht="12.75" customHeight="1">
      <c r="B1619" s="90" t="s">
        <v>4294</v>
      </c>
      <c r="D1619" s="90"/>
      <c r="E1619" s="90"/>
      <c r="F1619" s="90"/>
      <c r="G1619" s="90"/>
      <c r="H1619" s="89" t="s">
        <v>33</v>
      </c>
      <c r="I1619" s="91">
        <v>1.0</v>
      </c>
      <c r="J1619" s="92">
        <v>239.87</v>
      </c>
      <c r="K1619" s="92">
        <v>239.87</v>
      </c>
    </row>
    <row r="1620" ht="12.75" customHeight="1">
      <c r="I1620" s="79"/>
      <c r="J1620" s="80"/>
      <c r="K1620" s="80"/>
    </row>
    <row r="1621" ht="12.75" customHeight="1">
      <c r="B1621" s="90" t="s">
        <v>4295</v>
      </c>
      <c r="D1621" s="90"/>
      <c r="E1621" s="90"/>
      <c r="F1621" s="90"/>
      <c r="G1621" s="90"/>
      <c r="H1621" s="89" t="s">
        <v>75</v>
      </c>
      <c r="I1621" s="91">
        <v>1.0</v>
      </c>
      <c r="J1621" s="92">
        <v>118.16</v>
      </c>
      <c r="K1621" s="92">
        <v>118.16</v>
      </c>
    </row>
    <row r="1622" ht="12.75" customHeight="1">
      <c r="I1622" s="79"/>
      <c r="J1622" s="80"/>
      <c r="K1622" s="80"/>
    </row>
    <row r="1623" ht="12.75" customHeight="1">
      <c r="A1623" s="89" t="s">
        <v>1272</v>
      </c>
      <c r="B1623" s="90" t="s">
        <v>4296</v>
      </c>
      <c r="D1623" s="90"/>
      <c r="E1623" s="90"/>
      <c r="F1623" s="90"/>
      <c r="G1623" s="90"/>
      <c r="I1623" s="79"/>
      <c r="J1623" s="80"/>
      <c r="K1623" s="80"/>
    </row>
    <row r="1624" ht="12.75" customHeight="1">
      <c r="I1624" s="79"/>
      <c r="J1624" s="80"/>
      <c r="K1624" s="80"/>
    </row>
    <row r="1625" ht="12.75" customHeight="1">
      <c r="B1625" s="90" t="s">
        <v>2906</v>
      </c>
      <c r="D1625" s="90"/>
      <c r="E1625" s="90"/>
      <c r="F1625" s="90"/>
      <c r="G1625" s="90"/>
      <c r="H1625" s="89" t="s">
        <v>33</v>
      </c>
      <c r="I1625" s="91">
        <v>1.0</v>
      </c>
      <c r="J1625" s="92">
        <v>7118.5</v>
      </c>
      <c r="K1625" s="92">
        <v>7118.5</v>
      </c>
    </row>
    <row r="1626" ht="12.75" customHeight="1">
      <c r="I1626" s="79"/>
      <c r="J1626" s="80"/>
      <c r="K1626" s="80"/>
    </row>
    <row r="1627" ht="12.75" customHeight="1">
      <c r="B1627" s="90" t="s">
        <v>4297</v>
      </c>
      <c r="D1627" s="90"/>
      <c r="E1627" s="90"/>
      <c r="F1627" s="90"/>
      <c r="G1627" s="90"/>
      <c r="H1627" s="89" t="s">
        <v>33</v>
      </c>
      <c r="I1627" s="91">
        <v>1.0</v>
      </c>
      <c r="J1627" s="92">
        <v>5003.02</v>
      </c>
      <c r="K1627" s="92">
        <v>5003.02</v>
      </c>
    </row>
    <row r="1628" ht="12.75" customHeight="1">
      <c r="I1628" s="79"/>
      <c r="J1628" s="80"/>
      <c r="K1628" s="80"/>
    </row>
    <row r="1629" ht="12.75" customHeight="1">
      <c r="B1629" s="90" t="s">
        <v>4298</v>
      </c>
      <c r="D1629" s="90"/>
      <c r="E1629" s="90"/>
      <c r="F1629" s="90"/>
      <c r="G1629" s="90"/>
      <c r="H1629" s="89" t="s">
        <v>33</v>
      </c>
      <c r="I1629" s="91">
        <v>1.0</v>
      </c>
      <c r="J1629" s="92">
        <v>6463.88</v>
      </c>
      <c r="K1629" s="92">
        <v>6463.88</v>
      </c>
    </row>
    <row r="1630" ht="12.75" customHeight="1">
      <c r="I1630" s="79"/>
      <c r="J1630" s="80"/>
      <c r="K1630" s="80"/>
    </row>
    <row r="1631" ht="12.75" customHeight="1">
      <c r="B1631" s="90" t="s">
        <v>4299</v>
      </c>
      <c r="D1631" s="90"/>
      <c r="E1631" s="90"/>
      <c r="F1631" s="90"/>
      <c r="G1631" s="90"/>
      <c r="H1631" s="89" t="s">
        <v>33</v>
      </c>
      <c r="I1631" s="91">
        <v>1.0</v>
      </c>
      <c r="J1631" s="92">
        <v>2459.3</v>
      </c>
      <c r="K1631" s="92">
        <v>2459.3</v>
      </c>
    </row>
    <row r="1632" ht="12.75" customHeight="1">
      <c r="I1632" s="79"/>
      <c r="J1632" s="80"/>
      <c r="K1632" s="80"/>
    </row>
    <row r="1633" ht="12.75" customHeight="1">
      <c r="B1633" s="90" t="s">
        <v>4300</v>
      </c>
      <c r="D1633" s="90"/>
      <c r="E1633" s="90"/>
      <c r="F1633" s="90"/>
      <c r="G1633" s="90"/>
      <c r="H1633" s="89" t="s">
        <v>33</v>
      </c>
      <c r="I1633" s="91">
        <v>1.0</v>
      </c>
      <c r="J1633" s="92">
        <v>1514.74</v>
      </c>
      <c r="K1633" s="92">
        <v>1514.74</v>
      </c>
    </row>
    <row r="1634" ht="12.75" customHeight="1">
      <c r="I1634" s="79"/>
      <c r="J1634" s="80"/>
      <c r="K1634" s="80"/>
    </row>
    <row r="1635" ht="12.75" customHeight="1">
      <c r="B1635" s="90" t="s">
        <v>4301</v>
      </c>
      <c r="D1635" s="90"/>
      <c r="E1635" s="90"/>
      <c r="F1635" s="90"/>
      <c r="G1635" s="90"/>
      <c r="H1635" s="89" t="s">
        <v>33</v>
      </c>
      <c r="I1635" s="91">
        <v>1.0</v>
      </c>
      <c r="J1635" s="92">
        <v>1385.22</v>
      </c>
      <c r="K1635" s="92">
        <v>1385.22</v>
      </c>
    </row>
    <row r="1636" ht="12.75" customHeight="1">
      <c r="I1636" s="79"/>
      <c r="J1636" s="80"/>
      <c r="K1636" s="80"/>
    </row>
    <row r="1637" ht="12.75" customHeight="1">
      <c r="B1637" s="90" t="s">
        <v>4302</v>
      </c>
      <c r="D1637" s="90"/>
      <c r="E1637" s="90"/>
      <c r="F1637" s="90"/>
      <c r="G1637" s="90"/>
      <c r="H1637" s="89" t="s">
        <v>33</v>
      </c>
      <c r="I1637" s="91">
        <v>1.0</v>
      </c>
      <c r="J1637" s="80"/>
      <c r="K1637" s="92">
        <v>0.0</v>
      </c>
    </row>
    <row r="1638" ht="12.75" customHeight="1">
      <c r="I1638" s="79"/>
      <c r="J1638" s="80"/>
      <c r="K1638" s="80"/>
    </row>
    <row r="1639" ht="12.75" customHeight="1">
      <c r="B1639" s="90" t="s">
        <v>4303</v>
      </c>
      <c r="D1639" s="90"/>
      <c r="E1639" s="90"/>
      <c r="F1639" s="90"/>
      <c r="G1639" s="90"/>
      <c r="H1639" s="89" t="s">
        <v>33</v>
      </c>
      <c r="I1639" s="91">
        <v>1.0</v>
      </c>
      <c r="J1639" s="80"/>
      <c r="K1639" s="92">
        <v>0.0</v>
      </c>
    </row>
    <row r="1640" ht="12.75" customHeight="1">
      <c r="I1640" s="79"/>
      <c r="J1640" s="80"/>
      <c r="K1640" s="80"/>
    </row>
    <row r="1641" ht="12.75" customHeight="1">
      <c r="B1641" s="90" t="s">
        <v>4304</v>
      </c>
      <c r="D1641" s="90"/>
      <c r="E1641" s="90"/>
      <c r="F1641" s="90"/>
      <c r="G1641" s="90"/>
      <c r="H1641" s="89" t="s">
        <v>33</v>
      </c>
      <c r="I1641" s="91">
        <v>1.0</v>
      </c>
      <c r="J1641" s="80"/>
      <c r="K1641" s="92">
        <v>0.0</v>
      </c>
    </row>
    <row r="1642" ht="12.75" customHeight="1">
      <c r="I1642" s="79"/>
      <c r="J1642" s="80"/>
      <c r="K1642" s="80"/>
    </row>
    <row r="1643" ht="12.75" customHeight="1">
      <c r="B1643" s="90" t="s">
        <v>4305</v>
      </c>
      <c r="D1643" s="90"/>
      <c r="E1643" s="90"/>
      <c r="F1643" s="90"/>
      <c r="G1643" s="90"/>
      <c r="H1643" s="89" t="s">
        <v>33</v>
      </c>
      <c r="I1643" s="91">
        <v>1.0</v>
      </c>
      <c r="J1643" s="80"/>
      <c r="K1643" s="92">
        <v>0.0</v>
      </c>
    </row>
    <row r="1644" ht="12.75" customHeight="1">
      <c r="I1644" s="79"/>
      <c r="J1644" s="80"/>
      <c r="K1644" s="80"/>
    </row>
    <row r="1645" ht="12.75" customHeight="1">
      <c r="A1645" s="89" t="s">
        <v>1284</v>
      </c>
      <c r="B1645" s="90" t="s">
        <v>2925</v>
      </c>
      <c r="D1645" s="90"/>
      <c r="E1645" s="90"/>
      <c r="F1645" s="90"/>
      <c r="G1645" s="90"/>
      <c r="I1645" s="79"/>
      <c r="J1645" s="80"/>
      <c r="K1645" s="80"/>
    </row>
    <row r="1646" ht="12.75" customHeight="1">
      <c r="I1646" s="79"/>
      <c r="J1646" s="80"/>
      <c r="K1646" s="80"/>
    </row>
    <row r="1647" ht="12.75" customHeight="1">
      <c r="B1647" s="90" t="s">
        <v>4306</v>
      </c>
      <c r="D1647" s="90"/>
      <c r="E1647" s="90"/>
      <c r="F1647" s="90"/>
      <c r="G1647" s="90"/>
      <c r="I1647" s="79"/>
      <c r="J1647" s="80"/>
      <c r="K1647" s="80"/>
    </row>
    <row r="1648" ht="12.75" customHeight="1">
      <c r="I1648" s="79"/>
      <c r="J1648" s="80"/>
      <c r="K1648" s="80"/>
    </row>
    <row r="1649" ht="12.75" customHeight="1">
      <c r="B1649" s="90" t="s">
        <v>4307</v>
      </c>
      <c r="D1649" s="90"/>
      <c r="E1649" s="90"/>
      <c r="F1649" s="90"/>
      <c r="G1649" s="90"/>
      <c r="H1649" s="89" t="s">
        <v>161</v>
      </c>
      <c r="I1649" s="91">
        <v>34.0</v>
      </c>
      <c r="J1649" s="92">
        <v>24.09</v>
      </c>
      <c r="K1649" s="92">
        <v>819.06</v>
      </c>
    </row>
    <row r="1650" ht="12.75" customHeight="1">
      <c r="I1650" s="79"/>
      <c r="J1650" s="80"/>
      <c r="K1650" s="80"/>
    </row>
    <row r="1651" ht="12.75" customHeight="1">
      <c r="B1651" s="90" t="s">
        <v>4308</v>
      </c>
      <c r="D1651" s="90"/>
      <c r="E1651" s="90"/>
      <c r="F1651" s="90"/>
      <c r="G1651" s="90"/>
      <c r="H1651" s="89" t="s">
        <v>161</v>
      </c>
      <c r="I1651" s="91">
        <v>12.0</v>
      </c>
      <c r="J1651" s="92">
        <v>8.38</v>
      </c>
      <c r="K1651" s="92">
        <v>100.56</v>
      </c>
    </row>
    <row r="1652" ht="12.75" customHeight="1">
      <c r="I1652" s="79"/>
      <c r="J1652" s="80"/>
      <c r="K1652" s="80"/>
    </row>
    <row r="1653" ht="12.75" customHeight="1">
      <c r="B1653" s="90" t="s">
        <v>4309</v>
      </c>
      <c r="D1653" s="90"/>
      <c r="E1653" s="90"/>
      <c r="F1653" s="90"/>
      <c r="G1653" s="90"/>
      <c r="H1653" s="89" t="s">
        <v>161</v>
      </c>
      <c r="I1653" s="91">
        <v>33.0</v>
      </c>
      <c r="J1653" s="92">
        <v>6.28</v>
      </c>
      <c r="K1653" s="92">
        <v>207.24</v>
      </c>
    </row>
    <row r="1654" ht="12.75" customHeight="1">
      <c r="I1654" s="79"/>
      <c r="J1654" s="80"/>
      <c r="K1654" s="80"/>
    </row>
    <row r="1655" ht="12.75" customHeight="1">
      <c r="B1655" s="90" t="s">
        <v>4310</v>
      </c>
      <c r="D1655" s="90"/>
      <c r="E1655" s="90"/>
      <c r="F1655" s="90"/>
      <c r="G1655" s="90"/>
      <c r="H1655" s="89" t="s">
        <v>161</v>
      </c>
      <c r="I1655" s="91">
        <v>9.0</v>
      </c>
      <c r="J1655" s="92">
        <v>19.32</v>
      </c>
      <c r="K1655" s="92">
        <v>173.88</v>
      </c>
    </row>
    <row r="1656" ht="12.75" customHeight="1">
      <c r="I1656" s="79"/>
      <c r="J1656" s="80"/>
      <c r="K1656" s="80"/>
    </row>
    <row r="1657" ht="12.75" customHeight="1">
      <c r="B1657" s="90" t="s">
        <v>4311</v>
      </c>
      <c r="D1657" s="90"/>
      <c r="E1657" s="90"/>
      <c r="F1657" s="90"/>
      <c r="G1657" s="90"/>
      <c r="H1657" s="89" t="s">
        <v>161</v>
      </c>
      <c r="I1657" s="91">
        <v>59.0</v>
      </c>
      <c r="J1657" s="92">
        <v>8.38</v>
      </c>
      <c r="K1657" s="92">
        <v>494.42</v>
      </c>
    </row>
    <row r="1658" ht="12.75" customHeight="1">
      <c r="I1658" s="79"/>
      <c r="J1658" s="80"/>
      <c r="K1658" s="80"/>
    </row>
    <row r="1659" ht="12.75" customHeight="1">
      <c r="B1659" s="90" t="s">
        <v>4312</v>
      </c>
      <c r="D1659" s="90"/>
      <c r="E1659" s="90"/>
      <c r="F1659" s="90"/>
      <c r="G1659" s="90"/>
      <c r="H1659" s="89" t="s">
        <v>161</v>
      </c>
      <c r="I1659" s="91">
        <v>33.0</v>
      </c>
      <c r="J1659" s="92">
        <v>8.38</v>
      </c>
      <c r="K1659" s="92">
        <v>276.54</v>
      </c>
    </row>
    <row r="1660" ht="12.75" customHeight="1">
      <c r="I1660" s="79"/>
      <c r="J1660" s="80"/>
      <c r="K1660" s="80"/>
    </row>
    <row r="1661" ht="12.75" customHeight="1">
      <c r="B1661" s="90" t="s">
        <v>4313</v>
      </c>
      <c r="D1661" s="90"/>
      <c r="E1661" s="90"/>
      <c r="F1661" s="90"/>
      <c r="G1661" s="90"/>
      <c r="H1661" s="89" t="s">
        <v>161</v>
      </c>
      <c r="I1661" s="91">
        <v>30.0</v>
      </c>
      <c r="J1661" s="92">
        <v>8.38</v>
      </c>
      <c r="K1661" s="92">
        <v>251.4</v>
      </c>
    </row>
    <row r="1662" ht="12.75" customHeight="1">
      <c r="I1662" s="79"/>
      <c r="J1662" s="80"/>
      <c r="K1662" s="80"/>
    </row>
    <row r="1663" ht="12.75" customHeight="1">
      <c r="B1663" s="90" t="s">
        <v>4314</v>
      </c>
      <c r="D1663" s="90"/>
      <c r="E1663" s="90"/>
      <c r="F1663" s="90"/>
      <c r="G1663" s="90"/>
      <c r="H1663" s="89" t="s">
        <v>161</v>
      </c>
      <c r="I1663" s="91">
        <v>13.0</v>
      </c>
      <c r="J1663" s="92">
        <v>8.38</v>
      </c>
      <c r="K1663" s="92">
        <v>108.94</v>
      </c>
    </row>
    <row r="1664" ht="12.75" customHeight="1">
      <c r="I1664" s="79"/>
      <c r="J1664" s="80"/>
      <c r="K1664" s="80"/>
    </row>
    <row r="1665" ht="12.75" customHeight="1">
      <c r="B1665" s="90" t="s">
        <v>4315</v>
      </c>
      <c r="D1665" s="90"/>
      <c r="E1665" s="90"/>
      <c r="F1665" s="90"/>
      <c r="G1665" s="90"/>
      <c r="H1665" s="89" t="s">
        <v>161</v>
      </c>
      <c r="I1665" s="91">
        <v>35.0</v>
      </c>
      <c r="J1665" s="92">
        <v>8.38</v>
      </c>
      <c r="K1665" s="92">
        <v>293.3</v>
      </c>
    </row>
    <row r="1666" ht="12.75" customHeight="1">
      <c r="I1666" s="79"/>
      <c r="J1666" s="80"/>
      <c r="K1666" s="80"/>
    </row>
    <row r="1667" ht="12.75" customHeight="1">
      <c r="B1667" s="90" t="s">
        <v>4316</v>
      </c>
      <c r="D1667" s="90"/>
      <c r="E1667" s="90"/>
      <c r="F1667" s="90"/>
      <c r="G1667" s="90"/>
      <c r="H1667" s="89" t="s">
        <v>161</v>
      </c>
      <c r="I1667" s="91">
        <v>30.0</v>
      </c>
      <c r="J1667" s="92">
        <v>8.38</v>
      </c>
      <c r="K1667" s="92">
        <v>251.4</v>
      </c>
    </row>
    <row r="1668" ht="12.75" customHeight="1">
      <c r="I1668" s="79"/>
      <c r="J1668" s="80"/>
      <c r="K1668" s="80"/>
    </row>
    <row r="1669" ht="12.75" customHeight="1">
      <c r="B1669" s="90" t="s">
        <v>4317</v>
      </c>
      <c r="D1669" s="90"/>
      <c r="E1669" s="90"/>
      <c r="F1669" s="90"/>
      <c r="G1669" s="90"/>
      <c r="H1669" s="89" t="s">
        <v>161</v>
      </c>
      <c r="I1669" s="91">
        <v>10.0</v>
      </c>
      <c r="J1669" s="92">
        <v>13.11</v>
      </c>
      <c r="K1669" s="92">
        <v>131.1</v>
      </c>
    </row>
    <row r="1670" ht="12.75" customHeight="1">
      <c r="I1670" s="79"/>
      <c r="J1670" s="80"/>
      <c r="K1670" s="80"/>
    </row>
    <row r="1671" ht="12.75" customHeight="1">
      <c r="B1671" s="90" t="s">
        <v>4318</v>
      </c>
      <c r="D1671" s="90"/>
      <c r="E1671" s="90"/>
      <c r="F1671" s="90"/>
      <c r="G1671" s="90"/>
      <c r="H1671" s="89" t="s">
        <v>161</v>
      </c>
      <c r="I1671" s="91">
        <v>10.0</v>
      </c>
      <c r="J1671" s="92">
        <v>6.28</v>
      </c>
      <c r="K1671" s="92">
        <v>62.8</v>
      </c>
    </row>
    <row r="1672" ht="12.75" customHeight="1">
      <c r="I1672" s="79"/>
      <c r="J1672" s="80"/>
      <c r="K1672" s="80"/>
    </row>
    <row r="1673" ht="12.75" customHeight="1">
      <c r="B1673" s="90" t="s">
        <v>4319</v>
      </c>
      <c r="D1673" s="90"/>
      <c r="E1673" s="90"/>
      <c r="F1673" s="90"/>
      <c r="G1673" s="90"/>
      <c r="H1673" s="89" t="s">
        <v>161</v>
      </c>
      <c r="I1673" s="91">
        <v>10.0</v>
      </c>
      <c r="J1673" s="92">
        <v>4.22</v>
      </c>
      <c r="K1673" s="92">
        <v>42.2</v>
      </c>
    </row>
    <row r="1674" ht="12.75" customHeight="1">
      <c r="I1674" s="79"/>
      <c r="J1674" s="80"/>
      <c r="K1674" s="80"/>
    </row>
    <row r="1675" ht="12.75" customHeight="1">
      <c r="B1675" s="90" t="s">
        <v>4320</v>
      </c>
      <c r="D1675" s="90"/>
      <c r="E1675" s="90"/>
      <c r="F1675" s="90"/>
      <c r="G1675" s="90"/>
      <c r="H1675" s="89" t="s">
        <v>161</v>
      </c>
      <c r="I1675" s="91">
        <v>10.0</v>
      </c>
      <c r="J1675" s="92">
        <v>8.38</v>
      </c>
      <c r="K1675" s="92">
        <v>83.8</v>
      </c>
    </row>
    <row r="1676" ht="12.75" customHeight="1">
      <c r="I1676" s="79"/>
      <c r="J1676" s="80"/>
      <c r="K1676" s="80"/>
    </row>
    <row r="1677" ht="12.75" customHeight="1">
      <c r="B1677" s="90" t="s">
        <v>4321</v>
      </c>
      <c r="D1677" s="90"/>
      <c r="E1677" s="90"/>
      <c r="F1677" s="90"/>
      <c r="G1677" s="90"/>
      <c r="H1677" s="89" t="s">
        <v>161</v>
      </c>
      <c r="I1677" s="91">
        <v>13.0</v>
      </c>
      <c r="J1677" s="92">
        <v>6.28</v>
      </c>
      <c r="K1677" s="92">
        <v>81.64</v>
      </c>
    </row>
    <row r="1678" ht="12.75" customHeight="1">
      <c r="I1678" s="79"/>
      <c r="J1678" s="80"/>
      <c r="K1678" s="80"/>
    </row>
    <row r="1679" ht="12.75" customHeight="1">
      <c r="B1679" s="90" t="s">
        <v>4322</v>
      </c>
      <c r="D1679" s="90"/>
      <c r="E1679" s="90"/>
      <c r="F1679" s="90"/>
      <c r="G1679" s="90"/>
      <c r="H1679" s="89" t="s">
        <v>161</v>
      </c>
      <c r="I1679" s="91">
        <v>10.0</v>
      </c>
      <c r="J1679" s="92">
        <v>4.22</v>
      </c>
      <c r="K1679" s="92">
        <v>42.2</v>
      </c>
    </row>
    <row r="1680" ht="12.75" customHeight="1">
      <c r="I1680" s="79"/>
      <c r="J1680" s="80"/>
      <c r="K1680" s="80"/>
    </row>
    <row r="1681" ht="12.75" customHeight="1">
      <c r="B1681" s="90" t="s">
        <v>4323</v>
      </c>
      <c r="D1681" s="90"/>
      <c r="E1681" s="90"/>
      <c r="F1681" s="90"/>
      <c r="G1681" s="90"/>
      <c r="H1681" s="89" t="s">
        <v>161</v>
      </c>
      <c r="I1681" s="91">
        <v>13.0</v>
      </c>
      <c r="J1681" s="92">
        <v>6.28</v>
      </c>
      <c r="K1681" s="92">
        <v>81.64</v>
      </c>
    </row>
    <row r="1682" ht="12.75" customHeight="1">
      <c r="I1682" s="79"/>
      <c r="J1682" s="80"/>
      <c r="K1682" s="80"/>
    </row>
    <row r="1683" ht="12.75" customHeight="1">
      <c r="B1683" s="90" t="s">
        <v>4324</v>
      </c>
      <c r="D1683" s="90"/>
      <c r="E1683" s="90"/>
      <c r="F1683" s="90"/>
      <c r="G1683" s="90"/>
      <c r="H1683" s="89" t="s">
        <v>161</v>
      </c>
      <c r="I1683" s="91">
        <v>13.0</v>
      </c>
      <c r="J1683" s="92">
        <v>6.28</v>
      </c>
      <c r="K1683" s="92">
        <v>81.64</v>
      </c>
    </row>
    <row r="1684" ht="12.75" customHeight="1">
      <c r="I1684" s="79"/>
      <c r="J1684" s="80"/>
      <c r="K1684" s="80"/>
    </row>
    <row r="1685" ht="12.75" customHeight="1">
      <c r="B1685" s="90" t="s">
        <v>4325</v>
      </c>
      <c r="D1685" s="90"/>
      <c r="E1685" s="90"/>
      <c r="F1685" s="90"/>
      <c r="G1685" s="90"/>
      <c r="H1685" s="89" t="s">
        <v>161</v>
      </c>
      <c r="I1685" s="91">
        <v>13.0</v>
      </c>
      <c r="J1685" s="92">
        <v>6.28</v>
      </c>
      <c r="K1685" s="92">
        <v>81.64</v>
      </c>
    </row>
    <row r="1686" ht="12.75" customHeight="1">
      <c r="I1686" s="79"/>
      <c r="J1686" s="80"/>
      <c r="K1686" s="80"/>
    </row>
    <row r="1687" ht="12.75" customHeight="1">
      <c r="B1687" s="90" t="s">
        <v>4326</v>
      </c>
      <c r="D1687" s="90"/>
      <c r="E1687" s="90"/>
      <c r="F1687" s="90"/>
      <c r="G1687" s="90"/>
      <c r="H1687" s="89" t="s">
        <v>161</v>
      </c>
      <c r="I1687" s="91">
        <v>13.0</v>
      </c>
      <c r="J1687" s="92">
        <v>6.28</v>
      </c>
      <c r="K1687" s="92">
        <v>81.64</v>
      </c>
    </row>
    <row r="1688" ht="12.75" customHeight="1">
      <c r="I1688" s="79"/>
      <c r="J1688" s="80"/>
      <c r="K1688" s="80"/>
    </row>
    <row r="1689" ht="12.75" customHeight="1">
      <c r="B1689" s="90" t="s">
        <v>2697</v>
      </c>
      <c r="D1689" s="90"/>
      <c r="E1689" s="90"/>
      <c r="F1689" s="90"/>
      <c r="G1689" s="90"/>
      <c r="I1689" s="79"/>
      <c r="J1689" s="80"/>
      <c r="K1689" s="80"/>
    </row>
    <row r="1690" ht="12.75" customHeight="1">
      <c r="I1690" s="79"/>
      <c r="J1690" s="80"/>
      <c r="K1690" s="80"/>
    </row>
    <row r="1691" ht="12.75" customHeight="1">
      <c r="B1691" s="90" t="s">
        <v>4327</v>
      </c>
      <c r="D1691" s="90"/>
      <c r="E1691" s="90"/>
      <c r="F1691" s="90"/>
      <c r="G1691" s="90"/>
      <c r="H1691" s="89" t="s">
        <v>161</v>
      </c>
      <c r="I1691" s="91">
        <v>7.0</v>
      </c>
      <c r="J1691" s="92">
        <v>6.54</v>
      </c>
      <c r="K1691" s="92">
        <v>45.78</v>
      </c>
    </row>
    <row r="1692" ht="12.75" customHeight="1">
      <c r="I1692" s="79"/>
      <c r="J1692" s="80"/>
      <c r="K1692" s="80"/>
    </row>
    <row r="1693" ht="12.75" customHeight="1">
      <c r="B1693" s="90" t="s">
        <v>2967</v>
      </c>
      <c r="D1693" s="90"/>
      <c r="E1693" s="90"/>
      <c r="F1693" s="90"/>
      <c r="G1693" s="90"/>
      <c r="H1693" s="89" t="s">
        <v>161</v>
      </c>
      <c r="I1693" s="91">
        <v>550.0</v>
      </c>
      <c r="J1693" s="92">
        <v>4.05</v>
      </c>
      <c r="K1693" s="92">
        <v>2227.5</v>
      </c>
    </row>
    <row r="1694" ht="12.75" customHeight="1">
      <c r="I1694" s="79"/>
      <c r="J1694" s="80"/>
      <c r="K1694" s="80"/>
    </row>
    <row r="1695" ht="12.75" customHeight="1">
      <c r="B1695" s="90" t="s">
        <v>2969</v>
      </c>
      <c r="D1695" s="90"/>
      <c r="E1695" s="90"/>
      <c r="F1695" s="90"/>
      <c r="G1695" s="90"/>
      <c r="H1695" s="89" t="s">
        <v>161</v>
      </c>
      <c r="I1695" s="91">
        <v>64.0</v>
      </c>
      <c r="J1695" s="92">
        <v>3.72</v>
      </c>
      <c r="K1695" s="92">
        <v>238.08</v>
      </c>
    </row>
    <row r="1696" ht="12.75" customHeight="1">
      <c r="I1696" s="79"/>
      <c r="J1696" s="80"/>
      <c r="K1696" s="80"/>
    </row>
    <row r="1697" ht="12.75" customHeight="1">
      <c r="B1697" s="90" t="s">
        <v>2971</v>
      </c>
      <c r="D1697" s="90"/>
      <c r="E1697" s="90"/>
      <c r="F1697" s="90"/>
      <c r="G1697" s="90"/>
      <c r="H1697" s="89" t="s">
        <v>161</v>
      </c>
      <c r="I1697" s="91">
        <v>169.0</v>
      </c>
      <c r="J1697" s="92">
        <v>2.66</v>
      </c>
      <c r="K1697" s="92">
        <v>449.54</v>
      </c>
    </row>
    <row r="1698" ht="12.75" customHeight="1">
      <c r="I1698" s="79"/>
      <c r="J1698" s="80"/>
      <c r="K1698" s="80"/>
    </row>
    <row r="1699" ht="12.75" customHeight="1">
      <c r="B1699" s="90" t="s">
        <v>2973</v>
      </c>
      <c r="D1699" s="90"/>
      <c r="E1699" s="90"/>
      <c r="F1699" s="90"/>
      <c r="G1699" s="90"/>
      <c r="H1699" s="89" t="s">
        <v>161</v>
      </c>
      <c r="I1699" s="91">
        <v>98.0</v>
      </c>
      <c r="J1699" s="92">
        <v>2.24</v>
      </c>
      <c r="K1699" s="92">
        <v>219.52</v>
      </c>
    </row>
    <row r="1700" ht="12.75" customHeight="1">
      <c r="I1700" s="79"/>
      <c r="J1700" s="80"/>
      <c r="K1700" s="80"/>
    </row>
    <row r="1701" ht="12.75" customHeight="1">
      <c r="B1701" s="90" t="s">
        <v>2975</v>
      </c>
      <c r="D1701" s="90"/>
      <c r="E1701" s="90"/>
      <c r="F1701" s="90"/>
      <c r="G1701" s="90"/>
      <c r="H1701" s="89" t="s">
        <v>161</v>
      </c>
      <c r="I1701" s="91">
        <v>25.0</v>
      </c>
      <c r="J1701" s="92">
        <v>1.81</v>
      </c>
      <c r="K1701" s="92">
        <v>45.25</v>
      </c>
    </row>
    <row r="1702" ht="12.75" customHeight="1">
      <c r="I1702" s="79"/>
      <c r="J1702" s="80"/>
      <c r="K1702" s="80"/>
    </row>
    <row r="1703" ht="12.75" customHeight="1">
      <c r="B1703" s="90" t="s">
        <v>2977</v>
      </c>
      <c r="D1703" s="90"/>
      <c r="E1703" s="90"/>
      <c r="F1703" s="90"/>
      <c r="G1703" s="90"/>
      <c r="H1703" s="89" t="s">
        <v>161</v>
      </c>
      <c r="I1703" s="91">
        <v>75.0</v>
      </c>
      <c r="J1703" s="92">
        <v>2.84</v>
      </c>
      <c r="K1703" s="92">
        <v>213.0</v>
      </c>
    </row>
    <row r="1704" ht="12.75" customHeight="1">
      <c r="I1704" s="79"/>
      <c r="J1704" s="80"/>
      <c r="K1704" s="80"/>
    </row>
    <row r="1705" ht="12.75" customHeight="1">
      <c r="B1705" s="90" t="s">
        <v>2702</v>
      </c>
      <c r="D1705" s="90"/>
      <c r="E1705" s="90"/>
      <c r="F1705" s="90"/>
      <c r="G1705" s="90"/>
      <c r="I1705" s="79"/>
      <c r="J1705" s="80"/>
      <c r="K1705" s="80"/>
    </row>
    <row r="1706" ht="12.75" customHeight="1">
      <c r="I1706" s="79"/>
      <c r="J1706" s="80"/>
      <c r="K1706" s="80"/>
    </row>
    <row r="1707" ht="12.75" customHeight="1">
      <c r="B1707" s="90" t="s">
        <v>4328</v>
      </c>
      <c r="D1707" s="90"/>
      <c r="E1707" s="90"/>
      <c r="F1707" s="90"/>
      <c r="G1707" s="90"/>
      <c r="H1707" s="89" t="s">
        <v>75</v>
      </c>
      <c r="I1707" s="91">
        <v>13.0</v>
      </c>
      <c r="J1707" s="92">
        <v>193.97</v>
      </c>
      <c r="K1707" s="92">
        <v>2521.61</v>
      </c>
    </row>
    <row r="1708" ht="12.75" customHeight="1">
      <c r="I1708" s="79"/>
      <c r="J1708" s="80"/>
      <c r="K1708" s="80"/>
    </row>
    <row r="1709" ht="12.75" customHeight="1">
      <c r="A1709" s="89" t="s">
        <v>1315</v>
      </c>
      <c r="B1709" s="90" t="s">
        <v>4329</v>
      </c>
      <c r="D1709" s="90"/>
      <c r="E1709" s="90"/>
      <c r="F1709" s="90"/>
      <c r="G1709" s="90"/>
      <c r="I1709" s="79"/>
      <c r="J1709" s="80"/>
      <c r="K1709" s="80"/>
    </row>
    <row r="1710" ht="12.75" customHeight="1">
      <c r="I1710" s="79"/>
      <c r="J1710" s="80"/>
      <c r="K1710" s="80"/>
    </row>
    <row r="1711" ht="12.75" customHeight="1">
      <c r="B1711" s="90" t="s">
        <v>4330</v>
      </c>
      <c r="D1711" s="90"/>
      <c r="E1711" s="90"/>
      <c r="F1711" s="90"/>
      <c r="G1711" s="90"/>
      <c r="I1711" s="79"/>
      <c r="J1711" s="80"/>
      <c r="K1711" s="80"/>
    </row>
    <row r="1712" ht="12.75" customHeight="1">
      <c r="I1712" s="79"/>
      <c r="J1712" s="80"/>
      <c r="K1712" s="80"/>
    </row>
    <row r="1713" ht="12.75" customHeight="1">
      <c r="B1713" s="90" t="s">
        <v>2983</v>
      </c>
      <c r="D1713" s="90"/>
      <c r="E1713" s="90"/>
      <c r="F1713" s="90"/>
      <c r="G1713" s="90"/>
      <c r="H1713" s="89" t="s">
        <v>75</v>
      </c>
      <c r="I1713" s="91">
        <v>1.0</v>
      </c>
      <c r="J1713" s="92">
        <v>107.0</v>
      </c>
      <c r="K1713" s="92">
        <v>107.0</v>
      </c>
    </row>
    <row r="1714" ht="12.75" customHeight="1">
      <c r="I1714" s="79"/>
      <c r="J1714" s="80"/>
      <c r="K1714" s="80"/>
    </row>
    <row r="1715" ht="12.75" customHeight="1">
      <c r="B1715" s="90" t="s">
        <v>4331</v>
      </c>
      <c r="D1715" s="90"/>
      <c r="E1715" s="90"/>
      <c r="F1715" s="90"/>
      <c r="G1715" s="90"/>
      <c r="H1715" s="89" t="s">
        <v>161</v>
      </c>
      <c r="I1715" s="91">
        <v>13.0</v>
      </c>
      <c r="J1715" s="92">
        <v>6.4</v>
      </c>
      <c r="K1715" s="92">
        <v>83.2</v>
      </c>
    </row>
    <row r="1716" ht="12.75" customHeight="1">
      <c r="I1716" s="79"/>
      <c r="J1716" s="80"/>
      <c r="K1716" s="80"/>
    </row>
    <row r="1717" ht="12.75" customHeight="1">
      <c r="B1717" s="90" t="s">
        <v>4332</v>
      </c>
      <c r="D1717" s="90"/>
      <c r="E1717" s="90"/>
      <c r="F1717" s="90"/>
      <c r="G1717" s="90"/>
      <c r="H1717" s="89" t="s">
        <v>75</v>
      </c>
      <c r="I1717" s="91">
        <v>3.0</v>
      </c>
      <c r="J1717" s="92">
        <v>45.43</v>
      </c>
      <c r="K1717" s="92">
        <v>136.29</v>
      </c>
    </row>
    <row r="1718" ht="12.75" customHeight="1">
      <c r="I1718" s="79"/>
      <c r="J1718" s="80"/>
      <c r="K1718" s="80"/>
    </row>
    <row r="1719" ht="12.75" customHeight="1">
      <c r="B1719" s="90" t="s">
        <v>2989</v>
      </c>
      <c r="D1719" s="90"/>
      <c r="E1719" s="90"/>
      <c r="F1719" s="90"/>
      <c r="G1719" s="90"/>
      <c r="H1719" s="89" t="s">
        <v>161</v>
      </c>
      <c r="I1719" s="91">
        <v>13.0</v>
      </c>
      <c r="J1719" s="92">
        <v>2.2</v>
      </c>
      <c r="K1719" s="92">
        <v>28.6</v>
      </c>
    </row>
    <row r="1720" ht="12.75" customHeight="1">
      <c r="I1720" s="79"/>
      <c r="J1720" s="80"/>
      <c r="K1720" s="80"/>
    </row>
    <row r="1721" ht="12.75" customHeight="1">
      <c r="B1721" s="90" t="s">
        <v>2991</v>
      </c>
      <c r="D1721" s="90"/>
      <c r="E1721" s="90"/>
      <c r="F1721" s="90"/>
      <c r="G1721" s="90"/>
      <c r="H1721" s="89" t="s">
        <v>161</v>
      </c>
      <c r="I1721" s="91">
        <v>7.0</v>
      </c>
      <c r="J1721" s="92">
        <v>6.4</v>
      </c>
      <c r="K1721" s="92">
        <v>44.8</v>
      </c>
    </row>
    <row r="1722" ht="12.75" customHeight="1">
      <c r="I1722" s="79"/>
      <c r="J1722" s="80"/>
      <c r="K1722" s="80"/>
    </row>
    <row r="1723" ht="12.75" customHeight="1">
      <c r="B1723" s="90" t="s">
        <v>4333</v>
      </c>
      <c r="D1723" s="90"/>
      <c r="E1723" s="90"/>
      <c r="F1723" s="90"/>
      <c r="G1723" s="90"/>
      <c r="H1723" s="89" t="s">
        <v>161</v>
      </c>
      <c r="I1723" s="91">
        <v>63.0</v>
      </c>
      <c r="J1723" s="92">
        <v>0.96</v>
      </c>
      <c r="K1723" s="92">
        <v>60.48</v>
      </c>
    </row>
    <row r="1724" ht="12.75" customHeight="1">
      <c r="I1724" s="79"/>
      <c r="J1724" s="80"/>
      <c r="K1724" s="80"/>
    </row>
    <row r="1725" ht="12.75" customHeight="1">
      <c r="B1725" s="90" t="s">
        <v>1324</v>
      </c>
      <c r="D1725" s="90"/>
      <c r="E1725" s="90"/>
      <c r="F1725" s="90"/>
      <c r="G1725" s="90"/>
      <c r="H1725" s="89" t="s">
        <v>161</v>
      </c>
      <c r="I1725" s="91">
        <v>63.0</v>
      </c>
      <c r="J1725" s="92">
        <v>1.81</v>
      </c>
      <c r="K1725" s="92">
        <v>114.03</v>
      </c>
    </row>
    <row r="1726" ht="12.75" customHeight="1">
      <c r="I1726" s="79"/>
      <c r="J1726" s="80"/>
      <c r="K1726" s="80"/>
    </row>
    <row r="1727" ht="12.75" customHeight="1">
      <c r="A1727" s="89" t="s">
        <v>1325</v>
      </c>
      <c r="B1727" s="90" t="s">
        <v>4334</v>
      </c>
      <c r="D1727" s="90"/>
      <c r="E1727" s="90"/>
      <c r="F1727" s="90"/>
      <c r="G1727" s="90"/>
      <c r="I1727" s="79"/>
      <c r="J1727" s="80"/>
      <c r="K1727" s="80"/>
    </row>
    <row r="1728" ht="12.75" customHeight="1">
      <c r="I1728" s="79"/>
      <c r="J1728" s="80"/>
      <c r="K1728" s="80"/>
    </row>
    <row r="1729" ht="12.75" customHeight="1">
      <c r="B1729" s="90" t="s">
        <v>4306</v>
      </c>
      <c r="D1729" s="90"/>
      <c r="E1729" s="90"/>
      <c r="F1729" s="90"/>
      <c r="G1729" s="90"/>
      <c r="I1729" s="79"/>
      <c r="J1729" s="80"/>
      <c r="K1729" s="80"/>
    </row>
    <row r="1730" ht="12.75" customHeight="1">
      <c r="I1730" s="79"/>
      <c r="J1730" s="80"/>
      <c r="K1730" s="80"/>
    </row>
    <row r="1731" ht="12.75" customHeight="1">
      <c r="B1731" s="90" t="s">
        <v>4330</v>
      </c>
      <c r="D1731" s="90"/>
      <c r="E1731" s="90"/>
      <c r="F1731" s="90"/>
      <c r="G1731" s="90"/>
      <c r="I1731" s="79"/>
      <c r="J1731" s="80"/>
      <c r="K1731" s="80"/>
    </row>
    <row r="1732" ht="12.75" customHeight="1">
      <c r="I1732" s="79"/>
      <c r="J1732" s="80"/>
      <c r="K1732" s="80"/>
    </row>
    <row r="1733" ht="12.75" customHeight="1">
      <c r="B1733" s="90" t="s">
        <v>4335</v>
      </c>
      <c r="D1733" s="90"/>
      <c r="E1733" s="90"/>
      <c r="F1733" s="90"/>
      <c r="G1733" s="90"/>
      <c r="H1733" s="89" t="s">
        <v>161</v>
      </c>
      <c r="I1733" s="91">
        <v>290.0</v>
      </c>
      <c r="J1733" s="92">
        <v>2.38</v>
      </c>
      <c r="K1733" s="92">
        <v>690.2</v>
      </c>
    </row>
    <row r="1734" ht="12.75" customHeight="1">
      <c r="I1734" s="79"/>
      <c r="J1734" s="80"/>
      <c r="K1734" s="80"/>
    </row>
    <row r="1735" ht="12.75" customHeight="1">
      <c r="B1735" s="90" t="s">
        <v>4336</v>
      </c>
      <c r="D1735" s="90"/>
      <c r="E1735" s="90"/>
      <c r="F1735" s="90"/>
      <c r="G1735" s="90"/>
      <c r="H1735" s="89" t="s">
        <v>161</v>
      </c>
      <c r="I1735" s="91">
        <v>19.0</v>
      </c>
      <c r="J1735" s="92">
        <v>3.89</v>
      </c>
      <c r="K1735" s="92">
        <v>73.91</v>
      </c>
    </row>
    <row r="1736" ht="12.75" customHeight="1">
      <c r="I1736" s="79"/>
      <c r="J1736" s="80"/>
      <c r="K1736" s="80"/>
    </row>
    <row r="1737" ht="12.75" customHeight="1">
      <c r="B1737" s="90" t="s">
        <v>3001</v>
      </c>
      <c r="D1737" s="90"/>
      <c r="E1737" s="90"/>
      <c r="F1737" s="90"/>
      <c r="G1737" s="90"/>
      <c r="H1737" s="89" t="s">
        <v>161</v>
      </c>
      <c r="I1737" s="91">
        <v>290.0</v>
      </c>
      <c r="J1737" s="92">
        <v>1.81</v>
      </c>
      <c r="K1737" s="92">
        <v>524.9</v>
      </c>
    </row>
    <row r="1738" ht="12.75" customHeight="1">
      <c r="I1738" s="79"/>
      <c r="J1738" s="80"/>
      <c r="K1738" s="80"/>
    </row>
    <row r="1739" ht="12.75" customHeight="1">
      <c r="B1739" s="90" t="s">
        <v>3003</v>
      </c>
      <c r="D1739" s="90"/>
      <c r="E1739" s="90"/>
      <c r="F1739" s="90"/>
      <c r="G1739" s="90"/>
      <c r="H1739" s="89" t="s">
        <v>161</v>
      </c>
      <c r="I1739" s="91">
        <v>19.0</v>
      </c>
      <c r="J1739" s="92">
        <v>2.34</v>
      </c>
      <c r="K1739" s="92">
        <v>44.46</v>
      </c>
    </row>
    <row r="1740" ht="12.75" customHeight="1">
      <c r="I1740" s="79"/>
      <c r="J1740" s="80"/>
      <c r="K1740" s="80"/>
    </row>
    <row r="1741" ht="12.75" customHeight="1">
      <c r="B1741" s="90" t="s">
        <v>4337</v>
      </c>
      <c r="D1741" s="90"/>
      <c r="E1741" s="90"/>
      <c r="F1741" s="90"/>
      <c r="G1741" s="90"/>
      <c r="H1741" s="89" t="s">
        <v>75</v>
      </c>
      <c r="I1741" s="91">
        <v>12.0</v>
      </c>
      <c r="J1741" s="92">
        <v>1.23</v>
      </c>
      <c r="K1741" s="92">
        <v>14.76</v>
      </c>
    </row>
    <row r="1742" ht="12.75" customHeight="1">
      <c r="I1742" s="79"/>
      <c r="J1742" s="80"/>
      <c r="K1742" s="80"/>
    </row>
    <row r="1743" ht="12.75" customHeight="1">
      <c r="A1743" s="89" t="s">
        <v>1332</v>
      </c>
      <c r="B1743" s="90" t="s">
        <v>3006</v>
      </c>
      <c r="D1743" s="90"/>
      <c r="E1743" s="90"/>
      <c r="F1743" s="90"/>
      <c r="G1743" s="90"/>
      <c r="I1743" s="79"/>
      <c r="J1743" s="80"/>
      <c r="K1743" s="80"/>
    </row>
    <row r="1744" ht="12.75" customHeight="1">
      <c r="I1744" s="79"/>
      <c r="J1744" s="80"/>
      <c r="K1744" s="80"/>
    </row>
    <row r="1745" ht="12.75" customHeight="1">
      <c r="B1745" s="90" t="s">
        <v>4306</v>
      </c>
      <c r="D1745" s="90"/>
      <c r="E1745" s="90"/>
      <c r="F1745" s="90"/>
      <c r="G1745" s="90"/>
      <c r="I1745" s="79"/>
      <c r="J1745" s="80"/>
      <c r="K1745" s="80"/>
    </row>
    <row r="1746" ht="12.75" customHeight="1">
      <c r="I1746" s="79"/>
      <c r="J1746" s="80"/>
      <c r="K1746" s="80"/>
    </row>
    <row r="1747" ht="12.75" customHeight="1">
      <c r="B1747" s="90" t="s">
        <v>4330</v>
      </c>
      <c r="D1747" s="90"/>
      <c r="E1747" s="90"/>
      <c r="F1747" s="90"/>
      <c r="G1747" s="90"/>
      <c r="I1747" s="79"/>
      <c r="J1747" s="80"/>
      <c r="K1747" s="80"/>
    </row>
    <row r="1748" ht="12.75" customHeight="1">
      <c r="I1748" s="79"/>
      <c r="J1748" s="80"/>
      <c r="K1748" s="80"/>
    </row>
    <row r="1749" ht="12.75" customHeight="1">
      <c r="B1749" s="90" t="s">
        <v>4338</v>
      </c>
      <c r="D1749" s="90"/>
      <c r="E1749" s="90"/>
      <c r="F1749" s="90"/>
      <c r="G1749" s="90"/>
      <c r="H1749" s="89" t="s">
        <v>161</v>
      </c>
      <c r="I1749" s="91">
        <v>732.0</v>
      </c>
      <c r="J1749" s="92">
        <v>3.09</v>
      </c>
      <c r="K1749" s="92">
        <v>2261.88</v>
      </c>
    </row>
    <row r="1750" ht="12.75" customHeight="1">
      <c r="I1750" s="79"/>
      <c r="J1750" s="80"/>
      <c r="K1750" s="80"/>
    </row>
    <row r="1751" ht="12.75" customHeight="1">
      <c r="B1751" s="90" t="s">
        <v>4339</v>
      </c>
      <c r="D1751" s="90"/>
      <c r="E1751" s="90"/>
      <c r="F1751" s="90"/>
      <c r="G1751" s="90"/>
      <c r="H1751" s="89" t="s">
        <v>161</v>
      </c>
      <c r="I1751" s="91">
        <v>780.0</v>
      </c>
      <c r="J1751" s="92">
        <v>2.86</v>
      </c>
      <c r="K1751" s="92">
        <v>2230.8</v>
      </c>
    </row>
    <row r="1752" ht="12.75" customHeight="1">
      <c r="I1752" s="79"/>
      <c r="J1752" s="80"/>
      <c r="K1752" s="80"/>
    </row>
    <row r="1753" ht="12.75" customHeight="1">
      <c r="B1753" s="90" t="s">
        <v>3014</v>
      </c>
      <c r="D1753" s="90"/>
      <c r="E1753" s="90"/>
      <c r="F1753" s="90"/>
      <c r="G1753" s="90"/>
      <c r="H1753" s="89" t="s">
        <v>161</v>
      </c>
      <c r="I1753" s="91">
        <v>40.0</v>
      </c>
      <c r="J1753" s="92">
        <v>3.17</v>
      </c>
      <c r="K1753" s="92">
        <v>126.8</v>
      </c>
    </row>
    <row r="1754" ht="12.75" customHeight="1">
      <c r="I1754" s="79"/>
      <c r="J1754" s="80"/>
      <c r="K1754" s="80"/>
    </row>
    <row r="1755" ht="12.75" customHeight="1">
      <c r="B1755" s="90" t="s">
        <v>3016</v>
      </c>
      <c r="D1755" s="90"/>
      <c r="E1755" s="90"/>
      <c r="F1755" s="90"/>
      <c r="G1755" s="90"/>
      <c r="H1755" s="89" t="s">
        <v>161</v>
      </c>
      <c r="I1755" s="91">
        <v>33.0</v>
      </c>
      <c r="J1755" s="92">
        <v>4.59</v>
      </c>
      <c r="K1755" s="92">
        <v>151.47</v>
      </c>
    </row>
    <row r="1756" ht="12.75" customHeight="1">
      <c r="I1756" s="79"/>
      <c r="J1756" s="80"/>
      <c r="K1756" s="80"/>
    </row>
    <row r="1757" ht="12.75" customHeight="1">
      <c r="B1757" s="90" t="s">
        <v>2697</v>
      </c>
      <c r="D1757" s="90"/>
      <c r="E1757" s="90"/>
      <c r="F1757" s="90"/>
      <c r="G1757" s="90"/>
      <c r="I1757" s="79"/>
      <c r="J1757" s="80"/>
      <c r="K1757" s="80"/>
    </row>
    <row r="1758" ht="12.75" customHeight="1">
      <c r="I1758" s="79"/>
      <c r="J1758" s="80"/>
      <c r="K1758" s="80"/>
    </row>
    <row r="1759" ht="12.75" customHeight="1">
      <c r="B1759" s="90" t="s">
        <v>4330</v>
      </c>
      <c r="D1759" s="90"/>
      <c r="E1759" s="90"/>
      <c r="F1759" s="90"/>
      <c r="G1759" s="90"/>
      <c r="I1759" s="79"/>
      <c r="J1759" s="80"/>
      <c r="K1759" s="80"/>
    </row>
    <row r="1760" ht="12.75" customHeight="1">
      <c r="I1760" s="79"/>
      <c r="J1760" s="80"/>
      <c r="K1760" s="80"/>
    </row>
    <row r="1761" ht="12.75" customHeight="1">
      <c r="B1761" s="90" t="s">
        <v>3001</v>
      </c>
      <c r="D1761" s="90"/>
      <c r="E1761" s="90"/>
      <c r="F1761" s="90"/>
      <c r="G1761" s="90"/>
      <c r="H1761" s="89" t="s">
        <v>161</v>
      </c>
      <c r="I1761" s="91">
        <v>1552.0</v>
      </c>
      <c r="J1761" s="92">
        <v>1.81</v>
      </c>
      <c r="K1761" s="92">
        <v>2809.12</v>
      </c>
    </row>
    <row r="1762" ht="12.75" customHeight="1">
      <c r="I1762" s="79"/>
      <c r="J1762" s="80"/>
      <c r="K1762" s="80"/>
    </row>
    <row r="1763" ht="12.75" customHeight="1">
      <c r="B1763" s="90" t="s">
        <v>3003</v>
      </c>
      <c r="D1763" s="90"/>
      <c r="E1763" s="90"/>
      <c r="F1763" s="90"/>
      <c r="G1763" s="90"/>
      <c r="H1763" s="89" t="s">
        <v>161</v>
      </c>
      <c r="I1763" s="91">
        <v>33.0</v>
      </c>
      <c r="J1763" s="92">
        <v>2.34</v>
      </c>
      <c r="K1763" s="92">
        <v>77.22</v>
      </c>
    </row>
    <row r="1764" ht="12.75" customHeight="1">
      <c r="I1764" s="79"/>
      <c r="J1764" s="80"/>
      <c r="K1764" s="80"/>
    </row>
    <row r="1765" ht="12.75" customHeight="1">
      <c r="B1765" s="90" t="s">
        <v>2702</v>
      </c>
      <c r="D1765" s="90"/>
      <c r="E1765" s="90"/>
      <c r="F1765" s="90"/>
      <c r="G1765" s="90"/>
      <c r="I1765" s="79"/>
      <c r="J1765" s="80"/>
      <c r="K1765" s="80"/>
    </row>
    <row r="1766" ht="12.75" customHeight="1">
      <c r="I1766" s="79"/>
      <c r="J1766" s="80"/>
      <c r="K1766" s="80"/>
    </row>
    <row r="1767" ht="12.75" customHeight="1">
      <c r="B1767" s="90" t="s">
        <v>4330</v>
      </c>
      <c r="D1767" s="90"/>
      <c r="E1767" s="90"/>
      <c r="F1767" s="90"/>
      <c r="G1767" s="90"/>
      <c r="I1767" s="79"/>
      <c r="J1767" s="80"/>
      <c r="K1767" s="80"/>
    </row>
    <row r="1768" ht="12.75" customHeight="1">
      <c r="I1768" s="79"/>
      <c r="J1768" s="80"/>
      <c r="K1768" s="80"/>
    </row>
    <row r="1769" ht="12.75" customHeight="1">
      <c r="B1769" s="90" t="s">
        <v>3022</v>
      </c>
      <c r="D1769" s="90"/>
      <c r="E1769" s="90"/>
      <c r="F1769" s="90"/>
      <c r="G1769" s="90"/>
      <c r="H1769" s="89" t="s">
        <v>75</v>
      </c>
      <c r="I1769" s="91">
        <v>160.0</v>
      </c>
      <c r="J1769" s="92">
        <v>2.3</v>
      </c>
      <c r="K1769" s="92">
        <v>368.0</v>
      </c>
    </row>
    <row r="1770" ht="12.75" customHeight="1">
      <c r="I1770" s="79"/>
      <c r="J1770" s="80"/>
      <c r="K1770" s="80"/>
    </row>
    <row r="1771" ht="12.75" customHeight="1">
      <c r="B1771" s="90" t="s">
        <v>4340</v>
      </c>
      <c r="D1771" s="90"/>
      <c r="E1771" s="90"/>
      <c r="F1771" s="90"/>
      <c r="G1771" s="90"/>
      <c r="I1771" s="79"/>
      <c r="J1771" s="80"/>
      <c r="K1771" s="80"/>
    </row>
    <row r="1772" ht="12.75" customHeight="1">
      <c r="I1772" s="79"/>
      <c r="J1772" s="80"/>
      <c r="K1772" s="80"/>
    </row>
    <row r="1773" ht="12.75" customHeight="1">
      <c r="B1773" s="90" t="s">
        <v>4330</v>
      </c>
      <c r="D1773" s="90"/>
      <c r="E1773" s="90"/>
      <c r="F1773" s="90"/>
      <c r="G1773" s="90"/>
      <c r="I1773" s="79"/>
      <c r="J1773" s="80"/>
      <c r="K1773" s="80"/>
    </row>
    <row r="1774" ht="12.75" customHeight="1">
      <c r="I1774" s="79"/>
      <c r="J1774" s="80"/>
      <c r="K1774" s="80"/>
    </row>
    <row r="1775" ht="12.75" customHeight="1">
      <c r="B1775" s="90" t="s">
        <v>4341</v>
      </c>
      <c r="D1775" s="90"/>
      <c r="E1775" s="90"/>
      <c r="F1775" s="90"/>
      <c r="G1775" s="90"/>
      <c r="H1775" s="89" t="s">
        <v>75</v>
      </c>
      <c r="I1775" s="91">
        <v>21.0</v>
      </c>
      <c r="J1775" s="92">
        <v>25.67</v>
      </c>
      <c r="K1775" s="92">
        <v>539.07</v>
      </c>
    </row>
    <row r="1776" ht="12.75" customHeight="1">
      <c r="I1776" s="79"/>
      <c r="J1776" s="80"/>
      <c r="K1776" s="80"/>
    </row>
    <row r="1777" ht="12.75" customHeight="1">
      <c r="B1777" s="90" t="s">
        <v>4342</v>
      </c>
      <c r="D1777" s="90"/>
      <c r="E1777" s="90"/>
      <c r="F1777" s="90"/>
      <c r="G1777" s="90"/>
      <c r="H1777" s="89" t="s">
        <v>75</v>
      </c>
      <c r="I1777" s="91">
        <v>41.0</v>
      </c>
      <c r="J1777" s="92">
        <v>51.34</v>
      </c>
      <c r="K1777" s="92">
        <v>2104.94</v>
      </c>
    </row>
    <row r="1778" ht="12.75" customHeight="1">
      <c r="I1778" s="79"/>
      <c r="J1778" s="80"/>
      <c r="K1778" s="80"/>
    </row>
    <row r="1779" ht="12.75" customHeight="1">
      <c r="B1779" s="90" t="s">
        <v>4343</v>
      </c>
      <c r="D1779" s="90"/>
      <c r="E1779" s="90"/>
      <c r="F1779" s="90"/>
      <c r="G1779" s="90"/>
      <c r="H1779" s="89" t="s">
        <v>75</v>
      </c>
      <c r="I1779" s="91">
        <v>8.0</v>
      </c>
      <c r="J1779" s="92">
        <v>145.73</v>
      </c>
      <c r="K1779" s="92">
        <v>1165.84</v>
      </c>
    </row>
    <row r="1780" ht="12.75" customHeight="1">
      <c r="I1780" s="79"/>
      <c r="J1780" s="80"/>
      <c r="K1780" s="80"/>
    </row>
    <row r="1781" ht="12.75" customHeight="1">
      <c r="B1781" s="90" t="s">
        <v>4344</v>
      </c>
      <c r="D1781" s="90"/>
      <c r="E1781" s="90"/>
      <c r="F1781" s="90"/>
      <c r="G1781" s="90"/>
      <c r="H1781" s="89" t="s">
        <v>75</v>
      </c>
      <c r="I1781" s="91">
        <v>9.0</v>
      </c>
      <c r="J1781" s="92">
        <v>36.58</v>
      </c>
      <c r="K1781" s="92">
        <v>329.22</v>
      </c>
    </row>
    <row r="1782" ht="12.75" customHeight="1">
      <c r="I1782" s="79"/>
      <c r="J1782" s="80"/>
      <c r="K1782" s="80"/>
    </row>
    <row r="1783" ht="12.75" customHeight="1">
      <c r="B1783" s="90" t="s">
        <v>4345</v>
      </c>
      <c r="D1783" s="90"/>
      <c r="E1783" s="90"/>
      <c r="F1783" s="90"/>
      <c r="G1783" s="90"/>
      <c r="H1783" s="89" t="s">
        <v>75</v>
      </c>
      <c r="I1783" s="91">
        <v>6.0</v>
      </c>
      <c r="J1783" s="92">
        <v>73.16</v>
      </c>
      <c r="K1783" s="92">
        <v>438.96</v>
      </c>
    </row>
    <row r="1784" ht="12.75" customHeight="1">
      <c r="I1784" s="79"/>
      <c r="J1784" s="80"/>
      <c r="K1784" s="80"/>
    </row>
    <row r="1785" ht="12.75" customHeight="1">
      <c r="B1785" s="90" t="s">
        <v>4346</v>
      </c>
      <c r="D1785" s="90"/>
      <c r="E1785" s="90"/>
      <c r="F1785" s="90"/>
      <c r="G1785" s="90"/>
      <c r="H1785" s="89" t="s">
        <v>75</v>
      </c>
      <c r="I1785" s="91">
        <v>2.0</v>
      </c>
      <c r="J1785" s="92">
        <v>1664.22</v>
      </c>
      <c r="K1785" s="92">
        <v>3328.44</v>
      </c>
    </row>
    <row r="1786" ht="12.75" customHeight="1">
      <c r="I1786" s="79"/>
      <c r="J1786" s="80"/>
      <c r="K1786" s="80"/>
    </row>
    <row r="1787" ht="12.75" customHeight="1">
      <c r="B1787" s="90" t="s">
        <v>4347</v>
      </c>
      <c r="D1787" s="90"/>
      <c r="E1787" s="90"/>
      <c r="F1787" s="90"/>
      <c r="G1787" s="90"/>
      <c r="H1787" s="89" t="s">
        <v>75</v>
      </c>
      <c r="I1787" s="91">
        <v>10.0</v>
      </c>
      <c r="J1787" s="92">
        <v>657.44</v>
      </c>
      <c r="K1787" s="92">
        <v>6574.4</v>
      </c>
    </row>
    <row r="1788" ht="12.75" customHeight="1">
      <c r="I1788" s="79"/>
      <c r="J1788" s="80"/>
      <c r="K1788" s="80"/>
    </row>
    <row r="1789" ht="12.75" customHeight="1">
      <c r="B1789" s="90" t="s">
        <v>4348</v>
      </c>
      <c r="D1789" s="90"/>
      <c r="E1789" s="90"/>
      <c r="F1789" s="90"/>
      <c r="G1789" s="90"/>
      <c r="H1789" s="89" t="s">
        <v>75</v>
      </c>
      <c r="I1789" s="91">
        <v>2.0</v>
      </c>
      <c r="J1789" s="92">
        <v>191.44</v>
      </c>
      <c r="K1789" s="92">
        <v>382.88</v>
      </c>
    </row>
    <row r="1790" ht="12.75" customHeight="1">
      <c r="I1790" s="79"/>
      <c r="J1790" s="80"/>
      <c r="K1790" s="80"/>
    </row>
    <row r="1791" ht="12.75" customHeight="1">
      <c r="B1791" s="90" t="s">
        <v>4349</v>
      </c>
      <c r="D1791" s="90"/>
      <c r="E1791" s="90"/>
      <c r="F1791" s="90"/>
      <c r="G1791" s="90"/>
      <c r="H1791" s="89" t="s">
        <v>75</v>
      </c>
      <c r="I1791" s="91">
        <v>14.0</v>
      </c>
      <c r="J1791" s="92">
        <v>65.95</v>
      </c>
      <c r="K1791" s="92">
        <v>923.3</v>
      </c>
    </row>
    <row r="1792" ht="12.75" customHeight="1">
      <c r="I1792" s="79"/>
      <c r="J1792" s="80"/>
      <c r="K1792" s="80"/>
    </row>
    <row r="1793" ht="12.75" customHeight="1">
      <c r="A1793" s="89" t="s">
        <v>1349</v>
      </c>
      <c r="B1793" s="90" t="s">
        <v>4350</v>
      </c>
      <c r="D1793" s="90"/>
      <c r="E1793" s="90"/>
      <c r="F1793" s="90"/>
      <c r="G1793" s="90"/>
      <c r="I1793" s="79"/>
      <c r="J1793" s="80"/>
      <c r="K1793" s="80"/>
    </row>
    <row r="1794" ht="12.75" customHeight="1">
      <c r="I1794" s="79"/>
      <c r="J1794" s="80"/>
      <c r="K1794" s="80"/>
    </row>
    <row r="1795" ht="12.75" customHeight="1">
      <c r="B1795" s="90" t="s">
        <v>4306</v>
      </c>
      <c r="D1795" s="90"/>
      <c r="E1795" s="90"/>
      <c r="F1795" s="90"/>
      <c r="G1795" s="90"/>
      <c r="I1795" s="79"/>
      <c r="J1795" s="80"/>
      <c r="K1795" s="80"/>
    </row>
    <row r="1796" ht="12.75" customHeight="1">
      <c r="I1796" s="79"/>
      <c r="J1796" s="80"/>
      <c r="K1796" s="80"/>
    </row>
    <row r="1797" ht="12.75" customHeight="1">
      <c r="B1797" s="90" t="s">
        <v>4330</v>
      </c>
      <c r="D1797" s="90"/>
      <c r="E1797" s="90"/>
      <c r="F1797" s="90"/>
      <c r="G1797" s="90"/>
      <c r="I1797" s="79"/>
      <c r="J1797" s="80"/>
      <c r="K1797" s="80"/>
    </row>
    <row r="1798" ht="12.75" customHeight="1">
      <c r="I1798" s="79"/>
      <c r="J1798" s="80"/>
      <c r="K1798" s="80"/>
    </row>
    <row r="1799" ht="12.75" customHeight="1">
      <c r="B1799" s="90" t="s">
        <v>4351</v>
      </c>
      <c r="D1799" s="90"/>
      <c r="E1799" s="90"/>
      <c r="F1799" s="90"/>
      <c r="G1799" s="90"/>
      <c r="H1799" s="89" t="s">
        <v>161</v>
      </c>
      <c r="I1799" s="91">
        <v>704.0</v>
      </c>
      <c r="J1799" s="92">
        <v>3.04</v>
      </c>
      <c r="K1799" s="92">
        <v>2140.16</v>
      </c>
    </row>
    <row r="1800" ht="12.75" customHeight="1">
      <c r="I1800" s="79"/>
      <c r="J1800" s="80"/>
      <c r="K1800" s="80"/>
    </row>
    <row r="1801" ht="12.75" customHeight="1">
      <c r="B1801" s="90" t="s">
        <v>2697</v>
      </c>
      <c r="D1801" s="90"/>
      <c r="E1801" s="90"/>
      <c r="F1801" s="90"/>
      <c r="G1801" s="90"/>
      <c r="I1801" s="79"/>
      <c r="J1801" s="80"/>
      <c r="K1801" s="80"/>
    </row>
    <row r="1802" ht="12.75" customHeight="1">
      <c r="I1802" s="79"/>
      <c r="J1802" s="80"/>
      <c r="K1802" s="80"/>
    </row>
    <row r="1803" ht="12.75" customHeight="1">
      <c r="B1803" s="90" t="s">
        <v>4330</v>
      </c>
      <c r="D1803" s="90"/>
      <c r="E1803" s="90"/>
      <c r="F1803" s="90"/>
      <c r="G1803" s="90"/>
      <c r="I1803" s="79"/>
      <c r="J1803" s="80"/>
      <c r="K1803" s="80"/>
    </row>
    <row r="1804" ht="12.75" customHeight="1">
      <c r="I1804" s="79"/>
      <c r="J1804" s="80"/>
      <c r="K1804" s="80"/>
    </row>
    <row r="1805" ht="12.75" customHeight="1">
      <c r="B1805" s="90" t="s">
        <v>3046</v>
      </c>
      <c r="D1805" s="90"/>
      <c r="E1805" s="90"/>
      <c r="F1805" s="90"/>
      <c r="G1805" s="90"/>
      <c r="H1805" s="89" t="s">
        <v>161</v>
      </c>
      <c r="I1805" s="91">
        <v>704.0</v>
      </c>
      <c r="J1805" s="92">
        <v>1.81</v>
      </c>
      <c r="K1805" s="92">
        <v>1274.24</v>
      </c>
    </row>
    <row r="1806" ht="12.75" customHeight="1">
      <c r="I1806" s="79"/>
      <c r="J1806" s="80"/>
      <c r="K1806" s="80"/>
    </row>
    <row r="1807" ht="12.75" customHeight="1">
      <c r="B1807" s="90" t="s">
        <v>2702</v>
      </c>
      <c r="D1807" s="90"/>
      <c r="E1807" s="90"/>
      <c r="F1807" s="90"/>
      <c r="G1807" s="90"/>
      <c r="I1807" s="79"/>
      <c r="J1807" s="80"/>
      <c r="K1807" s="80"/>
    </row>
    <row r="1808" ht="12.75" customHeight="1">
      <c r="I1808" s="79"/>
      <c r="J1808" s="80"/>
      <c r="K1808" s="80"/>
    </row>
    <row r="1809" ht="12.75" customHeight="1">
      <c r="B1809" s="90" t="s">
        <v>4330</v>
      </c>
      <c r="D1809" s="90"/>
      <c r="E1809" s="90"/>
      <c r="F1809" s="90"/>
      <c r="G1809" s="90"/>
      <c r="I1809" s="79"/>
      <c r="J1809" s="80"/>
      <c r="K1809" s="80"/>
    </row>
    <row r="1810" ht="12.75" customHeight="1">
      <c r="I1810" s="79"/>
      <c r="J1810" s="80"/>
      <c r="K1810" s="80"/>
    </row>
    <row r="1811" ht="12.75" customHeight="1">
      <c r="B1811" s="90" t="s">
        <v>3048</v>
      </c>
      <c r="D1811" s="90"/>
      <c r="E1811" s="90"/>
      <c r="F1811" s="90"/>
      <c r="G1811" s="90"/>
      <c r="H1811" s="89" t="s">
        <v>75</v>
      </c>
      <c r="I1811" s="91">
        <v>29.0</v>
      </c>
      <c r="J1811" s="92">
        <v>11.26</v>
      </c>
      <c r="K1811" s="92">
        <v>326.54</v>
      </c>
    </row>
    <row r="1812" ht="12.75" customHeight="1">
      <c r="I1812" s="79"/>
      <c r="J1812" s="80"/>
      <c r="K1812" s="80"/>
    </row>
    <row r="1813" ht="12.75" customHeight="1">
      <c r="A1813" s="89" t="s">
        <v>1354</v>
      </c>
      <c r="B1813" s="90" t="s">
        <v>4352</v>
      </c>
      <c r="D1813" s="90"/>
      <c r="E1813" s="90"/>
      <c r="F1813" s="90"/>
      <c r="G1813" s="90"/>
      <c r="I1813" s="79"/>
      <c r="J1813" s="80"/>
      <c r="K1813" s="80"/>
    </row>
    <row r="1814" ht="12.75" customHeight="1">
      <c r="I1814" s="79"/>
      <c r="J1814" s="80"/>
      <c r="K1814" s="80"/>
    </row>
    <row r="1815" ht="12.75" customHeight="1">
      <c r="B1815" s="90" t="s">
        <v>4306</v>
      </c>
      <c r="D1815" s="90"/>
      <c r="E1815" s="90"/>
      <c r="F1815" s="90"/>
      <c r="G1815" s="90"/>
      <c r="I1815" s="79"/>
      <c r="J1815" s="80"/>
      <c r="K1815" s="80"/>
    </row>
    <row r="1816" ht="12.75" customHeight="1">
      <c r="I1816" s="79"/>
      <c r="J1816" s="80"/>
      <c r="K1816" s="80"/>
    </row>
    <row r="1817" ht="12.75" customHeight="1">
      <c r="B1817" s="90" t="s">
        <v>4330</v>
      </c>
      <c r="D1817" s="90"/>
      <c r="E1817" s="90"/>
      <c r="F1817" s="90"/>
      <c r="G1817" s="90"/>
      <c r="I1817" s="79"/>
      <c r="J1817" s="80"/>
      <c r="K1817" s="80"/>
    </row>
    <row r="1818" ht="12.75" customHeight="1">
      <c r="I1818" s="79"/>
      <c r="J1818" s="80"/>
      <c r="K1818" s="80"/>
    </row>
    <row r="1819" ht="12.75" customHeight="1">
      <c r="B1819" s="90" t="s">
        <v>4353</v>
      </c>
      <c r="D1819" s="90"/>
      <c r="E1819" s="90"/>
      <c r="F1819" s="90"/>
      <c r="G1819" s="90"/>
      <c r="H1819" s="89" t="s">
        <v>161</v>
      </c>
      <c r="I1819" s="91">
        <v>984.0</v>
      </c>
      <c r="J1819" s="92">
        <v>2.12</v>
      </c>
      <c r="K1819" s="92">
        <v>2086.08</v>
      </c>
    </row>
    <row r="1820" ht="12.75" customHeight="1">
      <c r="I1820" s="79"/>
      <c r="J1820" s="80"/>
      <c r="K1820" s="80"/>
    </row>
    <row r="1821" ht="12.75" customHeight="1">
      <c r="B1821" s="90" t="s">
        <v>4354</v>
      </c>
      <c r="D1821" s="90"/>
      <c r="E1821" s="90"/>
      <c r="F1821" s="90"/>
      <c r="G1821" s="90"/>
      <c r="H1821" s="89" t="s">
        <v>161</v>
      </c>
      <c r="I1821" s="91">
        <v>1527.0</v>
      </c>
      <c r="J1821" s="92">
        <v>2.38</v>
      </c>
      <c r="K1821" s="92">
        <v>3634.26</v>
      </c>
    </row>
    <row r="1822" ht="12.75" customHeight="1">
      <c r="I1822" s="79"/>
      <c r="J1822" s="80"/>
      <c r="K1822" s="80"/>
    </row>
    <row r="1823" ht="12.75" customHeight="1">
      <c r="B1823" s="90" t="s">
        <v>4355</v>
      </c>
      <c r="D1823" s="90"/>
      <c r="E1823" s="90"/>
      <c r="F1823" s="90"/>
      <c r="G1823" s="90"/>
      <c r="H1823" s="89" t="s">
        <v>161</v>
      </c>
      <c r="I1823" s="91">
        <v>355.0</v>
      </c>
      <c r="J1823" s="92">
        <v>3.36</v>
      </c>
      <c r="K1823" s="92">
        <v>1192.8</v>
      </c>
    </row>
    <row r="1824" ht="12.75" customHeight="1">
      <c r="I1824" s="79"/>
      <c r="J1824" s="80"/>
      <c r="K1824" s="80"/>
    </row>
    <row r="1825" ht="12.75" customHeight="1">
      <c r="B1825" s="90" t="s">
        <v>2697</v>
      </c>
      <c r="D1825" s="90"/>
      <c r="E1825" s="90"/>
      <c r="F1825" s="90"/>
      <c r="G1825" s="90"/>
      <c r="I1825" s="79"/>
      <c r="J1825" s="80"/>
      <c r="K1825" s="80"/>
    </row>
    <row r="1826" ht="12.75" customHeight="1">
      <c r="I1826" s="79"/>
      <c r="J1826" s="80"/>
      <c r="K1826" s="80"/>
    </row>
    <row r="1827" ht="12.75" customHeight="1">
      <c r="B1827" s="90" t="s">
        <v>4330</v>
      </c>
      <c r="D1827" s="90"/>
      <c r="E1827" s="90"/>
      <c r="F1827" s="90"/>
      <c r="G1827" s="90"/>
      <c r="I1827" s="79"/>
      <c r="J1827" s="80"/>
      <c r="K1827" s="80"/>
    </row>
    <row r="1828" ht="12.75" customHeight="1">
      <c r="I1828" s="79"/>
      <c r="J1828" s="80"/>
      <c r="K1828" s="80"/>
    </row>
    <row r="1829" ht="12.75" customHeight="1">
      <c r="B1829" s="90" t="s">
        <v>4356</v>
      </c>
      <c r="D1829" s="90"/>
      <c r="E1829" s="90"/>
      <c r="F1829" s="90"/>
      <c r="G1829" s="90"/>
      <c r="H1829" s="89" t="s">
        <v>161</v>
      </c>
      <c r="I1829" s="91">
        <v>2865.0</v>
      </c>
      <c r="J1829" s="92">
        <v>1.81</v>
      </c>
      <c r="K1829" s="92">
        <v>5185.65</v>
      </c>
    </row>
    <row r="1830" ht="12.75" customHeight="1">
      <c r="I1830" s="79"/>
      <c r="J1830" s="80"/>
      <c r="K1830" s="80"/>
    </row>
    <row r="1831" ht="12.75" customHeight="1">
      <c r="B1831" s="90" t="s">
        <v>2702</v>
      </c>
      <c r="D1831" s="90"/>
      <c r="E1831" s="90"/>
      <c r="F1831" s="90"/>
      <c r="G1831" s="90"/>
      <c r="I1831" s="79"/>
      <c r="J1831" s="80"/>
      <c r="K1831" s="80"/>
    </row>
    <row r="1832" ht="12.75" customHeight="1">
      <c r="I1832" s="79"/>
      <c r="J1832" s="80"/>
      <c r="K1832" s="80"/>
    </row>
    <row r="1833" ht="12.75" customHeight="1">
      <c r="B1833" s="90" t="s">
        <v>4330</v>
      </c>
      <c r="D1833" s="90"/>
      <c r="E1833" s="90"/>
      <c r="F1833" s="90"/>
      <c r="G1833" s="90"/>
      <c r="I1833" s="79"/>
      <c r="J1833" s="80"/>
      <c r="K1833" s="80"/>
    </row>
    <row r="1834" ht="12.75" customHeight="1">
      <c r="I1834" s="79"/>
      <c r="J1834" s="80"/>
      <c r="K1834" s="80"/>
    </row>
    <row r="1835" ht="12.75" customHeight="1">
      <c r="B1835" s="90" t="s">
        <v>3059</v>
      </c>
      <c r="D1835" s="90"/>
      <c r="E1835" s="90"/>
      <c r="F1835" s="90"/>
      <c r="G1835" s="90"/>
      <c r="H1835" s="89" t="s">
        <v>75</v>
      </c>
      <c r="I1835" s="91">
        <v>199.0</v>
      </c>
      <c r="J1835" s="92">
        <v>13.53</v>
      </c>
      <c r="K1835" s="92">
        <v>2692.47</v>
      </c>
    </row>
    <row r="1836" ht="12.75" customHeight="1">
      <c r="I1836" s="79"/>
      <c r="J1836" s="80"/>
      <c r="K1836" s="80"/>
    </row>
    <row r="1837" ht="12.75" customHeight="1">
      <c r="B1837" s="90" t="s">
        <v>3061</v>
      </c>
      <c r="D1837" s="90"/>
      <c r="E1837" s="90"/>
      <c r="F1837" s="90"/>
      <c r="G1837" s="90"/>
      <c r="H1837" s="89" t="s">
        <v>75</v>
      </c>
      <c r="I1837" s="91">
        <v>15.0</v>
      </c>
      <c r="J1837" s="92">
        <v>84.7</v>
      </c>
      <c r="K1837" s="92">
        <v>1270.5</v>
      </c>
    </row>
    <row r="1838" ht="12.75" customHeight="1">
      <c r="I1838" s="79"/>
      <c r="J1838" s="80"/>
      <c r="K1838" s="80"/>
    </row>
    <row r="1839" ht="12.75" customHeight="1">
      <c r="B1839" s="90" t="s">
        <v>4357</v>
      </c>
      <c r="D1839" s="90"/>
      <c r="E1839" s="90"/>
      <c r="F1839" s="90"/>
      <c r="G1839" s="90"/>
      <c r="H1839" s="89" t="s">
        <v>75</v>
      </c>
      <c r="I1839" s="91">
        <v>16.0</v>
      </c>
      <c r="J1839" s="92">
        <v>1.23</v>
      </c>
      <c r="K1839" s="92">
        <v>19.68</v>
      </c>
    </row>
    <row r="1840" ht="12.75" customHeight="1">
      <c r="I1840" s="79"/>
      <c r="J1840" s="80"/>
      <c r="K1840" s="80"/>
    </row>
    <row r="1841" ht="12.75" customHeight="1">
      <c r="B1841" s="90" t="s">
        <v>4358</v>
      </c>
      <c r="D1841" s="90"/>
      <c r="E1841" s="90"/>
      <c r="F1841" s="90"/>
      <c r="G1841" s="90"/>
      <c r="H1841" s="89" t="s">
        <v>75</v>
      </c>
      <c r="I1841" s="91">
        <v>10.0</v>
      </c>
      <c r="J1841" s="92">
        <v>61.67</v>
      </c>
      <c r="K1841" s="92">
        <v>616.7</v>
      </c>
    </row>
    <row r="1842" ht="12.75" customHeight="1">
      <c r="I1842" s="79"/>
      <c r="J1842" s="80"/>
      <c r="K1842" s="80"/>
    </row>
    <row r="1843" ht="12.75" customHeight="1">
      <c r="B1843" s="90" t="s">
        <v>4359</v>
      </c>
      <c r="D1843" s="90"/>
      <c r="E1843" s="90"/>
      <c r="F1843" s="90"/>
      <c r="G1843" s="90"/>
      <c r="I1843" s="79"/>
      <c r="J1843" s="80"/>
      <c r="K1843" s="80"/>
    </row>
    <row r="1844" ht="12.75" customHeight="1">
      <c r="I1844" s="79"/>
      <c r="J1844" s="80"/>
      <c r="K1844" s="80"/>
    </row>
    <row r="1845" ht="12.75" customHeight="1">
      <c r="B1845" s="90" t="s">
        <v>4360</v>
      </c>
      <c r="D1845" s="90"/>
      <c r="E1845" s="90"/>
      <c r="F1845" s="90"/>
      <c r="G1845" s="90"/>
      <c r="I1845" s="79"/>
      <c r="J1845" s="80"/>
      <c r="K1845" s="80"/>
    </row>
    <row r="1846" ht="12.75" customHeight="1">
      <c r="I1846" s="79"/>
      <c r="J1846" s="80"/>
      <c r="K1846" s="80"/>
    </row>
    <row r="1847" ht="12.75" customHeight="1">
      <c r="B1847" s="90" t="s">
        <v>4361</v>
      </c>
      <c r="D1847" s="90"/>
      <c r="E1847" s="90"/>
      <c r="F1847" s="90"/>
      <c r="G1847" s="90"/>
      <c r="I1847" s="79"/>
      <c r="J1847" s="80"/>
      <c r="K1847" s="80"/>
    </row>
    <row r="1848" ht="12.75" customHeight="1">
      <c r="I1848" s="79"/>
      <c r="J1848" s="80"/>
      <c r="K1848" s="80"/>
    </row>
    <row r="1849" ht="12.75" customHeight="1">
      <c r="B1849" s="90" t="s">
        <v>3070</v>
      </c>
      <c r="D1849" s="90"/>
      <c r="E1849" s="90"/>
      <c r="F1849" s="90"/>
      <c r="G1849" s="90"/>
      <c r="I1849" s="79"/>
      <c r="J1849" s="80"/>
      <c r="K1849" s="80"/>
    </row>
    <row r="1850" ht="12.75" customHeight="1">
      <c r="I1850" s="79"/>
      <c r="J1850" s="80"/>
      <c r="K1850" s="80"/>
    </row>
    <row r="1851" ht="12.75" customHeight="1">
      <c r="B1851" s="90" t="s">
        <v>4362</v>
      </c>
      <c r="D1851" s="90"/>
      <c r="E1851" s="90"/>
      <c r="F1851" s="90"/>
      <c r="G1851" s="90"/>
      <c r="H1851" s="89" t="s">
        <v>75</v>
      </c>
      <c r="I1851" s="91">
        <v>9.0</v>
      </c>
      <c r="J1851" s="92">
        <v>9.18</v>
      </c>
      <c r="K1851" s="92">
        <v>82.62</v>
      </c>
    </row>
    <row r="1852" ht="12.75" customHeight="1">
      <c r="I1852" s="79"/>
      <c r="J1852" s="80"/>
      <c r="K1852" s="80"/>
    </row>
    <row r="1853" ht="12.75" customHeight="1">
      <c r="B1853" s="90" t="s">
        <v>3074</v>
      </c>
      <c r="D1853" s="90"/>
      <c r="E1853" s="90"/>
      <c r="F1853" s="90"/>
      <c r="G1853" s="90"/>
      <c r="H1853" s="89" t="s">
        <v>75</v>
      </c>
      <c r="I1853" s="91">
        <v>11.0</v>
      </c>
      <c r="J1853" s="92">
        <v>9.18</v>
      </c>
      <c r="K1853" s="92">
        <v>100.98</v>
      </c>
    </row>
    <row r="1854" ht="12.75" customHeight="1">
      <c r="I1854" s="79"/>
      <c r="J1854" s="80"/>
      <c r="K1854" s="80"/>
    </row>
    <row r="1855" ht="12.75" customHeight="1">
      <c r="B1855" s="90" t="s">
        <v>3076</v>
      </c>
      <c r="D1855" s="90"/>
      <c r="E1855" s="90"/>
      <c r="F1855" s="90"/>
      <c r="G1855" s="90"/>
      <c r="H1855" s="89" t="s">
        <v>75</v>
      </c>
      <c r="I1855" s="91">
        <v>7.0</v>
      </c>
      <c r="J1855" s="92">
        <v>9.18</v>
      </c>
      <c r="K1855" s="92">
        <v>64.26</v>
      </c>
    </row>
    <row r="1856" ht="12.75" customHeight="1">
      <c r="I1856" s="79"/>
      <c r="J1856" s="80"/>
      <c r="K1856" s="80"/>
    </row>
    <row r="1857" ht="12.75" customHeight="1">
      <c r="B1857" s="90" t="s">
        <v>3078</v>
      </c>
      <c r="D1857" s="90"/>
      <c r="E1857" s="90"/>
      <c r="F1857" s="90"/>
      <c r="G1857" s="90"/>
      <c r="H1857" s="89" t="s">
        <v>75</v>
      </c>
      <c r="I1857" s="91">
        <v>2.0</v>
      </c>
      <c r="J1857" s="92">
        <v>9.18</v>
      </c>
      <c r="K1857" s="92">
        <v>18.36</v>
      </c>
    </row>
    <row r="1858" ht="12.75" customHeight="1">
      <c r="I1858" s="79"/>
      <c r="J1858" s="80"/>
      <c r="K1858" s="80"/>
    </row>
    <row r="1859" ht="12.75" customHeight="1">
      <c r="B1859" s="90" t="s">
        <v>3080</v>
      </c>
      <c r="D1859" s="90"/>
      <c r="E1859" s="90"/>
      <c r="F1859" s="90"/>
      <c r="G1859" s="90"/>
      <c r="H1859" s="89" t="s">
        <v>75</v>
      </c>
      <c r="I1859" s="91">
        <v>8.0</v>
      </c>
      <c r="J1859" s="92">
        <v>9.18</v>
      </c>
      <c r="K1859" s="92">
        <v>73.44</v>
      </c>
    </row>
    <row r="1860" ht="12.75" customHeight="1">
      <c r="I1860" s="79"/>
      <c r="J1860" s="80"/>
      <c r="K1860" s="80"/>
    </row>
    <row r="1861" ht="12.75" customHeight="1">
      <c r="B1861" s="90" t="s">
        <v>3082</v>
      </c>
      <c r="D1861" s="90"/>
      <c r="E1861" s="90"/>
      <c r="F1861" s="90"/>
      <c r="G1861" s="90"/>
      <c r="H1861" s="89" t="s">
        <v>1374</v>
      </c>
      <c r="I1861" s="91">
        <v>2.0</v>
      </c>
      <c r="J1861" s="92">
        <v>9.18</v>
      </c>
      <c r="K1861" s="92">
        <v>18.36</v>
      </c>
    </row>
    <row r="1862" ht="12.75" customHeight="1">
      <c r="I1862" s="79"/>
      <c r="J1862" s="80"/>
      <c r="K1862" s="80"/>
    </row>
    <row r="1863" ht="12.75" customHeight="1">
      <c r="B1863" s="90" t="s">
        <v>3084</v>
      </c>
      <c r="D1863" s="90"/>
      <c r="E1863" s="90"/>
      <c r="F1863" s="90"/>
      <c r="G1863" s="90"/>
      <c r="H1863" s="89" t="s">
        <v>75</v>
      </c>
      <c r="I1863" s="91">
        <v>1.0</v>
      </c>
      <c r="J1863" s="92">
        <v>9.18</v>
      </c>
      <c r="K1863" s="92">
        <v>9.18</v>
      </c>
    </row>
    <row r="1864" ht="12.75" customHeight="1">
      <c r="I1864" s="79"/>
      <c r="J1864" s="80"/>
      <c r="K1864" s="80"/>
    </row>
    <row r="1865" ht="12.75" customHeight="1">
      <c r="B1865" s="90" t="s">
        <v>4363</v>
      </c>
      <c r="D1865" s="90"/>
      <c r="E1865" s="90"/>
      <c r="F1865" s="90"/>
      <c r="G1865" s="90"/>
      <c r="H1865" s="89" t="s">
        <v>75</v>
      </c>
      <c r="I1865" s="91">
        <v>3.0</v>
      </c>
      <c r="J1865" s="92">
        <v>2.12</v>
      </c>
      <c r="K1865" s="92">
        <v>6.36</v>
      </c>
    </row>
    <row r="1866" ht="12.75" customHeight="1">
      <c r="I1866" s="79"/>
      <c r="J1866" s="80"/>
      <c r="K1866" s="80"/>
    </row>
    <row r="1867" ht="12.75" customHeight="1">
      <c r="B1867" s="90" t="s">
        <v>4364</v>
      </c>
      <c r="D1867" s="90"/>
      <c r="E1867" s="90"/>
      <c r="F1867" s="90"/>
      <c r="G1867" s="90"/>
      <c r="H1867" s="89" t="s">
        <v>75</v>
      </c>
      <c r="I1867" s="91">
        <v>2.0</v>
      </c>
      <c r="J1867" s="92">
        <v>9.18</v>
      </c>
      <c r="K1867" s="92">
        <v>18.36</v>
      </c>
    </row>
    <row r="1868" ht="12.75" customHeight="1">
      <c r="I1868" s="79"/>
      <c r="J1868" s="80"/>
      <c r="K1868" s="80"/>
    </row>
    <row r="1869" ht="12.75" customHeight="1">
      <c r="B1869" s="90" t="s">
        <v>4365</v>
      </c>
      <c r="D1869" s="90"/>
      <c r="E1869" s="90"/>
      <c r="F1869" s="90"/>
      <c r="G1869" s="90"/>
      <c r="H1869" s="89" t="s">
        <v>75</v>
      </c>
      <c r="I1869" s="91">
        <v>1.0</v>
      </c>
      <c r="J1869" s="92">
        <v>9.18</v>
      </c>
      <c r="K1869" s="92">
        <v>9.18</v>
      </c>
    </row>
    <row r="1870" ht="12.75" customHeight="1">
      <c r="I1870" s="79"/>
      <c r="J1870" s="80"/>
      <c r="K1870" s="80"/>
    </row>
    <row r="1871" ht="12.75" customHeight="1">
      <c r="B1871" s="90" t="s">
        <v>4366</v>
      </c>
      <c r="D1871" s="90"/>
      <c r="E1871" s="90"/>
      <c r="F1871" s="90"/>
      <c r="G1871" s="90"/>
      <c r="H1871" s="89" t="s">
        <v>75</v>
      </c>
      <c r="I1871" s="91">
        <v>1.0</v>
      </c>
      <c r="J1871" s="92">
        <v>9.18</v>
      </c>
      <c r="K1871" s="92">
        <v>9.18</v>
      </c>
    </row>
    <row r="1872" ht="12.75" customHeight="1">
      <c r="I1872" s="79"/>
      <c r="J1872" s="80"/>
      <c r="K1872" s="80"/>
    </row>
    <row r="1873" ht="12.75" customHeight="1">
      <c r="B1873" s="90" t="s">
        <v>3094</v>
      </c>
      <c r="D1873" s="90"/>
      <c r="E1873" s="90"/>
      <c r="F1873" s="90"/>
      <c r="G1873" s="90"/>
      <c r="H1873" s="89" t="s">
        <v>75</v>
      </c>
      <c r="I1873" s="91">
        <v>1.0</v>
      </c>
      <c r="J1873" s="92">
        <v>9.18</v>
      </c>
      <c r="K1873" s="92">
        <v>9.18</v>
      </c>
    </row>
    <row r="1874" ht="12.75" customHeight="1">
      <c r="I1874" s="79"/>
      <c r="J1874" s="80"/>
      <c r="K1874" s="80"/>
    </row>
    <row r="1875" ht="12.75" customHeight="1">
      <c r="B1875" s="90" t="s">
        <v>4367</v>
      </c>
      <c r="D1875" s="90"/>
      <c r="E1875" s="90"/>
      <c r="F1875" s="90"/>
      <c r="G1875" s="90"/>
      <c r="H1875" s="89" t="s">
        <v>75</v>
      </c>
      <c r="I1875" s="91">
        <v>1.0</v>
      </c>
      <c r="J1875" s="92">
        <v>69.67</v>
      </c>
      <c r="K1875" s="92">
        <v>69.67</v>
      </c>
    </row>
    <row r="1876" ht="12.75" customHeight="1">
      <c r="I1876" s="79"/>
      <c r="J1876" s="80"/>
      <c r="K1876" s="80"/>
    </row>
    <row r="1877" ht="12.75" customHeight="1">
      <c r="B1877" s="90" t="s">
        <v>4368</v>
      </c>
      <c r="D1877" s="90"/>
      <c r="E1877" s="90"/>
      <c r="F1877" s="90"/>
      <c r="G1877" s="90"/>
      <c r="H1877" s="89" t="s">
        <v>75</v>
      </c>
      <c r="I1877" s="91">
        <v>3.0</v>
      </c>
      <c r="J1877" s="92">
        <v>21.66</v>
      </c>
      <c r="K1877" s="92">
        <v>64.98</v>
      </c>
    </row>
    <row r="1878" ht="12.75" customHeight="1">
      <c r="I1878" s="79"/>
      <c r="J1878" s="80"/>
      <c r="K1878" s="80"/>
    </row>
    <row r="1879" ht="12.75" customHeight="1">
      <c r="B1879" s="90" t="s">
        <v>4369</v>
      </c>
      <c r="D1879" s="90"/>
      <c r="E1879" s="90"/>
      <c r="F1879" s="90"/>
      <c r="G1879" s="90"/>
      <c r="H1879" s="89" t="s">
        <v>75</v>
      </c>
      <c r="I1879" s="91">
        <v>6.0</v>
      </c>
      <c r="J1879" s="92">
        <v>107.0</v>
      </c>
      <c r="K1879" s="92">
        <v>642.0</v>
      </c>
    </row>
    <row r="1880" ht="12.75" customHeight="1">
      <c r="I1880" s="79"/>
      <c r="J1880" s="80"/>
      <c r="K1880" s="80"/>
    </row>
    <row r="1881" ht="12.75" customHeight="1">
      <c r="B1881" s="90" t="s">
        <v>3102</v>
      </c>
      <c r="D1881" s="90"/>
      <c r="E1881" s="90"/>
      <c r="F1881" s="90"/>
      <c r="G1881" s="90"/>
      <c r="I1881" s="79"/>
      <c r="J1881" s="80"/>
      <c r="K1881" s="80"/>
    </row>
    <row r="1882" ht="12.75" customHeight="1">
      <c r="I1882" s="79"/>
      <c r="J1882" s="80"/>
      <c r="K1882" s="80"/>
    </row>
    <row r="1883" ht="12.75" customHeight="1">
      <c r="B1883" s="90" t="s">
        <v>3074</v>
      </c>
      <c r="D1883" s="90"/>
      <c r="E1883" s="90"/>
      <c r="F1883" s="90"/>
      <c r="G1883" s="90"/>
      <c r="H1883" s="89" t="s">
        <v>75</v>
      </c>
      <c r="I1883" s="91">
        <v>27.0</v>
      </c>
      <c r="J1883" s="92">
        <v>9.18</v>
      </c>
      <c r="K1883" s="92">
        <v>247.86</v>
      </c>
    </row>
    <row r="1884" ht="12.75" customHeight="1">
      <c r="I1884" s="79"/>
      <c r="J1884" s="80"/>
      <c r="K1884" s="80"/>
    </row>
    <row r="1885" ht="12.75" customHeight="1">
      <c r="B1885" s="90" t="s">
        <v>3080</v>
      </c>
      <c r="D1885" s="90"/>
      <c r="E1885" s="90"/>
      <c r="F1885" s="90"/>
      <c r="G1885" s="90"/>
      <c r="H1885" s="89" t="s">
        <v>75</v>
      </c>
      <c r="I1885" s="91">
        <v>40.0</v>
      </c>
      <c r="J1885" s="92">
        <v>9.18</v>
      </c>
      <c r="K1885" s="92">
        <v>367.2</v>
      </c>
    </row>
    <row r="1886" ht="12.75" customHeight="1">
      <c r="I1886" s="79"/>
      <c r="J1886" s="80"/>
      <c r="K1886" s="80"/>
    </row>
    <row r="1887" ht="12.75" customHeight="1">
      <c r="B1887" s="90" t="s">
        <v>3106</v>
      </c>
      <c r="D1887" s="90"/>
      <c r="E1887" s="90"/>
      <c r="F1887" s="90"/>
      <c r="G1887" s="90"/>
      <c r="H1887" s="89" t="s">
        <v>75</v>
      </c>
      <c r="I1887" s="91">
        <v>5.0</v>
      </c>
      <c r="J1887" s="92">
        <v>9.18</v>
      </c>
      <c r="K1887" s="92">
        <v>45.9</v>
      </c>
    </row>
    <row r="1888" ht="12.75" customHeight="1">
      <c r="I1888" s="79"/>
      <c r="J1888" s="80"/>
      <c r="K1888" s="80"/>
    </row>
    <row r="1889" ht="12.75" customHeight="1">
      <c r="B1889" s="90" t="s">
        <v>3084</v>
      </c>
      <c r="D1889" s="90"/>
      <c r="E1889" s="90"/>
      <c r="F1889" s="90"/>
      <c r="G1889" s="90"/>
      <c r="H1889" s="89" t="s">
        <v>75</v>
      </c>
      <c r="I1889" s="91">
        <v>14.0</v>
      </c>
      <c r="J1889" s="92">
        <v>9.18</v>
      </c>
      <c r="K1889" s="92">
        <v>128.52</v>
      </c>
    </row>
    <row r="1890" ht="12.75" customHeight="1">
      <c r="I1890" s="79"/>
      <c r="J1890" s="80"/>
      <c r="K1890" s="80"/>
    </row>
    <row r="1891" ht="12.75" customHeight="1">
      <c r="B1891" s="90" t="s">
        <v>3109</v>
      </c>
      <c r="D1891" s="90"/>
      <c r="E1891" s="90"/>
      <c r="F1891" s="90"/>
      <c r="G1891" s="90"/>
      <c r="H1891" s="89" t="s">
        <v>75</v>
      </c>
      <c r="I1891" s="91">
        <v>52.0</v>
      </c>
      <c r="J1891" s="92">
        <v>9.18</v>
      </c>
      <c r="K1891" s="92">
        <v>477.36</v>
      </c>
    </row>
    <row r="1892" ht="12.75" customHeight="1">
      <c r="I1892" s="79"/>
      <c r="J1892" s="80"/>
      <c r="K1892" s="80"/>
    </row>
    <row r="1893" ht="12.75" customHeight="1">
      <c r="B1893" s="90" t="s">
        <v>3111</v>
      </c>
      <c r="D1893" s="90"/>
      <c r="E1893" s="90"/>
      <c r="F1893" s="90"/>
      <c r="G1893" s="90"/>
      <c r="H1893" s="89" t="s">
        <v>75</v>
      </c>
      <c r="I1893" s="91">
        <v>3.0</v>
      </c>
      <c r="J1893" s="92">
        <v>9.18</v>
      </c>
      <c r="K1893" s="92">
        <v>27.54</v>
      </c>
    </row>
    <row r="1894" ht="12.75" customHeight="1">
      <c r="I1894" s="79"/>
      <c r="J1894" s="80"/>
      <c r="K1894" s="80"/>
    </row>
    <row r="1895" ht="12.75" customHeight="1">
      <c r="B1895" s="90" t="s">
        <v>3082</v>
      </c>
      <c r="D1895" s="90"/>
      <c r="E1895" s="90"/>
      <c r="F1895" s="90"/>
      <c r="G1895" s="90"/>
      <c r="H1895" s="89" t="s">
        <v>1374</v>
      </c>
      <c r="I1895" s="91">
        <v>1.0</v>
      </c>
      <c r="J1895" s="92">
        <v>9.18</v>
      </c>
      <c r="K1895" s="92">
        <v>9.18</v>
      </c>
    </row>
    <row r="1896" ht="12.75" customHeight="1">
      <c r="I1896" s="79"/>
      <c r="J1896" s="80"/>
      <c r="K1896" s="80"/>
    </row>
    <row r="1897" ht="12.75" customHeight="1">
      <c r="B1897" s="90" t="s">
        <v>3114</v>
      </c>
      <c r="D1897" s="90"/>
      <c r="E1897" s="90"/>
      <c r="F1897" s="90"/>
      <c r="G1897" s="90"/>
      <c r="H1897" s="89" t="s">
        <v>75</v>
      </c>
      <c r="I1897" s="91">
        <v>4.0</v>
      </c>
      <c r="J1897" s="92">
        <v>9.18</v>
      </c>
      <c r="K1897" s="92">
        <v>36.72</v>
      </c>
    </row>
    <row r="1898" ht="12.75" customHeight="1">
      <c r="I1898" s="79"/>
      <c r="J1898" s="80"/>
      <c r="K1898" s="80"/>
    </row>
    <row r="1899" ht="12.75" customHeight="1">
      <c r="B1899" s="90" t="s">
        <v>3116</v>
      </c>
      <c r="D1899" s="90"/>
      <c r="E1899" s="90"/>
      <c r="F1899" s="90"/>
      <c r="G1899" s="90"/>
      <c r="H1899" s="89" t="s">
        <v>75</v>
      </c>
      <c r="I1899" s="91">
        <v>22.0</v>
      </c>
      <c r="J1899" s="92">
        <v>9.18</v>
      </c>
      <c r="K1899" s="92">
        <v>201.96</v>
      </c>
    </row>
    <row r="1900" ht="12.75" customHeight="1">
      <c r="I1900" s="79"/>
      <c r="J1900" s="80"/>
      <c r="K1900" s="80"/>
    </row>
    <row r="1901" ht="12.75" customHeight="1">
      <c r="B1901" s="90" t="s">
        <v>3118</v>
      </c>
      <c r="D1901" s="90"/>
      <c r="E1901" s="90"/>
      <c r="F1901" s="90"/>
      <c r="G1901" s="90"/>
      <c r="H1901" s="89" t="s">
        <v>75</v>
      </c>
      <c r="I1901" s="91">
        <v>1.0</v>
      </c>
      <c r="J1901" s="92">
        <v>9.18</v>
      </c>
      <c r="K1901" s="92">
        <v>9.18</v>
      </c>
    </row>
    <row r="1902" ht="12.75" customHeight="1">
      <c r="I1902" s="79"/>
      <c r="J1902" s="80"/>
      <c r="K1902" s="80"/>
    </row>
    <row r="1903" ht="12.75" customHeight="1">
      <c r="B1903" s="90" t="s">
        <v>3120</v>
      </c>
      <c r="D1903" s="90"/>
      <c r="E1903" s="90"/>
      <c r="F1903" s="90"/>
      <c r="G1903" s="90"/>
      <c r="H1903" s="89" t="s">
        <v>75</v>
      </c>
      <c r="I1903" s="91">
        <v>1.0</v>
      </c>
      <c r="J1903" s="92">
        <v>9.18</v>
      </c>
      <c r="K1903" s="92">
        <v>9.18</v>
      </c>
    </row>
    <row r="1904" ht="12.75" customHeight="1">
      <c r="I1904" s="79"/>
      <c r="J1904" s="80"/>
      <c r="K1904" s="80"/>
    </row>
    <row r="1905" ht="12.75" customHeight="1">
      <c r="B1905" s="90" t="s">
        <v>3122</v>
      </c>
      <c r="D1905" s="90"/>
      <c r="E1905" s="90"/>
      <c r="F1905" s="90"/>
      <c r="G1905" s="90"/>
      <c r="H1905" s="89" t="s">
        <v>75</v>
      </c>
      <c r="I1905" s="91">
        <v>1.0</v>
      </c>
      <c r="J1905" s="92">
        <v>9.18</v>
      </c>
      <c r="K1905" s="92">
        <v>9.18</v>
      </c>
    </row>
    <row r="1906" ht="12.75" customHeight="1">
      <c r="I1906" s="79"/>
      <c r="J1906" s="80"/>
      <c r="K1906" s="80"/>
    </row>
    <row r="1907" ht="12.75" customHeight="1">
      <c r="B1907" s="90" t="s">
        <v>3124</v>
      </c>
      <c r="D1907" s="90"/>
      <c r="E1907" s="90"/>
      <c r="F1907" s="90"/>
      <c r="G1907" s="90"/>
      <c r="H1907" s="89" t="s">
        <v>75</v>
      </c>
      <c r="I1907" s="91">
        <v>1.0</v>
      </c>
      <c r="J1907" s="92">
        <v>9.18</v>
      </c>
      <c r="K1907" s="92">
        <v>9.18</v>
      </c>
    </row>
    <row r="1908" ht="12.75" customHeight="1">
      <c r="I1908" s="79"/>
      <c r="J1908" s="80"/>
      <c r="K1908" s="80"/>
    </row>
    <row r="1909" ht="12.75" customHeight="1">
      <c r="B1909" s="90" t="s">
        <v>3126</v>
      </c>
      <c r="D1909" s="90"/>
      <c r="E1909" s="90"/>
      <c r="F1909" s="90"/>
      <c r="G1909" s="90"/>
      <c r="H1909" s="89" t="s">
        <v>75</v>
      </c>
      <c r="I1909" s="91">
        <v>1.0</v>
      </c>
      <c r="J1909" s="92">
        <v>9.18</v>
      </c>
      <c r="K1909" s="92">
        <v>9.18</v>
      </c>
    </row>
    <row r="1910" ht="12.75" customHeight="1">
      <c r="I1910" s="79"/>
      <c r="J1910" s="80"/>
      <c r="K1910" s="80"/>
    </row>
    <row r="1911" ht="12.75" customHeight="1">
      <c r="B1911" s="90" t="s">
        <v>3128</v>
      </c>
      <c r="D1911" s="90"/>
      <c r="E1911" s="90"/>
      <c r="F1911" s="90"/>
      <c r="G1911" s="90"/>
      <c r="H1911" s="89" t="s">
        <v>75</v>
      </c>
      <c r="I1911" s="91">
        <v>1.0</v>
      </c>
      <c r="J1911" s="92">
        <v>9.18</v>
      </c>
      <c r="K1911" s="92">
        <v>9.18</v>
      </c>
    </row>
    <row r="1912" ht="12.75" customHeight="1">
      <c r="I1912" s="79"/>
      <c r="J1912" s="80"/>
      <c r="K1912" s="80"/>
    </row>
    <row r="1913" ht="12.75" customHeight="1">
      <c r="B1913" s="90" t="s">
        <v>3130</v>
      </c>
      <c r="D1913" s="90"/>
      <c r="E1913" s="90"/>
      <c r="F1913" s="90"/>
      <c r="G1913" s="90"/>
      <c r="H1913" s="89" t="s">
        <v>1374</v>
      </c>
      <c r="I1913" s="91">
        <v>1.0</v>
      </c>
      <c r="J1913" s="92">
        <v>9.18</v>
      </c>
      <c r="K1913" s="92">
        <v>9.18</v>
      </c>
    </row>
    <row r="1914" ht="12.75" customHeight="1">
      <c r="I1914" s="79"/>
      <c r="J1914" s="80"/>
      <c r="K1914" s="80"/>
    </row>
    <row r="1915" ht="12.75" customHeight="1">
      <c r="B1915" s="90" t="s">
        <v>3132</v>
      </c>
      <c r="D1915" s="90"/>
      <c r="E1915" s="90"/>
      <c r="F1915" s="90"/>
      <c r="G1915" s="90"/>
      <c r="H1915" s="89" t="s">
        <v>75</v>
      </c>
      <c r="I1915" s="91">
        <v>1.0</v>
      </c>
      <c r="J1915" s="92">
        <v>9.18</v>
      </c>
      <c r="K1915" s="92">
        <v>9.18</v>
      </c>
    </row>
    <row r="1916" ht="12.75" customHeight="1">
      <c r="I1916" s="79"/>
      <c r="J1916" s="80"/>
      <c r="K1916" s="80"/>
    </row>
    <row r="1917" ht="12.75" customHeight="1">
      <c r="B1917" s="90" t="s">
        <v>3134</v>
      </c>
      <c r="D1917" s="90"/>
      <c r="E1917" s="90"/>
      <c r="F1917" s="90"/>
      <c r="G1917" s="90"/>
      <c r="H1917" s="89" t="s">
        <v>75</v>
      </c>
      <c r="I1917" s="91">
        <v>5.0</v>
      </c>
      <c r="J1917" s="92">
        <v>9.18</v>
      </c>
      <c r="K1917" s="92">
        <v>45.9</v>
      </c>
    </row>
    <row r="1918" ht="12.75" customHeight="1">
      <c r="I1918" s="79"/>
      <c r="J1918" s="80"/>
      <c r="K1918" s="80"/>
    </row>
    <row r="1919" ht="12.75" customHeight="1">
      <c r="B1919" s="90" t="s">
        <v>3094</v>
      </c>
      <c r="D1919" s="90"/>
      <c r="E1919" s="90"/>
      <c r="F1919" s="90"/>
      <c r="G1919" s="90"/>
      <c r="H1919" s="89" t="s">
        <v>75</v>
      </c>
      <c r="I1919" s="91">
        <v>2.0</v>
      </c>
      <c r="J1919" s="92">
        <v>9.18</v>
      </c>
      <c r="K1919" s="92">
        <v>18.36</v>
      </c>
    </row>
    <row r="1920" ht="12.75" customHeight="1">
      <c r="I1920" s="79"/>
      <c r="J1920" s="80"/>
      <c r="K1920" s="80"/>
    </row>
    <row r="1921" ht="12.75" customHeight="1">
      <c r="B1921" s="90" t="s">
        <v>3137</v>
      </c>
      <c r="D1921" s="90"/>
      <c r="E1921" s="90"/>
      <c r="F1921" s="90"/>
      <c r="G1921" s="90"/>
      <c r="H1921" s="89" t="s">
        <v>75</v>
      </c>
      <c r="I1921" s="91">
        <v>1.0</v>
      </c>
      <c r="J1921" s="92">
        <v>9.18</v>
      </c>
      <c r="K1921" s="92">
        <v>9.18</v>
      </c>
    </row>
    <row r="1922" ht="12.75" customHeight="1">
      <c r="I1922" s="79"/>
      <c r="J1922" s="80"/>
      <c r="K1922" s="80"/>
    </row>
    <row r="1923" ht="12.75" customHeight="1">
      <c r="B1923" s="90" t="s">
        <v>3139</v>
      </c>
      <c r="D1923" s="90"/>
      <c r="E1923" s="90"/>
      <c r="F1923" s="90"/>
      <c r="G1923" s="90"/>
      <c r="H1923" s="89" t="s">
        <v>75</v>
      </c>
      <c r="I1923" s="91">
        <v>1.0</v>
      </c>
      <c r="J1923" s="92">
        <v>9.18</v>
      </c>
      <c r="K1923" s="92">
        <v>9.18</v>
      </c>
    </row>
    <row r="1924" ht="12.75" customHeight="1">
      <c r="I1924" s="79"/>
      <c r="J1924" s="80"/>
      <c r="K1924" s="80"/>
    </row>
    <row r="1925" ht="12.75" customHeight="1">
      <c r="B1925" s="90" t="s">
        <v>3141</v>
      </c>
      <c r="D1925" s="90"/>
      <c r="E1925" s="90"/>
      <c r="F1925" s="90"/>
      <c r="G1925" s="90"/>
      <c r="H1925" s="89" t="s">
        <v>75</v>
      </c>
      <c r="I1925" s="91">
        <v>1.0</v>
      </c>
      <c r="J1925" s="92">
        <v>9.18</v>
      </c>
      <c r="K1925" s="92">
        <v>9.18</v>
      </c>
    </row>
    <row r="1926" ht="12.75" customHeight="1">
      <c r="I1926" s="79"/>
      <c r="J1926" s="80"/>
      <c r="K1926" s="80"/>
    </row>
    <row r="1927" ht="12.75" customHeight="1">
      <c r="B1927" s="90" t="s">
        <v>3143</v>
      </c>
      <c r="D1927" s="90"/>
      <c r="E1927" s="90"/>
      <c r="F1927" s="90"/>
      <c r="G1927" s="90"/>
      <c r="H1927" s="89" t="s">
        <v>75</v>
      </c>
      <c r="I1927" s="91">
        <v>1.0</v>
      </c>
      <c r="J1927" s="92">
        <v>9.18</v>
      </c>
      <c r="K1927" s="92">
        <v>9.18</v>
      </c>
    </row>
    <row r="1928" ht="12.75" customHeight="1">
      <c r="I1928" s="79"/>
      <c r="J1928" s="80"/>
      <c r="K1928" s="80"/>
    </row>
    <row r="1929" ht="12.75" customHeight="1">
      <c r="B1929" s="90" t="s">
        <v>3145</v>
      </c>
      <c r="D1929" s="90"/>
      <c r="E1929" s="90"/>
      <c r="F1929" s="90"/>
      <c r="G1929" s="90"/>
      <c r="H1929" s="89" t="s">
        <v>75</v>
      </c>
      <c r="I1929" s="91">
        <v>1.0</v>
      </c>
      <c r="J1929" s="92">
        <v>9.18</v>
      </c>
      <c r="K1929" s="92">
        <v>9.18</v>
      </c>
    </row>
    <row r="1930" ht="12.75" customHeight="1">
      <c r="I1930" s="79"/>
      <c r="J1930" s="80"/>
      <c r="K1930" s="80"/>
    </row>
    <row r="1931" ht="12.75" customHeight="1">
      <c r="B1931" s="90" t="s">
        <v>3147</v>
      </c>
      <c r="D1931" s="90"/>
      <c r="E1931" s="90"/>
      <c r="F1931" s="90"/>
      <c r="G1931" s="90"/>
      <c r="H1931" s="89" t="s">
        <v>75</v>
      </c>
      <c r="I1931" s="91">
        <v>1.0</v>
      </c>
      <c r="J1931" s="92">
        <v>9.18</v>
      </c>
      <c r="K1931" s="92">
        <v>9.18</v>
      </c>
    </row>
    <row r="1932" ht="12.75" customHeight="1">
      <c r="I1932" s="79"/>
      <c r="J1932" s="80"/>
      <c r="K1932" s="80"/>
    </row>
    <row r="1933" ht="12.75" customHeight="1">
      <c r="B1933" s="90" t="s">
        <v>3149</v>
      </c>
      <c r="D1933" s="90"/>
      <c r="E1933" s="90"/>
      <c r="F1933" s="90"/>
      <c r="G1933" s="90"/>
      <c r="H1933" s="89" t="s">
        <v>75</v>
      </c>
      <c r="I1933" s="91">
        <v>1.0</v>
      </c>
      <c r="J1933" s="92">
        <v>9.18</v>
      </c>
      <c r="K1933" s="92">
        <v>9.18</v>
      </c>
    </row>
    <row r="1934" ht="12.75" customHeight="1">
      <c r="I1934" s="79"/>
      <c r="J1934" s="80"/>
      <c r="K1934" s="80"/>
    </row>
    <row r="1935" ht="12.75" customHeight="1">
      <c r="B1935" s="90" t="s">
        <v>3151</v>
      </c>
      <c r="D1935" s="90"/>
      <c r="E1935" s="90"/>
      <c r="F1935" s="90"/>
      <c r="G1935" s="90"/>
      <c r="H1935" s="89" t="s">
        <v>75</v>
      </c>
      <c r="I1935" s="91">
        <v>1.0</v>
      </c>
      <c r="J1935" s="92">
        <v>9.18</v>
      </c>
      <c r="K1935" s="92">
        <v>9.18</v>
      </c>
    </row>
    <row r="1936" ht="12.75" customHeight="1">
      <c r="I1936" s="79"/>
      <c r="J1936" s="80"/>
      <c r="K1936" s="80"/>
    </row>
    <row r="1937" ht="12.75" customHeight="1">
      <c r="B1937" s="90" t="s">
        <v>3153</v>
      </c>
      <c r="D1937" s="90"/>
      <c r="E1937" s="90"/>
      <c r="F1937" s="90"/>
      <c r="G1937" s="90"/>
      <c r="H1937" s="89" t="s">
        <v>75</v>
      </c>
      <c r="I1937" s="91">
        <v>1.0</v>
      </c>
      <c r="J1937" s="92">
        <v>9.18</v>
      </c>
      <c r="K1937" s="92">
        <v>9.18</v>
      </c>
    </row>
    <row r="1938" ht="12.75" customHeight="1">
      <c r="I1938" s="79"/>
      <c r="J1938" s="80"/>
      <c r="K1938" s="80"/>
    </row>
    <row r="1939" ht="12.75" customHeight="1">
      <c r="B1939" s="90" t="s">
        <v>3155</v>
      </c>
      <c r="D1939" s="90"/>
      <c r="E1939" s="90"/>
      <c r="F1939" s="90"/>
      <c r="G1939" s="90"/>
      <c r="H1939" s="89" t="s">
        <v>75</v>
      </c>
      <c r="I1939" s="91">
        <v>1.0</v>
      </c>
      <c r="J1939" s="92">
        <v>9.18</v>
      </c>
      <c r="K1939" s="92">
        <v>9.18</v>
      </c>
    </row>
    <row r="1940" ht="12.75" customHeight="1">
      <c r="I1940" s="79"/>
      <c r="J1940" s="80"/>
      <c r="K1940" s="80"/>
    </row>
    <row r="1941" ht="12.75" customHeight="1">
      <c r="B1941" s="90" t="s">
        <v>3157</v>
      </c>
      <c r="D1941" s="90"/>
      <c r="E1941" s="90"/>
      <c r="F1941" s="90"/>
      <c r="G1941" s="90"/>
      <c r="H1941" s="89" t="s">
        <v>75</v>
      </c>
      <c r="I1941" s="91">
        <v>1.0</v>
      </c>
      <c r="J1941" s="92">
        <v>9.18</v>
      </c>
      <c r="K1941" s="92">
        <v>9.18</v>
      </c>
    </row>
    <row r="1942" ht="12.75" customHeight="1">
      <c r="I1942" s="79"/>
      <c r="J1942" s="80"/>
      <c r="K1942" s="80"/>
    </row>
    <row r="1943" ht="12.75" customHeight="1">
      <c r="B1943" s="90" t="s">
        <v>3159</v>
      </c>
      <c r="D1943" s="90"/>
      <c r="E1943" s="90"/>
      <c r="F1943" s="90"/>
      <c r="G1943" s="90"/>
      <c r="H1943" s="89" t="s">
        <v>75</v>
      </c>
      <c r="I1943" s="91">
        <v>1.0</v>
      </c>
      <c r="J1943" s="92">
        <v>9.18</v>
      </c>
      <c r="K1943" s="92">
        <v>9.18</v>
      </c>
    </row>
    <row r="1944" ht="12.75" customHeight="1">
      <c r="I1944" s="79"/>
      <c r="J1944" s="80"/>
      <c r="K1944" s="80"/>
    </row>
    <row r="1945" ht="12.75" customHeight="1">
      <c r="B1945" s="90" t="s">
        <v>4363</v>
      </c>
      <c r="D1945" s="90"/>
      <c r="E1945" s="90"/>
      <c r="F1945" s="90"/>
      <c r="G1945" s="90"/>
      <c r="H1945" s="89" t="s">
        <v>75</v>
      </c>
      <c r="I1945" s="91">
        <v>6.0</v>
      </c>
      <c r="J1945" s="92">
        <v>2.12</v>
      </c>
      <c r="K1945" s="92">
        <v>12.72</v>
      </c>
    </row>
    <row r="1946" ht="12.75" customHeight="1">
      <c r="I1946" s="79"/>
      <c r="J1946" s="80"/>
      <c r="K1946" s="80"/>
    </row>
    <row r="1947" ht="12.75" customHeight="1">
      <c r="B1947" s="90" t="s">
        <v>4370</v>
      </c>
      <c r="D1947" s="90"/>
      <c r="E1947" s="90"/>
      <c r="F1947" s="90"/>
      <c r="G1947" s="90"/>
      <c r="H1947" s="89" t="s">
        <v>75</v>
      </c>
      <c r="I1947" s="91">
        <v>8.0</v>
      </c>
      <c r="J1947" s="92">
        <v>49.14</v>
      </c>
      <c r="K1947" s="92">
        <v>393.12</v>
      </c>
    </row>
    <row r="1948" ht="12.75" customHeight="1">
      <c r="I1948" s="79"/>
      <c r="J1948" s="80"/>
      <c r="K1948" s="80"/>
    </row>
    <row r="1949" ht="12.75" customHeight="1">
      <c r="B1949" s="90" t="s">
        <v>4362</v>
      </c>
      <c r="D1949" s="90"/>
      <c r="E1949" s="90"/>
      <c r="F1949" s="90"/>
      <c r="G1949" s="90"/>
      <c r="H1949" s="89" t="s">
        <v>75</v>
      </c>
      <c r="I1949" s="91">
        <v>1.0</v>
      </c>
      <c r="J1949" s="92">
        <v>9.18</v>
      </c>
      <c r="K1949" s="92">
        <v>9.18</v>
      </c>
    </row>
    <row r="1950" ht="12.75" customHeight="1">
      <c r="I1950" s="79"/>
      <c r="J1950" s="80"/>
      <c r="K1950" s="80"/>
    </row>
    <row r="1951" ht="12.75" customHeight="1">
      <c r="B1951" s="90" t="s">
        <v>4369</v>
      </c>
      <c r="D1951" s="90"/>
      <c r="E1951" s="90"/>
      <c r="F1951" s="90"/>
      <c r="G1951" s="90"/>
      <c r="H1951" s="89" t="s">
        <v>75</v>
      </c>
      <c r="I1951" s="91">
        <v>2.0</v>
      </c>
      <c r="J1951" s="92">
        <v>107.0</v>
      </c>
      <c r="K1951" s="92">
        <v>214.0</v>
      </c>
    </row>
    <row r="1952" ht="12.75" customHeight="1">
      <c r="I1952" s="79"/>
      <c r="J1952" s="80"/>
      <c r="K1952" s="80"/>
    </row>
    <row r="1953" ht="12.75" customHeight="1">
      <c r="B1953" s="90" t="s">
        <v>4367</v>
      </c>
      <c r="D1953" s="90"/>
      <c r="E1953" s="90"/>
      <c r="F1953" s="90"/>
      <c r="G1953" s="90"/>
      <c r="H1953" s="89" t="s">
        <v>75</v>
      </c>
      <c r="I1953" s="91">
        <v>1.0</v>
      </c>
      <c r="J1953" s="92">
        <v>69.67</v>
      </c>
      <c r="K1953" s="92">
        <v>69.67</v>
      </c>
    </row>
    <row r="1954" ht="12.75" customHeight="1">
      <c r="I1954" s="79"/>
      <c r="J1954" s="80"/>
      <c r="K1954" s="80"/>
    </row>
    <row r="1955" ht="12.75" customHeight="1">
      <c r="B1955" s="90" t="s">
        <v>3167</v>
      </c>
      <c r="D1955" s="90"/>
      <c r="E1955" s="90"/>
      <c r="F1955" s="90"/>
      <c r="G1955" s="90"/>
      <c r="I1955" s="79"/>
      <c r="J1955" s="80"/>
      <c r="K1955" s="80"/>
    </row>
    <row r="1956" ht="12.75" customHeight="1">
      <c r="I1956" s="79"/>
      <c r="J1956" s="80"/>
      <c r="K1956" s="80"/>
    </row>
    <row r="1957" ht="12.75" customHeight="1">
      <c r="B1957" s="90" t="s">
        <v>4371</v>
      </c>
      <c r="D1957" s="90"/>
      <c r="E1957" s="90"/>
      <c r="F1957" s="90"/>
      <c r="G1957" s="90"/>
      <c r="H1957" s="89" t="s">
        <v>75</v>
      </c>
      <c r="I1957" s="91">
        <v>51.0</v>
      </c>
      <c r="J1957" s="92">
        <v>9.18</v>
      </c>
      <c r="K1957" s="92">
        <v>468.18</v>
      </c>
    </row>
    <row r="1958" ht="12.75" customHeight="1">
      <c r="I1958" s="79"/>
      <c r="J1958" s="80"/>
      <c r="K1958" s="80"/>
    </row>
    <row r="1959" ht="12.75" customHeight="1">
      <c r="B1959" s="90" t="s">
        <v>4364</v>
      </c>
      <c r="D1959" s="90"/>
      <c r="E1959" s="90"/>
      <c r="F1959" s="90"/>
      <c r="G1959" s="90"/>
      <c r="H1959" s="89" t="s">
        <v>75</v>
      </c>
      <c r="I1959" s="91">
        <v>6.0</v>
      </c>
      <c r="J1959" s="92">
        <v>9.18</v>
      </c>
      <c r="K1959" s="92">
        <v>55.08</v>
      </c>
    </row>
    <row r="1960" ht="12.75" customHeight="1">
      <c r="I1960" s="79"/>
      <c r="J1960" s="80"/>
      <c r="K1960" s="80"/>
    </row>
    <row r="1961" ht="12.75" customHeight="1">
      <c r="B1961" s="90" t="s">
        <v>3084</v>
      </c>
      <c r="D1961" s="90"/>
      <c r="E1961" s="90"/>
      <c r="F1961" s="90"/>
      <c r="G1961" s="90"/>
      <c r="H1961" s="89" t="s">
        <v>75</v>
      </c>
      <c r="I1961" s="91">
        <v>11.0</v>
      </c>
      <c r="J1961" s="92">
        <v>9.18</v>
      </c>
      <c r="K1961" s="92">
        <v>100.98</v>
      </c>
    </row>
    <row r="1962" ht="12.75" customHeight="1">
      <c r="I1962" s="79"/>
      <c r="J1962" s="80"/>
      <c r="K1962" s="80"/>
    </row>
    <row r="1963" ht="12.75" customHeight="1">
      <c r="B1963" s="90" t="s">
        <v>3082</v>
      </c>
      <c r="D1963" s="90"/>
      <c r="E1963" s="90"/>
      <c r="F1963" s="90"/>
      <c r="G1963" s="90"/>
      <c r="H1963" s="89" t="s">
        <v>1374</v>
      </c>
      <c r="I1963" s="91">
        <v>4.0</v>
      </c>
      <c r="J1963" s="92">
        <v>9.18</v>
      </c>
      <c r="K1963" s="92">
        <v>36.72</v>
      </c>
    </row>
    <row r="1964" ht="12.75" customHeight="1">
      <c r="I1964" s="79"/>
      <c r="J1964" s="80"/>
      <c r="K1964" s="80"/>
    </row>
    <row r="1965" ht="12.75" customHeight="1">
      <c r="B1965" s="90" t="s">
        <v>3174</v>
      </c>
      <c r="D1965" s="90"/>
      <c r="E1965" s="90"/>
      <c r="F1965" s="90"/>
      <c r="G1965" s="90"/>
      <c r="H1965" s="89" t="s">
        <v>75</v>
      </c>
      <c r="I1965" s="91">
        <v>1.0</v>
      </c>
      <c r="J1965" s="92">
        <v>9.18</v>
      </c>
      <c r="K1965" s="92">
        <v>9.18</v>
      </c>
    </row>
    <row r="1966" ht="12.75" customHeight="1">
      <c r="I1966" s="79"/>
      <c r="J1966" s="80"/>
      <c r="K1966" s="80"/>
    </row>
    <row r="1967" ht="12.75" customHeight="1">
      <c r="B1967" s="90" t="s">
        <v>3074</v>
      </c>
      <c r="D1967" s="90"/>
      <c r="E1967" s="90"/>
      <c r="F1967" s="90"/>
      <c r="G1967" s="90"/>
      <c r="H1967" s="89" t="s">
        <v>75</v>
      </c>
      <c r="I1967" s="91">
        <v>9.0</v>
      </c>
      <c r="J1967" s="92">
        <v>9.18</v>
      </c>
      <c r="K1967" s="92">
        <v>82.62</v>
      </c>
    </row>
    <row r="1968" ht="12.75" customHeight="1">
      <c r="I1968" s="79"/>
      <c r="J1968" s="80"/>
      <c r="K1968" s="80"/>
    </row>
    <row r="1969" ht="12.75" customHeight="1">
      <c r="B1969" s="90" t="s">
        <v>3116</v>
      </c>
      <c r="D1969" s="90"/>
      <c r="E1969" s="90"/>
      <c r="F1969" s="90"/>
      <c r="G1969" s="90"/>
      <c r="H1969" s="89" t="s">
        <v>75</v>
      </c>
      <c r="I1969" s="91">
        <v>4.0</v>
      </c>
      <c r="J1969" s="92">
        <v>9.18</v>
      </c>
      <c r="K1969" s="92">
        <v>36.72</v>
      </c>
    </row>
    <row r="1970" ht="12.75" customHeight="1">
      <c r="I1970" s="79"/>
      <c r="J1970" s="80"/>
      <c r="K1970" s="80"/>
    </row>
    <row r="1971" ht="12.75" customHeight="1">
      <c r="B1971" s="90" t="s">
        <v>3114</v>
      </c>
      <c r="D1971" s="90"/>
      <c r="E1971" s="90"/>
      <c r="F1971" s="90"/>
      <c r="G1971" s="90"/>
      <c r="H1971" s="89" t="s">
        <v>75</v>
      </c>
      <c r="I1971" s="91">
        <v>4.0</v>
      </c>
      <c r="J1971" s="92">
        <v>9.18</v>
      </c>
      <c r="K1971" s="92">
        <v>36.72</v>
      </c>
    </row>
    <row r="1972" ht="12.75" customHeight="1">
      <c r="I1972" s="79"/>
      <c r="J1972" s="80"/>
      <c r="K1972" s="80"/>
    </row>
    <row r="1973" ht="12.75" customHeight="1">
      <c r="B1973" s="90" t="s">
        <v>4363</v>
      </c>
      <c r="D1973" s="90"/>
      <c r="E1973" s="90"/>
      <c r="F1973" s="90"/>
      <c r="G1973" s="90"/>
      <c r="H1973" s="89" t="s">
        <v>75</v>
      </c>
      <c r="I1973" s="91">
        <v>4.0</v>
      </c>
      <c r="J1973" s="92">
        <v>2.12</v>
      </c>
      <c r="K1973" s="92">
        <v>8.48</v>
      </c>
    </row>
    <row r="1974" ht="12.75" customHeight="1">
      <c r="I1974" s="79"/>
      <c r="J1974" s="80"/>
      <c r="K1974" s="80"/>
    </row>
    <row r="1975" ht="12.75" customHeight="1">
      <c r="B1975" s="90" t="s">
        <v>3180</v>
      </c>
      <c r="D1975" s="90"/>
      <c r="E1975" s="90"/>
      <c r="F1975" s="90"/>
      <c r="G1975" s="90"/>
      <c r="H1975" s="89" t="s">
        <v>75</v>
      </c>
      <c r="I1975" s="91">
        <v>1.0</v>
      </c>
      <c r="J1975" s="92">
        <v>9.18</v>
      </c>
      <c r="K1975" s="92">
        <v>9.18</v>
      </c>
    </row>
    <row r="1976" ht="12.75" customHeight="1">
      <c r="I1976" s="79"/>
      <c r="J1976" s="80"/>
      <c r="K1976" s="80"/>
    </row>
    <row r="1977" ht="12.75" customHeight="1">
      <c r="B1977" s="90" t="s">
        <v>3182</v>
      </c>
      <c r="D1977" s="90"/>
      <c r="E1977" s="90"/>
      <c r="F1977" s="90"/>
      <c r="G1977" s="90"/>
      <c r="H1977" s="89" t="s">
        <v>75</v>
      </c>
      <c r="I1977" s="91">
        <v>1.0</v>
      </c>
      <c r="J1977" s="92">
        <v>9.18</v>
      </c>
      <c r="K1977" s="92">
        <v>9.18</v>
      </c>
    </row>
    <row r="1978" ht="12.75" customHeight="1">
      <c r="I1978" s="79"/>
      <c r="J1978" s="80"/>
      <c r="K1978" s="80"/>
    </row>
    <row r="1979" ht="12.75" customHeight="1">
      <c r="B1979" s="90" t="s">
        <v>3184</v>
      </c>
      <c r="D1979" s="90"/>
      <c r="E1979" s="90"/>
      <c r="F1979" s="90"/>
      <c r="G1979" s="90"/>
      <c r="H1979" s="89" t="s">
        <v>75</v>
      </c>
      <c r="I1979" s="91">
        <v>1.0</v>
      </c>
      <c r="J1979" s="92">
        <v>9.18</v>
      </c>
      <c r="K1979" s="92">
        <v>9.18</v>
      </c>
    </row>
    <row r="1980" ht="12.75" customHeight="1">
      <c r="I1980" s="79"/>
      <c r="J1980" s="80"/>
      <c r="K1980" s="80"/>
    </row>
    <row r="1981" ht="12.75" customHeight="1">
      <c r="B1981" s="90" t="s">
        <v>3186</v>
      </c>
      <c r="D1981" s="90"/>
      <c r="E1981" s="90"/>
      <c r="F1981" s="90"/>
      <c r="G1981" s="90"/>
      <c r="H1981" s="89" t="s">
        <v>75</v>
      </c>
      <c r="I1981" s="91">
        <v>1.0</v>
      </c>
      <c r="J1981" s="92">
        <v>9.18</v>
      </c>
      <c r="K1981" s="92">
        <v>9.18</v>
      </c>
    </row>
    <row r="1982" ht="12.75" customHeight="1">
      <c r="I1982" s="79"/>
      <c r="J1982" s="80"/>
      <c r="K1982" s="80"/>
    </row>
    <row r="1983" ht="12.75" customHeight="1">
      <c r="B1983" s="90" t="s">
        <v>3188</v>
      </c>
      <c r="D1983" s="90"/>
      <c r="E1983" s="90"/>
      <c r="F1983" s="90"/>
      <c r="G1983" s="90"/>
      <c r="H1983" s="89" t="s">
        <v>75</v>
      </c>
      <c r="I1983" s="91">
        <v>1.0</v>
      </c>
      <c r="J1983" s="92">
        <v>9.18</v>
      </c>
      <c r="K1983" s="92">
        <v>9.18</v>
      </c>
    </row>
    <row r="1984" ht="12.75" customHeight="1">
      <c r="I1984" s="79"/>
      <c r="J1984" s="80"/>
      <c r="K1984" s="80"/>
    </row>
    <row r="1985" ht="12.75" customHeight="1">
      <c r="B1985" s="90" t="s">
        <v>3190</v>
      </c>
      <c r="D1985" s="90"/>
      <c r="E1985" s="90"/>
      <c r="F1985" s="90"/>
      <c r="G1985" s="90"/>
      <c r="H1985" s="89" t="s">
        <v>75</v>
      </c>
      <c r="I1985" s="91">
        <v>1.0</v>
      </c>
      <c r="J1985" s="92">
        <v>9.18</v>
      </c>
      <c r="K1985" s="92">
        <v>9.18</v>
      </c>
    </row>
    <row r="1986" ht="12.75" customHeight="1">
      <c r="I1986" s="79"/>
      <c r="J1986" s="80"/>
      <c r="K1986" s="80"/>
    </row>
    <row r="1987" ht="12.75" customHeight="1">
      <c r="B1987" s="90" t="s">
        <v>3192</v>
      </c>
      <c r="D1987" s="90"/>
      <c r="E1987" s="90"/>
      <c r="F1987" s="90"/>
      <c r="G1987" s="90"/>
      <c r="H1987" s="89" t="s">
        <v>75</v>
      </c>
      <c r="I1987" s="91">
        <v>1.0</v>
      </c>
      <c r="J1987" s="92">
        <v>9.18</v>
      </c>
      <c r="K1987" s="92">
        <v>9.18</v>
      </c>
    </row>
    <row r="1988" ht="12.75" customHeight="1">
      <c r="I1988" s="79"/>
      <c r="J1988" s="80"/>
      <c r="K1988" s="80"/>
    </row>
    <row r="1989" ht="12.75" customHeight="1">
      <c r="B1989" s="90" t="s">
        <v>3194</v>
      </c>
      <c r="D1989" s="90"/>
      <c r="E1989" s="90"/>
      <c r="F1989" s="90"/>
      <c r="G1989" s="90"/>
      <c r="H1989" s="89" t="s">
        <v>75</v>
      </c>
      <c r="I1989" s="91">
        <v>1.0</v>
      </c>
      <c r="J1989" s="92">
        <v>9.18</v>
      </c>
      <c r="K1989" s="92">
        <v>9.18</v>
      </c>
    </row>
    <row r="1990" ht="12.75" customHeight="1">
      <c r="I1990" s="79"/>
      <c r="J1990" s="80"/>
      <c r="K1990" s="80"/>
    </row>
    <row r="1991" ht="12.75" customHeight="1">
      <c r="B1991" s="90" t="s">
        <v>3196</v>
      </c>
      <c r="D1991" s="90"/>
      <c r="E1991" s="90"/>
      <c r="F1991" s="90"/>
      <c r="G1991" s="90"/>
      <c r="H1991" s="89" t="s">
        <v>1374</v>
      </c>
      <c r="I1991" s="91">
        <v>1.0</v>
      </c>
      <c r="J1991" s="92">
        <v>9.18</v>
      </c>
      <c r="K1991" s="92">
        <v>9.18</v>
      </c>
    </row>
    <row r="1992" ht="12.75" customHeight="1">
      <c r="I1992" s="79"/>
      <c r="J1992" s="80"/>
      <c r="K1992" s="80"/>
    </row>
    <row r="1993" ht="12.75" customHeight="1">
      <c r="B1993" s="90" t="s">
        <v>3130</v>
      </c>
      <c r="D1993" s="90"/>
      <c r="E1993" s="90"/>
      <c r="F1993" s="90"/>
      <c r="G1993" s="90"/>
      <c r="H1993" s="89" t="s">
        <v>1374</v>
      </c>
      <c r="I1993" s="91">
        <v>1.0</v>
      </c>
      <c r="J1993" s="92">
        <v>9.18</v>
      </c>
      <c r="K1993" s="92">
        <v>9.18</v>
      </c>
    </row>
    <row r="1994" ht="12.75" customHeight="1">
      <c r="I1994" s="79"/>
      <c r="J1994" s="80"/>
      <c r="K1994" s="80"/>
    </row>
    <row r="1995" ht="12.75" customHeight="1">
      <c r="B1995" s="90" t="s">
        <v>3199</v>
      </c>
      <c r="D1995" s="90"/>
      <c r="E1995" s="90"/>
      <c r="F1995" s="90"/>
      <c r="G1995" s="90"/>
      <c r="H1995" s="89" t="s">
        <v>75</v>
      </c>
      <c r="I1995" s="91">
        <v>1.0</v>
      </c>
      <c r="J1995" s="92">
        <v>9.18</v>
      </c>
      <c r="K1995" s="92">
        <v>9.18</v>
      </c>
    </row>
    <row r="1996" ht="12.75" customHeight="1">
      <c r="I1996" s="79"/>
      <c r="J1996" s="80"/>
      <c r="K1996" s="80"/>
    </row>
    <row r="1997" ht="12.75" customHeight="1">
      <c r="B1997" s="90" t="s">
        <v>4369</v>
      </c>
      <c r="D1997" s="90"/>
      <c r="E1997" s="90"/>
      <c r="F1997" s="90"/>
      <c r="G1997" s="90"/>
      <c r="H1997" s="89" t="s">
        <v>75</v>
      </c>
      <c r="I1997" s="91">
        <v>14.0</v>
      </c>
      <c r="J1997" s="92">
        <v>107.0</v>
      </c>
      <c r="K1997" s="92">
        <v>1498.0</v>
      </c>
    </row>
    <row r="1998" ht="12.75" customHeight="1">
      <c r="I1998" s="79"/>
      <c r="J1998" s="80"/>
      <c r="K1998" s="80"/>
    </row>
    <row r="1999" ht="12.75" customHeight="1">
      <c r="B1999" s="90" t="s">
        <v>4372</v>
      </c>
      <c r="D1999" s="90"/>
      <c r="E1999" s="90"/>
      <c r="F1999" s="90"/>
      <c r="G1999" s="90"/>
      <c r="H1999" s="89" t="s">
        <v>75</v>
      </c>
      <c r="I1999" s="91">
        <v>3.0</v>
      </c>
      <c r="J1999" s="92">
        <v>49.14</v>
      </c>
      <c r="K1999" s="92">
        <v>147.42</v>
      </c>
    </row>
    <row r="2000" ht="12.75" customHeight="1">
      <c r="I2000" s="79"/>
      <c r="J2000" s="80"/>
      <c r="K2000" s="80"/>
    </row>
    <row r="2001" ht="12.75" customHeight="1">
      <c r="B2001" s="90" t="s">
        <v>4373</v>
      </c>
      <c r="D2001" s="90"/>
      <c r="E2001" s="90"/>
      <c r="F2001" s="90"/>
      <c r="G2001" s="90"/>
      <c r="H2001" s="89" t="s">
        <v>33</v>
      </c>
      <c r="I2001" s="91">
        <v>1.0</v>
      </c>
      <c r="J2001" s="92">
        <v>19571.21</v>
      </c>
      <c r="K2001" s="92">
        <v>19571.21</v>
      </c>
    </row>
    <row r="2002" ht="12.75" customHeight="1">
      <c r="I2002" s="79"/>
      <c r="J2002" s="80"/>
      <c r="K2002" s="80"/>
    </row>
    <row r="2003" ht="12.75" customHeight="1">
      <c r="B2003" s="90" t="s">
        <v>4374</v>
      </c>
      <c r="D2003" s="90"/>
      <c r="E2003" s="90"/>
      <c r="F2003" s="90"/>
      <c r="G2003" s="90"/>
      <c r="H2003" s="89" t="s">
        <v>33</v>
      </c>
      <c r="I2003" s="91">
        <v>1.0</v>
      </c>
      <c r="J2003" s="80"/>
      <c r="K2003" s="135" t="s">
        <v>1428</v>
      </c>
    </row>
    <row r="2004" ht="12.75" customHeight="1">
      <c r="I2004" s="79"/>
      <c r="J2004" s="80"/>
      <c r="K2004" s="80"/>
    </row>
    <row r="2005" ht="12.75" customHeight="1">
      <c r="A2005" s="89" t="s">
        <v>1429</v>
      </c>
      <c r="B2005" s="90" t="s">
        <v>2884</v>
      </c>
      <c r="D2005" s="90"/>
      <c r="E2005" s="90"/>
      <c r="F2005" s="90"/>
      <c r="G2005" s="90"/>
      <c r="I2005" s="79"/>
      <c r="J2005" s="80"/>
      <c r="K2005" s="80"/>
    </row>
    <row r="2006" ht="12.75" customHeight="1">
      <c r="I2006" s="79"/>
      <c r="J2006" s="80"/>
      <c r="K2006" s="80"/>
    </row>
    <row r="2007" ht="12.75" customHeight="1">
      <c r="B2007" s="90" t="s">
        <v>4224</v>
      </c>
      <c r="D2007" s="90"/>
      <c r="E2007" s="90"/>
      <c r="F2007" s="90"/>
      <c r="G2007" s="90"/>
      <c r="H2007" s="89" t="s">
        <v>33</v>
      </c>
      <c r="I2007" s="91">
        <v>1.0</v>
      </c>
      <c r="J2007" s="92">
        <v>338.79</v>
      </c>
      <c r="K2007" s="92">
        <v>338.79</v>
      </c>
    </row>
    <row r="2008" ht="12.75" customHeight="1">
      <c r="I2008" s="79"/>
      <c r="J2008" s="80"/>
      <c r="K2008" s="80"/>
    </row>
    <row r="2009" ht="12.75" customHeight="1">
      <c r="B2009" s="90" t="s">
        <v>4375</v>
      </c>
      <c r="D2009" s="90"/>
      <c r="E2009" s="90"/>
      <c r="F2009" s="90"/>
      <c r="G2009" s="90"/>
      <c r="H2009" s="89" t="s">
        <v>33</v>
      </c>
      <c r="I2009" s="91">
        <v>1.0</v>
      </c>
      <c r="J2009" s="92">
        <v>499.78</v>
      </c>
      <c r="K2009" s="92">
        <v>499.78</v>
      </c>
    </row>
    <row r="2010" ht="12.75" customHeight="1">
      <c r="I2010" s="79"/>
      <c r="J2010" s="80"/>
      <c r="K2010" s="80"/>
    </row>
    <row r="2011" ht="12.75" customHeight="1">
      <c r="A2011" s="89" t="s">
        <v>1432</v>
      </c>
      <c r="B2011" s="90" t="s">
        <v>4376</v>
      </c>
      <c r="D2011" s="90"/>
      <c r="E2011" s="90"/>
      <c r="F2011" s="90"/>
      <c r="G2011" s="90"/>
      <c r="I2011" s="79"/>
      <c r="J2011" s="80"/>
      <c r="K2011" s="80"/>
    </row>
    <row r="2012" ht="12.75" customHeight="1">
      <c r="I2012" s="79"/>
      <c r="J2012" s="80"/>
      <c r="K2012" s="80"/>
    </row>
    <row r="2013" ht="12.75" customHeight="1">
      <c r="B2013" s="90" t="s">
        <v>4377</v>
      </c>
      <c r="D2013" s="90"/>
      <c r="E2013" s="90"/>
      <c r="F2013" s="90"/>
      <c r="G2013" s="90"/>
      <c r="H2013" s="89" t="s">
        <v>1435</v>
      </c>
      <c r="I2013" s="91">
        <v>1.0</v>
      </c>
      <c r="J2013" s="92">
        <v>58958.71</v>
      </c>
      <c r="K2013" s="92">
        <v>58958.71</v>
      </c>
    </row>
    <row r="2014" ht="12.75" customHeight="1">
      <c r="I2014" s="79"/>
      <c r="J2014" s="80"/>
      <c r="K2014" s="80"/>
    </row>
    <row r="2015" ht="12.75" customHeight="1">
      <c r="A2015" s="89" t="s">
        <v>1436</v>
      </c>
      <c r="B2015" s="90" t="s">
        <v>4378</v>
      </c>
      <c r="D2015" s="90"/>
      <c r="E2015" s="90"/>
      <c r="F2015" s="90"/>
      <c r="G2015" s="90"/>
      <c r="I2015" s="79"/>
      <c r="J2015" s="80"/>
      <c r="K2015" s="80"/>
    </row>
    <row r="2016" ht="12.75" customHeight="1">
      <c r="I2016" s="79"/>
      <c r="J2016" s="80"/>
      <c r="K2016" s="80"/>
    </row>
    <row r="2017" ht="12.75" customHeight="1">
      <c r="B2017" s="90" t="s">
        <v>4379</v>
      </c>
      <c r="D2017" s="90"/>
      <c r="E2017" s="90"/>
      <c r="F2017" s="90"/>
      <c r="G2017" s="90"/>
      <c r="I2017" s="79"/>
      <c r="J2017" s="80"/>
      <c r="K2017" s="80"/>
    </row>
    <row r="2018" ht="12.75" customHeight="1">
      <c r="I2018" s="79"/>
      <c r="J2018" s="80"/>
      <c r="K2018" s="80"/>
    </row>
    <row r="2019" ht="12.75" customHeight="1">
      <c r="B2019" s="90" t="s">
        <v>4380</v>
      </c>
      <c r="D2019" s="90"/>
      <c r="E2019" s="90"/>
      <c r="F2019" s="90"/>
      <c r="G2019" s="90"/>
      <c r="I2019" s="79"/>
      <c r="J2019" s="80"/>
      <c r="K2019" s="80"/>
    </row>
    <row r="2020" ht="12.75" customHeight="1">
      <c r="I2020" s="79"/>
      <c r="J2020" s="80"/>
      <c r="K2020" s="80"/>
    </row>
    <row r="2021" ht="12.75" customHeight="1">
      <c r="B2021" s="90" t="s">
        <v>4381</v>
      </c>
      <c r="D2021" s="90"/>
      <c r="E2021" s="90"/>
      <c r="F2021" s="90"/>
      <c r="G2021" s="90"/>
      <c r="H2021" s="89" t="s">
        <v>75</v>
      </c>
      <c r="I2021" s="91">
        <v>28.0</v>
      </c>
      <c r="J2021" s="80"/>
      <c r="K2021" s="135" t="s">
        <v>619</v>
      </c>
    </row>
    <row r="2022" ht="12.75" customHeight="1">
      <c r="I2022" s="79"/>
      <c r="J2022" s="80"/>
      <c r="K2022" s="80"/>
    </row>
    <row r="2023" ht="12.75" customHeight="1">
      <c r="B2023" s="90" t="s">
        <v>4382</v>
      </c>
      <c r="D2023" s="90"/>
      <c r="E2023" s="90"/>
      <c r="F2023" s="90"/>
      <c r="G2023" s="90"/>
      <c r="H2023" s="89" t="s">
        <v>75</v>
      </c>
      <c r="I2023" s="91">
        <v>6.0</v>
      </c>
      <c r="J2023" s="80"/>
      <c r="K2023" s="135" t="s">
        <v>619</v>
      </c>
    </row>
    <row r="2024" ht="12.75" customHeight="1">
      <c r="I2024" s="79"/>
      <c r="J2024" s="80"/>
      <c r="K2024" s="80"/>
    </row>
    <row r="2025" ht="12.75" customHeight="1">
      <c r="B2025" s="90" t="s">
        <v>4383</v>
      </c>
      <c r="D2025" s="90"/>
      <c r="E2025" s="90"/>
      <c r="F2025" s="90"/>
      <c r="G2025" s="90"/>
      <c r="H2025" s="89" t="s">
        <v>75</v>
      </c>
      <c r="I2025" s="91">
        <v>1.0</v>
      </c>
      <c r="J2025" s="80"/>
      <c r="K2025" s="135" t="s">
        <v>619</v>
      </c>
    </row>
    <row r="2026" ht="12.75" customHeight="1">
      <c r="I2026" s="79"/>
      <c r="J2026" s="80"/>
      <c r="K2026" s="80"/>
    </row>
    <row r="2027" ht="12.75" customHeight="1">
      <c r="B2027" s="90" t="s">
        <v>4384</v>
      </c>
      <c r="D2027" s="90"/>
      <c r="E2027" s="90"/>
      <c r="F2027" s="90"/>
      <c r="G2027" s="90"/>
      <c r="I2027" s="79"/>
      <c r="J2027" s="80"/>
      <c r="K2027" s="80"/>
    </row>
    <row r="2028" ht="12.75" customHeight="1">
      <c r="I2028" s="79"/>
      <c r="J2028" s="80"/>
      <c r="K2028" s="80"/>
    </row>
    <row r="2029" ht="12.75" customHeight="1">
      <c r="B2029" s="90" t="s">
        <v>4385</v>
      </c>
      <c r="D2029" s="90"/>
      <c r="E2029" s="90"/>
      <c r="F2029" s="90"/>
      <c r="G2029" s="90"/>
      <c r="H2029" s="89" t="s">
        <v>75</v>
      </c>
      <c r="I2029" s="91">
        <v>7.0</v>
      </c>
      <c r="J2029" s="80"/>
      <c r="K2029" s="135" t="s">
        <v>619</v>
      </c>
    </row>
    <row r="2030" ht="12.75" customHeight="1">
      <c r="I2030" s="79"/>
      <c r="J2030" s="80"/>
      <c r="K2030" s="80"/>
    </row>
    <row r="2031" ht="12.75" customHeight="1">
      <c r="B2031" s="90" t="s">
        <v>4386</v>
      </c>
      <c r="D2031" s="90"/>
      <c r="E2031" s="90"/>
      <c r="F2031" s="90"/>
      <c r="G2031" s="90"/>
      <c r="H2031" s="89" t="s">
        <v>75</v>
      </c>
      <c r="I2031" s="91">
        <v>8.0</v>
      </c>
      <c r="J2031" s="80"/>
      <c r="K2031" s="135" t="s">
        <v>619</v>
      </c>
    </row>
    <row r="2032" ht="12.75" customHeight="1">
      <c r="I2032" s="79"/>
      <c r="J2032" s="80"/>
      <c r="K2032" s="80"/>
    </row>
    <row r="2033" ht="12.75" customHeight="1">
      <c r="B2033" s="90" t="s">
        <v>4387</v>
      </c>
      <c r="D2033" s="90"/>
      <c r="E2033" s="90"/>
      <c r="F2033" s="90"/>
      <c r="G2033" s="90"/>
      <c r="I2033" s="79"/>
      <c r="J2033" s="80"/>
      <c r="K2033" s="80"/>
    </row>
    <row r="2034" ht="12.75" customHeight="1">
      <c r="I2034" s="79"/>
      <c r="J2034" s="80"/>
      <c r="K2034" s="80"/>
    </row>
    <row r="2035" ht="12.75" customHeight="1">
      <c r="B2035" s="90" t="s">
        <v>4306</v>
      </c>
      <c r="D2035" s="90"/>
      <c r="E2035" s="90"/>
      <c r="F2035" s="90"/>
      <c r="G2035" s="90"/>
      <c r="I2035" s="79"/>
      <c r="J2035" s="80"/>
      <c r="K2035" s="80"/>
    </row>
    <row r="2036" ht="12.75" customHeight="1">
      <c r="I2036" s="79"/>
      <c r="J2036" s="80"/>
      <c r="K2036" s="80"/>
    </row>
    <row r="2037" ht="12.75" customHeight="1">
      <c r="B2037" s="90" t="s">
        <v>4330</v>
      </c>
      <c r="D2037" s="90"/>
      <c r="E2037" s="90"/>
      <c r="F2037" s="90"/>
      <c r="G2037" s="90"/>
      <c r="I2037" s="79"/>
      <c r="J2037" s="80"/>
      <c r="K2037" s="80"/>
    </row>
    <row r="2038" ht="12.75" customHeight="1">
      <c r="I2038" s="79"/>
      <c r="J2038" s="80"/>
      <c r="K2038" s="80"/>
    </row>
    <row r="2039" ht="12.75" customHeight="1">
      <c r="B2039" s="90" t="s">
        <v>3231</v>
      </c>
      <c r="D2039" s="90"/>
      <c r="E2039" s="90"/>
      <c r="F2039" s="90"/>
      <c r="G2039" s="90"/>
      <c r="H2039" s="89" t="s">
        <v>161</v>
      </c>
      <c r="I2039" s="91">
        <v>488.0</v>
      </c>
      <c r="J2039" s="80"/>
      <c r="K2039" s="135" t="s">
        <v>619</v>
      </c>
    </row>
    <row r="2040" ht="12.75" customHeight="1">
      <c r="I2040" s="79"/>
      <c r="J2040" s="80"/>
      <c r="K2040" s="80"/>
    </row>
    <row r="2041" ht="12.75" customHeight="1">
      <c r="B2041" s="90" t="s">
        <v>2697</v>
      </c>
      <c r="D2041" s="90"/>
      <c r="E2041" s="90"/>
      <c r="F2041" s="90"/>
      <c r="G2041" s="90"/>
      <c r="I2041" s="79"/>
      <c r="J2041" s="80"/>
      <c r="K2041" s="80"/>
    </row>
    <row r="2042" ht="12.75" customHeight="1">
      <c r="I2042" s="79"/>
      <c r="J2042" s="80"/>
      <c r="K2042" s="80"/>
    </row>
    <row r="2043" ht="12.75" customHeight="1">
      <c r="B2043" s="90" t="s">
        <v>4330</v>
      </c>
      <c r="D2043" s="90"/>
      <c r="E2043" s="90"/>
      <c r="F2043" s="90"/>
      <c r="G2043" s="90"/>
      <c r="I2043" s="79"/>
      <c r="J2043" s="80"/>
      <c r="K2043" s="80"/>
    </row>
    <row r="2044" ht="12.75" customHeight="1">
      <c r="I2044" s="79"/>
      <c r="J2044" s="80"/>
      <c r="K2044" s="80"/>
    </row>
    <row r="2045" ht="12.75" customHeight="1">
      <c r="B2045" s="90" t="s">
        <v>3001</v>
      </c>
      <c r="D2045" s="90"/>
      <c r="E2045" s="90"/>
      <c r="F2045" s="90"/>
      <c r="G2045" s="90"/>
      <c r="H2045" s="89" t="s">
        <v>161</v>
      </c>
      <c r="I2045" s="91">
        <v>457.0</v>
      </c>
      <c r="J2045" s="92">
        <v>1.81</v>
      </c>
      <c r="K2045" s="92">
        <v>827.17</v>
      </c>
    </row>
    <row r="2046" ht="12.75" customHeight="1">
      <c r="I2046" s="79"/>
      <c r="J2046" s="80"/>
      <c r="K2046" s="80"/>
    </row>
    <row r="2047" ht="12.75" customHeight="1">
      <c r="B2047" s="90" t="s">
        <v>3234</v>
      </c>
      <c r="D2047" s="90"/>
      <c r="E2047" s="90"/>
      <c r="F2047" s="90"/>
      <c r="G2047" s="90"/>
      <c r="H2047" s="89" t="s">
        <v>161</v>
      </c>
      <c r="I2047" s="91">
        <v>32.0</v>
      </c>
      <c r="J2047" s="92">
        <v>2.2</v>
      </c>
      <c r="K2047" s="92">
        <v>70.4</v>
      </c>
    </row>
    <row r="2048" ht="12.75" customHeight="1">
      <c r="I2048" s="79"/>
      <c r="J2048" s="80"/>
      <c r="K2048" s="80"/>
    </row>
    <row r="2049" ht="12.75" customHeight="1">
      <c r="B2049" s="90" t="s">
        <v>2702</v>
      </c>
      <c r="D2049" s="90"/>
      <c r="E2049" s="90"/>
      <c r="F2049" s="90"/>
      <c r="G2049" s="90"/>
      <c r="I2049" s="79"/>
      <c r="J2049" s="80"/>
      <c r="K2049" s="80"/>
    </row>
    <row r="2050" ht="12.75" customHeight="1">
      <c r="I2050" s="79"/>
      <c r="J2050" s="80"/>
      <c r="K2050" s="80"/>
    </row>
    <row r="2051" ht="12.75" customHeight="1">
      <c r="B2051" s="90" t="s">
        <v>4330</v>
      </c>
      <c r="D2051" s="90"/>
      <c r="E2051" s="90"/>
      <c r="F2051" s="90"/>
      <c r="G2051" s="90"/>
      <c r="I2051" s="79"/>
      <c r="J2051" s="80"/>
      <c r="K2051" s="80"/>
    </row>
    <row r="2052" ht="12.75" customHeight="1">
      <c r="I2052" s="79"/>
      <c r="J2052" s="80"/>
      <c r="K2052" s="80"/>
    </row>
    <row r="2053" ht="12.75" customHeight="1">
      <c r="B2053" s="90" t="s">
        <v>3237</v>
      </c>
      <c r="D2053" s="90"/>
      <c r="E2053" s="90"/>
      <c r="F2053" s="90"/>
      <c r="G2053" s="90"/>
      <c r="H2053" s="89" t="s">
        <v>75</v>
      </c>
      <c r="I2053" s="91">
        <v>50.0</v>
      </c>
      <c r="J2053" s="92">
        <v>2.3</v>
      </c>
      <c r="K2053" s="92">
        <v>115.0</v>
      </c>
    </row>
    <row r="2054" ht="12.75" customHeight="1">
      <c r="I2054" s="79"/>
      <c r="J2054" s="80"/>
      <c r="K2054" s="80"/>
    </row>
    <row r="2055" ht="12.75" customHeight="1">
      <c r="B2055" s="90" t="s">
        <v>1450</v>
      </c>
      <c r="D2055" s="90"/>
      <c r="E2055" s="90"/>
      <c r="F2055" s="90"/>
      <c r="G2055" s="90"/>
      <c r="H2055" s="89" t="s">
        <v>75</v>
      </c>
      <c r="I2055" s="91">
        <v>2.0</v>
      </c>
      <c r="J2055" s="92">
        <v>21.66</v>
      </c>
      <c r="K2055" s="92">
        <v>43.32</v>
      </c>
    </row>
    <row r="2056" ht="12.75" customHeight="1">
      <c r="I2056" s="79"/>
      <c r="J2056" s="80"/>
      <c r="K2056" s="80"/>
    </row>
    <row r="2057" ht="12.75" customHeight="1">
      <c r="A2057" s="89" t="s">
        <v>1451</v>
      </c>
      <c r="B2057" s="90" t="s">
        <v>4388</v>
      </c>
      <c r="D2057" s="90"/>
      <c r="E2057" s="90"/>
      <c r="F2057" s="90"/>
      <c r="G2057" s="90"/>
      <c r="H2057" s="89" t="s">
        <v>1435</v>
      </c>
      <c r="I2057" s="91">
        <v>1.0</v>
      </c>
      <c r="J2057" s="92">
        <v>5810.6</v>
      </c>
      <c r="K2057" s="92">
        <v>5810.6</v>
      </c>
    </row>
    <row r="2058" ht="12.75" customHeight="1">
      <c r="I2058" s="79"/>
      <c r="J2058" s="80"/>
      <c r="K2058" s="80"/>
    </row>
    <row r="2059" ht="12.75" customHeight="1">
      <c r="B2059" s="90" t="s">
        <v>4389</v>
      </c>
      <c r="D2059" s="90"/>
      <c r="E2059" s="90"/>
      <c r="F2059" s="90"/>
      <c r="G2059" s="90"/>
      <c r="I2059" s="79"/>
      <c r="J2059" s="80"/>
      <c r="K2059" s="80"/>
    </row>
    <row r="2060" ht="12.75" customHeight="1">
      <c r="I2060" s="79"/>
      <c r="J2060" s="80"/>
      <c r="K2060" s="80"/>
    </row>
    <row r="2061" ht="12.75" customHeight="1">
      <c r="B2061" s="90" t="s">
        <v>4390</v>
      </c>
      <c r="D2061" s="90"/>
      <c r="E2061" s="90"/>
      <c r="F2061" s="90"/>
      <c r="G2061" s="90"/>
      <c r="I2061" s="79"/>
      <c r="J2061" s="80"/>
      <c r="K2061" s="80"/>
    </row>
    <row r="2062" ht="12.75" customHeight="1">
      <c r="I2062" s="79"/>
      <c r="J2062" s="80"/>
      <c r="K2062" s="80"/>
    </row>
    <row r="2063" ht="12.75" customHeight="1">
      <c r="B2063" s="90" t="s">
        <v>4391</v>
      </c>
      <c r="D2063" s="90"/>
      <c r="E2063" s="90"/>
      <c r="F2063" s="90"/>
      <c r="G2063" s="90"/>
      <c r="H2063" s="89" t="s">
        <v>75</v>
      </c>
      <c r="I2063" s="91">
        <v>10.0</v>
      </c>
      <c r="J2063" s="80"/>
      <c r="K2063" s="135" t="s">
        <v>619</v>
      </c>
    </row>
    <row r="2064" ht="12.75" customHeight="1">
      <c r="I2064" s="79"/>
      <c r="J2064" s="80"/>
      <c r="K2064" s="80"/>
    </row>
    <row r="2065" ht="12.75" customHeight="1">
      <c r="B2065" s="90" t="s">
        <v>4392</v>
      </c>
      <c r="D2065" s="90"/>
      <c r="E2065" s="90"/>
      <c r="F2065" s="90"/>
      <c r="G2065" s="90"/>
      <c r="H2065" s="89" t="s">
        <v>75</v>
      </c>
      <c r="I2065" s="91">
        <v>1.0</v>
      </c>
      <c r="J2065" s="80"/>
      <c r="K2065" s="135" t="s">
        <v>619</v>
      </c>
    </row>
    <row r="2066" ht="12.75" customHeight="1">
      <c r="I2066" s="79"/>
      <c r="J2066" s="80"/>
      <c r="K2066" s="80"/>
    </row>
    <row r="2067" ht="12.75" customHeight="1">
      <c r="B2067" s="90" t="s">
        <v>4393</v>
      </c>
      <c r="D2067" s="90"/>
      <c r="E2067" s="90"/>
      <c r="F2067" s="90"/>
      <c r="G2067" s="90"/>
      <c r="H2067" s="89" t="s">
        <v>75</v>
      </c>
      <c r="I2067" s="91">
        <v>11.0</v>
      </c>
      <c r="J2067" s="80"/>
      <c r="K2067" s="135" t="s">
        <v>619</v>
      </c>
    </row>
    <row r="2068" ht="12.75" customHeight="1">
      <c r="I2068" s="79"/>
      <c r="J2068" s="80"/>
      <c r="K2068" s="80"/>
    </row>
    <row r="2069" ht="12.75" customHeight="1">
      <c r="B2069" s="90" t="s">
        <v>4394</v>
      </c>
      <c r="D2069" s="90"/>
      <c r="E2069" s="90"/>
      <c r="F2069" s="90"/>
      <c r="G2069" s="90"/>
      <c r="I2069" s="79"/>
      <c r="J2069" s="80"/>
      <c r="K2069" s="80"/>
    </row>
    <row r="2070" ht="12.75" customHeight="1">
      <c r="I2070" s="79"/>
      <c r="J2070" s="80"/>
      <c r="K2070" s="80"/>
    </row>
    <row r="2071" ht="12.75" customHeight="1">
      <c r="B2071" s="90" t="s">
        <v>4395</v>
      </c>
      <c r="D2071" s="90"/>
      <c r="E2071" s="90"/>
      <c r="F2071" s="90"/>
      <c r="G2071" s="90"/>
      <c r="H2071" s="89" t="s">
        <v>75</v>
      </c>
      <c r="I2071" s="91">
        <v>1.0</v>
      </c>
      <c r="J2071" s="80"/>
      <c r="K2071" s="135" t="s">
        <v>619</v>
      </c>
    </row>
    <row r="2072" ht="12.75" customHeight="1">
      <c r="I2072" s="79"/>
      <c r="J2072" s="80"/>
      <c r="K2072" s="80"/>
    </row>
    <row r="2073" ht="12.75" customHeight="1">
      <c r="B2073" s="90" t="s">
        <v>4396</v>
      </c>
      <c r="D2073" s="90"/>
      <c r="E2073" s="90"/>
      <c r="F2073" s="90"/>
      <c r="G2073" s="90"/>
      <c r="H2073" s="89" t="s">
        <v>75</v>
      </c>
      <c r="I2073" s="91">
        <v>1.0</v>
      </c>
      <c r="J2073" s="80"/>
      <c r="K2073" s="135" t="s">
        <v>619</v>
      </c>
    </row>
    <row r="2074" ht="12.75" customHeight="1">
      <c r="I2074" s="79"/>
      <c r="J2074" s="80"/>
      <c r="K2074" s="80"/>
    </row>
    <row r="2075" ht="12.75" customHeight="1">
      <c r="B2075" s="90" t="s">
        <v>4397</v>
      </c>
      <c r="D2075" s="90"/>
      <c r="E2075" s="90"/>
      <c r="F2075" s="90"/>
      <c r="G2075" s="90"/>
      <c r="H2075" s="89" t="s">
        <v>75</v>
      </c>
      <c r="I2075" s="91">
        <v>1.0</v>
      </c>
      <c r="J2075" s="80"/>
      <c r="K2075" s="135" t="s">
        <v>619</v>
      </c>
    </row>
    <row r="2076" ht="12.75" customHeight="1">
      <c r="I2076" s="79"/>
      <c r="J2076" s="80"/>
      <c r="K2076" s="80"/>
    </row>
    <row r="2077" ht="12.75" customHeight="1">
      <c r="B2077" s="90" t="s">
        <v>4398</v>
      </c>
      <c r="D2077" s="90"/>
      <c r="E2077" s="90"/>
      <c r="F2077" s="90"/>
      <c r="G2077" s="90"/>
      <c r="H2077" s="89" t="s">
        <v>75</v>
      </c>
      <c r="I2077" s="91">
        <v>1.0</v>
      </c>
      <c r="J2077" s="80"/>
      <c r="K2077" s="135" t="s">
        <v>619</v>
      </c>
    </row>
    <row r="2078" ht="12.75" customHeight="1">
      <c r="I2078" s="79"/>
      <c r="J2078" s="80"/>
      <c r="K2078" s="80"/>
    </row>
    <row r="2079" ht="12.75" customHeight="1">
      <c r="B2079" s="90" t="s">
        <v>4399</v>
      </c>
      <c r="D2079" s="90"/>
      <c r="E2079" s="90"/>
      <c r="F2079" s="90"/>
      <c r="G2079" s="90"/>
      <c r="H2079" s="89" t="s">
        <v>75</v>
      </c>
      <c r="I2079" s="91">
        <v>1.0</v>
      </c>
      <c r="J2079" s="80"/>
      <c r="K2079" s="135" t="s">
        <v>619</v>
      </c>
    </row>
    <row r="2080" ht="12.75" customHeight="1">
      <c r="I2080" s="79"/>
      <c r="J2080" s="80"/>
      <c r="K2080" s="80"/>
    </row>
    <row r="2081" ht="12.75" customHeight="1">
      <c r="B2081" s="90" t="s">
        <v>4400</v>
      </c>
      <c r="D2081" s="90"/>
      <c r="E2081" s="90"/>
      <c r="F2081" s="90"/>
      <c r="G2081" s="90"/>
      <c r="H2081" s="89" t="s">
        <v>161</v>
      </c>
      <c r="I2081" s="91">
        <v>303.0</v>
      </c>
      <c r="J2081" s="80"/>
      <c r="K2081" s="135" t="s">
        <v>619</v>
      </c>
    </row>
    <row r="2082" ht="12.75" customHeight="1">
      <c r="I2082" s="79"/>
      <c r="J2082" s="80"/>
      <c r="K2082" s="80"/>
    </row>
    <row r="2083" ht="12.75" customHeight="1">
      <c r="B2083" s="90" t="s">
        <v>4401</v>
      </c>
      <c r="D2083" s="90"/>
      <c r="E2083" s="90"/>
      <c r="F2083" s="90"/>
      <c r="G2083" s="90"/>
      <c r="H2083" s="89" t="s">
        <v>75</v>
      </c>
      <c r="I2083" s="91">
        <v>11.0</v>
      </c>
      <c r="J2083" s="80"/>
      <c r="K2083" s="135" t="s">
        <v>619</v>
      </c>
    </row>
    <row r="2084" ht="12.75" customHeight="1">
      <c r="I2084" s="79"/>
      <c r="J2084" s="80"/>
      <c r="K2084" s="80"/>
    </row>
    <row r="2085" ht="12.75" customHeight="1">
      <c r="B2085" s="90" t="s">
        <v>3265</v>
      </c>
      <c r="D2085" s="90"/>
      <c r="E2085" s="90"/>
      <c r="F2085" s="90"/>
      <c r="G2085" s="90"/>
      <c r="H2085" s="89" t="s">
        <v>161</v>
      </c>
      <c r="I2085" s="91">
        <v>183.0</v>
      </c>
      <c r="J2085" s="92">
        <v>2.2</v>
      </c>
      <c r="K2085" s="92">
        <v>402.6</v>
      </c>
    </row>
    <row r="2086" ht="12.75" customHeight="1">
      <c r="I2086" s="79"/>
      <c r="J2086" s="80"/>
      <c r="K2086" s="80"/>
    </row>
    <row r="2087" ht="12.75" customHeight="1">
      <c r="B2087" s="90" t="s">
        <v>3267</v>
      </c>
      <c r="D2087" s="90"/>
      <c r="E2087" s="90"/>
      <c r="F2087" s="90"/>
      <c r="G2087" s="90"/>
      <c r="H2087" s="89" t="s">
        <v>161</v>
      </c>
      <c r="I2087" s="91">
        <v>19.0</v>
      </c>
      <c r="J2087" s="92">
        <v>3.34</v>
      </c>
      <c r="K2087" s="92">
        <v>63.46</v>
      </c>
    </row>
    <row r="2088" ht="12.75" customHeight="1">
      <c r="I2088" s="79"/>
      <c r="J2088" s="80"/>
      <c r="K2088" s="80"/>
    </row>
    <row r="2089" ht="12.75" customHeight="1">
      <c r="B2089" s="90" t="s">
        <v>3269</v>
      </c>
      <c r="D2089" s="90"/>
      <c r="E2089" s="90"/>
      <c r="F2089" s="90"/>
      <c r="G2089" s="90"/>
      <c r="H2089" s="89" t="s">
        <v>75</v>
      </c>
      <c r="I2089" s="91">
        <v>2.0</v>
      </c>
      <c r="J2089" s="92">
        <v>61.67</v>
      </c>
      <c r="K2089" s="92">
        <v>123.34</v>
      </c>
    </row>
    <row r="2090" ht="12.75" customHeight="1">
      <c r="I2090" s="79"/>
      <c r="J2090" s="80"/>
      <c r="K2090" s="80"/>
    </row>
    <row r="2091" ht="12.75" customHeight="1">
      <c r="A2091" s="89" t="s">
        <v>1469</v>
      </c>
      <c r="B2091" s="90" t="s">
        <v>4402</v>
      </c>
      <c r="D2091" s="90"/>
      <c r="E2091" s="90"/>
      <c r="F2091" s="90"/>
      <c r="G2091" s="90"/>
      <c r="H2091" s="89" t="s">
        <v>1435</v>
      </c>
      <c r="I2091" s="91">
        <v>0.0</v>
      </c>
      <c r="J2091" s="80"/>
      <c r="K2091" s="92">
        <v>0.0</v>
      </c>
    </row>
    <row r="2092" ht="12.75" customHeight="1">
      <c r="I2092" s="79"/>
      <c r="J2092" s="80"/>
      <c r="K2092" s="80"/>
    </row>
    <row r="2093" ht="12.75" customHeight="1">
      <c r="A2093" s="89" t="s">
        <v>1471</v>
      </c>
      <c r="B2093" s="90" t="s">
        <v>4403</v>
      </c>
      <c r="D2093" s="90"/>
      <c r="E2093" s="90"/>
      <c r="F2093" s="90"/>
      <c r="G2093" s="90"/>
      <c r="H2093" s="89" t="s">
        <v>1435</v>
      </c>
      <c r="I2093" s="91">
        <v>1.0</v>
      </c>
      <c r="J2093" s="92">
        <v>21963.67</v>
      </c>
      <c r="K2093" s="92">
        <v>21963.67</v>
      </c>
    </row>
    <row r="2094" ht="12.75" customHeight="1">
      <c r="I2094" s="79"/>
      <c r="J2094" s="80"/>
      <c r="K2094" s="80"/>
    </row>
    <row r="2095" ht="12.75" customHeight="1">
      <c r="B2095" s="90" t="s">
        <v>4404</v>
      </c>
      <c r="D2095" s="90"/>
      <c r="E2095" s="90"/>
      <c r="F2095" s="90"/>
      <c r="G2095" s="90"/>
      <c r="H2095" s="89" t="s">
        <v>161</v>
      </c>
      <c r="I2095" s="91">
        <v>98.0</v>
      </c>
      <c r="J2095" s="80"/>
      <c r="K2095" s="135" t="s">
        <v>619</v>
      </c>
    </row>
    <row r="2096" ht="12.75" customHeight="1">
      <c r="I2096" s="79"/>
      <c r="J2096" s="80"/>
      <c r="K2096" s="80"/>
    </row>
    <row r="2097" ht="12.75" customHeight="1">
      <c r="B2097" s="90" t="s">
        <v>4330</v>
      </c>
      <c r="D2097" s="90"/>
      <c r="E2097" s="90"/>
      <c r="F2097" s="90"/>
      <c r="G2097" s="90"/>
      <c r="I2097" s="79"/>
      <c r="J2097" s="80"/>
      <c r="K2097" s="80"/>
    </row>
    <row r="2098" ht="12.75" customHeight="1">
      <c r="I2098" s="79"/>
      <c r="J2098" s="80"/>
      <c r="K2098" s="80"/>
    </row>
    <row r="2099" ht="12.75" customHeight="1">
      <c r="B2099" s="90" t="s">
        <v>4405</v>
      </c>
      <c r="D2099" s="90"/>
      <c r="E2099" s="90"/>
      <c r="F2099" s="90"/>
      <c r="G2099" s="90"/>
      <c r="H2099" s="89" t="s">
        <v>75</v>
      </c>
      <c r="I2099" s="91">
        <v>1.0</v>
      </c>
      <c r="J2099" s="80"/>
      <c r="K2099" s="135" t="s">
        <v>619</v>
      </c>
    </row>
    <row r="2100" ht="12.75" customHeight="1">
      <c r="I2100" s="79"/>
      <c r="J2100" s="80"/>
      <c r="K2100" s="80"/>
    </row>
    <row r="2101" ht="12.75" customHeight="1">
      <c r="B2101" s="90" t="s">
        <v>4406</v>
      </c>
      <c r="D2101" s="90"/>
      <c r="E2101" s="90"/>
      <c r="F2101" s="90"/>
      <c r="G2101" s="90"/>
      <c r="H2101" s="89" t="s">
        <v>75</v>
      </c>
      <c r="I2101" s="91">
        <v>1.0</v>
      </c>
      <c r="J2101" s="80"/>
      <c r="K2101" s="135" t="s">
        <v>619</v>
      </c>
    </row>
    <row r="2102" ht="12.75" customHeight="1">
      <c r="I2102" s="79"/>
      <c r="J2102" s="80"/>
      <c r="K2102" s="80"/>
    </row>
    <row r="2103" ht="12.75" customHeight="1">
      <c r="B2103" s="90" t="s">
        <v>4401</v>
      </c>
      <c r="D2103" s="90"/>
      <c r="E2103" s="90"/>
      <c r="F2103" s="90"/>
      <c r="G2103" s="90"/>
      <c r="H2103" s="89" t="s">
        <v>75</v>
      </c>
      <c r="I2103" s="91">
        <v>1.0</v>
      </c>
      <c r="J2103" s="80"/>
      <c r="K2103" s="135" t="s">
        <v>619</v>
      </c>
    </row>
    <row r="2104" ht="12.75" customHeight="1">
      <c r="I2104" s="79"/>
      <c r="J2104" s="80"/>
      <c r="K2104" s="80"/>
    </row>
    <row r="2105" ht="12.75" customHeight="1">
      <c r="B2105" s="90" t="s">
        <v>4330</v>
      </c>
      <c r="D2105" s="90"/>
      <c r="E2105" s="90"/>
      <c r="F2105" s="90"/>
      <c r="G2105" s="90"/>
      <c r="I2105" s="79"/>
      <c r="J2105" s="80"/>
      <c r="K2105" s="80"/>
    </row>
    <row r="2106" ht="12.75" customHeight="1">
      <c r="I2106" s="79"/>
      <c r="J2106" s="80"/>
      <c r="K2106" s="80"/>
    </row>
    <row r="2107" ht="12.75" customHeight="1">
      <c r="B2107" s="90" t="s">
        <v>3265</v>
      </c>
      <c r="D2107" s="90"/>
      <c r="E2107" s="90"/>
      <c r="F2107" s="90"/>
      <c r="G2107" s="90"/>
      <c r="H2107" s="89" t="s">
        <v>161</v>
      </c>
      <c r="I2107" s="91">
        <v>50.0</v>
      </c>
      <c r="J2107" s="92">
        <v>2.2</v>
      </c>
      <c r="K2107" s="92">
        <v>110.0</v>
      </c>
    </row>
    <row r="2108" ht="12.75" customHeight="1">
      <c r="I2108" s="79"/>
      <c r="J2108" s="80"/>
      <c r="K2108" s="80"/>
    </row>
    <row r="2109" ht="12.75" customHeight="1">
      <c r="B2109" s="90" t="s">
        <v>3281</v>
      </c>
      <c r="D2109" s="90"/>
      <c r="E2109" s="90"/>
      <c r="F2109" s="90"/>
      <c r="G2109" s="90"/>
      <c r="H2109" s="89" t="s">
        <v>75</v>
      </c>
      <c r="I2109" s="91">
        <v>1.0</v>
      </c>
      <c r="J2109" s="92">
        <v>21.66</v>
      </c>
      <c r="K2109" s="92">
        <v>21.66</v>
      </c>
    </row>
    <row r="2110" ht="12.75" customHeight="1">
      <c r="I2110" s="79"/>
      <c r="J2110" s="80"/>
      <c r="K2110" s="80"/>
    </row>
    <row r="2111" ht="12.75" customHeight="1">
      <c r="A2111" s="89" t="s">
        <v>1477</v>
      </c>
      <c r="B2111" s="90" t="s">
        <v>4407</v>
      </c>
      <c r="D2111" s="90"/>
      <c r="E2111" s="90"/>
      <c r="F2111" s="90"/>
      <c r="G2111" s="90"/>
      <c r="I2111" s="79"/>
      <c r="J2111" s="80"/>
      <c r="K2111" s="80"/>
    </row>
    <row r="2112" ht="12.75" customHeight="1">
      <c r="I2112" s="79"/>
      <c r="J2112" s="80"/>
      <c r="K2112" s="80"/>
    </row>
    <row r="2113" ht="12.75" customHeight="1">
      <c r="B2113" s="90" t="s">
        <v>4408</v>
      </c>
      <c r="D2113" s="90"/>
      <c r="E2113" s="90"/>
      <c r="F2113" s="90"/>
      <c r="G2113" s="90"/>
      <c r="H2113" s="89" t="s">
        <v>75</v>
      </c>
      <c r="I2113" s="91">
        <v>1.0</v>
      </c>
      <c r="J2113" s="80"/>
      <c r="K2113" s="135" t="s">
        <v>619</v>
      </c>
    </row>
    <row r="2114" ht="12.75" customHeight="1">
      <c r="I2114" s="79"/>
      <c r="J2114" s="80"/>
      <c r="K2114" s="80"/>
    </row>
    <row r="2115" ht="12.75" customHeight="1">
      <c r="B2115" s="90" t="s">
        <v>4409</v>
      </c>
      <c r="D2115" s="90"/>
      <c r="E2115" s="90"/>
      <c r="F2115" s="90"/>
      <c r="G2115" s="90"/>
      <c r="H2115" s="89" t="s">
        <v>75</v>
      </c>
      <c r="I2115" s="91">
        <v>1.0</v>
      </c>
      <c r="J2115" s="80"/>
      <c r="K2115" s="135" t="s">
        <v>619</v>
      </c>
    </row>
    <row r="2116" ht="12.75" customHeight="1">
      <c r="I2116" s="79"/>
      <c r="J2116" s="80"/>
      <c r="K2116" s="80"/>
    </row>
    <row r="2117" ht="12.75" customHeight="1">
      <c r="B2117" s="90" t="s">
        <v>4410</v>
      </c>
      <c r="D2117" s="90"/>
      <c r="E2117" s="90"/>
      <c r="F2117" s="90"/>
      <c r="G2117" s="90"/>
      <c r="H2117" s="89" t="s">
        <v>75</v>
      </c>
      <c r="I2117" s="91">
        <v>3.0</v>
      </c>
      <c r="J2117" s="80"/>
      <c r="K2117" s="135" t="s">
        <v>619</v>
      </c>
    </row>
    <row r="2118" ht="12.75" customHeight="1">
      <c r="I2118" s="79"/>
      <c r="J2118" s="80"/>
      <c r="K2118" s="80"/>
    </row>
    <row r="2119" ht="12.75" customHeight="1">
      <c r="B2119" s="90" t="s">
        <v>4411</v>
      </c>
      <c r="D2119" s="90"/>
      <c r="E2119" s="90"/>
      <c r="F2119" s="90"/>
      <c r="G2119" s="90"/>
      <c r="H2119" s="89" t="s">
        <v>75</v>
      </c>
      <c r="I2119" s="91">
        <v>1.0</v>
      </c>
      <c r="J2119" s="80"/>
      <c r="K2119" s="135" t="s">
        <v>619</v>
      </c>
    </row>
    <row r="2120" ht="12.75" customHeight="1">
      <c r="I2120" s="79"/>
      <c r="J2120" s="80"/>
      <c r="K2120" s="80"/>
    </row>
    <row r="2121" ht="12.75" customHeight="1">
      <c r="A2121" s="89" t="s">
        <v>1483</v>
      </c>
      <c r="B2121" s="90" t="s">
        <v>4412</v>
      </c>
      <c r="D2121" s="90"/>
      <c r="E2121" s="90"/>
      <c r="F2121" s="90"/>
      <c r="G2121" s="90"/>
      <c r="H2121" s="89" t="s">
        <v>1485</v>
      </c>
      <c r="I2121" s="91">
        <v>0.0</v>
      </c>
      <c r="J2121" s="80"/>
      <c r="K2121" s="92">
        <v>0.0</v>
      </c>
    </row>
    <row r="2122" ht="12.75" customHeight="1">
      <c r="I2122" s="79"/>
      <c r="J2122" s="80"/>
      <c r="K2122" s="80"/>
    </row>
    <row r="2123" ht="12.75" customHeight="1">
      <c r="A2123" s="89" t="s">
        <v>1486</v>
      </c>
      <c r="B2123" s="90" t="s">
        <v>4413</v>
      </c>
      <c r="D2123" s="90"/>
      <c r="E2123" s="90"/>
      <c r="F2123" s="90"/>
      <c r="G2123" s="90"/>
      <c r="H2123" s="89" t="s">
        <v>1435</v>
      </c>
      <c r="I2123" s="91">
        <v>1.0</v>
      </c>
      <c r="J2123" s="92">
        <v>6366.06</v>
      </c>
      <c r="K2123" s="92">
        <v>6366.06</v>
      </c>
    </row>
    <row r="2124" ht="12.75" customHeight="1">
      <c r="I2124" s="79"/>
      <c r="J2124" s="80"/>
      <c r="K2124" s="80"/>
    </row>
    <row r="2125" ht="12.75" customHeight="1">
      <c r="B2125" s="90" t="s">
        <v>4414</v>
      </c>
      <c r="D2125" s="90"/>
      <c r="E2125" s="90"/>
      <c r="F2125" s="90"/>
      <c r="G2125" s="90"/>
      <c r="I2125" s="79"/>
      <c r="J2125" s="80"/>
      <c r="K2125" s="80"/>
    </row>
    <row r="2126" ht="12.75" customHeight="1">
      <c r="I2126" s="79"/>
      <c r="J2126" s="80"/>
      <c r="K2126" s="80"/>
    </row>
    <row r="2127" ht="12.75" customHeight="1">
      <c r="B2127" s="90" t="s">
        <v>4415</v>
      </c>
      <c r="D2127" s="90"/>
      <c r="E2127" s="90"/>
      <c r="F2127" s="90"/>
      <c r="G2127" s="90"/>
      <c r="I2127" s="79"/>
      <c r="J2127" s="80"/>
      <c r="K2127" s="80"/>
    </row>
    <row r="2128" ht="12.75" customHeight="1">
      <c r="I2128" s="79"/>
      <c r="J2128" s="80"/>
      <c r="K2128" s="80"/>
    </row>
    <row r="2129" ht="12.75" customHeight="1">
      <c r="B2129" s="90" t="s">
        <v>3296</v>
      </c>
      <c r="D2129" s="90"/>
      <c r="E2129" s="90"/>
      <c r="F2129" s="90"/>
      <c r="G2129" s="90"/>
      <c r="H2129" s="89" t="s">
        <v>33</v>
      </c>
      <c r="I2129" s="91">
        <v>1.0</v>
      </c>
      <c r="J2129" s="80"/>
      <c r="K2129" s="135" t="s">
        <v>619</v>
      </c>
    </row>
    <row r="2130" ht="12.75" customHeight="1">
      <c r="I2130" s="79"/>
      <c r="J2130" s="80"/>
      <c r="K2130" s="80"/>
    </row>
    <row r="2131" ht="12.75" customHeight="1">
      <c r="B2131" s="90" t="s">
        <v>4416</v>
      </c>
      <c r="D2131" s="90"/>
      <c r="E2131" s="90"/>
      <c r="F2131" s="90"/>
      <c r="G2131" s="90"/>
      <c r="H2131" s="89" t="s">
        <v>75</v>
      </c>
      <c r="I2131" s="91">
        <v>1.0</v>
      </c>
      <c r="J2131" s="80"/>
      <c r="K2131" s="135" t="s">
        <v>619</v>
      </c>
    </row>
    <row r="2132" ht="12.75" customHeight="1">
      <c r="I2132" s="79"/>
      <c r="J2132" s="80"/>
      <c r="K2132" s="80"/>
    </row>
    <row r="2133" ht="12.75" customHeight="1">
      <c r="B2133" s="90" t="s">
        <v>3300</v>
      </c>
      <c r="D2133" s="90"/>
      <c r="E2133" s="90"/>
      <c r="F2133" s="90"/>
      <c r="G2133" s="90"/>
      <c r="H2133" s="89" t="s">
        <v>161</v>
      </c>
      <c r="I2133" s="91">
        <v>654.0</v>
      </c>
      <c r="J2133" s="80"/>
      <c r="K2133" s="135" t="s">
        <v>619</v>
      </c>
    </row>
    <row r="2134" ht="12.75" customHeight="1">
      <c r="I2134" s="79"/>
      <c r="J2134" s="80"/>
      <c r="K2134" s="80"/>
    </row>
    <row r="2135" ht="12.75" customHeight="1">
      <c r="B2135" s="90" t="s">
        <v>4417</v>
      </c>
      <c r="D2135" s="90"/>
      <c r="E2135" s="90"/>
      <c r="F2135" s="90"/>
      <c r="G2135" s="90"/>
      <c r="H2135" s="89" t="s">
        <v>75</v>
      </c>
      <c r="I2135" s="91">
        <v>1.0</v>
      </c>
      <c r="J2135" s="80"/>
      <c r="K2135" s="135" t="s">
        <v>619</v>
      </c>
    </row>
    <row r="2136" ht="12.75" customHeight="1">
      <c r="I2136" s="79"/>
      <c r="J2136" s="80"/>
      <c r="K2136" s="80"/>
    </row>
    <row r="2137" ht="12.75" customHeight="1">
      <c r="B2137" s="90" t="s">
        <v>4418</v>
      </c>
      <c r="D2137" s="90"/>
      <c r="E2137" s="90"/>
      <c r="F2137" s="90"/>
      <c r="G2137" s="90"/>
      <c r="H2137" s="89" t="s">
        <v>75</v>
      </c>
      <c r="I2137" s="91">
        <v>1.0</v>
      </c>
      <c r="J2137" s="80"/>
      <c r="K2137" s="135" t="s">
        <v>619</v>
      </c>
    </row>
    <row r="2138" ht="12.75" customHeight="1">
      <c r="I2138" s="79"/>
      <c r="J2138" s="80"/>
      <c r="K2138" s="80"/>
    </row>
    <row r="2139" ht="12.75" customHeight="1">
      <c r="B2139" s="90" t="s">
        <v>3306</v>
      </c>
      <c r="D2139" s="90"/>
      <c r="E2139" s="90"/>
      <c r="F2139" s="90"/>
      <c r="G2139" s="90"/>
      <c r="H2139" s="89" t="s">
        <v>75</v>
      </c>
      <c r="I2139" s="91">
        <v>1.0</v>
      </c>
      <c r="J2139" s="80"/>
      <c r="K2139" s="135" t="s">
        <v>619</v>
      </c>
    </row>
    <row r="2140" ht="12.75" customHeight="1">
      <c r="I2140" s="79"/>
      <c r="J2140" s="80"/>
      <c r="K2140" s="80"/>
    </row>
    <row r="2141" ht="12.75" customHeight="1">
      <c r="B2141" s="90" t="s">
        <v>3308</v>
      </c>
      <c r="D2141" s="90"/>
      <c r="E2141" s="90"/>
      <c r="F2141" s="90"/>
      <c r="G2141" s="90"/>
      <c r="H2141" s="89" t="s">
        <v>75</v>
      </c>
      <c r="I2141" s="91">
        <v>1.0</v>
      </c>
      <c r="J2141" s="80"/>
      <c r="K2141" s="135" t="s">
        <v>619</v>
      </c>
    </row>
    <row r="2142" ht="12.75" customHeight="1">
      <c r="I2142" s="79"/>
      <c r="J2142" s="80"/>
      <c r="K2142" s="80"/>
    </row>
    <row r="2143" ht="12.75" customHeight="1">
      <c r="B2143" s="90" t="s">
        <v>4419</v>
      </c>
      <c r="D2143" s="90"/>
      <c r="E2143" s="90"/>
      <c r="F2143" s="90"/>
      <c r="G2143" s="90"/>
      <c r="H2143" s="89" t="s">
        <v>75</v>
      </c>
      <c r="I2143" s="91">
        <v>5.0</v>
      </c>
      <c r="J2143" s="80"/>
      <c r="K2143" s="135" t="s">
        <v>619</v>
      </c>
    </row>
    <row r="2144" ht="12.75" customHeight="1">
      <c r="I2144" s="79"/>
      <c r="J2144" s="80"/>
      <c r="K2144" s="80"/>
    </row>
    <row r="2145" ht="12.75" customHeight="1">
      <c r="B2145" s="90" t="s">
        <v>4420</v>
      </c>
      <c r="D2145" s="90"/>
      <c r="E2145" s="90"/>
      <c r="F2145" s="90"/>
      <c r="G2145" s="90"/>
      <c r="H2145" s="89" t="s">
        <v>75</v>
      </c>
      <c r="I2145" s="91">
        <v>19.0</v>
      </c>
      <c r="J2145" s="80"/>
      <c r="K2145" s="135" t="s">
        <v>619</v>
      </c>
    </row>
    <row r="2146" ht="12.75" customHeight="1">
      <c r="I2146" s="79"/>
      <c r="J2146" s="80"/>
      <c r="K2146" s="80"/>
    </row>
    <row r="2147" ht="12.75" customHeight="1">
      <c r="B2147" s="90" t="s">
        <v>4421</v>
      </c>
      <c r="D2147" s="90"/>
      <c r="E2147" s="90"/>
      <c r="F2147" s="90"/>
      <c r="G2147" s="90"/>
      <c r="H2147" s="89" t="s">
        <v>75</v>
      </c>
      <c r="I2147" s="91">
        <v>4.0</v>
      </c>
      <c r="J2147" s="80"/>
      <c r="K2147" s="135" t="s">
        <v>619</v>
      </c>
    </row>
    <row r="2148" ht="12.75" customHeight="1">
      <c r="I2148" s="79"/>
      <c r="J2148" s="80"/>
      <c r="K2148" s="80"/>
    </row>
    <row r="2149" ht="12.75" customHeight="1">
      <c r="B2149" s="90" t="s">
        <v>4422</v>
      </c>
      <c r="D2149" s="90"/>
      <c r="E2149" s="90"/>
      <c r="F2149" s="90"/>
      <c r="G2149" s="90"/>
      <c r="H2149" s="89" t="s">
        <v>75</v>
      </c>
      <c r="I2149" s="91">
        <v>9.0</v>
      </c>
      <c r="J2149" s="80"/>
      <c r="K2149" s="135" t="s">
        <v>619</v>
      </c>
    </row>
    <row r="2150" ht="12.75" customHeight="1">
      <c r="I2150" s="79"/>
      <c r="J2150" s="80"/>
      <c r="K2150" s="80"/>
    </row>
    <row r="2151" ht="12.75" customHeight="1">
      <c r="B2151" s="90" t="s">
        <v>4423</v>
      </c>
      <c r="D2151" s="90"/>
      <c r="E2151" s="90"/>
      <c r="F2151" s="90"/>
      <c r="G2151" s="90"/>
      <c r="H2151" s="89" t="s">
        <v>75</v>
      </c>
      <c r="I2151" s="91">
        <v>1.0</v>
      </c>
      <c r="J2151" s="80"/>
      <c r="K2151" s="135" t="s">
        <v>619</v>
      </c>
    </row>
    <row r="2152" ht="12.75" customHeight="1">
      <c r="I2152" s="79"/>
      <c r="J2152" s="80"/>
      <c r="K2152" s="80"/>
    </row>
    <row r="2153" ht="12.75" customHeight="1">
      <c r="B2153" s="90" t="s">
        <v>4424</v>
      </c>
      <c r="D2153" s="90"/>
      <c r="E2153" s="90"/>
      <c r="F2153" s="90"/>
      <c r="G2153" s="90"/>
      <c r="H2153" s="89" t="s">
        <v>75</v>
      </c>
      <c r="I2153" s="91">
        <v>2.0</v>
      </c>
      <c r="J2153" s="80"/>
      <c r="K2153" s="135" t="s">
        <v>619</v>
      </c>
    </row>
    <row r="2154" ht="12.75" customHeight="1">
      <c r="I2154" s="79"/>
      <c r="J2154" s="80"/>
      <c r="K2154" s="80"/>
    </row>
    <row r="2155" ht="12.75" customHeight="1">
      <c r="B2155" s="90" t="s">
        <v>4425</v>
      </c>
      <c r="D2155" s="90"/>
      <c r="E2155" s="90"/>
      <c r="F2155" s="90"/>
      <c r="G2155" s="90"/>
      <c r="H2155" s="89" t="s">
        <v>75</v>
      </c>
      <c r="I2155" s="91">
        <v>1.0</v>
      </c>
      <c r="J2155" s="80"/>
      <c r="K2155" s="135" t="s">
        <v>619</v>
      </c>
    </row>
    <row r="2156" ht="12.75" customHeight="1">
      <c r="I2156" s="79"/>
      <c r="J2156" s="80"/>
      <c r="K2156" s="80"/>
    </row>
    <row r="2157" ht="12.75" customHeight="1">
      <c r="B2157" s="90" t="s">
        <v>4426</v>
      </c>
      <c r="D2157" s="90"/>
      <c r="E2157" s="90"/>
      <c r="F2157" s="90"/>
      <c r="G2157" s="90"/>
      <c r="H2157" s="89" t="s">
        <v>161</v>
      </c>
      <c r="I2157" s="91">
        <v>628.0</v>
      </c>
      <c r="J2157" s="92">
        <v>1.81</v>
      </c>
      <c r="K2157" s="92">
        <v>1136.68</v>
      </c>
    </row>
    <row r="2158" ht="12.75" customHeight="1">
      <c r="I2158" s="79"/>
      <c r="J2158" s="80"/>
      <c r="K2158" s="80"/>
    </row>
    <row r="2159" ht="12.75" customHeight="1">
      <c r="B2159" s="90" t="s">
        <v>3352</v>
      </c>
      <c r="D2159" s="90"/>
      <c r="E2159" s="90"/>
      <c r="F2159" s="90"/>
      <c r="G2159" s="90"/>
      <c r="H2159" s="89" t="s">
        <v>161</v>
      </c>
      <c r="I2159" s="91">
        <v>25.0</v>
      </c>
      <c r="J2159" s="92">
        <v>2.34</v>
      </c>
      <c r="K2159" s="92">
        <v>58.5</v>
      </c>
    </row>
    <row r="2160" ht="12.75" customHeight="1">
      <c r="I2160" s="79"/>
      <c r="J2160" s="80"/>
      <c r="K2160" s="80"/>
    </row>
    <row r="2161" ht="12.75" customHeight="1">
      <c r="B2161" s="90" t="s">
        <v>3269</v>
      </c>
      <c r="D2161" s="90"/>
      <c r="E2161" s="90"/>
      <c r="F2161" s="90"/>
      <c r="G2161" s="90"/>
      <c r="H2161" s="89" t="s">
        <v>75</v>
      </c>
      <c r="I2161" s="91">
        <v>2.0</v>
      </c>
      <c r="J2161" s="92">
        <v>61.67</v>
      </c>
      <c r="K2161" s="92">
        <v>123.34</v>
      </c>
    </row>
    <row r="2162" ht="12.75" customHeight="1">
      <c r="I2162" s="79"/>
      <c r="J2162" s="80"/>
      <c r="K2162" s="80"/>
    </row>
    <row r="2163" ht="12.75" customHeight="1">
      <c r="B2163" s="90" t="s">
        <v>3329</v>
      </c>
      <c r="D2163" s="90"/>
      <c r="E2163" s="90"/>
      <c r="F2163" s="90"/>
      <c r="G2163" s="90"/>
      <c r="H2163" s="89" t="s">
        <v>75</v>
      </c>
      <c r="I2163" s="91">
        <v>1.0</v>
      </c>
      <c r="J2163" s="92">
        <v>77.83</v>
      </c>
      <c r="K2163" s="92">
        <v>77.83</v>
      </c>
    </row>
    <row r="2164" ht="12.75" customHeight="1">
      <c r="I2164" s="79"/>
      <c r="J2164" s="80"/>
      <c r="K2164" s="80"/>
    </row>
    <row r="2165" ht="12.75" customHeight="1">
      <c r="A2165" s="89" t="s">
        <v>1507</v>
      </c>
      <c r="B2165" s="90" t="s">
        <v>4427</v>
      </c>
      <c r="D2165" s="90"/>
      <c r="E2165" s="90"/>
      <c r="F2165" s="90"/>
      <c r="G2165" s="90"/>
      <c r="H2165" s="89" t="s">
        <v>1435</v>
      </c>
      <c r="I2165" s="91">
        <v>1.0</v>
      </c>
      <c r="J2165" s="92">
        <v>8837.23</v>
      </c>
      <c r="K2165" s="92">
        <v>8837.23</v>
      </c>
    </row>
    <row r="2166" ht="12.75" customHeight="1">
      <c r="I2166" s="79"/>
      <c r="J2166" s="80"/>
      <c r="K2166" s="80"/>
    </row>
    <row r="2167" ht="12.75" customHeight="1">
      <c r="B2167" s="90" t="s">
        <v>4428</v>
      </c>
      <c r="D2167" s="90"/>
      <c r="E2167" s="90"/>
      <c r="F2167" s="90"/>
      <c r="G2167" s="90"/>
      <c r="I2167" s="79"/>
      <c r="J2167" s="80"/>
      <c r="K2167" s="80"/>
    </row>
    <row r="2168" ht="12.75" customHeight="1">
      <c r="I2168" s="79"/>
      <c r="J2168" s="80"/>
      <c r="K2168" s="80"/>
    </row>
    <row r="2169" ht="12.75" customHeight="1">
      <c r="B2169" s="90" t="s">
        <v>4429</v>
      </c>
      <c r="D2169" s="90"/>
      <c r="E2169" s="90"/>
      <c r="F2169" s="90"/>
      <c r="G2169" s="90"/>
      <c r="I2169" s="79"/>
      <c r="J2169" s="80"/>
      <c r="K2169" s="80"/>
    </row>
    <row r="2170" ht="12.75" customHeight="1">
      <c r="I2170" s="79"/>
      <c r="J2170" s="80"/>
      <c r="K2170" s="80"/>
    </row>
    <row r="2171" ht="12.75" customHeight="1">
      <c r="B2171" s="90" t="s">
        <v>4430</v>
      </c>
      <c r="D2171" s="90"/>
      <c r="E2171" s="90"/>
      <c r="F2171" s="90"/>
      <c r="G2171" s="90"/>
      <c r="H2171" s="89" t="s">
        <v>75</v>
      </c>
      <c r="I2171" s="91">
        <v>1.0</v>
      </c>
      <c r="J2171" s="80"/>
      <c r="K2171" s="135" t="s">
        <v>619</v>
      </c>
    </row>
    <row r="2172" ht="12.75" customHeight="1">
      <c r="I2172" s="79"/>
      <c r="J2172" s="80"/>
      <c r="K2172" s="80"/>
    </row>
    <row r="2173" ht="12.75" customHeight="1">
      <c r="B2173" s="90" t="s">
        <v>4431</v>
      </c>
      <c r="D2173" s="90"/>
      <c r="E2173" s="90"/>
      <c r="F2173" s="90"/>
      <c r="G2173" s="90"/>
      <c r="H2173" s="89" t="s">
        <v>75</v>
      </c>
      <c r="I2173" s="91">
        <v>1.0</v>
      </c>
      <c r="J2173" s="80"/>
      <c r="K2173" s="135" t="s">
        <v>619</v>
      </c>
    </row>
    <row r="2174" ht="12.75" customHeight="1">
      <c r="I2174" s="79"/>
      <c r="J2174" s="80"/>
      <c r="K2174" s="80"/>
    </row>
    <row r="2175" ht="12.75" customHeight="1">
      <c r="B2175" s="90" t="s">
        <v>4432</v>
      </c>
      <c r="D2175" s="90"/>
      <c r="E2175" s="90"/>
      <c r="F2175" s="90"/>
      <c r="G2175" s="90"/>
      <c r="H2175" s="89" t="s">
        <v>75</v>
      </c>
      <c r="I2175" s="91">
        <v>1.0</v>
      </c>
      <c r="J2175" s="80"/>
      <c r="K2175" s="135" t="s">
        <v>619</v>
      </c>
    </row>
    <row r="2176" ht="12.75" customHeight="1">
      <c r="I2176" s="79"/>
      <c r="J2176" s="80"/>
      <c r="K2176" s="80"/>
    </row>
    <row r="2177" ht="12.75" customHeight="1">
      <c r="B2177" s="90" t="s">
        <v>4433</v>
      </c>
      <c r="D2177" s="90"/>
      <c r="E2177" s="90"/>
      <c r="F2177" s="90"/>
      <c r="G2177" s="90"/>
      <c r="H2177" s="89" t="s">
        <v>75</v>
      </c>
      <c r="I2177" s="91">
        <v>1.0</v>
      </c>
      <c r="J2177" s="80"/>
      <c r="K2177" s="135" t="s">
        <v>619</v>
      </c>
    </row>
    <row r="2178" ht="12.75" customHeight="1">
      <c r="I2178" s="79"/>
      <c r="J2178" s="80"/>
      <c r="K2178" s="80"/>
    </row>
    <row r="2179" ht="12.75" customHeight="1">
      <c r="B2179" s="90" t="s">
        <v>4400</v>
      </c>
      <c r="D2179" s="90"/>
      <c r="E2179" s="90"/>
      <c r="F2179" s="90"/>
      <c r="G2179" s="90"/>
      <c r="H2179" s="89" t="s">
        <v>161</v>
      </c>
      <c r="I2179" s="91">
        <v>398.0</v>
      </c>
      <c r="J2179" s="80"/>
      <c r="K2179" s="135" t="s">
        <v>619</v>
      </c>
    </row>
    <row r="2180" ht="12.75" customHeight="1">
      <c r="I2180" s="79"/>
      <c r="J2180" s="80"/>
      <c r="K2180" s="80"/>
    </row>
    <row r="2181" ht="12.75" customHeight="1">
      <c r="B2181" s="90" t="s">
        <v>4434</v>
      </c>
      <c r="D2181" s="90"/>
      <c r="E2181" s="90"/>
      <c r="F2181" s="90"/>
      <c r="G2181" s="90"/>
      <c r="H2181" s="89" t="s">
        <v>75</v>
      </c>
      <c r="I2181" s="91">
        <v>9.0</v>
      </c>
      <c r="J2181" s="80"/>
      <c r="K2181" s="135" t="s">
        <v>619</v>
      </c>
    </row>
    <row r="2182" ht="12.75" customHeight="1">
      <c r="I2182" s="79"/>
      <c r="J2182" s="80"/>
      <c r="K2182" s="80"/>
    </row>
    <row r="2183" ht="12.75" customHeight="1">
      <c r="B2183" s="90" t="s">
        <v>4435</v>
      </c>
      <c r="D2183" s="90"/>
      <c r="E2183" s="90"/>
      <c r="F2183" s="90"/>
      <c r="G2183" s="90"/>
      <c r="H2183" s="89" t="s">
        <v>75</v>
      </c>
      <c r="I2183" s="91">
        <v>4.0</v>
      </c>
      <c r="J2183" s="80"/>
      <c r="K2183" s="135" t="s">
        <v>619</v>
      </c>
    </row>
    <row r="2184" ht="12.75" customHeight="1">
      <c r="I2184" s="79"/>
      <c r="J2184" s="80"/>
      <c r="K2184" s="80"/>
    </row>
    <row r="2185" ht="12.75" customHeight="1">
      <c r="B2185" s="90" t="s">
        <v>4401</v>
      </c>
      <c r="D2185" s="90"/>
      <c r="E2185" s="90"/>
      <c r="F2185" s="90"/>
      <c r="G2185" s="90"/>
      <c r="H2185" s="89" t="s">
        <v>75</v>
      </c>
      <c r="I2185" s="91">
        <v>1.0</v>
      </c>
      <c r="J2185" s="80"/>
      <c r="K2185" s="135" t="s">
        <v>619</v>
      </c>
    </row>
    <row r="2186" ht="12.75" customHeight="1">
      <c r="I2186" s="79"/>
      <c r="J2186" s="80"/>
      <c r="K2186" s="80"/>
    </row>
    <row r="2187" ht="12.75" customHeight="1">
      <c r="B2187" s="90" t="s">
        <v>3350</v>
      </c>
      <c r="D2187" s="90"/>
      <c r="E2187" s="90"/>
      <c r="F2187" s="90"/>
      <c r="G2187" s="90"/>
      <c r="H2187" s="89" t="s">
        <v>161</v>
      </c>
      <c r="I2187" s="91">
        <v>369.0</v>
      </c>
      <c r="J2187" s="92">
        <v>2.2</v>
      </c>
      <c r="K2187" s="92">
        <v>811.8</v>
      </c>
    </row>
    <row r="2188" ht="12.75" customHeight="1">
      <c r="I2188" s="79"/>
      <c r="J2188" s="80"/>
      <c r="K2188" s="80"/>
    </row>
    <row r="2189" ht="12.75" customHeight="1">
      <c r="B2189" s="90" t="s">
        <v>3352</v>
      </c>
      <c r="D2189" s="90"/>
      <c r="E2189" s="90"/>
      <c r="F2189" s="90"/>
      <c r="G2189" s="90"/>
      <c r="H2189" s="89" t="s">
        <v>161</v>
      </c>
      <c r="I2189" s="91">
        <v>13.0</v>
      </c>
      <c r="J2189" s="92">
        <v>2.34</v>
      </c>
      <c r="K2189" s="92">
        <v>30.42</v>
      </c>
    </row>
    <row r="2190" ht="12.75" customHeight="1">
      <c r="I2190" s="79"/>
      <c r="J2190" s="80"/>
      <c r="K2190" s="80"/>
    </row>
    <row r="2191" ht="12.75" customHeight="1">
      <c r="A2191" s="89" t="s">
        <v>1521</v>
      </c>
      <c r="B2191" s="90" t="s">
        <v>2884</v>
      </c>
      <c r="D2191" s="90"/>
      <c r="E2191" s="90"/>
      <c r="F2191" s="90"/>
      <c r="G2191" s="90"/>
      <c r="I2191" s="79"/>
      <c r="J2191" s="80"/>
      <c r="K2191" s="80"/>
    </row>
    <row r="2192" ht="12.75" customHeight="1">
      <c r="I2192" s="79"/>
      <c r="J2192" s="80"/>
      <c r="K2192" s="80"/>
    </row>
    <row r="2193" ht="12.75" customHeight="1">
      <c r="B2193" s="90" t="s">
        <v>4224</v>
      </c>
      <c r="D2193" s="90"/>
      <c r="E2193" s="90"/>
      <c r="F2193" s="90"/>
      <c r="G2193" s="90"/>
      <c r="H2193" s="89" t="s">
        <v>33</v>
      </c>
      <c r="I2193" s="91">
        <v>1.0</v>
      </c>
      <c r="J2193" s="92">
        <v>451.94</v>
      </c>
      <c r="K2193" s="92">
        <v>451.94</v>
      </c>
    </row>
    <row r="2194" ht="12.75" customHeight="1">
      <c r="I2194" s="79"/>
      <c r="J2194" s="80"/>
      <c r="K2194" s="80"/>
    </row>
    <row r="2195" ht="12.75" customHeight="1">
      <c r="B2195" s="90" t="s">
        <v>4375</v>
      </c>
      <c r="D2195" s="90"/>
      <c r="E2195" s="90"/>
      <c r="F2195" s="90"/>
      <c r="G2195" s="90"/>
      <c r="H2195" s="89" t="s">
        <v>33</v>
      </c>
      <c r="I2195" s="91">
        <v>1.0</v>
      </c>
      <c r="J2195" s="92">
        <v>404.09</v>
      </c>
      <c r="K2195" s="92">
        <v>404.09</v>
      </c>
    </row>
    <row r="2196" ht="12.75" customHeight="1">
      <c r="I2196" s="79"/>
      <c r="J2196" s="80"/>
      <c r="K2196" s="80"/>
    </row>
    <row r="2197" ht="12.75" customHeight="1">
      <c r="A2197" s="89" t="s">
        <v>4292</v>
      </c>
      <c r="B2197" s="90" t="s">
        <v>2896</v>
      </c>
      <c r="D2197" s="90"/>
      <c r="E2197" s="90"/>
      <c r="F2197" s="90"/>
      <c r="G2197" s="90"/>
      <c r="I2197" s="79"/>
      <c r="J2197" s="80"/>
      <c r="K2197" s="92">
        <v>213667.64</v>
      </c>
    </row>
    <row r="2198" ht="12.75" customHeight="1">
      <c r="I2198" s="79"/>
      <c r="J2198" s="80"/>
      <c r="K2198" s="80"/>
    </row>
    <row r="2199" ht="12.75" customHeight="1">
      <c r="I2199" s="79"/>
      <c r="J2199" s="80"/>
      <c r="K2199" s="80"/>
    </row>
    <row r="2200" ht="12.75" customHeight="1">
      <c r="A2200" s="89" t="s">
        <v>1522</v>
      </c>
      <c r="B2200" s="90" t="s">
        <v>4436</v>
      </c>
      <c r="D2200" s="90"/>
      <c r="E2200" s="90"/>
      <c r="F2200" s="90"/>
      <c r="G2200" s="90"/>
      <c r="I2200" s="79"/>
      <c r="J2200" s="80"/>
      <c r="K2200" s="80"/>
    </row>
    <row r="2201" ht="12.75" customHeight="1">
      <c r="I2201" s="79"/>
      <c r="J2201" s="80"/>
      <c r="K2201" s="80"/>
    </row>
    <row r="2202" ht="12.75" customHeight="1">
      <c r="B2202" s="90" t="s">
        <v>4437</v>
      </c>
      <c r="D2202" s="90"/>
      <c r="E2202" s="90"/>
      <c r="F2202" s="90"/>
      <c r="G2202" s="90"/>
      <c r="I2202" s="79"/>
      <c r="J2202" s="80"/>
      <c r="K2202" s="80"/>
    </row>
    <row r="2203" ht="12.75" customHeight="1">
      <c r="I2203" s="79"/>
      <c r="J2203" s="80"/>
      <c r="K2203" s="80"/>
    </row>
    <row r="2204" ht="12.75" customHeight="1">
      <c r="A2204" s="89" t="s">
        <v>1525</v>
      </c>
      <c r="B2204" s="90" t="s">
        <v>4438</v>
      </c>
      <c r="D2204" s="90"/>
      <c r="E2204" s="90"/>
      <c r="F2204" s="90"/>
      <c r="G2204" s="90"/>
      <c r="I2204" s="79"/>
      <c r="J2204" s="80"/>
      <c r="K2204" s="80"/>
    </row>
    <row r="2205" ht="12.75" customHeight="1">
      <c r="I2205" s="79"/>
      <c r="J2205" s="80"/>
      <c r="K2205" s="80"/>
    </row>
    <row r="2206" ht="12.75" customHeight="1">
      <c r="B2206" s="90" t="s">
        <v>1527</v>
      </c>
      <c r="D2206" s="90"/>
      <c r="E2206" s="90"/>
      <c r="F2206" s="90"/>
      <c r="G2206" s="90"/>
      <c r="H2206" s="89" t="s">
        <v>161</v>
      </c>
      <c r="I2206" s="91">
        <v>369.0</v>
      </c>
      <c r="J2206" s="92">
        <v>3.09</v>
      </c>
      <c r="K2206" s="92">
        <v>1140.21</v>
      </c>
    </row>
    <row r="2207" ht="12.75" customHeight="1">
      <c r="I2207" s="79"/>
      <c r="J2207" s="80"/>
      <c r="K2207" s="80"/>
    </row>
    <row r="2208" ht="12.75" customHeight="1">
      <c r="B2208" s="90" t="s">
        <v>1528</v>
      </c>
      <c r="D2208" s="90"/>
      <c r="E2208" s="90"/>
      <c r="F2208" s="90"/>
      <c r="G2208" s="90"/>
      <c r="H2208" s="89" t="s">
        <v>161</v>
      </c>
      <c r="I2208" s="91">
        <v>44.0</v>
      </c>
      <c r="J2208" s="92">
        <v>4.93</v>
      </c>
      <c r="K2208" s="92">
        <v>216.92</v>
      </c>
    </row>
    <row r="2209" ht="12.75" customHeight="1">
      <c r="I2209" s="79"/>
      <c r="J2209" s="80"/>
      <c r="K2209" s="80"/>
    </row>
    <row r="2210" ht="12.75" customHeight="1">
      <c r="B2210" s="90" t="s">
        <v>1529</v>
      </c>
      <c r="D2210" s="90"/>
      <c r="E2210" s="90"/>
      <c r="F2210" s="90"/>
      <c r="G2210" s="90"/>
      <c r="H2210" s="89" t="s">
        <v>161</v>
      </c>
      <c r="I2210" s="91">
        <v>10.0</v>
      </c>
      <c r="J2210" s="92">
        <v>8.7</v>
      </c>
      <c r="K2210" s="92">
        <v>87.0</v>
      </c>
    </row>
    <row r="2211" ht="12.75" customHeight="1">
      <c r="I2211" s="79"/>
      <c r="J2211" s="80"/>
      <c r="K2211" s="80"/>
    </row>
    <row r="2212" ht="12.75" customHeight="1">
      <c r="A2212" s="89" t="s">
        <v>1530</v>
      </c>
      <c r="B2212" s="90" t="s">
        <v>4439</v>
      </c>
      <c r="D2212" s="90"/>
      <c r="E2212" s="90"/>
      <c r="F2212" s="90"/>
      <c r="G2212" s="90"/>
      <c r="I2212" s="79"/>
      <c r="J2212" s="80"/>
      <c r="K2212" s="80"/>
    </row>
    <row r="2213" ht="12.75" customHeight="1">
      <c r="I2213" s="79"/>
      <c r="J2213" s="80"/>
      <c r="K2213" s="80"/>
    </row>
    <row r="2214" ht="12.75" customHeight="1">
      <c r="B2214" s="90" t="s">
        <v>1532</v>
      </c>
      <c r="D2214" s="90"/>
      <c r="E2214" s="90"/>
      <c r="F2214" s="90"/>
      <c r="G2214" s="90"/>
      <c r="H2214" s="89" t="s">
        <v>75</v>
      </c>
      <c r="I2214" s="91">
        <v>1.0</v>
      </c>
      <c r="J2214" s="92">
        <v>193.97</v>
      </c>
      <c r="K2214" s="92">
        <v>193.97</v>
      </c>
    </row>
    <row r="2215" ht="12.75" customHeight="1">
      <c r="I2215" s="79"/>
      <c r="J2215" s="80"/>
      <c r="K2215" s="80"/>
    </row>
    <row r="2216" ht="12.75" customHeight="1">
      <c r="B2216" s="90" t="s">
        <v>4440</v>
      </c>
      <c r="D2216" s="90"/>
      <c r="E2216" s="90"/>
      <c r="F2216" s="90"/>
      <c r="G2216" s="90"/>
      <c r="H2216" s="89" t="s">
        <v>75</v>
      </c>
      <c r="I2216" s="91">
        <v>1.0</v>
      </c>
      <c r="J2216" s="92">
        <v>258.62</v>
      </c>
      <c r="K2216" s="92">
        <v>258.62</v>
      </c>
    </row>
    <row r="2217" ht="12.75" customHeight="1">
      <c r="I2217" s="79"/>
      <c r="J2217" s="80"/>
      <c r="K2217" s="80"/>
    </row>
    <row r="2218" ht="12.75" customHeight="1">
      <c r="A2218" s="89" t="s">
        <v>1534</v>
      </c>
      <c r="B2218" s="90" t="s">
        <v>3368</v>
      </c>
      <c r="D2218" s="90"/>
      <c r="E2218" s="90"/>
      <c r="F2218" s="90"/>
      <c r="G2218" s="90"/>
      <c r="I2218" s="79"/>
      <c r="J2218" s="80"/>
      <c r="K2218" s="80"/>
    </row>
    <row r="2219" ht="12.75" customHeight="1">
      <c r="I2219" s="79"/>
      <c r="J2219" s="80"/>
      <c r="K2219" s="80"/>
    </row>
    <row r="2220" ht="12.75" customHeight="1">
      <c r="B2220" s="90" t="s">
        <v>4441</v>
      </c>
      <c r="D2220" s="90"/>
      <c r="E2220" s="90"/>
      <c r="F2220" s="90"/>
      <c r="G2220" s="90"/>
      <c r="H2220" s="89" t="s">
        <v>33</v>
      </c>
      <c r="I2220" s="91">
        <v>1.0</v>
      </c>
      <c r="J2220" s="92">
        <v>6465.16</v>
      </c>
      <c r="K2220" s="92">
        <v>6465.16</v>
      </c>
    </row>
    <row r="2221" ht="12.75" customHeight="1">
      <c r="I2221" s="79"/>
      <c r="J2221" s="80"/>
      <c r="K2221" s="80"/>
    </row>
    <row r="2222" ht="12.75" customHeight="1">
      <c r="A2222" s="89" t="s">
        <v>1537</v>
      </c>
      <c r="B2222" s="90" t="s">
        <v>3371</v>
      </c>
      <c r="D2222" s="90"/>
      <c r="E2222" s="90"/>
      <c r="F2222" s="90"/>
      <c r="G2222" s="90"/>
      <c r="I2222" s="79"/>
      <c r="J2222" s="80"/>
      <c r="K2222" s="80"/>
    </row>
    <row r="2223" ht="12.75" customHeight="1">
      <c r="I2223" s="79"/>
      <c r="J2223" s="80"/>
      <c r="K2223" s="80"/>
    </row>
    <row r="2224" ht="12.75" customHeight="1">
      <c r="B2224" s="90" t="s">
        <v>3373</v>
      </c>
      <c r="D2224" s="90"/>
      <c r="E2224" s="90"/>
      <c r="F2224" s="90"/>
      <c r="G2224" s="90"/>
      <c r="H2224" s="89" t="s">
        <v>75</v>
      </c>
      <c r="I2224" s="91">
        <v>23.0</v>
      </c>
      <c r="J2224" s="92">
        <v>2.3</v>
      </c>
      <c r="K2224" s="92">
        <v>52.9</v>
      </c>
    </row>
    <row r="2225" ht="12.75" customHeight="1">
      <c r="I2225" s="79"/>
      <c r="J2225" s="80"/>
      <c r="K2225" s="80"/>
    </row>
    <row r="2226" ht="12.75" customHeight="1">
      <c r="B2226" s="90" t="s">
        <v>3375</v>
      </c>
      <c r="D2226" s="90"/>
      <c r="E2226" s="90"/>
      <c r="F2226" s="90"/>
      <c r="G2226" s="90"/>
      <c r="H2226" s="89" t="s">
        <v>75</v>
      </c>
      <c r="I2226" s="91">
        <v>3.0</v>
      </c>
      <c r="J2226" s="92">
        <v>61.67</v>
      </c>
      <c r="K2226" s="92">
        <v>185.01</v>
      </c>
    </row>
    <row r="2227" ht="12.75" customHeight="1">
      <c r="I2227" s="79"/>
      <c r="J2227" s="80"/>
      <c r="K2227" s="80"/>
    </row>
    <row r="2228" ht="12.75" customHeight="1">
      <c r="A2228" s="89" t="s">
        <v>1541</v>
      </c>
      <c r="B2228" s="90" t="s">
        <v>3376</v>
      </c>
      <c r="D2228" s="90"/>
      <c r="E2228" s="90"/>
      <c r="F2228" s="90"/>
      <c r="G2228" s="90"/>
      <c r="I2228" s="79"/>
      <c r="J2228" s="80"/>
      <c r="K2228" s="80"/>
    </row>
    <row r="2229" ht="12.75" customHeight="1">
      <c r="I2229" s="79"/>
      <c r="J2229" s="80"/>
      <c r="K2229" s="80"/>
    </row>
    <row r="2230" ht="12.75" customHeight="1">
      <c r="B2230" s="90" t="s">
        <v>4442</v>
      </c>
      <c r="D2230" s="90"/>
      <c r="E2230" s="90"/>
      <c r="F2230" s="90"/>
      <c r="G2230" s="90"/>
      <c r="H2230" s="89" t="s">
        <v>75</v>
      </c>
      <c r="I2230" s="91">
        <v>10.0</v>
      </c>
      <c r="J2230" s="92">
        <v>37.82</v>
      </c>
      <c r="K2230" s="92">
        <v>378.2</v>
      </c>
    </row>
    <row r="2231" ht="12.75" customHeight="1">
      <c r="I2231" s="79"/>
      <c r="J2231" s="80"/>
      <c r="K2231" s="80"/>
    </row>
    <row r="2232" ht="12.75" customHeight="1">
      <c r="B2232" s="90" t="s">
        <v>4443</v>
      </c>
      <c r="D2232" s="90"/>
      <c r="E2232" s="90"/>
      <c r="F2232" s="90"/>
      <c r="G2232" s="90"/>
      <c r="H2232" s="89" t="s">
        <v>75</v>
      </c>
      <c r="I2232" s="91">
        <v>12.0</v>
      </c>
      <c r="J2232" s="92">
        <v>34.59</v>
      </c>
      <c r="K2232" s="92">
        <v>415.08</v>
      </c>
    </row>
    <row r="2233" ht="12.75" customHeight="1">
      <c r="I2233" s="79"/>
      <c r="J2233" s="80"/>
      <c r="K2233" s="80"/>
    </row>
    <row r="2234" ht="12.75" customHeight="1">
      <c r="B2234" s="90" t="s">
        <v>4444</v>
      </c>
      <c r="D2234" s="90"/>
      <c r="E2234" s="90"/>
      <c r="F2234" s="90"/>
      <c r="G2234" s="90"/>
      <c r="H2234" s="89" t="s">
        <v>75</v>
      </c>
      <c r="I2234" s="91">
        <v>1.0</v>
      </c>
      <c r="J2234" s="92">
        <v>57.87</v>
      </c>
      <c r="K2234" s="92">
        <v>57.87</v>
      </c>
    </row>
    <row r="2235" ht="12.75" customHeight="1">
      <c r="I2235" s="79"/>
      <c r="J2235" s="80"/>
      <c r="K2235" s="80"/>
    </row>
    <row r="2236" ht="12.75" customHeight="1">
      <c r="A2236" s="89" t="s">
        <v>1546</v>
      </c>
      <c r="B2236" s="90" t="s">
        <v>3383</v>
      </c>
      <c r="D2236" s="90"/>
      <c r="E2236" s="90"/>
      <c r="F2236" s="90"/>
      <c r="G2236" s="90"/>
      <c r="I2236" s="79"/>
      <c r="J2236" s="80"/>
      <c r="K2236" s="80"/>
    </row>
    <row r="2237" ht="12.75" customHeight="1">
      <c r="I2237" s="79"/>
      <c r="J2237" s="80"/>
      <c r="K2237" s="80"/>
    </row>
    <row r="2238" ht="12.75" customHeight="1">
      <c r="B2238" s="90" t="s">
        <v>3385</v>
      </c>
      <c r="D2238" s="90"/>
      <c r="E2238" s="90"/>
      <c r="F2238" s="90"/>
      <c r="G2238" s="90"/>
      <c r="H2238" s="89" t="s">
        <v>75</v>
      </c>
      <c r="I2238" s="91">
        <v>1.0</v>
      </c>
      <c r="J2238" s="92">
        <v>775.21</v>
      </c>
      <c r="K2238" s="92">
        <v>775.21</v>
      </c>
    </row>
    <row r="2239" ht="12.75" customHeight="1">
      <c r="I2239" s="79"/>
      <c r="J2239" s="80"/>
      <c r="K2239" s="80"/>
    </row>
    <row r="2240" ht="12.75" customHeight="1">
      <c r="B2240" s="90" t="s">
        <v>4445</v>
      </c>
      <c r="D2240" s="90"/>
      <c r="E2240" s="90"/>
      <c r="F2240" s="90"/>
      <c r="G2240" s="90"/>
      <c r="H2240" s="89" t="s">
        <v>75</v>
      </c>
      <c r="I2240" s="91">
        <v>1.0</v>
      </c>
      <c r="J2240" s="92">
        <v>110.08</v>
      </c>
      <c r="K2240" s="92">
        <v>110.08</v>
      </c>
    </row>
    <row r="2241" ht="12.75" customHeight="1">
      <c r="I2241" s="79"/>
      <c r="J2241" s="80"/>
      <c r="K2241" s="80"/>
    </row>
    <row r="2242" ht="12.75" customHeight="1">
      <c r="A2242" s="89" t="s">
        <v>1550</v>
      </c>
      <c r="B2242" s="90" t="s">
        <v>4446</v>
      </c>
      <c r="D2242" s="90"/>
      <c r="E2242" s="90"/>
      <c r="F2242" s="90"/>
      <c r="G2242" s="90"/>
      <c r="I2242" s="79"/>
      <c r="J2242" s="80"/>
      <c r="K2242" s="80"/>
    </row>
    <row r="2243" ht="12.75" customHeight="1">
      <c r="I2243" s="79"/>
      <c r="J2243" s="80"/>
      <c r="K2243" s="80"/>
    </row>
    <row r="2244" ht="12.75" customHeight="1">
      <c r="B2244" s="90" t="s">
        <v>3390</v>
      </c>
      <c r="D2244" s="90"/>
      <c r="E2244" s="90"/>
      <c r="F2244" s="90"/>
      <c r="G2244" s="90"/>
      <c r="H2244" s="89" t="s">
        <v>161</v>
      </c>
      <c r="I2244" s="91">
        <v>532.0</v>
      </c>
      <c r="J2244" s="92">
        <v>2.39</v>
      </c>
      <c r="K2244" s="92">
        <v>1271.48</v>
      </c>
    </row>
    <row r="2245" ht="12.75" customHeight="1">
      <c r="I2245" s="79"/>
      <c r="J2245" s="80"/>
      <c r="K2245" s="80"/>
    </row>
    <row r="2246" ht="12.75" customHeight="1">
      <c r="B2246" s="90" t="s">
        <v>3392</v>
      </c>
      <c r="D2246" s="90"/>
      <c r="E2246" s="90"/>
      <c r="F2246" s="90"/>
      <c r="G2246" s="90"/>
      <c r="H2246" s="89" t="s">
        <v>161</v>
      </c>
      <c r="I2246" s="91">
        <v>557.0</v>
      </c>
      <c r="J2246" s="92">
        <v>2.33</v>
      </c>
      <c r="K2246" s="92">
        <v>1297.81</v>
      </c>
    </row>
    <row r="2247" ht="12.75" customHeight="1">
      <c r="I2247" s="79"/>
      <c r="J2247" s="80"/>
      <c r="K2247" s="80"/>
    </row>
    <row r="2248" ht="12.75" customHeight="1">
      <c r="B2248" s="90" t="s">
        <v>4447</v>
      </c>
      <c r="D2248" s="90"/>
      <c r="E2248" s="90"/>
      <c r="F2248" s="90"/>
      <c r="G2248" s="90"/>
      <c r="H2248" s="89" t="s">
        <v>161</v>
      </c>
      <c r="I2248" s="91">
        <v>25.0</v>
      </c>
      <c r="J2248" s="92">
        <v>5.09</v>
      </c>
      <c r="K2248" s="92">
        <v>127.25</v>
      </c>
    </row>
    <row r="2249" ht="12.75" customHeight="1">
      <c r="I2249" s="79"/>
      <c r="J2249" s="80"/>
      <c r="K2249" s="80"/>
    </row>
    <row r="2250" ht="12.75" customHeight="1">
      <c r="A2250" s="89" t="s">
        <v>1555</v>
      </c>
      <c r="B2250" s="90" t="s">
        <v>4448</v>
      </c>
      <c r="D2250" s="90"/>
      <c r="E2250" s="90"/>
      <c r="F2250" s="90"/>
      <c r="G2250" s="90"/>
      <c r="I2250" s="79"/>
      <c r="J2250" s="80"/>
      <c r="K2250" s="80"/>
    </row>
    <row r="2251" ht="12.75" customHeight="1">
      <c r="I2251" s="79"/>
      <c r="J2251" s="80"/>
      <c r="K2251" s="80"/>
    </row>
    <row r="2252" ht="12.75" customHeight="1">
      <c r="B2252" s="90" t="s">
        <v>1556</v>
      </c>
      <c r="D2252" s="90"/>
      <c r="E2252" s="90"/>
      <c r="F2252" s="90"/>
      <c r="G2252" s="90"/>
      <c r="H2252" s="89" t="s">
        <v>161</v>
      </c>
      <c r="I2252" s="91">
        <v>13.0</v>
      </c>
      <c r="J2252" s="92">
        <v>2.04</v>
      </c>
      <c r="K2252" s="92">
        <v>26.52</v>
      </c>
    </row>
    <row r="2253" ht="12.75" customHeight="1">
      <c r="I2253" s="79"/>
      <c r="J2253" s="80"/>
      <c r="K2253" s="80"/>
    </row>
    <row r="2254" ht="12.75" customHeight="1">
      <c r="B2254" s="90" t="s">
        <v>1557</v>
      </c>
      <c r="D2254" s="90"/>
      <c r="E2254" s="90"/>
      <c r="F2254" s="90"/>
      <c r="G2254" s="90"/>
      <c r="H2254" s="89" t="s">
        <v>161</v>
      </c>
      <c r="I2254" s="91">
        <v>19.0</v>
      </c>
      <c r="J2254" s="92">
        <v>4.12</v>
      </c>
      <c r="K2254" s="92">
        <v>78.28</v>
      </c>
    </row>
    <row r="2255" ht="12.75" customHeight="1">
      <c r="I2255" s="79"/>
      <c r="J2255" s="80"/>
      <c r="K2255" s="80"/>
    </row>
    <row r="2256" ht="12.75" customHeight="1">
      <c r="A2256" s="89" t="s">
        <v>1558</v>
      </c>
      <c r="B2256" s="90" t="s">
        <v>2884</v>
      </c>
      <c r="D2256" s="90"/>
      <c r="E2256" s="90"/>
      <c r="F2256" s="90"/>
      <c r="G2256" s="90"/>
      <c r="I2256" s="79"/>
      <c r="J2256" s="80"/>
      <c r="K2256" s="80"/>
    </row>
    <row r="2257" ht="12.75" customHeight="1">
      <c r="I2257" s="79"/>
      <c r="J2257" s="80"/>
      <c r="K2257" s="80"/>
    </row>
    <row r="2258" ht="12.75" customHeight="1">
      <c r="B2258" s="90" t="s">
        <v>4224</v>
      </c>
      <c r="D2258" s="90"/>
      <c r="E2258" s="90"/>
      <c r="F2258" s="90"/>
      <c r="G2258" s="90"/>
      <c r="H2258" s="89" t="s">
        <v>33</v>
      </c>
      <c r="I2258" s="91">
        <v>1.0</v>
      </c>
      <c r="J2258" s="92">
        <v>581.25</v>
      </c>
      <c r="K2258" s="92">
        <v>581.25</v>
      </c>
    </row>
    <row r="2259" ht="12.75" customHeight="1">
      <c r="I2259" s="79"/>
      <c r="J2259" s="80"/>
      <c r="K2259" s="80"/>
    </row>
    <row r="2260" ht="12.75" customHeight="1">
      <c r="B2260" s="90" t="s">
        <v>4375</v>
      </c>
      <c r="D2260" s="90"/>
      <c r="E2260" s="90"/>
      <c r="F2260" s="90"/>
      <c r="G2260" s="90"/>
      <c r="H2260" s="89" t="s">
        <v>33</v>
      </c>
      <c r="I2260" s="91">
        <v>1.0</v>
      </c>
      <c r="J2260" s="92">
        <v>499.78</v>
      </c>
      <c r="K2260" s="92">
        <v>499.78</v>
      </c>
    </row>
    <row r="2261" ht="12.75" customHeight="1">
      <c r="I2261" s="79"/>
      <c r="J2261" s="80"/>
      <c r="K2261" s="80"/>
    </row>
    <row r="2262" ht="12.75" customHeight="1">
      <c r="A2262" s="89" t="s">
        <v>1522</v>
      </c>
      <c r="B2262" s="90" t="s">
        <v>4436</v>
      </c>
      <c r="D2262" s="90"/>
      <c r="E2262" s="90"/>
      <c r="F2262" s="90"/>
      <c r="G2262" s="90"/>
      <c r="I2262" s="79"/>
      <c r="J2262" s="80"/>
      <c r="K2262" s="92">
        <v>14218.6</v>
      </c>
    </row>
    <row r="2263" ht="12.75" customHeight="1">
      <c r="I2263" s="79"/>
      <c r="J2263" s="80"/>
      <c r="K2263" s="80"/>
    </row>
    <row r="2264" ht="12.75" customHeight="1">
      <c r="B2264" s="90" t="s">
        <v>4035</v>
      </c>
      <c r="D2264" s="90"/>
      <c r="E2264" s="90"/>
      <c r="F2264" s="90"/>
      <c r="G2264" s="90"/>
      <c r="I2264" s="79"/>
      <c r="J2264" s="80"/>
      <c r="K2264" s="92">
        <v>1136262.47</v>
      </c>
    </row>
    <row r="2265" ht="12.75" customHeight="1">
      <c r="I2265" s="79"/>
      <c r="J2265" s="80"/>
      <c r="K2265" s="80"/>
    </row>
    <row r="2266" ht="12.75" customHeight="1">
      <c r="I2266" s="79"/>
      <c r="J2266" s="80"/>
      <c r="K2266" s="80"/>
    </row>
    <row r="2267" ht="12.75" customHeight="1">
      <c r="B2267" s="90" t="s">
        <v>3606</v>
      </c>
      <c r="D2267" s="90"/>
      <c r="E2267" s="90"/>
      <c r="F2267" s="90"/>
      <c r="G2267" s="90"/>
      <c r="I2267" s="79"/>
      <c r="J2267" s="80"/>
      <c r="K2267" s="80"/>
    </row>
    <row r="2268" ht="12.75" customHeight="1">
      <c r="I2268" s="79"/>
      <c r="J2268" s="80"/>
      <c r="K2268" s="80"/>
    </row>
    <row r="2269" ht="12.75" customHeight="1">
      <c r="B2269" s="90" t="s">
        <v>4449</v>
      </c>
      <c r="D2269" s="90"/>
      <c r="E2269" s="90"/>
      <c r="F2269" s="90"/>
      <c r="G2269" s="90"/>
      <c r="I2269" s="79"/>
      <c r="J2269" s="80"/>
      <c r="K2269" s="80"/>
    </row>
    <row r="2270" ht="12.75" customHeight="1">
      <c r="I2270" s="79"/>
      <c r="J2270" s="80"/>
      <c r="K2270" s="80"/>
    </row>
    <row r="2271" ht="12.75" customHeight="1">
      <c r="B2271" s="90" t="s">
        <v>4450</v>
      </c>
      <c r="D2271" s="90"/>
      <c r="E2271" s="90"/>
      <c r="F2271" s="90"/>
      <c r="G2271" s="90"/>
      <c r="I2271" s="79"/>
      <c r="J2271" s="80"/>
      <c r="K2271" s="80"/>
    </row>
    <row r="2272" ht="12.75" customHeight="1">
      <c r="I2272" s="79"/>
      <c r="J2272" s="80"/>
      <c r="K2272" s="80"/>
    </row>
    <row r="2273" ht="12.75" customHeight="1">
      <c r="B2273" s="90" t="s">
        <v>4451</v>
      </c>
      <c r="D2273" s="90"/>
      <c r="E2273" s="90"/>
      <c r="F2273" s="90"/>
      <c r="G2273" s="90"/>
      <c r="I2273" s="79"/>
      <c r="J2273" s="80"/>
      <c r="K2273" s="80"/>
    </row>
    <row r="2274" ht="12.75" customHeight="1">
      <c r="I2274" s="79"/>
      <c r="J2274" s="80"/>
      <c r="K2274" s="80"/>
    </row>
    <row r="2275" ht="12.75" customHeight="1">
      <c r="B2275" s="90" t="s">
        <v>4452</v>
      </c>
      <c r="D2275" s="90"/>
      <c r="E2275" s="90"/>
      <c r="F2275" s="90"/>
      <c r="G2275" s="90"/>
      <c r="I2275" s="79"/>
      <c r="J2275" s="80"/>
      <c r="K2275" s="80"/>
    </row>
    <row r="2276" ht="12.75" customHeight="1">
      <c r="I2276" s="79"/>
      <c r="J2276" s="80"/>
      <c r="K2276" s="80"/>
    </row>
    <row r="2277" ht="12.75" customHeight="1">
      <c r="B2277" s="90" t="s">
        <v>4453</v>
      </c>
      <c r="D2277" s="90"/>
      <c r="E2277" s="90"/>
      <c r="F2277" s="90"/>
      <c r="G2277" s="90"/>
      <c r="I2277" s="79"/>
      <c r="J2277" s="80"/>
      <c r="K2277" s="80"/>
    </row>
    <row r="2278" ht="12.75" customHeight="1">
      <c r="I2278" s="79"/>
      <c r="J2278" s="80"/>
      <c r="K2278" s="80"/>
    </row>
    <row r="2279" ht="12.75" customHeight="1">
      <c r="A2279" s="89" t="s">
        <v>1565</v>
      </c>
      <c r="B2279" s="90" t="s">
        <v>4454</v>
      </c>
      <c r="D2279" s="90"/>
      <c r="E2279" s="90"/>
      <c r="F2279" s="90"/>
      <c r="G2279" s="90"/>
      <c r="I2279" s="79"/>
      <c r="J2279" s="80"/>
      <c r="K2279" s="80"/>
    </row>
    <row r="2280" ht="12.75" customHeight="1">
      <c r="I2280" s="79"/>
      <c r="J2280" s="80"/>
      <c r="K2280" s="80"/>
    </row>
    <row r="2281" ht="12.75" customHeight="1">
      <c r="A2281" s="89" t="s">
        <v>29</v>
      </c>
      <c r="B2281" s="90" t="s">
        <v>4455</v>
      </c>
      <c r="D2281" s="90"/>
      <c r="E2281" s="90"/>
      <c r="F2281" s="90"/>
      <c r="G2281" s="90"/>
      <c r="I2281" s="79"/>
      <c r="J2281" s="80"/>
      <c r="K2281" s="80"/>
    </row>
    <row r="2282" ht="12.75" customHeight="1">
      <c r="I2282" s="79"/>
      <c r="J2282" s="80"/>
      <c r="K2282" s="80"/>
    </row>
    <row r="2283" ht="12.75" customHeight="1">
      <c r="A2283" s="89" t="s">
        <v>31</v>
      </c>
      <c r="B2283" s="90" t="s">
        <v>4456</v>
      </c>
      <c r="D2283" s="90"/>
      <c r="E2283" s="90"/>
      <c r="F2283" s="90"/>
      <c r="G2283" s="90"/>
      <c r="I2283" s="79"/>
      <c r="J2283" s="80"/>
      <c r="K2283" s="80"/>
    </row>
    <row r="2284" ht="12.75" customHeight="1">
      <c r="I2284" s="79"/>
      <c r="J2284" s="80"/>
      <c r="K2284" s="80"/>
    </row>
    <row r="2285" ht="12.75" customHeight="1">
      <c r="A2285" s="89" t="s">
        <v>1569</v>
      </c>
      <c r="B2285" s="90" t="s">
        <v>4457</v>
      </c>
      <c r="D2285" s="90"/>
      <c r="E2285" s="90"/>
      <c r="F2285" s="90"/>
      <c r="G2285" s="90"/>
      <c r="H2285" s="89" t="s">
        <v>33</v>
      </c>
      <c r="I2285" s="91">
        <v>1.0</v>
      </c>
      <c r="J2285" s="80"/>
      <c r="K2285" s="135" t="s">
        <v>1571</v>
      </c>
    </row>
    <row r="2286" ht="12.75" customHeight="1">
      <c r="I2286" s="79"/>
      <c r="J2286" s="80"/>
      <c r="K2286" s="80"/>
    </row>
    <row r="2287" ht="12.75" customHeight="1">
      <c r="A2287" s="89" t="s">
        <v>1572</v>
      </c>
      <c r="B2287" s="90" t="s">
        <v>4458</v>
      </c>
      <c r="D2287" s="90"/>
      <c r="E2287" s="90"/>
      <c r="F2287" s="90"/>
      <c r="G2287" s="90"/>
      <c r="I2287" s="79"/>
      <c r="J2287" s="80"/>
      <c r="K2287" s="80"/>
    </row>
    <row r="2288" ht="12.75" customHeight="1">
      <c r="I2288" s="79"/>
      <c r="J2288" s="80"/>
      <c r="K2288" s="80"/>
    </row>
    <row r="2289" ht="12.75" customHeight="1">
      <c r="A2289" s="89" t="s">
        <v>1574</v>
      </c>
      <c r="B2289" s="90" t="s">
        <v>4459</v>
      </c>
      <c r="D2289" s="90"/>
      <c r="E2289" s="90"/>
      <c r="F2289" s="90"/>
      <c r="G2289" s="90"/>
      <c r="H2289" s="89" t="s">
        <v>40</v>
      </c>
      <c r="I2289" s="91">
        <v>2000.0</v>
      </c>
      <c r="J2289" s="92">
        <v>2.3</v>
      </c>
      <c r="K2289" s="92">
        <v>4600.0</v>
      </c>
    </row>
    <row r="2290" ht="12.75" customHeight="1">
      <c r="I2290" s="79"/>
      <c r="J2290" s="80"/>
      <c r="K2290" s="80"/>
    </row>
    <row r="2291" ht="12.75" customHeight="1">
      <c r="A2291" s="89" t="s">
        <v>29</v>
      </c>
      <c r="B2291" s="90" t="s">
        <v>4455</v>
      </c>
      <c r="D2291" s="90"/>
      <c r="E2291" s="90"/>
      <c r="F2291" s="90"/>
      <c r="G2291" s="90"/>
      <c r="I2291" s="79"/>
      <c r="J2291" s="80"/>
      <c r="K2291" s="92">
        <v>4600.0</v>
      </c>
    </row>
    <row r="2292" ht="12.75" customHeight="1">
      <c r="I2292" s="79"/>
      <c r="J2292" s="80"/>
      <c r="K2292" s="80"/>
    </row>
    <row r="2293" ht="12.75" customHeight="1">
      <c r="I2293" s="79"/>
      <c r="J2293" s="80"/>
      <c r="K2293" s="80"/>
    </row>
    <row r="2294" ht="12.75" customHeight="1">
      <c r="A2294" s="89" t="s">
        <v>1576</v>
      </c>
      <c r="B2294" s="90" t="s">
        <v>4460</v>
      </c>
      <c r="D2294" s="90"/>
      <c r="E2294" s="90"/>
      <c r="F2294" s="90"/>
      <c r="G2294" s="90"/>
      <c r="I2294" s="79"/>
      <c r="J2294" s="80"/>
      <c r="K2294" s="80"/>
    </row>
    <row r="2295" ht="12.75" customHeight="1">
      <c r="I2295" s="79"/>
      <c r="J2295" s="80"/>
      <c r="K2295" s="80"/>
    </row>
    <row r="2296" ht="12.75" customHeight="1">
      <c r="A2296" s="89" t="s">
        <v>1577</v>
      </c>
      <c r="B2296" s="90" t="s">
        <v>4461</v>
      </c>
      <c r="D2296" s="90"/>
      <c r="E2296" s="90"/>
      <c r="F2296" s="90"/>
      <c r="G2296" s="90"/>
      <c r="I2296" s="79"/>
      <c r="J2296" s="80"/>
      <c r="K2296" s="80"/>
    </row>
    <row r="2297" ht="12.75" customHeight="1">
      <c r="I2297" s="79"/>
      <c r="J2297" s="80"/>
      <c r="K2297" s="80"/>
    </row>
    <row r="2298" ht="12.75" customHeight="1">
      <c r="A2298" s="89" t="s">
        <v>1579</v>
      </c>
      <c r="B2298" s="90" t="s">
        <v>4462</v>
      </c>
      <c r="D2298" s="90"/>
      <c r="E2298" s="90"/>
      <c r="F2298" s="90"/>
      <c r="G2298" s="90"/>
      <c r="H2298" s="89" t="s">
        <v>933</v>
      </c>
      <c r="I2298" s="91">
        <v>68.0</v>
      </c>
      <c r="J2298" s="92">
        <v>15.83</v>
      </c>
      <c r="K2298" s="92">
        <v>1076.44</v>
      </c>
    </row>
    <row r="2299" ht="12.75" customHeight="1">
      <c r="I2299" s="79"/>
      <c r="J2299" s="80"/>
      <c r="K2299" s="80"/>
    </row>
    <row r="2300" ht="12.75" customHeight="1">
      <c r="A2300" s="89" t="s">
        <v>1581</v>
      </c>
      <c r="B2300" s="90" t="s">
        <v>4463</v>
      </c>
      <c r="D2300" s="90"/>
      <c r="E2300" s="90"/>
      <c r="F2300" s="90"/>
      <c r="G2300" s="90"/>
      <c r="I2300" s="79"/>
      <c r="J2300" s="80"/>
      <c r="K2300" s="80"/>
    </row>
    <row r="2301" ht="12.75" customHeight="1">
      <c r="I2301" s="79"/>
      <c r="J2301" s="80"/>
      <c r="K2301" s="80"/>
    </row>
    <row r="2302" ht="12.75" customHeight="1">
      <c r="A2302" s="89" t="s">
        <v>1583</v>
      </c>
      <c r="B2302" s="90" t="s">
        <v>4464</v>
      </c>
      <c r="D2302" s="90"/>
      <c r="E2302" s="90"/>
      <c r="F2302" s="90"/>
      <c r="G2302" s="90"/>
      <c r="H2302" s="89" t="s">
        <v>933</v>
      </c>
      <c r="I2302" s="91">
        <v>386.0</v>
      </c>
      <c r="J2302" s="92">
        <v>8.04</v>
      </c>
      <c r="K2302" s="92">
        <v>3103.44</v>
      </c>
    </row>
    <row r="2303" ht="12.75" customHeight="1">
      <c r="I2303" s="79"/>
      <c r="J2303" s="80"/>
      <c r="K2303" s="80"/>
    </row>
    <row r="2304" ht="12.75" customHeight="1">
      <c r="A2304" s="89" t="s">
        <v>1585</v>
      </c>
      <c r="B2304" s="90" t="s">
        <v>4465</v>
      </c>
      <c r="D2304" s="90"/>
      <c r="E2304" s="90"/>
      <c r="F2304" s="90"/>
      <c r="G2304" s="90"/>
      <c r="I2304" s="79"/>
      <c r="J2304" s="80"/>
      <c r="K2304" s="80"/>
    </row>
    <row r="2305" ht="12.75" customHeight="1">
      <c r="I2305" s="79"/>
      <c r="J2305" s="80"/>
      <c r="K2305" s="80"/>
    </row>
    <row r="2306" ht="12.75" customHeight="1">
      <c r="A2306" s="89" t="s">
        <v>1587</v>
      </c>
      <c r="B2306" s="90" t="s">
        <v>4466</v>
      </c>
      <c r="D2306" s="90"/>
      <c r="E2306" s="90"/>
      <c r="F2306" s="90"/>
      <c r="G2306" s="90"/>
      <c r="H2306" s="89" t="s">
        <v>933</v>
      </c>
      <c r="I2306" s="91">
        <v>318.0</v>
      </c>
      <c r="J2306" s="92">
        <v>57.23</v>
      </c>
      <c r="K2306" s="92">
        <v>18199.14</v>
      </c>
    </row>
    <row r="2307" ht="12.75" customHeight="1">
      <c r="I2307" s="79"/>
      <c r="J2307" s="80"/>
      <c r="K2307" s="80"/>
    </row>
    <row r="2308" ht="12.75" customHeight="1">
      <c r="A2308" s="89" t="s">
        <v>1576</v>
      </c>
      <c r="B2308" s="90" t="s">
        <v>4460</v>
      </c>
      <c r="D2308" s="90"/>
      <c r="E2308" s="90"/>
      <c r="F2308" s="90"/>
      <c r="G2308" s="90"/>
      <c r="I2308" s="79"/>
      <c r="J2308" s="80"/>
      <c r="K2308" s="92">
        <v>22379.02</v>
      </c>
    </row>
    <row r="2309" ht="12.75" customHeight="1">
      <c r="I2309" s="79"/>
      <c r="J2309" s="80"/>
      <c r="K2309" s="80"/>
    </row>
    <row r="2310" ht="12.75" customHeight="1">
      <c r="I2310" s="79"/>
      <c r="J2310" s="80"/>
      <c r="K2310" s="80"/>
    </row>
    <row r="2311" ht="12.75" customHeight="1">
      <c r="A2311" s="89" t="s">
        <v>4467</v>
      </c>
      <c r="B2311" s="90" t="s">
        <v>4468</v>
      </c>
      <c r="D2311" s="90"/>
      <c r="E2311" s="90"/>
      <c r="F2311" s="90"/>
      <c r="G2311" s="90"/>
      <c r="I2311" s="79"/>
      <c r="J2311" s="80"/>
      <c r="K2311" s="80"/>
    </row>
    <row r="2312" ht="12.75" customHeight="1">
      <c r="I2312" s="79"/>
      <c r="J2312" s="80"/>
      <c r="K2312" s="80"/>
    </row>
    <row r="2313" ht="12.75" customHeight="1">
      <c r="B2313" s="90" t="s">
        <v>4469</v>
      </c>
      <c r="D2313" s="90"/>
      <c r="E2313" s="90"/>
      <c r="F2313" s="90"/>
      <c r="G2313" s="90"/>
      <c r="I2313" s="79"/>
      <c r="J2313" s="80"/>
      <c r="K2313" s="80"/>
    </row>
    <row r="2314" ht="12.75" customHeight="1">
      <c r="I2314" s="79"/>
      <c r="J2314" s="80"/>
      <c r="K2314" s="80"/>
    </row>
    <row r="2315" ht="12.75" customHeight="1">
      <c r="A2315" s="89" t="s">
        <v>1591</v>
      </c>
      <c r="B2315" s="90" t="s">
        <v>4470</v>
      </c>
      <c r="D2315" s="90"/>
      <c r="E2315" s="90"/>
      <c r="F2315" s="90"/>
      <c r="G2315" s="90"/>
      <c r="I2315" s="79"/>
      <c r="J2315" s="80"/>
      <c r="K2315" s="80"/>
    </row>
    <row r="2316" ht="12.75" customHeight="1">
      <c r="I2316" s="79"/>
      <c r="J2316" s="80"/>
      <c r="K2316" s="80"/>
    </row>
    <row r="2317" ht="12.75" customHeight="1">
      <c r="A2317" s="89" t="s">
        <v>1593</v>
      </c>
      <c r="B2317" s="90" t="s">
        <v>4471</v>
      </c>
      <c r="D2317" s="90"/>
      <c r="E2317" s="90"/>
      <c r="F2317" s="90"/>
      <c r="G2317" s="90"/>
      <c r="H2317" s="89" t="s">
        <v>40</v>
      </c>
      <c r="I2317" s="91">
        <v>180.0</v>
      </c>
      <c r="J2317" s="92">
        <v>62.28</v>
      </c>
      <c r="K2317" s="92">
        <v>11210.4</v>
      </c>
    </row>
    <row r="2318" ht="12.75" customHeight="1">
      <c r="I2318" s="79"/>
      <c r="J2318" s="80"/>
      <c r="K2318" s="80"/>
    </row>
    <row r="2319" ht="12.75" customHeight="1">
      <c r="A2319" s="89" t="s">
        <v>1595</v>
      </c>
      <c r="B2319" s="90" t="s">
        <v>4472</v>
      </c>
      <c r="D2319" s="90"/>
      <c r="E2319" s="90"/>
      <c r="F2319" s="90"/>
      <c r="G2319" s="90"/>
      <c r="H2319" s="89" t="s">
        <v>933</v>
      </c>
      <c r="I2319" s="91">
        <v>10.0</v>
      </c>
      <c r="J2319" s="92">
        <v>108.91</v>
      </c>
      <c r="K2319" s="92">
        <v>1089.1</v>
      </c>
    </row>
    <row r="2320" ht="12.75" customHeight="1">
      <c r="I2320" s="79"/>
      <c r="J2320" s="80"/>
      <c r="K2320" s="80"/>
    </row>
    <row r="2321" ht="12.75" customHeight="1">
      <c r="A2321" s="89" t="s">
        <v>1597</v>
      </c>
      <c r="B2321" s="90" t="s">
        <v>3407</v>
      </c>
      <c r="D2321" s="90"/>
      <c r="E2321" s="90"/>
      <c r="F2321" s="90"/>
      <c r="G2321" s="90"/>
      <c r="I2321" s="79"/>
      <c r="J2321" s="80"/>
      <c r="K2321" s="80"/>
    </row>
    <row r="2322" ht="12.75" customHeight="1">
      <c r="I2322" s="79"/>
      <c r="J2322" s="80"/>
      <c r="K2322" s="80"/>
    </row>
    <row r="2323" ht="12.75" customHeight="1">
      <c r="A2323" s="89" t="s">
        <v>1599</v>
      </c>
      <c r="B2323" s="90" t="s">
        <v>4473</v>
      </c>
      <c r="D2323" s="90"/>
      <c r="E2323" s="90"/>
      <c r="F2323" s="90"/>
      <c r="G2323" s="90"/>
      <c r="H2323" s="89" t="s">
        <v>40</v>
      </c>
      <c r="I2323" s="91">
        <v>20.0</v>
      </c>
      <c r="J2323" s="92">
        <v>30.49</v>
      </c>
      <c r="K2323" s="92">
        <v>609.8</v>
      </c>
    </row>
    <row r="2324" ht="12.75" customHeight="1">
      <c r="I2324" s="79"/>
      <c r="J2324" s="80"/>
      <c r="K2324" s="80"/>
    </row>
    <row r="2325" ht="12.75" customHeight="1">
      <c r="A2325" s="89" t="s">
        <v>1601</v>
      </c>
      <c r="B2325" s="90" t="s">
        <v>4474</v>
      </c>
      <c r="D2325" s="90"/>
      <c r="E2325" s="90"/>
      <c r="F2325" s="90"/>
      <c r="G2325" s="90"/>
      <c r="I2325" s="79"/>
      <c r="J2325" s="80"/>
      <c r="K2325" s="80"/>
    </row>
    <row r="2326" ht="12.75" customHeight="1">
      <c r="I2326" s="79"/>
      <c r="J2326" s="80"/>
      <c r="K2326" s="80"/>
    </row>
    <row r="2327" ht="12.75" customHeight="1">
      <c r="A2327" s="89" t="s">
        <v>1603</v>
      </c>
      <c r="B2327" s="90" t="s">
        <v>4475</v>
      </c>
      <c r="D2327" s="90"/>
      <c r="E2327" s="90"/>
      <c r="F2327" s="90"/>
      <c r="G2327" s="90"/>
      <c r="H2327" s="89" t="s">
        <v>40</v>
      </c>
      <c r="I2327" s="91">
        <v>6.0</v>
      </c>
      <c r="J2327" s="92">
        <v>225.0</v>
      </c>
      <c r="K2327" s="92">
        <v>1350.0</v>
      </c>
    </row>
    <row r="2328" ht="12.75" customHeight="1">
      <c r="I2328" s="79"/>
      <c r="J2328" s="80"/>
      <c r="K2328" s="80"/>
    </row>
    <row r="2329" ht="12.75" customHeight="1">
      <c r="A2329" s="89" t="s">
        <v>1605</v>
      </c>
      <c r="B2329" s="90" t="s">
        <v>4476</v>
      </c>
      <c r="D2329" s="90"/>
      <c r="E2329" s="90"/>
      <c r="F2329" s="90"/>
      <c r="G2329" s="90"/>
      <c r="I2329" s="79"/>
      <c r="J2329" s="80"/>
      <c r="K2329" s="80"/>
    </row>
    <row r="2330" ht="12.75" customHeight="1">
      <c r="I2330" s="79"/>
      <c r="J2330" s="80"/>
      <c r="K2330" s="80"/>
    </row>
    <row r="2331" ht="12.75" customHeight="1">
      <c r="A2331" s="89" t="s">
        <v>1607</v>
      </c>
      <c r="B2331" s="90" t="s">
        <v>4477</v>
      </c>
      <c r="D2331" s="90"/>
      <c r="E2331" s="90"/>
      <c r="F2331" s="90"/>
      <c r="G2331" s="90"/>
      <c r="H2331" s="89" t="s">
        <v>40</v>
      </c>
      <c r="I2331" s="91">
        <v>45.0</v>
      </c>
      <c r="J2331" s="92">
        <v>185.0</v>
      </c>
      <c r="K2331" s="92">
        <v>8325.0</v>
      </c>
    </row>
    <row r="2332" ht="12.75" customHeight="1">
      <c r="I2332" s="79"/>
      <c r="J2332" s="80"/>
      <c r="K2332" s="80"/>
    </row>
    <row r="2333" ht="12.75" customHeight="1">
      <c r="A2333" s="89" t="s">
        <v>1609</v>
      </c>
      <c r="B2333" s="90" t="s">
        <v>4478</v>
      </c>
      <c r="D2333" s="90"/>
      <c r="E2333" s="90"/>
      <c r="F2333" s="90"/>
      <c r="G2333" s="90"/>
      <c r="I2333" s="79"/>
      <c r="J2333" s="80"/>
      <c r="K2333" s="80"/>
    </row>
    <row r="2334" ht="12.75" customHeight="1">
      <c r="I2334" s="79"/>
      <c r="J2334" s="80"/>
      <c r="K2334" s="80"/>
    </row>
    <row r="2335" ht="12.75" customHeight="1">
      <c r="A2335" s="89" t="s">
        <v>1611</v>
      </c>
      <c r="B2335" s="90" t="s">
        <v>4479</v>
      </c>
      <c r="D2335" s="90"/>
      <c r="E2335" s="90"/>
      <c r="F2335" s="90"/>
      <c r="G2335" s="90"/>
      <c r="H2335" s="89" t="s">
        <v>40</v>
      </c>
      <c r="I2335" s="91">
        <v>140.0</v>
      </c>
      <c r="J2335" s="92">
        <v>70.86</v>
      </c>
      <c r="K2335" s="92">
        <v>9920.4</v>
      </c>
    </row>
    <row r="2336" ht="12.75" customHeight="1">
      <c r="I2336" s="79"/>
      <c r="J2336" s="80"/>
      <c r="K2336" s="80"/>
    </row>
    <row r="2337" ht="12.75" customHeight="1">
      <c r="A2337" s="89" t="s">
        <v>1613</v>
      </c>
      <c r="B2337" s="90" t="s">
        <v>4480</v>
      </c>
      <c r="D2337" s="90"/>
      <c r="E2337" s="90"/>
      <c r="F2337" s="90"/>
      <c r="G2337" s="90"/>
      <c r="I2337" s="79"/>
      <c r="J2337" s="80"/>
      <c r="K2337" s="80"/>
    </row>
    <row r="2338" ht="12.75" customHeight="1">
      <c r="I2338" s="79"/>
      <c r="J2338" s="80"/>
      <c r="K2338" s="80"/>
    </row>
    <row r="2339" ht="12.75" customHeight="1">
      <c r="A2339" s="89" t="s">
        <v>1615</v>
      </c>
      <c r="B2339" s="90" t="s">
        <v>4481</v>
      </c>
      <c r="D2339" s="90"/>
      <c r="E2339" s="90"/>
      <c r="F2339" s="90"/>
      <c r="G2339" s="90"/>
      <c r="H2339" s="89" t="s">
        <v>161</v>
      </c>
      <c r="I2339" s="91">
        <v>32.0</v>
      </c>
      <c r="J2339" s="92">
        <v>175.0</v>
      </c>
      <c r="K2339" s="92">
        <v>5600.0</v>
      </c>
    </row>
    <row r="2340" ht="12.75" customHeight="1">
      <c r="I2340" s="79"/>
      <c r="J2340" s="80"/>
      <c r="K2340" s="80"/>
    </row>
    <row r="2341" ht="12.75" customHeight="1">
      <c r="A2341" s="89" t="s">
        <v>4482</v>
      </c>
      <c r="B2341" s="90" t="s">
        <v>3423</v>
      </c>
      <c r="D2341" s="90"/>
      <c r="E2341" s="90"/>
      <c r="F2341" s="90"/>
      <c r="G2341" s="90"/>
      <c r="I2341" s="79"/>
      <c r="J2341" s="80"/>
      <c r="K2341" s="80"/>
    </row>
    <row r="2342" ht="12.75" customHeight="1">
      <c r="I2342" s="79"/>
      <c r="J2342" s="80"/>
      <c r="K2342" s="80"/>
    </row>
    <row r="2343" ht="12.75" customHeight="1">
      <c r="B2343" s="90" t="s">
        <v>4483</v>
      </c>
      <c r="D2343" s="90"/>
      <c r="E2343" s="90"/>
      <c r="F2343" s="90"/>
      <c r="G2343" s="90"/>
      <c r="I2343" s="79"/>
      <c r="J2343" s="80"/>
      <c r="K2343" s="80"/>
    </row>
    <row r="2344" ht="12.75" customHeight="1">
      <c r="I2344" s="79"/>
      <c r="J2344" s="80"/>
      <c r="K2344" s="80"/>
    </row>
    <row r="2345" ht="12.75" customHeight="1">
      <c r="A2345" s="89" t="s">
        <v>781</v>
      </c>
      <c r="B2345" s="90" t="s">
        <v>4484</v>
      </c>
      <c r="D2345" s="90"/>
      <c r="E2345" s="90"/>
      <c r="F2345" s="90"/>
      <c r="G2345" s="90"/>
      <c r="I2345" s="79"/>
      <c r="J2345" s="80"/>
      <c r="K2345" s="80"/>
    </row>
    <row r="2346" ht="12.75" customHeight="1">
      <c r="I2346" s="79"/>
      <c r="J2346" s="80"/>
      <c r="K2346" s="80"/>
    </row>
    <row r="2347" ht="12.75" customHeight="1">
      <c r="A2347" s="89" t="s">
        <v>1620</v>
      </c>
      <c r="B2347" s="90" t="s">
        <v>4485</v>
      </c>
      <c r="D2347" s="90"/>
      <c r="E2347" s="90"/>
      <c r="F2347" s="90"/>
      <c r="G2347" s="90"/>
      <c r="H2347" s="89" t="s">
        <v>75</v>
      </c>
      <c r="I2347" s="91">
        <v>8.0</v>
      </c>
      <c r="J2347" s="80"/>
      <c r="K2347" s="135" t="s">
        <v>1428</v>
      </c>
    </row>
    <row r="2348" ht="12.75" customHeight="1">
      <c r="I2348" s="79"/>
      <c r="J2348" s="80"/>
      <c r="K2348" s="80"/>
    </row>
    <row r="2349" ht="12.75" customHeight="1">
      <c r="A2349" s="89" t="s">
        <v>1622</v>
      </c>
      <c r="B2349" s="90" t="s">
        <v>4486</v>
      </c>
      <c r="D2349" s="90"/>
      <c r="E2349" s="90"/>
      <c r="F2349" s="90"/>
      <c r="G2349" s="90"/>
      <c r="H2349" s="89" t="s">
        <v>75</v>
      </c>
      <c r="I2349" s="91">
        <v>10.0</v>
      </c>
      <c r="J2349" s="80"/>
      <c r="K2349" s="135" t="s">
        <v>1428</v>
      </c>
    </row>
    <row r="2350" ht="12.75" customHeight="1">
      <c r="I2350" s="79"/>
      <c r="J2350" s="80"/>
      <c r="K2350" s="80"/>
    </row>
    <row r="2351" ht="12.75" customHeight="1">
      <c r="A2351" s="89" t="s">
        <v>1624</v>
      </c>
      <c r="B2351" s="90" t="s">
        <v>4487</v>
      </c>
      <c r="D2351" s="90"/>
      <c r="E2351" s="90"/>
      <c r="F2351" s="90"/>
      <c r="G2351" s="90"/>
      <c r="I2351" s="79"/>
      <c r="J2351" s="80"/>
      <c r="K2351" s="80"/>
    </row>
    <row r="2352" ht="12.75" customHeight="1">
      <c r="I2352" s="79"/>
      <c r="J2352" s="80"/>
      <c r="K2352" s="80"/>
    </row>
    <row r="2353" ht="12.75" customHeight="1">
      <c r="A2353" s="89" t="s">
        <v>1626</v>
      </c>
      <c r="B2353" s="90" t="s">
        <v>4488</v>
      </c>
      <c r="D2353" s="90"/>
      <c r="E2353" s="90"/>
      <c r="F2353" s="90"/>
      <c r="G2353" s="90"/>
      <c r="H2353" s="89" t="s">
        <v>75</v>
      </c>
      <c r="I2353" s="91">
        <v>4.0</v>
      </c>
      <c r="J2353" s="80"/>
      <c r="K2353" s="135" t="s">
        <v>1428</v>
      </c>
    </row>
    <row r="2354" ht="12.75" customHeight="1">
      <c r="I2354" s="79"/>
      <c r="J2354" s="80"/>
      <c r="K2354" s="80"/>
    </row>
    <row r="2355" ht="12.75" customHeight="1">
      <c r="A2355" s="89" t="s">
        <v>1628</v>
      </c>
      <c r="B2355" s="90" t="s">
        <v>4489</v>
      </c>
      <c r="D2355" s="90"/>
      <c r="E2355" s="90"/>
      <c r="F2355" s="90"/>
      <c r="G2355" s="90"/>
      <c r="I2355" s="79"/>
      <c r="J2355" s="80"/>
      <c r="K2355" s="80"/>
    </row>
    <row r="2356" ht="12.75" customHeight="1">
      <c r="I2356" s="79"/>
      <c r="J2356" s="80"/>
      <c r="K2356" s="80"/>
    </row>
    <row r="2357" ht="12.75" customHeight="1">
      <c r="A2357" s="89" t="s">
        <v>1630</v>
      </c>
      <c r="B2357" s="90" t="s">
        <v>4490</v>
      </c>
      <c r="D2357" s="90"/>
      <c r="E2357" s="90"/>
      <c r="F2357" s="90"/>
      <c r="G2357" s="90"/>
      <c r="I2357" s="79"/>
      <c r="J2357" s="80"/>
      <c r="K2357" s="80"/>
    </row>
    <row r="2358" ht="12.75" customHeight="1">
      <c r="I2358" s="79"/>
      <c r="J2358" s="80"/>
      <c r="K2358" s="80"/>
    </row>
    <row r="2359" ht="12.75" customHeight="1">
      <c r="A2359" s="89" t="s">
        <v>1632</v>
      </c>
      <c r="B2359" s="90" t="s">
        <v>4491</v>
      </c>
      <c r="D2359" s="90"/>
      <c r="E2359" s="90"/>
      <c r="F2359" s="90"/>
      <c r="G2359" s="90"/>
      <c r="H2359" s="89" t="s">
        <v>75</v>
      </c>
      <c r="I2359" s="91">
        <v>4.0</v>
      </c>
      <c r="J2359" s="80"/>
      <c r="K2359" s="135" t="s">
        <v>1428</v>
      </c>
    </row>
    <row r="2360" ht="12.75" customHeight="1">
      <c r="I2360" s="79"/>
      <c r="J2360" s="80"/>
      <c r="K2360" s="80"/>
    </row>
    <row r="2361" ht="12.75" customHeight="1">
      <c r="A2361" s="89" t="s">
        <v>1634</v>
      </c>
      <c r="B2361" s="90" t="s">
        <v>4492</v>
      </c>
      <c r="D2361" s="90"/>
      <c r="E2361" s="90"/>
      <c r="F2361" s="90"/>
      <c r="G2361" s="90"/>
      <c r="H2361" s="89" t="s">
        <v>75</v>
      </c>
      <c r="I2361" s="91">
        <v>2.0</v>
      </c>
      <c r="J2361" s="80"/>
      <c r="K2361" s="135" t="s">
        <v>1428</v>
      </c>
    </row>
    <row r="2362" ht="12.75" customHeight="1">
      <c r="I2362" s="79"/>
      <c r="J2362" s="80"/>
      <c r="K2362" s="80"/>
    </row>
    <row r="2363" ht="12.75" customHeight="1">
      <c r="A2363" s="89" t="s">
        <v>4493</v>
      </c>
      <c r="B2363" s="90" t="s">
        <v>2563</v>
      </c>
      <c r="D2363" s="90"/>
      <c r="E2363" s="90"/>
      <c r="F2363" s="90"/>
      <c r="G2363" s="90"/>
      <c r="I2363" s="79"/>
      <c r="J2363" s="80"/>
      <c r="K2363" s="80"/>
    </row>
    <row r="2364" ht="12.75" customHeight="1">
      <c r="I2364" s="79"/>
      <c r="J2364" s="80"/>
      <c r="K2364" s="80"/>
    </row>
    <row r="2365" ht="12.75" customHeight="1">
      <c r="A2365" s="89" t="s">
        <v>1636</v>
      </c>
      <c r="B2365" s="90" t="s">
        <v>4494</v>
      </c>
      <c r="D2365" s="90"/>
      <c r="E2365" s="90"/>
      <c r="F2365" s="90"/>
      <c r="G2365" s="90"/>
      <c r="I2365" s="79"/>
      <c r="J2365" s="80"/>
      <c r="K2365" s="80"/>
    </row>
    <row r="2366" ht="12.75" customHeight="1">
      <c r="I2366" s="79"/>
      <c r="J2366" s="80"/>
      <c r="K2366" s="80"/>
    </row>
    <row r="2367" ht="12.75" customHeight="1">
      <c r="A2367" s="89" t="s">
        <v>1638</v>
      </c>
      <c r="B2367" s="90" t="s">
        <v>4495</v>
      </c>
      <c r="D2367" s="90"/>
      <c r="E2367" s="90"/>
      <c r="F2367" s="90"/>
      <c r="G2367" s="90"/>
      <c r="H2367" s="89" t="s">
        <v>75</v>
      </c>
      <c r="I2367" s="91">
        <v>1.0</v>
      </c>
      <c r="J2367" s="92">
        <v>1500.0</v>
      </c>
      <c r="K2367" s="92">
        <v>1500.0</v>
      </c>
    </row>
    <row r="2368" ht="12.75" customHeight="1">
      <c r="I2368" s="79"/>
      <c r="J2368" s="80"/>
      <c r="K2368" s="80"/>
    </row>
    <row r="2369" ht="12.75" customHeight="1">
      <c r="A2369" s="89" t="s">
        <v>1640</v>
      </c>
      <c r="B2369" s="90" t="s">
        <v>4496</v>
      </c>
      <c r="D2369" s="90"/>
      <c r="E2369" s="90"/>
      <c r="F2369" s="90"/>
      <c r="G2369" s="90"/>
      <c r="H2369" s="89" t="s">
        <v>75</v>
      </c>
      <c r="I2369" s="91">
        <v>1.0</v>
      </c>
      <c r="J2369" s="92">
        <v>1098.0</v>
      </c>
      <c r="K2369" s="92">
        <v>1098.0</v>
      </c>
    </row>
    <row r="2370" ht="12.75" customHeight="1">
      <c r="I2370" s="79"/>
      <c r="J2370" s="80"/>
      <c r="K2370" s="80"/>
    </row>
    <row r="2371" ht="12.75" customHeight="1">
      <c r="A2371" s="89" t="s">
        <v>1642</v>
      </c>
      <c r="B2371" s="90" t="s">
        <v>4497</v>
      </c>
      <c r="D2371" s="90"/>
      <c r="E2371" s="90"/>
      <c r="F2371" s="90"/>
      <c r="G2371" s="90"/>
      <c r="H2371" s="89" t="s">
        <v>75</v>
      </c>
      <c r="I2371" s="91">
        <v>1.0</v>
      </c>
      <c r="J2371" s="92">
        <v>750.0</v>
      </c>
      <c r="K2371" s="92">
        <v>750.0</v>
      </c>
    </row>
    <row r="2372" ht="12.75" customHeight="1">
      <c r="I2372" s="79"/>
      <c r="J2372" s="80"/>
      <c r="K2372" s="80"/>
    </row>
    <row r="2373" ht="12.75" customHeight="1">
      <c r="A2373" s="89" t="s">
        <v>1644</v>
      </c>
      <c r="B2373" s="90" t="s">
        <v>4498</v>
      </c>
      <c r="D2373" s="90"/>
      <c r="E2373" s="90"/>
      <c r="F2373" s="90"/>
      <c r="G2373" s="90"/>
      <c r="H2373" s="89" t="s">
        <v>75</v>
      </c>
      <c r="I2373" s="91">
        <v>1.0</v>
      </c>
      <c r="J2373" s="92">
        <v>7200.0</v>
      </c>
      <c r="K2373" s="92">
        <v>7200.0</v>
      </c>
    </row>
    <row r="2374" ht="12.75" customHeight="1">
      <c r="I2374" s="79"/>
      <c r="J2374" s="80"/>
      <c r="K2374" s="80"/>
    </row>
    <row r="2375" ht="12.75" customHeight="1">
      <c r="A2375" s="89" t="s">
        <v>4467</v>
      </c>
      <c r="B2375" s="90" t="s">
        <v>4468</v>
      </c>
      <c r="D2375" s="90"/>
      <c r="E2375" s="90"/>
      <c r="F2375" s="90"/>
      <c r="G2375" s="90"/>
      <c r="I2375" s="79"/>
      <c r="J2375" s="80"/>
      <c r="K2375" s="92">
        <v>48652.7</v>
      </c>
    </row>
    <row r="2376" ht="12.75" customHeight="1">
      <c r="I2376" s="79"/>
      <c r="J2376" s="80"/>
      <c r="K2376" s="80"/>
    </row>
    <row r="2377" ht="12.75" customHeight="1">
      <c r="A2377" s="89" t="s">
        <v>1565</v>
      </c>
      <c r="B2377" s="90" t="s">
        <v>4454</v>
      </c>
      <c r="D2377" s="90"/>
      <c r="E2377" s="90"/>
      <c r="F2377" s="90"/>
      <c r="G2377" s="90"/>
      <c r="I2377" s="79"/>
      <c r="J2377" s="80"/>
      <c r="K2377" s="92">
        <v>75631.72</v>
      </c>
    </row>
    <row r="2378" ht="12.75" customHeight="1">
      <c r="I2378" s="79"/>
      <c r="J2378" s="80"/>
      <c r="K2378" s="80"/>
    </row>
    <row r="2379" ht="12.75" customHeight="1">
      <c r="I2379" s="79"/>
      <c r="J2379" s="80"/>
      <c r="K2379" s="80"/>
    </row>
    <row r="2380" ht="12.75" customHeight="1">
      <c r="A2380" s="89" t="s">
        <v>1646</v>
      </c>
      <c r="B2380" s="90" t="s">
        <v>3449</v>
      </c>
      <c r="D2380" s="90"/>
      <c r="E2380" s="90"/>
      <c r="F2380" s="90"/>
      <c r="G2380" s="90"/>
      <c r="I2380" s="79"/>
      <c r="J2380" s="80"/>
      <c r="K2380" s="80"/>
    </row>
    <row r="2381" ht="12.75" customHeight="1">
      <c r="I2381" s="79"/>
      <c r="J2381" s="80"/>
      <c r="K2381" s="80"/>
    </row>
    <row r="2382" ht="12.75" customHeight="1">
      <c r="A2382" s="89" t="s">
        <v>1648</v>
      </c>
      <c r="B2382" s="90" t="s">
        <v>3450</v>
      </c>
      <c r="D2382" s="90"/>
      <c r="E2382" s="90"/>
      <c r="F2382" s="90"/>
      <c r="G2382" s="90"/>
      <c r="I2382" s="79"/>
      <c r="J2382" s="80"/>
      <c r="K2382" s="80"/>
    </row>
    <row r="2383" ht="12.75" customHeight="1">
      <c r="I2383" s="79"/>
      <c r="J2383" s="80"/>
      <c r="K2383" s="80"/>
    </row>
    <row r="2384" ht="12.75" customHeight="1">
      <c r="A2384" s="89" t="s">
        <v>1650</v>
      </c>
      <c r="B2384" s="90" t="s">
        <v>3451</v>
      </c>
      <c r="D2384" s="90"/>
      <c r="E2384" s="90"/>
      <c r="F2384" s="90"/>
      <c r="G2384" s="90"/>
      <c r="I2384" s="79"/>
      <c r="J2384" s="80"/>
      <c r="K2384" s="80"/>
    </row>
    <row r="2385" ht="12.75" customHeight="1">
      <c r="I2385" s="79"/>
      <c r="J2385" s="80"/>
      <c r="K2385" s="80"/>
    </row>
    <row r="2386" ht="12.75" customHeight="1">
      <c r="A2386" s="89" t="s">
        <v>1652</v>
      </c>
      <c r="B2386" s="90" t="s">
        <v>4499</v>
      </c>
      <c r="D2386" s="90"/>
      <c r="E2386" s="90"/>
      <c r="F2386" s="90"/>
      <c r="G2386" s="90"/>
      <c r="H2386" s="89" t="s">
        <v>40</v>
      </c>
      <c r="I2386" s="91">
        <v>2000.0</v>
      </c>
      <c r="J2386" s="92">
        <v>2.5</v>
      </c>
      <c r="K2386" s="92">
        <v>5000.0</v>
      </c>
    </row>
    <row r="2387" ht="12.75" customHeight="1">
      <c r="I2387" s="79"/>
      <c r="J2387" s="80"/>
      <c r="K2387" s="80"/>
    </row>
    <row r="2388" ht="12.75" customHeight="1">
      <c r="A2388" s="89" t="s">
        <v>1654</v>
      </c>
      <c r="B2388" s="90" t="s">
        <v>3454</v>
      </c>
      <c r="D2388" s="90"/>
      <c r="E2388" s="90"/>
      <c r="F2388" s="90"/>
      <c r="G2388" s="90"/>
      <c r="I2388" s="79"/>
      <c r="J2388" s="80"/>
      <c r="K2388" s="80"/>
    </row>
    <row r="2389" ht="12.75" customHeight="1">
      <c r="I2389" s="79"/>
      <c r="J2389" s="80"/>
      <c r="K2389" s="80"/>
    </row>
    <row r="2390" ht="12.75" customHeight="1">
      <c r="A2390" s="89" t="s">
        <v>1656</v>
      </c>
      <c r="B2390" s="90" t="s">
        <v>4500</v>
      </c>
      <c r="D2390" s="90"/>
      <c r="E2390" s="90"/>
      <c r="F2390" s="90"/>
      <c r="G2390" s="90"/>
      <c r="H2390" s="89" t="s">
        <v>933</v>
      </c>
      <c r="I2390" s="91">
        <v>70.0</v>
      </c>
      <c r="J2390" s="92">
        <v>10.76</v>
      </c>
      <c r="K2390" s="92">
        <v>753.2</v>
      </c>
    </row>
    <row r="2391" ht="12.75" customHeight="1">
      <c r="I2391" s="79"/>
      <c r="J2391" s="80"/>
      <c r="K2391" s="80"/>
    </row>
    <row r="2392" ht="12.75" customHeight="1">
      <c r="A2392" s="89" t="s">
        <v>1658</v>
      </c>
      <c r="B2392" s="90" t="s">
        <v>4501</v>
      </c>
      <c r="D2392" s="90"/>
      <c r="E2392" s="90"/>
      <c r="F2392" s="90"/>
      <c r="G2392" s="90"/>
      <c r="H2392" s="89" t="s">
        <v>933</v>
      </c>
      <c r="I2392" s="91">
        <v>177.0</v>
      </c>
      <c r="J2392" s="92">
        <v>10.76</v>
      </c>
      <c r="K2392" s="92">
        <v>1904.52</v>
      </c>
    </row>
    <row r="2393" ht="12.75" customHeight="1">
      <c r="I2393" s="79"/>
      <c r="J2393" s="80"/>
      <c r="K2393" s="80"/>
    </row>
    <row r="2394" ht="12.75" customHeight="1">
      <c r="A2394" s="89" t="s">
        <v>1660</v>
      </c>
      <c r="B2394" s="90" t="s">
        <v>4502</v>
      </c>
      <c r="D2394" s="90"/>
      <c r="E2394" s="90"/>
      <c r="F2394" s="90"/>
      <c r="G2394" s="90"/>
      <c r="H2394" s="89" t="s">
        <v>933</v>
      </c>
      <c r="I2394" s="91">
        <v>134.0</v>
      </c>
      <c r="J2394" s="92">
        <v>10.76</v>
      </c>
      <c r="K2394" s="92">
        <v>1441.84</v>
      </c>
    </row>
    <row r="2395" ht="12.75" customHeight="1">
      <c r="I2395" s="79"/>
      <c r="J2395" s="80"/>
      <c r="K2395" s="80"/>
    </row>
    <row r="2396" ht="12.75" customHeight="1">
      <c r="A2396" s="89" t="s">
        <v>1662</v>
      </c>
      <c r="B2396" s="90" t="s">
        <v>4503</v>
      </c>
      <c r="D2396" s="90"/>
      <c r="E2396" s="90"/>
      <c r="F2396" s="90"/>
      <c r="G2396" s="90"/>
      <c r="I2396" s="79"/>
      <c r="J2396" s="80"/>
      <c r="K2396" s="80"/>
    </row>
    <row r="2397" ht="12.75" customHeight="1">
      <c r="I2397" s="79"/>
      <c r="J2397" s="80"/>
      <c r="K2397" s="80"/>
    </row>
    <row r="2398" ht="12.75" customHeight="1">
      <c r="A2398" s="89" t="s">
        <v>1664</v>
      </c>
      <c r="B2398" s="90" t="s">
        <v>4504</v>
      </c>
      <c r="D2398" s="90"/>
      <c r="E2398" s="90"/>
      <c r="F2398" s="90"/>
      <c r="G2398" s="90"/>
      <c r="I2398" s="79"/>
      <c r="J2398" s="80"/>
      <c r="K2398" s="80"/>
    </row>
    <row r="2399" ht="12.75" customHeight="1">
      <c r="I2399" s="79"/>
      <c r="J2399" s="80"/>
      <c r="K2399" s="80"/>
    </row>
    <row r="2400" ht="12.75" customHeight="1">
      <c r="A2400" s="89" t="s">
        <v>1666</v>
      </c>
      <c r="B2400" s="90" t="s">
        <v>3464</v>
      </c>
      <c r="D2400" s="90"/>
      <c r="E2400" s="90"/>
      <c r="F2400" s="90"/>
      <c r="G2400" s="90"/>
      <c r="H2400" s="89" t="s">
        <v>933</v>
      </c>
      <c r="I2400" s="91">
        <v>72.5</v>
      </c>
      <c r="J2400" s="92">
        <v>57.17</v>
      </c>
      <c r="K2400" s="92">
        <v>4144.83</v>
      </c>
    </row>
    <row r="2401" ht="12.75" customHeight="1">
      <c r="I2401" s="79"/>
      <c r="J2401" s="80"/>
      <c r="K2401" s="80"/>
    </row>
    <row r="2402" ht="12.75" customHeight="1">
      <c r="A2402" s="89" t="s">
        <v>1668</v>
      </c>
      <c r="B2402" s="90" t="s">
        <v>4505</v>
      </c>
      <c r="D2402" s="90"/>
      <c r="E2402" s="90"/>
      <c r="F2402" s="90"/>
      <c r="G2402" s="90"/>
      <c r="H2402" s="89" t="s">
        <v>933</v>
      </c>
      <c r="I2402" s="91">
        <v>177.0</v>
      </c>
      <c r="J2402" s="92">
        <v>57.17</v>
      </c>
      <c r="K2402" s="92">
        <v>10119.09</v>
      </c>
    </row>
    <row r="2403" ht="12.75" customHeight="1">
      <c r="I2403" s="79"/>
      <c r="J2403" s="80"/>
      <c r="K2403" s="80"/>
    </row>
    <row r="2404" ht="12.75" customHeight="1">
      <c r="A2404" s="89" t="s">
        <v>1670</v>
      </c>
      <c r="B2404" s="90" t="s">
        <v>3468</v>
      </c>
      <c r="D2404" s="90"/>
      <c r="E2404" s="90"/>
      <c r="F2404" s="90"/>
      <c r="G2404" s="90"/>
      <c r="H2404" s="89" t="s">
        <v>933</v>
      </c>
      <c r="I2404" s="91">
        <v>134.0</v>
      </c>
      <c r="J2404" s="92">
        <v>57.17</v>
      </c>
      <c r="K2404" s="92">
        <v>7660.78</v>
      </c>
    </row>
    <row r="2405" ht="12.75" customHeight="1">
      <c r="I2405" s="79"/>
      <c r="J2405" s="80"/>
      <c r="K2405" s="80"/>
    </row>
    <row r="2406" ht="12.75" customHeight="1">
      <c r="A2406" s="89" t="s">
        <v>1672</v>
      </c>
      <c r="B2406" s="90" t="s">
        <v>4506</v>
      </c>
      <c r="D2406" s="90"/>
      <c r="E2406" s="90"/>
      <c r="F2406" s="90"/>
      <c r="G2406" s="90"/>
      <c r="H2406" s="89" t="s">
        <v>933</v>
      </c>
      <c r="I2406" s="91">
        <v>70.0</v>
      </c>
      <c r="J2406" s="92">
        <v>57.17</v>
      </c>
      <c r="K2406" s="92">
        <v>4001.9</v>
      </c>
    </row>
    <row r="2407" ht="12.75" customHeight="1">
      <c r="I2407" s="79"/>
      <c r="J2407" s="80"/>
      <c r="K2407" s="80"/>
    </row>
    <row r="2408" ht="12.75" customHeight="1">
      <c r="A2408" s="89" t="s">
        <v>1648</v>
      </c>
      <c r="B2408" s="90" t="s">
        <v>3450</v>
      </c>
      <c r="D2408" s="90"/>
      <c r="E2408" s="90"/>
      <c r="F2408" s="90"/>
      <c r="G2408" s="90"/>
      <c r="I2408" s="79"/>
      <c r="J2408" s="80"/>
      <c r="K2408" s="92">
        <v>35026.16</v>
      </c>
    </row>
    <row r="2409" ht="12.75" customHeight="1">
      <c r="I2409" s="79"/>
      <c r="J2409" s="80"/>
      <c r="K2409" s="80"/>
    </row>
    <row r="2410" ht="12.75" customHeight="1">
      <c r="I2410" s="79"/>
      <c r="J2410" s="80"/>
      <c r="K2410" s="80"/>
    </row>
    <row r="2411" ht="12.75" customHeight="1">
      <c r="A2411" s="89" t="s">
        <v>1674</v>
      </c>
      <c r="B2411" s="90" t="s">
        <v>3471</v>
      </c>
      <c r="D2411" s="90"/>
      <c r="E2411" s="90"/>
      <c r="F2411" s="90"/>
      <c r="G2411" s="90"/>
      <c r="I2411" s="79"/>
      <c r="J2411" s="80"/>
      <c r="K2411" s="80"/>
    </row>
    <row r="2412" ht="12.75" customHeight="1">
      <c r="I2412" s="79"/>
      <c r="J2412" s="80"/>
      <c r="K2412" s="80"/>
    </row>
    <row r="2413" ht="12.75" customHeight="1">
      <c r="A2413" s="89" t="s">
        <v>1676</v>
      </c>
      <c r="B2413" s="90" t="s">
        <v>4507</v>
      </c>
      <c r="D2413" s="90"/>
      <c r="E2413" s="90"/>
      <c r="F2413" s="90"/>
      <c r="G2413" s="90"/>
      <c r="I2413" s="79"/>
      <c r="J2413" s="80"/>
      <c r="K2413" s="80"/>
    </row>
    <row r="2414" ht="12.75" customHeight="1">
      <c r="I2414" s="79"/>
      <c r="J2414" s="80"/>
      <c r="K2414" s="80"/>
    </row>
    <row r="2415" ht="12.75" customHeight="1">
      <c r="A2415" s="89" t="s">
        <v>1678</v>
      </c>
      <c r="B2415" s="90" t="s">
        <v>4508</v>
      </c>
      <c r="D2415" s="90"/>
      <c r="E2415" s="90"/>
      <c r="F2415" s="90"/>
      <c r="G2415" s="90"/>
      <c r="I2415" s="79"/>
      <c r="J2415" s="80"/>
      <c r="K2415" s="80"/>
    </row>
    <row r="2416" ht="12.75" customHeight="1">
      <c r="I2416" s="79"/>
      <c r="J2416" s="80"/>
      <c r="K2416" s="80"/>
    </row>
    <row r="2417" ht="12.75" customHeight="1">
      <c r="A2417" s="89" t="s">
        <v>1680</v>
      </c>
      <c r="B2417" s="90" t="s">
        <v>4509</v>
      </c>
      <c r="D2417" s="90"/>
      <c r="E2417" s="90"/>
      <c r="F2417" s="90"/>
      <c r="G2417" s="90"/>
      <c r="H2417" s="89" t="s">
        <v>75</v>
      </c>
      <c r="I2417" s="91">
        <v>3.0</v>
      </c>
      <c r="J2417" s="92">
        <v>70.12</v>
      </c>
      <c r="K2417" s="92">
        <v>210.36</v>
      </c>
    </row>
    <row r="2418" ht="12.75" customHeight="1">
      <c r="I2418" s="79"/>
      <c r="J2418" s="80"/>
      <c r="K2418" s="80"/>
    </row>
    <row r="2419" ht="12.75" customHeight="1">
      <c r="A2419" s="89" t="s">
        <v>1682</v>
      </c>
      <c r="B2419" s="90" t="s">
        <v>4510</v>
      </c>
      <c r="D2419" s="90"/>
      <c r="E2419" s="90"/>
      <c r="F2419" s="90"/>
      <c r="G2419" s="90"/>
      <c r="H2419" s="89" t="s">
        <v>75</v>
      </c>
      <c r="I2419" s="91">
        <v>3.0</v>
      </c>
      <c r="J2419" s="92">
        <v>70.12</v>
      </c>
      <c r="K2419" s="92">
        <v>210.36</v>
      </c>
    </row>
    <row r="2420" ht="12.75" customHeight="1">
      <c r="I2420" s="79"/>
      <c r="J2420" s="80"/>
      <c r="K2420" s="80"/>
    </row>
    <row r="2421" ht="12.75" customHeight="1">
      <c r="A2421" s="89" t="s">
        <v>1684</v>
      </c>
      <c r="B2421" s="90" t="s">
        <v>4511</v>
      </c>
      <c r="D2421" s="90"/>
      <c r="E2421" s="90"/>
      <c r="F2421" s="90"/>
      <c r="G2421" s="90"/>
      <c r="H2421" s="89" t="s">
        <v>75</v>
      </c>
      <c r="I2421" s="91">
        <v>5.0</v>
      </c>
      <c r="J2421" s="92">
        <v>197.23</v>
      </c>
      <c r="K2421" s="92">
        <v>986.15</v>
      </c>
    </row>
    <row r="2422" ht="12.75" customHeight="1">
      <c r="I2422" s="79"/>
      <c r="J2422" s="80"/>
      <c r="K2422" s="80"/>
    </row>
    <row r="2423" ht="12.75" customHeight="1">
      <c r="A2423" s="89" t="s">
        <v>1686</v>
      </c>
      <c r="B2423" s="90" t="s">
        <v>4512</v>
      </c>
      <c r="D2423" s="90"/>
      <c r="E2423" s="90"/>
      <c r="F2423" s="90"/>
      <c r="G2423" s="90"/>
      <c r="H2423" s="89" t="s">
        <v>75</v>
      </c>
      <c r="I2423" s="91">
        <v>6.0</v>
      </c>
      <c r="J2423" s="92">
        <v>161.92</v>
      </c>
      <c r="K2423" s="92">
        <v>971.52</v>
      </c>
    </row>
    <row r="2424" ht="12.75" customHeight="1">
      <c r="I2424" s="79"/>
      <c r="J2424" s="80"/>
      <c r="K2424" s="80"/>
    </row>
    <row r="2425" ht="12.75" customHeight="1">
      <c r="A2425" s="89" t="s">
        <v>1688</v>
      </c>
      <c r="B2425" s="90" t="s">
        <v>4513</v>
      </c>
      <c r="D2425" s="90"/>
      <c r="E2425" s="90"/>
      <c r="F2425" s="90"/>
      <c r="G2425" s="90"/>
      <c r="H2425" s="89" t="s">
        <v>75</v>
      </c>
      <c r="I2425" s="91">
        <v>6.0</v>
      </c>
      <c r="J2425" s="92">
        <v>125.24</v>
      </c>
      <c r="K2425" s="92">
        <v>751.44</v>
      </c>
    </row>
    <row r="2426" ht="12.75" customHeight="1">
      <c r="I2426" s="79"/>
      <c r="J2426" s="80"/>
      <c r="K2426" s="80"/>
    </row>
    <row r="2427" ht="12.75" customHeight="1">
      <c r="A2427" s="89" t="s">
        <v>1690</v>
      </c>
      <c r="B2427" s="90" t="s">
        <v>4514</v>
      </c>
      <c r="D2427" s="90"/>
      <c r="E2427" s="90"/>
      <c r="F2427" s="90"/>
      <c r="G2427" s="90"/>
      <c r="H2427" s="89" t="s">
        <v>75</v>
      </c>
      <c r="I2427" s="91">
        <v>2.0</v>
      </c>
      <c r="J2427" s="92">
        <v>73.57</v>
      </c>
      <c r="K2427" s="92">
        <v>147.14</v>
      </c>
    </row>
    <row r="2428" ht="12.75" customHeight="1">
      <c r="I2428" s="79"/>
      <c r="J2428" s="80"/>
      <c r="K2428" s="80"/>
    </row>
    <row r="2429" ht="12.75" customHeight="1">
      <c r="A2429" s="89" t="s">
        <v>1692</v>
      </c>
      <c r="B2429" s="90" t="s">
        <v>4515</v>
      </c>
      <c r="D2429" s="90"/>
      <c r="E2429" s="90"/>
      <c r="F2429" s="90"/>
      <c r="G2429" s="90"/>
      <c r="H2429" s="89" t="s">
        <v>75</v>
      </c>
      <c r="I2429" s="91">
        <v>4.0</v>
      </c>
      <c r="J2429" s="92">
        <v>295.6</v>
      </c>
      <c r="K2429" s="92">
        <v>1182.4</v>
      </c>
    </row>
    <row r="2430" ht="12.75" customHeight="1">
      <c r="I2430" s="79"/>
      <c r="J2430" s="80"/>
      <c r="K2430" s="80"/>
    </row>
    <row r="2431" ht="12.75" customHeight="1">
      <c r="A2431" s="89" t="s">
        <v>1694</v>
      </c>
      <c r="B2431" s="90" t="s">
        <v>4516</v>
      </c>
      <c r="D2431" s="90"/>
      <c r="E2431" s="90"/>
      <c r="F2431" s="90"/>
      <c r="G2431" s="90"/>
      <c r="H2431" s="89" t="s">
        <v>75</v>
      </c>
      <c r="I2431" s="91">
        <v>5.0</v>
      </c>
      <c r="J2431" s="92">
        <v>243.93</v>
      </c>
      <c r="K2431" s="92">
        <v>1219.65</v>
      </c>
    </row>
    <row r="2432" ht="12.75" customHeight="1">
      <c r="I2432" s="79"/>
      <c r="J2432" s="80"/>
      <c r="K2432" s="80"/>
    </row>
    <row r="2433" ht="12.75" customHeight="1">
      <c r="A2433" s="89" t="s">
        <v>1696</v>
      </c>
      <c r="B2433" s="90" t="s">
        <v>4517</v>
      </c>
      <c r="D2433" s="90"/>
      <c r="E2433" s="90"/>
      <c r="F2433" s="90"/>
      <c r="G2433" s="90"/>
      <c r="H2433" s="89" t="s">
        <v>75</v>
      </c>
      <c r="I2433" s="91">
        <v>6.0</v>
      </c>
      <c r="J2433" s="92">
        <v>350.72</v>
      </c>
      <c r="K2433" s="92">
        <v>2104.32</v>
      </c>
    </row>
    <row r="2434" ht="12.75" customHeight="1">
      <c r="I2434" s="79"/>
      <c r="J2434" s="80"/>
      <c r="K2434" s="80"/>
    </row>
    <row r="2435" ht="12.75" customHeight="1">
      <c r="A2435" s="89" t="s">
        <v>1698</v>
      </c>
      <c r="B2435" s="90" t="s">
        <v>4518</v>
      </c>
      <c r="D2435" s="90"/>
      <c r="E2435" s="90"/>
      <c r="F2435" s="90"/>
      <c r="G2435" s="90"/>
      <c r="H2435" s="89" t="s">
        <v>75</v>
      </c>
      <c r="I2435" s="91">
        <v>12.0</v>
      </c>
      <c r="J2435" s="92">
        <v>88.9</v>
      </c>
      <c r="K2435" s="92">
        <v>1066.8</v>
      </c>
    </row>
    <row r="2436" ht="12.75" customHeight="1">
      <c r="I2436" s="79"/>
      <c r="J2436" s="80"/>
      <c r="K2436" s="80"/>
    </row>
    <row r="2437" ht="12.75" customHeight="1">
      <c r="A2437" s="89" t="s">
        <v>1700</v>
      </c>
      <c r="B2437" s="90" t="s">
        <v>4519</v>
      </c>
      <c r="D2437" s="90"/>
      <c r="E2437" s="90"/>
      <c r="F2437" s="90"/>
      <c r="G2437" s="90"/>
      <c r="I2437" s="79"/>
      <c r="J2437" s="80"/>
      <c r="K2437" s="80"/>
    </row>
    <row r="2438" ht="12.75" customHeight="1">
      <c r="I2438" s="79"/>
      <c r="J2438" s="80"/>
      <c r="K2438" s="80"/>
    </row>
    <row r="2439" ht="12.75" customHeight="1">
      <c r="A2439" s="89" t="s">
        <v>1702</v>
      </c>
      <c r="B2439" s="90" t="s">
        <v>4520</v>
      </c>
      <c r="D2439" s="90"/>
      <c r="E2439" s="90"/>
      <c r="F2439" s="90"/>
      <c r="G2439" s="90"/>
      <c r="I2439" s="79"/>
      <c r="J2439" s="80"/>
      <c r="K2439" s="80"/>
    </row>
    <row r="2440" ht="12.75" customHeight="1">
      <c r="I2440" s="79"/>
      <c r="J2440" s="80"/>
      <c r="K2440" s="80"/>
    </row>
    <row r="2441" ht="12.75" customHeight="1">
      <c r="A2441" s="89" t="s">
        <v>1704</v>
      </c>
      <c r="B2441" s="90" t="s">
        <v>4521</v>
      </c>
      <c r="D2441" s="90"/>
      <c r="E2441" s="90"/>
      <c r="F2441" s="90"/>
      <c r="G2441" s="90"/>
      <c r="H2441" s="89" t="s">
        <v>75</v>
      </c>
      <c r="I2441" s="91">
        <v>9.0</v>
      </c>
      <c r="J2441" s="92">
        <v>21.95</v>
      </c>
      <c r="K2441" s="92">
        <v>197.55</v>
      </c>
    </row>
    <row r="2442" ht="12.75" customHeight="1">
      <c r="I2442" s="79"/>
      <c r="J2442" s="80"/>
      <c r="K2442" s="80"/>
    </row>
    <row r="2443" ht="12.75" customHeight="1">
      <c r="A2443" s="89" t="s">
        <v>1706</v>
      </c>
      <c r="B2443" s="90" t="s">
        <v>4522</v>
      </c>
      <c r="D2443" s="90"/>
      <c r="E2443" s="90"/>
      <c r="F2443" s="90"/>
      <c r="G2443" s="90"/>
      <c r="H2443" s="89" t="s">
        <v>75</v>
      </c>
      <c r="I2443" s="91">
        <v>8.0</v>
      </c>
      <c r="J2443" s="92">
        <v>44.69</v>
      </c>
      <c r="K2443" s="92">
        <v>357.52</v>
      </c>
    </row>
    <row r="2444" ht="12.75" customHeight="1">
      <c r="I2444" s="79"/>
      <c r="J2444" s="80"/>
      <c r="K2444" s="80"/>
    </row>
    <row r="2445" ht="12.75" customHeight="1">
      <c r="A2445" s="89" t="s">
        <v>1708</v>
      </c>
      <c r="B2445" s="90" t="s">
        <v>4523</v>
      </c>
      <c r="D2445" s="90"/>
      <c r="E2445" s="90"/>
      <c r="F2445" s="90"/>
      <c r="G2445" s="90"/>
      <c r="H2445" s="89" t="s">
        <v>75</v>
      </c>
      <c r="I2445" s="91">
        <v>42.0</v>
      </c>
      <c r="J2445" s="92">
        <v>8.58</v>
      </c>
      <c r="K2445" s="92">
        <v>360.36</v>
      </c>
    </row>
    <row r="2446" ht="12.75" customHeight="1">
      <c r="I2446" s="79"/>
      <c r="J2446" s="80"/>
      <c r="K2446" s="80"/>
    </row>
    <row r="2447" ht="12.75" customHeight="1">
      <c r="A2447" s="89" t="s">
        <v>1710</v>
      </c>
      <c r="B2447" s="90" t="s">
        <v>4524</v>
      </c>
      <c r="D2447" s="90"/>
      <c r="E2447" s="90"/>
      <c r="F2447" s="90"/>
      <c r="G2447" s="90"/>
      <c r="H2447" s="89" t="s">
        <v>75</v>
      </c>
      <c r="I2447" s="91">
        <v>76.0</v>
      </c>
      <c r="J2447" s="92">
        <v>25.05</v>
      </c>
      <c r="K2447" s="92">
        <v>1903.8</v>
      </c>
    </row>
    <row r="2448" ht="12.75" customHeight="1">
      <c r="I2448" s="79"/>
      <c r="J2448" s="80"/>
      <c r="K2448" s="80"/>
    </row>
    <row r="2449" ht="12.75" customHeight="1">
      <c r="A2449" s="89" t="s">
        <v>1712</v>
      </c>
      <c r="B2449" s="90" t="s">
        <v>4525</v>
      </c>
      <c r="D2449" s="90"/>
      <c r="E2449" s="90"/>
      <c r="F2449" s="90"/>
      <c r="G2449" s="90"/>
      <c r="H2449" s="89" t="s">
        <v>75</v>
      </c>
      <c r="I2449" s="91">
        <v>62.0</v>
      </c>
      <c r="J2449" s="92">
        <v>32.63</v>
      </c>
      <c r="K2449" s="92">
        <v>2023.06</v>
      </c>
    </row>
    <row r="2450" ht="12.75" customHeight="1">
      <c r="I2450" s="79"/>
      <c r="J2450" s="80"/>
      <c r="K2450" s="80"/>
    </row>
    <row r="2451" ht="12.75" customHeight="1">
      <c r="A2451" s="89" t="s">
        <v>1714</v>
      </c>
      <c r="B2451" s="90" t="s">
        <v>4526</v>
      </c>
      <c r="D2451" s="90"/>
      <c r="E2451" s="90"/>
      <c r="F2451" s="90"/>
      <c r="G2451" s="90"/>
      <c r="H2451" s="89" t="s">
        <v>75</v>
      </c>
      <c r="I2451" s="91">
        <v>20.0</v>
      </c>
      <c r="J2451" s="92">
        <v>14.65</v>
      </c>
      <c r="K2451" s="92">
        <v>293.0</v>
      </c>
    </row>
    <row r="2452" ht="12.75" customHeight="1">
      <c r="I2452" s="79"/>
      <c r="J2452" s="80"/>
      <c r="K2452" s="80"/>
    </row>
    <row r="2453" ht="12.75" customHeight="1">
      <c r="A2453" s="89" t="s">
        <v>1716</v>
      </c>
      <c r="B2453" s="90" t="s">
        <v>4527</v>
      </c>
      <c r="D2453" s="90"/>
      <c r="E2453" s="90"/>
      <c r="F2453" s="90"/>
      <c r="G2453" s="90"/>
      <c r="H2453" s="89" t="s">
        <v>75</v>
      </c>
      <c r="I2453" s="91">
        <v>118.0</v>
      </c>
      <c r="J2453" s="92">
        <v>7.55</v>
      </c>
      <c r="K2453" s="92">
        <v>890.9</v>
      </c>
    </row>
    <row r="2454" ht="12.75" customHeight="1">
      <c r="I2454" s="79"/>
      <c r="J2454" s="80"/>
      <c r="K2454" s="80"/>
    </row>
    <row r="2455" ht="12.75" customHeight="1">
      <c r="A2455" s="89" t="s">
        <v>1718</v>
      </c>
      <c r="B2455" s="90" t="s">
        <v>4528</v>
      </c>
      <c r="D2455" s="90"/>
      <c r="E2455" s="90"/>
      <c r="F2455" s="90"/>
      <c r="G2455" s="90"/>
      <c r="H2455" s="89" t="s">
        <v>75</v>
      </c>
      <c r="I2455" s="91">
        <v>14.0</v>
      </c>
      <c r="J2455" s="92">
        <v>14.38</v>
      </c>
      <c r="K2455" s="92">
        <v>201.32</v>
      </c>
    </row>
    <row r="2456" ht="12.75" customHeight="1">
      <c r="I2456" s="79"/>
      <c r="J2456" s="80"/>
      <c r="K2456" s="80"/>
    </row>
    <row r="2457" ht="12.75" customHeight="1">
      <c r="A2457" s="89" t="s">
        <v>1720</v>
      </c>
      <c r="B2457" s="90" t="s">
        <v>4529</v>
      </c>
      <c r="D2457" s="90"/>
      <c r="E2457" s="90"/>
      <c r="F2457" s="90"/>
      <c r="G2457" s="90"/>
      <c r="H2457" s="89" t="s">
        <v>75</v>
      </c>
      <c r="I2457" s="91">
        <v>17.0</v>
      </c>
      <c r="J2457" s="92">
        <v>10.15</v>
      </c>
      <c r="K2457" s="92">
        <v>172.55</v>
      </c>
    </row>
    <row r="2458" ht="12.75" customHeight="1">
      <c r="I2458" s="79"/>
      <c r="J2458" s="80"/>
      <c r="K2458" s="80"/>
    </row>
    <row r="2459" ht="12.75" customHeight="1">
      <c r="A2459" s="89" t="s">
        <v>1722</v>
      </c>
      <c r="B2459" s="90" t="s">
        <v>4530</v>
      </c>
      <c r="D2459" s="90"/>
      <c r="E2459" s="90"/>
      <c r="F2459" s="90"/>
      <c r="G2459" s="90"/>
      <c r="H2459" s="89" t="s">
        <v>75</v>
      </c>
      <c r="I2459" s="91">
        <v>40.0</v>
      </c>
      <c r="J2459" s="92">
        <v>8.66</v>
      </c>
      <c r="K2459" s="92">
        <v>346.4</v>
      </c>
    </row>
    <row r="2460" ht="12.75" customHeight="1">
      <c r="I2460" s="79"/>
      <c r="J2460" s="80"/>
      <c r="K2460" s="80"/>
    </row>
    <row r="2461" ht="12.75" customHeight="1">
      <c r="A2461" s="89" t="s">
        <v>1724</v>
      </c>
      <c r="B2461" s="90" t="s">
        <v>4531</v>
      </c>
      <c r="D2461" s="90"/>
      <c r="E2461" s="90"/>
      <c r="F2461" s="90"/>
      <c r="G2461" s="90"/>
      <c r="I2461" s="79"/>
      <c r="J2461" s="80"/>
      <c r="K2461" s="80"/>
    </row>
    <row r="2462" ht="12.75" customHeight="1">
      <c r="I2462" s="79"/>
      <c r="J2462" s="80"/>
      <c r="K2462" s="80"/>
    </row>
    <row r="2463" ht="12.75" customHeight="1">
      <c r="A2463" s="89" t="s">
        <v>1726</v>
      </c>
      <c r="B2463" s="90" t="s">
        <v>4532</v>
      </c>
      <c r="D2463" s="90"/>
      <c r="E2463" s="90"/>
      <c r="F2463" s="90"/>
      <c r="G2463" s="90"/>
      <c r="I2463" s="79"/>
      <c r="J2463" s="80"/>
      <c r="K2463" s="80"/>
    </row>
    <row r="2464" ht="12.75" customHeight="1">
      <c r="I2464" s="79"/>
      <c r="J2464" s="80"/>
      <c r="K2464" s="80"/>
    </row>
    <row r="2465" ht="12.75" customHeight="1">
      <c r="A2465" s="89" t="s">
        <v>1728</v>
      </c>
      <c r="B2465" s="90" t="s">
        <v>4533</v>
      </c>
      <c r="D2465" s="90"/>
      <c r="E2465" s="90"/>
      <c r="F2465" s="90"/>
      <c r="G2465" s="90"/>
      <c r="H2465" s="89" t="s">
        <v>75</v>
      </c>
      <c r="I2465" s="91">
        <v>5.0</v>
      </c>
      <c r="J2465" s="92">
        <v>116.69</v>
      </c>
      <c r="K2465" s="92">
        <v>583.45</v>
      </c>
    </row>
    <row r="2466" ht="12.75" customHeight="1">
      <c r="I2466" s="79"/>
      <c r="J2466" s="80"/>
      <c r="K2466" s="80"/>
    </row>
    <row r="2467" ht="12.75" customHeight="1">
      <c r="A2467" s="89" t="s">
        <v>1730</v>
      </c>
      <c r="B2467" s="90" t="s">
        <v>4534</v>
      </c>
      <c r="D2467" s="90"/>
      <c r="E2467" s="90"/>
      <c r="F2467" s="90"/>
      <c r="G2467" s="90"/>
      <c r="H2467" s="89" t="s">
        <v>75</v>
      </c>
      <c r="I2467" s="91">
        <v>3.0</v>
      </c>
      <c r="J2467" s="92">
        <v>111.46</v>
      </c>
      <c r="K2467" s="92">
        <v>334.38</v>
      </c>
    </row>
    <row r="2468" ht="12.75" customHeight="1">
      <c r="I2468" s="79"/>
      <c r="J2468" s="80"/>
      <c r="K2468" s="80"/>
    </row>
    <row r="2469" ht="12.75" customHeight="1">
      <c r="A2469" s="89" t="s">
        <v>1732</v>
      </c>
      <c r="B2469" s="90" t="s">
        <v>4535</v>
      </c>
      <c r="D2469" s="90"/>
      <c r="E2469" s="90"/>
      <c r="F2469" s="90"/>
      <c r="G2469" s="90"/>
      <c r="I2469" s="79"/>
      <c r="J2469" s="80"/>
      <c r="K2469" s="80"/>
    </row>
    <row r="2470" ht="12.75" customHeight="1">
      <c r="I2470" s="79"/>
      <c r="J2470" s="80"/>
      <c r="K2470" s="80"/>
    </row>
    <row r="2471" ht="12.75" customHeight="1">
      <c r="A2471" s="89" t="s">
        <v>1734</v>
      </c>
      <c r="B2471" s="90" t="s">
        <v>4536</v>
      </c>
      <c r="D2471" s="90"/>
      <c r="E2471" s="90"/>
      <c r="F2471" s="90"/>
      <c r="G2471" s="90"/>
      <c r="I2471" s="79"/>
      <c r="J2471" s="80"/>
      <c r="K2471" s="80"/>
    </row>
    <row r="2472" ht="12.75" customHeight="1">
      <c r="I2472" s="79"/>
      <c r="J2472" s="80"/>
      <c r="K2472" s="80"/>
    </row>
    <row r="2473" ht="12.75" customHeight="1">
      <c r="A2473" s="89" t="s">
        <v>1736</v>
      </c>
      <c r="B2473" s="90" t="s">
        <v>4537</v>
      </c>
      <c r="D2473" s="90"/>
      <c r="E2473" s="90"/>
      <c r="F2473" s="90"/>
      <c r="G2473" s="90"/>
      <c r="H2473" s="89" t="s">
        <v>75</v>
      </c>
      <c r="I2473" s="91">
        <v>170.0</v>
      </c>
      <c r="J2473" s="92">
        <v>3.28</v>
      </c>
      <c r="K2473" s="92">
        <v>557.6</v>
      </c>
    </row>
    <row r="2474" ht="12.75" customHeight="1">
      <c r="I2474" s="79"/>
      <c r="J2474" s="80"/>
      <c r="K2474" s="80"/>
    </row>
    <row r="2475" ht="12.75" customHeight="1">
      <c r="A2475" s="89" t="s">
        <v>1738</v>
      </c>
      <c r="B2475" s="90" t="s">
        <v>4538</v>
      </c>
      <c r="D2475" s="90"/>
      <c r="E2475" s="90"/>
      <c r="F2475" s="90"/>
      <c r="G2475" s="90"/>
      <c r="H2475" s="89" t="s">
        <v>75</v>
      </c>
      <c r="I2475" s="91">
        <v>250.0</v>
      </c>
      <c r="J2475" s="92">
        <v>3.69</v>
      </c>
      <c r="K2475" s="92">
        <v>922.5</v>
      </c>
    </row>
    <row r="2476" ht="12.75" customHeight="1">
      <c r="I2476" s="79"/>
      <c r="J2476" s="80"/>
      <c r="K2476" s="80"/>
    </row>
    <row r="2477" ht="12.75" customHeight="1">
      <c r="A2477" s="89" t="s">
        <v>1740</v>
      </c>
      <c r="B2477" s="90" t="s">
        <v>4539</v>
      </c>
      <c r="D2477" s="90"/>
      <c r="E2477" s="90"/>
      <c r="F2477" s="90"/>
      <c r="G2477" s="90"/>
      <c r="H2477" s="89" t="s">
        <v>75</v>
      </c>
      <c r="I2477" s="91">
        <v>250.0</v>
      </c>
      <c r="J2477" s="92">
        <v>6.37</v>
      </c>
      <c r="K2477" s="92">
        <v>1592.5</v>
      </c>
    </row>
    <row r="2478" ht="12.75" customHeight="1">
      <c r="I2478" s="79"/>
      <c r="J2478" s="80"/>
      <c r="K2478" s="80"/>
    </row>
    <row r="2479" ht="12.75" customHeight="1">
      <c r="A2479" s="89" t="s">
        <v>1742</v>
      </c>
      <c r="B2479" s="90" t="s">
        <v>4540</v>
      </c>
      <c r="D2479" s="90"/>
      <c r="E2479" s="90"/>
      <c r="F2479" s="90"/>
      <c r="G2479" s="90"/>
      <c r="H2479" s="89" t="s">
        <v>75</v>
      </c>
      <c r="I2479" s="91">
        <v>250.0</v>
      </c>
      <c r="J2479" s="92">
        <v>6.37</v>
      </c>
      <c r="K2479" s="92">
        <v>1592.5</v>
      </c>
    </row>
    <row r="2480" ht="12.75" customHeight="1">
      <c r="I2480" s="79"/>
      <c r="J2480" s="80"/>
      <c r="K2480" s="80"/>
    </row>
    <row r="2481" ht="12.75" customHeight="1">
      <c r="A2481" s="89" t="s">
        <v>1744</v>
      </c>
      <c r="B2481" s="90" t="s">
        <v>4541</v>
      </c>
      <c r="D2481" s="90"/>
      <c r="E2481" s="90"/>
      <c r="F2481" s="90"/>
      <c r="G2481" s="90"/>
      <c r="H2481" s="89" t="s">
        <v>75</v>
      </c>
      <c r="I2481" s="91">
        <v>250.0</v>
      </c>
      <c r="J2481" s="92">
        <v>5.13</v>
      </c>
      <c r="K2481" s="92">
        <v>1282.5</v>
      </c>
    </row>
    <row r="2482" ht="12.75" customHeight="1">
      <c r="I2482" s="79"/>
      <c r="J2482" s="80"/>
      <c r="K2482" s="80"/>
    </row>
    <row r="2483" ht="12.75" customHeight="1">
      <c r="A2483" s="89" t="s">
        <v>1746</v>
      </c>
      <c r="B2483" s="90" t="s">
        <v>4542</v>
      </c>
      <c r="D2483" s="90"/>
      <c r="E2483" s="90"/>
      <c r="F2483" s="90"/>
      <c r="G2483" s="90"/>
      <c r="H2483" s="89" t="s">
        <v>75</v>
      </c>
      <c r="I2483" s="91">
        <v>300.0</v>
      </c>
      <c r="J2483" s="92">
        <v>5.55</v>
      </c>
      <c r="K2483" s="92">
        <v>1665.0</v>
      </c>
    </row>
    <row r="2484" ht="12.75" customHeight="1">
      <c r="I2484" s="79"/>
      <c r="J2484" s="80"/>
      <c r="K2484" s="80"/>
    </row>
    <row r="2485" ht="12.75" customHeight="1">
      <c r="A2485" s="89" t="s">
        <v>1748</v>
      </c>
      <c r="B2485" s="90" t="s">
        <v>4543</v>
      </c>
      <c r="D2485" s="90"/>
      <c r="E2485" s="90"/>
      <c r="F2485" s="90"/>
      <c r="G2485" s="90"/>
      <c r="H2485" s="89" t="s">
        <v>75</v>
      </c>
      <c r="I2485" s="91">
        <v>150.0</v>
      </c>
      <c r="J2485" s="92">
        <v>3.07</v>
      </c>
      <c r="K2485" s="92">
        <v>460.5</v>
      </c>
    </row>
    <row r="2486" ht="12.75" customHeight="1">
      <c r="I2486" s="79"/>
      <c r="J2486" s="80"/>
      <c r="K2486" s="80"/>
    </row>
    <row r="2487" ht="12.75" customHeight="1">
      <c r="A2487" s="89" t="s">
        <v>1750</v>
      </c>
      <c r="B2487" s="90" t="s">
        <v>3536</v>
      </c>
      <c r="D2487" s="90"/>
      <c r="E2487" s="90"/>
      <c r="F2487" s="90"/>
      <c r="G2487" s="90"/>
      <c r="I2487" s="79"/>
      <c r="J2487" s="80"/>
      <c r="K2487" s="80"/>
    </row>
    <row r="2488" ht="12.75" customHeight="1">
      <c r="I2488" s="79"/>
      <c r="J2488" s="80"/>
      <c r="K2488" s="80"/>
    </row>
    <row r="2489" ht="12.75" customHeight="1">
      <c r="A2489" s="89" t="s">
        <v>1752</v>
      </c>
      <c r="B2489" s="90" t="s">
        <v>4544</v>
      </c>
      <c r="D2489" s="90"/>
      <c r="E2489" s="90"/>
      <c r="F2489" s="90"/>
      <c r="G2489" s="90"/>
      <c r="H2489" s="89" t="s">
        <v>40</v>
      </c>
      <c r="I2489" s="91">
        <v>725.0</v>
      </c>
      <c r="J2489" s="92">
        <v>4.52</v>
      </c>
      <c r="K2489" s="92">
        <v>3277.0</v>
      </c>
    </row>
    <row r="2490" ht="12.75" customHeight="1">
      <c r="I2490" s="79"/>
      <c r="J2490" s="80"/>
      <c r="K2490" s="80"/>
    </row>
    <row r="2491" ht="12.75" customHeight="1">
      <c r="B2491" s="90" t="s">
        <v>4545</v>
      </c>
      <c r="D2491" s="90"/>
      <c r="E2491" s="90"/>
      <c r="F2491" s="90"/>
      <c r="G2491" s="90"/>
      <c r="I2491" s="79"/>
      <c r="J2491" s="80"/>
      <c r="K2491" s="80"/>
    </row>
    <row r="2492" ht="12.75" customHeight="1">
      <c r="I2492" s="79"/>
      <c r="J2492" s="80"/>
      <c r="K2492" s="80"/>
    </row>
    <row r="2493" ht="12.75" customHeight="1">
      <c r="A2493" s="89" t="s">
        <v>1755</v>
      </c>
      <c r="B2493" s="90" t="s">
        <v>4546</v>
      </c>
      <c r="D2493" s="90"/>
      <c r="E2493" s="90"/>
      <c r="F2493" s="90"/>
      <c r="G2493" s="90"/>
      <c r="I2493" s="79"/>
      <c r="J2493" s="80"/>
      <c r="K2493" s="80"/>
    </row>
    <row r="2494" ht="12.75" customHeight="1">
      <c r="I2494" s="79"/>
      <c r="J2494" s="80"/>
      <c r="K2494" s="80"/>
    </row>
    <row r="2495" ht="12.75" customHeight="1">
      <c r="A2495" s="89" t="s">
        <v>1757</v>
      </c>
      <c r="B2495" s="90" t="s">
        <v>4547</v>
      </c>
      <c r="D2495" s="90"/>
      <c r="E2495" s="90"/>
      <c r="F2495" s="90"/>
      <c r="G2495" s="90"/>
      <c r="H2495" s="89" t="s">
        <v>40</v>
      </c>
      <c r="I2495" s="91">
        <v>886.0</v>
      </c>
      <c r="J2495" s="92">
        <v>4.07</v>
      </c>
      <c r="K2495" s="92">
        <v>3606.02</v>
      </c>
    </row>
    <row r="2496" ht="12.75" customHeight="1">
      <c r="I2496" s="79"/>
      <c r="J2496" s="80"/>
      <c r="K2496" s="80"/>
    </row>
    <row r="2497" ht="12.75" customHeight="1">
      <c r="B2497" s="90" t="s">
        <v>4548</v>
      </c>
      <c r="D2497" s="90"/>
      <c r="E2497" s="90"/>
      <c r="F2497" s="90"/>
      <c r="G2497" s="90"/>
      <c r="I2497" s="79"/>
      <c r="J2497" s="80"/>
      <c r="K2497" s="80"/>
    </row>
    <row r="2498" ht="12.75" customHeight="1">
      <c r="I2498" s="79"/>
      <c r="J2498" s="80"/>
      <c r="K2498" s="80"/>
    </row>
    <row r="2499" ht="12.75" customHeight="1">
      <c r="A2499" s="89" t="s">
        <v>1760</v>
      </c>
      <c r="B2499" s="90" t="s">
        <v>3542</v>
      </c>
      <c r="D2499" s="90"/>
      <c r="E2499" s="90"/>
      <c r="F2499" s="90"/>
      <c r="G2499" s="90"/>
      <c r="I2499" s="79"/>
      <c r="J2499" s="80"/>
      <c r="K2499" s="80"/>
    </row>
    <row r="2500" ht="12.75" customHeight="1">
      <c r="I2500" s="79"/>
      <c r="J2500" s="80"/>
      <c r="K2500" s="80"/>
    </row>
    <row r="2501" ht="12.75" customHeight="1">
      <c r="A2501" s="89" t="s">
        <v>1762</v>
      </c>
      <c r="B2501" s="90" t="s">
        <v>4549</v>
      </c>
      <c r="D2501" s="90"/>
      <c r="E2501" s="90"/>
      <c r="F2501" s="90"/>
      <c r="G2501" s="90"/>
      <c r="H2501" s="89" t="s">
        <v>75</v>
      </c>
      <c r="I2501" s="91">
        <v>52.0</v>
      </c>
      <c r="J2501" s="92">
        <v>26.99</v>
      </c>
      <c r="K2501" s="92">
        <v>1403.48</v>
      </c>
    </row>
    <row r="2502" ht="12.75" customHeight="1">
      <c r="I2502" s="79"/>
      <c r="J2502" s="80"/>
      <c r="K2502" s="80"/>
    </row>
    <row r="2503" ht="12.75" customHeight="1">
      <c r="A2503" s="89" t="s">
        <v>1764</v>
      </c>
      <c r="B2503" s="90" t="s">
        <v>3545</v>
      </c>
      <c r="D2503" s="90"/>
      <c r="E2503" s="90"/>
      <c r="F2503" s="90"/>
      <c r="G2503" s="90"/>
      <c r="I2503" s="79"/>
      <c r="J2503" s="80"/>
      <c r="K2503" s="80"/>
    </row>
    <row r="2504" ht="12.75" customHeight="1">
      <c r="I2504" s="79"/>
      <c r="J2504" s="80"/>
      <c r="K2504" s="80"/>
    </row>
    <row r="2505" ht="12.75" customHeight="1">
      <c r="A2505" s="89" t="s">
        <v>1766</v>
      </c>
      <c r="B2505" s="90" t="s">
        <v>4550</v>
      </c>
      <c r="D2505" s="90"/>
      <c r="E2505" s="90"/>
      <c r="F2505" s="90"/>
      <c r="G2505" s="90"/>
      <c r="H2505" s="89" t="s">
        <v>40</v>
      </c>
      <c r="I2505" s="91">
        <v>335.0</v>
      </c>
      <c r="J2505" s="92">
        <v>16.3</v>
      </c>
      <c r="K2505" s="92">
        <v>5460.5</v>
      </c>
    </row>
    <row r="2506" ht="12.75" customHeight="1">
      <c r="I2506" s="79"/>
      <c r="J2506" s="80"/>
      <c r="K2506" s="80"/>
    </row>
    <row r="2507" ht="12.75" customHeight="1">
      <c r="A2507" s="89" t="s">
        <v>1674</v>
      </c>
      <c r="B2507" s="90" t="s">
        <v>3471</v>
      </c>
      <c r="D2507" s="90"/>
      <c r="E2507" s="90"/>
      <c r="F2507" s="90"/>
      <c r="G2507" s="90"/>
      <c r="I2507" s="79"/>
      <c r="J2507" s="80"/>
      <c r="K2507" s="92">
        <v>38334.53</v>
      </c>
    </row>
    <row r="2508" ht="12.75" customHeight="1">
      <c r="I2508" s="79"/>
      <c r="J2508" s="80"/>
      <c r="K2508" s="80"/>
    </row>
    <row r="2509" ht="12.75" customHeight="1">
      <c r="A2509" s="89" t="s">
        <v>1646</v>
      </c>
      <c r="B2509" s="90" t="s">
        <v>3449</v>
      </c>
      <c r="D2509" s="90"/>
      <c r="E2509" s="90"/>
      <c r="F2509" s="90"/>
      <c r="G2509" s="90"/>
      <c r="I2509" s="79"/>
      <c r="J2509" s="80"/>
      <c r="K2509" s="92">
        <v>73360.69</v>
      </c>
    </row>
    <row r="2510" ht="12.75" customHeight="1">
      <c r="I2510" s="79"/>
      <c r="J2510" s="80"/>
      <c r="K2510" s="80"/>
    </row>
    <row r="2511" ht="12.75" customHeight="1">
      <c r="I2511" s="79"/>
      <c r="J2511" s="80"/>
      <c r="K2511" s="80"/>
    </row>
    <row r="2512" ht="12.75" customHeight="1">
      <c r="A2512" s="89" t="s">
        <v>1768</v>
      </c>
      <c r="B2512" s="90" t="s">
        <v>3548</v>
      </c>
      <c r="D2512" s="90"/>
      <c r="E2512" s="90"/>
      <c r="F2512" s="90"/>
      <c r="G2512" s="90"/>
      <c r="I2512" s="79"/>
      <c r="J2512" s="80"/>
      <c r="K2512" s="80"/>
    </row>
    <row r="2513" ht="12.75" customHeight="1">
      <c r="I2513" s="79"/>
      <c r="J2513" s="80"/>
      <c r="K2513" s="80"/>
    </row>
    <row r="2514" ht="12.75" customHeight="1">
      <c r="A2514" s="89" t="s">
        <v>1770</v>
      </c>
      <c r="B2514" s="90" t="s">
        <v>4551</v>
      </c>
      <c r="D2514" s="90"/>
      <c r="E2514" s="90"/>
      <c r="F2514" s="90"/>
      <c r="G2514" s="90"/>
      <c r="I2514" s="79"/>
      <c r="J2514" s="80"/>
      <c r="K2514" s="80"/>
    </row>
    <row r="2515" ht="12.75" customHeight="1">
      <c r="I2515" s="79"/>
      <c r="J2515" s="80"/>
      <c r="K2515" s="80"/>
    </row>
    <row r="2516" ht="12.75" customHeight="1">
      <c r="B2516" s="90" t="s">
        <v>4552</v>
      </c>
      <c r="D2516" s="90"/>
      <c r="E2516" s="90"/>
      <c r="F2516" s="90"/>
      <c r="G2516" s="90"/>
      <c r="I2516" s="79"/>
      <c r="J2516" s="80"/>
      <c r="K2516" s="80"/>
    </row>
    <row r="2517" ht="12.75" customHeight="1">
      <c r="I2517" s="79"/>
      <c r="J2517" s="80"/>
      <c r="K2517" s="80"/>
    </row>
    <row r="2518" ht="12.75" customHeight="1">
      <c r="A2518" s="89" t="s">
        <v>1773</v>
      </c>
      <c r="B2518" s="90" t="s">
        <v>3549</v>
      </c>
      <c r="D2518" s="90"/>
      <c r="E2518" s="90"/>
      <c r="F2518" s="90"/>
      <c r="G2518" s="90"/>
      <c r="I2518" s="79"/>
      <c r="J2518" s="80"/>
      <c r="K2518" s="80"/>
    </row>
    <row r="2519" ht="12.75" customHeight="1">
      <c r="I2519" s="79"/>
      <c r="J2519" s="80"/>
      <c r="K2519" s="80"/>
    </row>
    <row r="2520" ht="12.75" customHeight="1">
      <c r="A2520" s="89" t="s">
        <v>1775</v>
      </c>
      <c r="B2520" s="90" t="s">
        <v>4553</v>
      </c>
      <c r="D2520" s="90"/>
      <c r="E2520" s="90"/>
      <c r="F2520" s="90"/>
      <c r="G2520" s="90"/>
      <c r="H2520" s="89" t="s">
        <v>933</v>
      </c>
      <c r="I2520" s="91">
        <v>232.0</v>
      </c>
      <c r="J2520" s="92">
        <v>3.66</v>
      </c>
      <c r="K2520" s="92">
        <v>849.12</v>
      </c>
    </row>
    <row r="2521" ht="12.75" customHeight="1">
      <c r="I2521" s="79"/>
      <c r="J2521" s="80"/>
      <c r="K2521" s="80"/>
    </row>
    <row r="2522" ht="12.75" customHeight="1">
      <c r="A2522" s="89" t="s">
        <v>1777</v>
      </c>
      <c r="B2522" s="90" t="s">
        <v>4554</v>
      </c>
      <c r="D2522" s="90"/>
      <c r="E2522" s="90"/>
      <c r="F2522" s="90"/>
      <c r="G2522" s="90"/>
      <c r="H2522" s="89" t="s">
        <v>933</v>
      </c>
      <c r="I2522" s="91">
        <v>92.8</v>
      </c>
      <c r="J2522" s="92">
        <v>36.98</v>
      </c>
      <c r="K2522" s="92">
        <v>3431.74</v>
      </c>
    </row>
    <row r="2523" ht="12.75" customHeight="1">
      <c r="I2523" s="79"/>
      <c r="J2523" s="80"/>
      <c r="K2523" s="80"/>
    </row>
    <row r="2524" ht="12.75" customHeight="1">
      <c r="A2524" s="89" t="s">
        <v>1779</v>
      </c>
      <c r="B2524" s="90" t="s">
        <v>4555</v>
      </c>
      <c r="D2524" s="90"/>
      <c r="E2524" s="90"/>
      <c r="F2524" s="90"/>
      <c r="G2524" s="90"/>
      <c r="H2524" s="89" t="s">
        <v>933</v>
      </c>
      <c r="I2524" s="91">
        <v>111.36</v>
      </c>
      <c r="J2524" s="92">
        <v>17.23</v>
      </c>
      <c r="K2524" s="92">
        <v>1918.73</v>
      </c>
    </row>
    <row r="2525" ht="12.75" customHeight="1">
      <c r="I2525" s="79"/>
      <c r="J2525" s="80"/>
      <c r="K2525" s="80"/>
    </row>
    <row r="2526" ht="12.75" customHeight="1">
      <c r="A2526" s="89" t="s">
        <v>1781</v>
      </c>
      <c r="B2526" s="90" t="s">
        <v>4556</v>
      </c>
      <c r="D2526" s="90"/>
      <c r="E2526" s="90"/>
      <c r="F2526" s="90"/>
      <c r="G2526" s="90"/>
      <c r="I2526" s="79"/>
      <c r="J2526" s="80"/>
      <c r="K2526" s="80"/>
    </row>
    <row r="2527" ht="12.75" customHeight="1">
      <c r="I2527" s="79"/>
      <c r="J2527" s="80"/>
      <c r="K2527" s="80"/>
    </row>
    <row r="2528" ht="12.75" customHeight="1">
      <c r="A2528" s="89" t="s">
        <v>1783</v>
      </c>
      <c r="B2528" s="90" t="s">
        <v>4557</v>
      </c>
      <c r="D2528" s="90"/>
      <c r="E2528" s="90"/>
      <c r="F2528" s="90"/>
      <c r="G2528" s="90"/>
      <c r="I2528" s="79"/>
      <c r="J2528" s="80"/>
      <c r="K2528" s="80"/>
    </row>
    <row r="2529" ht="12.75" customHeight="1">
      <c r="I2529" s="79"/>
      <c r="J2529" s="80"/>
      <c r="K2529" s="80"/>
    </row>
    <row r="2530" ht="12.75" customHeight="1">
      <c r="A2530" s="89" t="s">
        <v>1785</v>
      </c>
      <c r="B2530" s="90" t="s">
        <v>3559</v>
      </c>
      <c r="D2530" s="90"/>
      <c r="E2530" s="90"/>
      <c r="F2530" s="90"/>
      <c r="G2530" s="90"/>
      <c r="H2530" s="89" t="s">
        <v>877</v>
      </c>
      <c r="I2530" s="91">
        <v>380.0</v>
      </c>
      <c r="J2530" s="92">
        <v>2.4</v>
      </c>
      <c r="K2530" s="92">
        <v>912.0</v>
      </c>
    </row>
    <row r="2531" ht="12.75" customHeight="1">
      <c r="I2531" s="79"/>
      <c r="J2531" s="80"/>
      <c r="K2531" s="80"/>
    </row>
    <row r="2532" ht="12.75" customHeight="1">
      <c r="A2532" s="89" t="s">
        <v>1787</v>
      </c>
      <c r="B2532" s="90" t="s">
        <v>3561</v>
      </c>
      <c r="D2532" s="90"/>
      <c r="E2532" s="90"/>
      <c r="F2532" s="90"/>
      <c r="G2532" s="90"/>
      <c r="H2532" s="89" t="s">
        <v>877</v>
      </c>
      <c r="I2532" s="91">
        <v>65.0</v>
      </c>
      <c r="J2532" s="92">
        <v>3.2</v>
      </c>
      <c r="K2532" s="92">
        <v>208.0</v>
      </c>
    </row>
    <row r="2533" ht="12.75" customHeight="1">
      <c r="I2533" s="79"/>
      <c r="J2533" s="80"/>
      <c r="K2533" s="80"/>
    </row>
    <row r="2534" ht="12.75" customHeight="1">
      <c r="A2534" s="89" t="s">
        <v>1789</v>
      </c>
      <c r="B2534" s="90" t="s">
        <v>3563</v>
      </c>
      <c r="D2534" s="90"/>
      <c r="E2534" s="90"/>
      <c r="F2534" s="90"/>
      <c r="G2534" s="90"/>
      <c r="H2534" s="89" t="s">
        <v>877</v>
      </c>
      <c r="I2534" s="91">
        <v>80.0</v>
      </c>
      <c r="J2534" s="92">
        <v>4.34</v>
      </c>
      <c r="K2534" s="92">
        <v>347.2</v>
      </c>
    </row>
    <row r="2535" ht="12.75" customHeight="1">
      <c r="I2535" s="79"/>
      <c r="J2535" s="80"/>
      <c r="K2535" s="80"/>
    </row>
    <row r="2536" ht="12.75" customHeight="1">
      <c r="A2536" s="89" t="s">
        <v>1791</v>
      </c>
      <c r="B2536" s="90" t="s">
        <v>4558</v>
      </c>
      <c r="D2536" s="90"/>
      <c r="E2536" s="90"/>
      <c r="F2536" s="90"/>
      <c r="G2536" s="90"/>
      <c r="I2536" s="79"/>
      <c r="J2536" s="80"/>
      <c r="K2536" s="80"/>
    </row>
    <row r="2537" ht="12.75" customHeight="1">
      <c r="I2537" s="79"/>
      <c r="J2537" s="80"/>
      <c r="K2537" s="80"/>
    </row>
    <row r="2538" ht="12.75" customHeight="1">
      <c r="A2538" s="89" t="s">
        <v>1793</v>
      </c>
      <c r="B2538" s="90" t="s">
        <v>3566</v>
      </c>
      <c r="D2538" s="90"/>
      <c r="E2538" s="90"/>
      <c r="F2538" s="90"/>
      <c r="G2538" s="90"/>
      <c r="H2538" s="89" t="s">
        <v>877</v>
      </c>
      <c r="I2538" s="91">
        <v>20.0</v>
      </c>
      <c r="J2538" s="92">
        <v>62.5</v>
      </c>
      <c r="K2538" s="92">
        <v>1250.0</v>
      </c>
    </row>
    <row r="2539" ht="12.75" customHeight="1">
      <c r="I2539" s="79"/>
      <c r="J2539" s="80"/>
      <c r="K2539" s="80"/>
    </row>
    <row r="2540" ht="12.75" customHeight="1">
      <c r="A2540" s="89" t="s">
        <v>1795</v>
      </c>
      <c r="B2540" s="90" t="s">
        <v>3567</v>
      </c>
      <c r="D2540" s="90"/>
      <c r="E2540" s="90"/>
      <c r="F2540" s="90"/>
      <c r="G2540" s="90"/>
      <c r="I2540" s="79"/>
      <c r="J2540" s="80"/>
      <c r="K2540" s="80"/>
    </row>
    <row r="2541" ht="12.75" customHeight="1">
      <c r="I2541" s="79"/>
      <c r="J2541" s="80"/>
      <c r="K2541" s="80"/>
    </row>
    <row r="2542" ht="12.75" customHeight="1">
      <c r="A2542" s="89" t="s">
        <v>1797</v>
      </c>
      <c r="B2542" s="90" t="s">
        <v>4559</v>
      </c>
      <c r="D2542" s="90"/>
      <c r="E2542" s="90"/>
      <c r="F2542" s="90"/>
      <c r="G2542" s="90"/>
      <c r="H2542" s="89" t="s">
        <v>40</v>
      </c>
      <c r="I2542" s="91">
        <v>335.0</v>
      </c>
      <c r="J2542" s="92">
        <v>25.0</v>
      </c>
      <c r="K2542" s="92">
        <v>8375.0</v>
      </c>
    </row>
    <row r="2543" ht="12.75" customHeight="1">
      <c r="I2543" s="79"/>
      <c r="J2543" s="80"/>
      <c r="K2543" s="80"/>
    </row>
    <row r="2544" ht="12.75" customHeight="1">
      <c r="A2544" s="89" t="s">
        <v>1799</v>
      </c>
      <c r="B2544" s="90" t="s">
        <v>4560</v>
      </c>
      <c r="D2544" s="90"/>
      <c r="E2544" s="90"/>
      <c r="F2544" s="90"/>
      <c r="G2544" s="90"/>
      <c r="I2544" s="79"/>
      <c r="J2544" s="80"/>
      <c r="K2544" s="80"/>
    </row>
    <row r="2545" ht="12.75" customHeight="1">
      <c r="I2545" s="79"/>
      <c r="J2545" s="80"/>
      <c r="K2545" s="80"/>
    </row>
    <row r="2546" ht="12.75" customHeight="1">
      <c r="A2546" s="89" t="s">
        <v>1801</v>
      </c>
      <c r="B2546" s="90" t="s">
        <v>4561</v>
      </c>
      <c r="D2546" s="90"/>
      <c r="E2546" s="90"/>
      <c r="F2546" s="90"/>
      <c r="G2546" s="90"/>
      <c r="H2546" s="89" t="s">
        <v>75</v>
      </c>
      <c r="I2546" s="91">
        <v>56.0</v>
      </c>
      <c r="J2546" s="92">
        <v>10.0</v>
      </c>
      <c r="K2546" s="92">
        <v>560.0</v>
      </c>
    </row>
    <row r="2547" ht="12.75" customHeight="1">
      <c r="I2547" s="79"/>
      <c r="J2547" s="80"/>
      <c r="K2547" s="80"/>
    </row>
    <row r="2548" ht="12.75" customHeight="1">
      <c r="A2548" s="89" t="s">
        <v>1799</v>
      </c>
      <c r="B2548" s="90" t="s">
        <v>4562</v>
      </c>
      <c r="D2548" s="90"/>
      <c r="E2548" s="90"/>
      <c r="F2548" s="90"/>
      <c r="G2548" s="90"/>
      <c r="H2548" s="89" t="s">
        <v>75</v>
      </c>
      <c r="I2548" s="91">
        <v>2.0</v>
      </c>
      <c r="J2548" s="92">
        <v>116.01</v>
      </c>
      <c r="K2548" s="92">
        <v>232.02</v>
      </c>
    </row>
    <row r="2549" ht="12.75" customHeight="1">
      <c r="I2549" s="79"/>
      <c r="J2549" s="80"/>
      <c r="K2549" s="80"/>
    </row>
    <row r="2550" ht="12.75" customHeight="1">
      <c r="A2550" s="89" t="s">
        <v>1804</v>
      </c>
      <c r="B2550" s="90" t="s">
        <v>3575</v>
      </c>
      <c r="D2550" s="90"/>
      <c r="E2550" s="90"/>
      <c r="F2550" s="90"/>
      <c r="G2550" s="90"/>
      <c r="I2550" s="79"/>
      <c r="J2550" s="80"/>
      <c r="K2550" s="80"/>
    </row>
    <row r="2551" ht="12.75" customHeight="1">
      <c r="I2551" s="79"/>
      <c r="J2551" s="80"/>
      <c r="K2551" s="80"/>
    </row>
    <row r="2552" ht="12.75" customHeight="1">
      <c r="A2552" s="89" t="s">
        <v>1806</v>
      </c>
      <c r="B2552" s="90" t="s">
        <v>4563</v>
      </c>
      <c r="D2552" s="90"/>
      <c r="E2552" s="90"/>
      <c r="F2552" s="90"/>
      <c r="G2552" s="90"/>
      <c r="I2552" s="79"/>
      <c r="J2552" s="80"/>
      <c r="K2552" s="80"/>
    </row>
    <row r="2553" ht="12.75" customHeight="1">
      <c r="I2553" s="79"/>
      <c r="J2553" s="80"/>
      <c r="K2553" s="80"/>
    </row>
    <row r="2554" ht="12.75" customHeight="1">
      <c r="A2554" s="89" t="s">
        <v>1808</v>
      </c>
      <c r="B2554" s="90" t="s">
        <v>1809</v>
      </c>
      <c r="D2554" s="90"/>
      <c r="E2554" s="90"/>
      <c r="F2554" s="90"/>
      <c r="G2554" s="90"/>
      <c r="H2554" s="89" t="s">
        <v>75</v>
      </c>
      <c r="I2554" s="91">
        <v>8.0</v>
      </c>
      <c r="J2554" s="92">
        <v>184.18</v>
      </c>
      <c r="K2554" s="92">
        <v>1473.44</v>
      </c>
    </row>
    <row r="2555" ht="12.75" customHeight="1">
      <c r="I2555" s="79"/>
      <c r="J2555" s="80"/>
      <c r="K2555" s="80"/>
    </row>
    <row r="2556" ht="12.75" customHeight="1">
      <c r="A2556" s="89" t="s">
        <v>1810</v>
      </c>
      <c r="B2556" s="90" t="s">
        <v>4564</v>
      </c>
      <c r="D2556" s="90"/>
      <c r="E2556" s="90"/>
      <c r="F2556" s="90"/>
      <c r="G2556" s="90"/>
      <c r="H2556" s="89" t="s">
        <v>75</v>
      </c>
      <c r="I2556" s="91">
        <v>8.0</v>
      </c>
      <c r="J2556" s="92">
        <v>134.81</v>
      </c>
      <c r="K2556" s="92">
        <v>1078.48</v>
      </c>
    </row>
    <row r="2557" ht="12.75" customHeight="1">
      <c r="I2557" s="79"/>
      <c r="J2557" s="80"/>
      <c r="K2557" s="80"/>
    </row>
    <row r="2558" ht="12.75" customHeight="1">
      <c r="A2558" s="89" t="s">
        <v>1812</v>
      </c>
      <c r="B2558" s="90" t="s">
        <v>4565</v>
      </c>
      <c r="D2558" s="90"/>
      <c r="E2558" s="90"/>
      <c r="F2558" s="90"/>
      <c r="G2558" s="90"/>
      <c r="I2558" s="79"/>
      <c r="J2558" s="80"/>
      <c r="K2558" s="80"/>
    </row>
    <row r="2559" ht="12.75" customHeight="1">
      <c r="I2559" s="79"/>
      <c r="J2559" s="80"/>
      <c r="K2559" s="80"/>
    </row>
    <row r="2560" ht="12.75" customHeight="1">
      <c r="A2560" s="89" t="s">
        <v>1814</v>
      </c>
      <c r="B2560" s="90" t="s">
        <v>4566</v>
      </c>
      <c r="D2560" s="90"/>
      <c r="E2560" s="90"/>
      <c r="F2560" s="90"/>
      <c r="G2560" s="90"/>
      <c r="H2560" s="89" t="s">
        <v>75</v>
      </c>
      <c r="I2560" s="91">
        <v>1.0</v>
      </c>
      <c r="J2560" s="92">
        <v>466.99</v>
      </c>
      <c r="K2560" s="92">
        <v>466.99</v>
      </c>
    </row>
    <row r="2561" ht="12.75" customHeight="1">
      <c r="I2561" s="79"/>
      <c r="J2561" s="80"/>
      <c r="K2561" s="80"/>
    </row>
    <row r="2562" ht="12.75" customHeight="1">
      <c r="A2562" s="89" t="s">
        <v>1816</v>
      </c>
      <c r="B2562" s="90" t="s">
        <v>4567</v>
      </c>
      <c r="D2562" s="90"/>
      <c r="E2562" s="90"/>
      <c r="F2562" s="90"/>
      <c r="G2562" s="90"/>
      <c r="I2562" s="79"/>
      <c r="J2562" s="80"/>
      <c r="K2562" s="80"/>
    </row>
    <row r="2563" ht="12.75" customHeight="1">
      <c r="I2563" s="79"/>
      <c r="J2563" s="80"/>
      <c r="K2563" s="80"/>
    </row>
    <row r="2564" ht="12.75" customHeight="1">
      <c r="A2564" s="89" t="s">
        <v>1818</v>
      </c>
      <c r="B2564" s="90" t="s">
        <v>4568</v>
      </c>
      <c r="D2564" s="90"/>
      <c r="E2564" s="90"/>
      <c r="F2564" s="90"/>
      <c r="G2564" s="90"/>
      <c r="H2564" s="89" t="s">
        <v>161</v>
      </c>
      <c r="I2564" s="91">
        <v>100.0</v>
      </c>
      <c r="J2564" s="92">
        <v>55.0</v>
      </c>
      <c r="K2564" s="92">
        <v>5500.0</v>
      </c>
    </row>
    <row r="2565" ht="12.75" customHeight="1">
      <c r="I2565" s="79"/>
      <c r="J2565" s="80"/>
      <c r="K2565" s="80"/>
    </row>
    <row r="2566" ht="12.75" customHeight="1">
      <c r="A2566" s="89" t="s">
        <v>1820</v>
      </c>
      <c r="B2566" s="90" t="s">
        <v>3586</v>
      </c>
      <c r="D2566" s="90"/>
      <c r="E2566" s="90"/>
      <c r="F2566" s="90"/>
      <c r="G2566" s="90"/>
      <c r="I2566" s="79"/>
      <c r="J2566" s="80"/>
      <c r="K2566" s="80"/>
    </row>
    <row r="2567" ht="12.75" customHeight="1">
      <c r="I2567" s="79"/>
      <c r="J2567" s="80"/>
      <c r="K2567" s="80"/>
    </row>
    <row r="2568" ht="12.75" customHeight="1">
      <c r="A2568" s="89" t="s">
        <v>1822</v>
      </c>
      <c r="B2568" s="90" t="s">
        <v>4569</v>
      </c>
      <c r="D2568" s="90"/>
      <c r="E2568" s="90"/>
      <c r="F2568" s="90"/>
      <c r="G2568" s="90"/>
      <c r="H2568" s="89" t="s">
        <v>75</v>
      </c>
      <c r="I2568" s="91">
        <v>1.0</v>
      </c>
      <c r="J2568" s="92">
        <v>30.7</v>
      </c>
      <c r="K2568" s="92">
        <v>30.7</v>
      </c>
    </row>
    <row r="2569" ht="12.75" customHeight="1">
      <c r="I2569" s="79"/>
      <c r="J2569" s="80"/>
      <c r="K2569" s="80"/>
    </row>
    <row r="2570" ht="12.75" customHeight="1">
      <c r="A2570" s="89" t="s">
        <v>1824</v>
      </c>
      <c r="B2570" s="90" t="s">
        <v>3589</v>
      </c>
      <c r="D2570" s="90"/>
      <c r="E2570" s="90"/>
      <c r="F2570" s="90"/>
      <c r="G2570" s="90"/>
      <c r="I2570" s="79"/>
      <c r="J2570" s="80"/>
      <c r="K2570" s="80"/>
    </row>
    <row r="2571" ht="12.75" customHeight="1">
      <c r="I2571" s="79"/>
      <c r="J2571" s="80"/>
      <c r="K2571" s="80"/>
    </row>
    <row r="2572" ht="12.75" customHeight="1">
      <c r="A2572" s="89" t="s">
        <v>1826</v>
      </c>
      <c r="B2572" s="90" t="s">
        <v>4570</v>
      </c>
      <c r="D2572" s="90"/>
      <c r="E2572" s="90"/>
      <c r="F2572" s="90"/>
      <c r="G2572" s="90"/>
      <c r="H2572" s="89" t="s">
        <v>75</v>
      </c>
      <c r="I2572" s="91">
        <v>8.0</v>
      </c>
      <c r="J2572" s="92">
        <v>53.6</v>
      </c>
      <c r="K2572" s="92">
        <v>428.8</v>
      </c>
    </row>
    <row r="2573" ht="12.75" customHeight="1">
      <c r="I2573" s="79"/>
      <c r="J2573" s="80"/>
      <c r="K2573" s="80"/>
    </row>
    <row r="2574" ht="12.75" customHeight="1">
      <c r="A2574" s="89" t="s">
        <v>1828</v>
      </c>
      <c r="B2574" s="90" t="s">
        <v>4571</v>
      </c>
      <c r="D2574" s="90"/>
      <c r="E2574" s="90"/>
      <c r="F2574" s="90"/>
      <c r="G2574" s="90"/>
      <c r="H2574" s="89" t="s">
        <v>75</v>
      </c>
      <c r="I2574" s="91">
        <v>2.0</v>
      </c>
      <c r="J2574" s="92">
        <v>67.03</v>
      </c>
      <c r="K2574" s="92">
        <v>134.06</v>
      </c>
    </row>
    <row r="2575" ht="12.75" customHeight="1">
      <c r="I2575" s="79"/>
      <c r="J2575" s="80"/>
      <c r="K2575" s="80"/>
    </row>
    <row r="2576" ht="12.75" customHeight="1">
      <c r="A2576" s="89" t="s">
        <v>1830</v>
      </c>
      <c r="B2576" s="90" t="s">
        <v>4572</v>
      </c>
      <c r="D2576" s="90"/>
      <c r="E2576" s="90"/>
      <c r="F2576" s="90"/>
      <c r="G2576" s="90"/>
      <c r="I2576" s="79"/>
      <c r="J2576" s="80"/>
      <c r="K2576" s="80"/>
    </row>
    <row r="2577" ht="12.75" customHeight="1">
      <c r="I2577" s="79"/>
      <c r="J2577" s="80"/>
      <c r="K2577" s="80"/>
    </row>
    <row r="2578" ht="12.75" customHeight="1">
      <c r="A2578" s="89" t="s">
        <v>1832</v>
      </c>
      <c r="B2578" s="90" t="s">
        <v>1833</v>
      </c>
      <c r="D2578" s="90"/>
      <c r="E2578" s="90"/>
      <c r="F2578" s="90"/>
      <c r="G2578" s="90"/>
      <c r="H2578" s="89" t="s">
        <v>75</v>
      </c>
      <c r="I2578" s="91">
        <v>1.0</v>
      </c>
      <c r="J2578" s="92">
        <v>15.66</v>
      </c>
      <c r="K2578" s="92">
        <v>15.66</v>
      </c>
    </row>
    <row r="2579" ht="12.75" customHeight="1">
      <c r="I2579" s="79"/>
      <c r="J2579" s="80"/>
      <c r="K2579" s="80"/>
    </row>
    <row r="2580" ht="12.75" customHeight="1">
      <c r="A2580" s="89" t="s">
        <v>1834</v>
      </c>
      <c r="B2580" s="90" t="s">
        <v>3597</v>
      </c>
      <c r="D2580" s="90"/>
      <c r="E2580" s="90"/>
      <c r="F2580" s="90"/>
      <c r="G2580" s="90"/>
      <c r="I2580" s="79"/>
      <c r="J2580" s="80"/>
      <c r="K2580" s="80"/>
    </row>
    <row r="2581" ht="12.75" customHeight="1">
      <c r="I2581" s="79"/>
      <c r="J2581" s="80"/>
      <c r="K2581" s="80"/>
    </row>
    <row r="2582" ht="12.75" customHeight="1">
      <c r="A2582" s="89" t="s">
        <v>1836</v>
      </c>
      <c r="B2582" s="90" t="s">
        <v>4573</v>
      </c>
      <c r="D2582" s="90"/>
      <c r="E2582" s="90"/>
      <c r="F2582" s="90"/>
      <c r="G2582" s="90"/>
      <c r="H2582" s="89" t="s">
        <v>75</v>
      </c>
      <c r="I2582" s="91">
        <v>1.0</v>
      </c>
      <c r="J2582" s="92">
        <v>4954.0</v>
      </c>
      <c r="K2582" s="92">
        <v>4954.0</v>
      </c>
    </row>
    <row r="2583" ht="12.75" customHeight="1">
      <c r="I2583" s="79"/>
      <c r="J2583" s="80"/>
      <c r="K2583" s="80"/>
    </row>
    <row r="2584" ht="12.75" customHeight="1">
      <c r="A2584" s="89" t="s">
        <v>1838</v>
      </c>
      <c r="B2584" s="90" t="s">
        <v>3600</v>
      </c>
      <c r="D2584" s="90"/>
      <c r="E2584" s="90"/>
      <c r="F2584" s="90"/>
      <c r="G2584" s="90"/>
      <c r="I2584" s="79"/>
      <c r="J2584" s="80"/>
      <c r="K2584" s="80"/>
    </row>
    <row r="2585" ht="12.75" customHeight="1">
      <c r="I2585" s="79"/>
      <c r="J2585" s="80"/>
      <c r="K2585" s="80"/>
    </row>
    <row r="2586" ht="12.75" customHeight="1">
      <c r="A2586" s="89" t="s">
        <v>1840</v>
      </c>
      <c r="B2586" s="90" t="s">
        <v>4574</v>
      </c>
      <c r="D2586" s="90"/>
      <c r="E2586" s="90"/>
      <c r="F2586" s="90"/>
      <c r="G2586" s="90"/>
      <c r="H2586" s="89" t="s">
        <v>75</v>
      </c>
      <c r="I2586" s="91">
        <v>1.0</v>
      </c>
      <c r="J2586" s="92">
        <v>1500.0</v>
      </c>
      <c r="K2586" s="92">
        <v>1500.0</v>
      </c>
    </row>
    <row r="2587" ht="12.75" customHeight="1">
      <c r="I2587" s="79"/>
      <c r="J2587" s="80"/>
      <c r="K2587" s="80"/>
    </row>
    <row r="2588" ht="12.75" customHeight="1">
      <c r="A2588" s="89" t="s">
        <v>1770</v>
      </c>
      <c r="B2588" s="90" t="s">
        <v>4551</v>
      </c>
      <c r="D2588" s="90"/>
      <c r="E2588" s="90"/>
      <c r="F2588" s="90"/>
      <c r="G2588" s="90"/>
      <c r="I2588" s="79"/>
      <c r="J2588" s="80"/>
      <c r="K2588" s="92">
        <v>33665.94</v>
      </c>
    </row>
    <row r="2589" ht="12.75" customHeight="1">
      <c r="I2589" s="79"/>
      <c r="J2589" s="80"/>
      <c r="K2589" s="80"/>
    </row>
    <row r="2590" ht="12.75" customHeight="1">
      <c r="A2590" s="89" t="s">
        <v>1768</v>
      </c>
      <c r="B2590" s="90" t="s">
        <v>3548</v>
      </c>
      <c r="D2590" s="90"/>
      <c r="E2590" s="90"/>
      <c r="F2590" s="90"/>
      <c r="G2590" s="90"/>
      <c r="I2590" s="79"/>
      <c r="J2590" s="80"/>
      <c r="K2590" s="92">
        <v>33665.94</v>
      </c>
    </row>
    <row r="2591" ht="12.75" customHeight="1">
      <c r="I2591" s="79"/>
      <c r="J2591" s="80"/>
      <c r="K2591" s="80"/>
    </row>
    <row r="2592" ht="12.75" customHeight="1">
      <c r="I2592" s="79"/>
      <c r="J2592" s="80"/>
      <c r="K2592" s="80"/>
    </row>
    <row r="2593" ht="12.75" customHeight="1">
      <c r="A2593" s="89" t="s">
        <v>1842</v>
      </c>
      <c r="B2593" s="90" t="s">
        <v>4575</v>
      </c>
      <c r="D2593" s="90"/>
      <c r="E2593" s="90"/>
      <c r="F2593" s="90"/>
      <c r="G2593" s="90"/>
      <c r="I2593" s="79"/>
      <c r="J2593" s="80"/>
      <c r="K2593" s="80"/>
    </row>
    <row r="2594" ht="12.75" customHeight="1">
      <c r="I2594" s="79"/>
      <c r="J2594" s="80"/>
      <c r="K2594" s="80"/>
    </row>
    <row r="2595" ht="12.75" customHeight="1">
      <c r="A2595" s="89" t="s">
        <v>1844</v>
      </c>
      <c r="B2595" s="90" t="s">
        <v>4576</v>
      </c>
      <c r="D2595" s="90"/>
      <c r="E2595" s="90"/>
      <c r="F2595" s="90"/>
      <c r="G2595" s="90"/>
      <c r="H2595" s="89" t="s">
        <v>1846</v>
      </c>
      <c r="I2595" s="91">
        <v>12.0</v>
      </c>
      <c r="J2595" s="92">
        <v>800.0</v>
      </c>
      <c r="K2595" s="92">
        <v>9600.0</v>
      </c>
    </row>
    <row r="2596" ht="12.75" customHeight="1">
      <c r="I2596" s="79"/>
      <c r="J2596" s="80"/>
      <c r="K2596" s="80"/>
    </row>
    <row r="2597" ht="12.75" customHeight="1">
      <c r="A2597" s="89" t="s">
        <v>1842</v>
      </c>
      <c r="B2597" s="90" t="s">
        <v>4575</v>
      </c>
      <c r="D2597" s="90"/>
      <c r="E2597" s="90"/>
      <c r="F2597" s="90"/>
      <c r="G2597" s="90"/>
      <c r="I2597" s="79"/>
      <c r="J2597" s="80"/>
      <c r="K2597" s="92">
        <v>9600.0</v>
      </c>
    </row>
    <row r="2598" ht="12.75" customHeight="1">
      <c r="I2598" s="79"/>
      <c r="J2598" s="80"/>
      <c r="K2598" s="80"/>
    </row>
    <row r="2599" ht="12.75" customHeight="1">
      <c r="B2599" s="90" t="s">
        <v>3606</v>
      </c>
      <c r="D2599" s="90"/>
      <c r="E2599" s="90"/>
      <c r="F2599" s="90"/>
      <c r="G2599" s="90"/>
      <c r="I2599" s="79"/>
      <c r="J2599" s="80"/>
      <c r="K2599" s="92">
        <v>192258.35</v>
      </c>
    </row>
    <row r="2600" ht="12.75" customHeight="1">
      <c r="I2600" s="79"/>
      <c r="J2600" s="80"/>
      <c r="K2600" s="80"/>
    </row>
    <row r="2601" ht="12.75" customHeight="1">
      <c r="B2601" s="90" t="s">
        <v>3692</v>
      </c>
      <c r="D2601" s="90"/>
      <c r="E2601" s="90"/>
      <c r="F2601" s="90"/>
      <c r="G2601" s="90"/>
      <c r="I2601" s="79"/>
      <c r="J2601" s="80"/>
      <c r="K2601" s="92">
        <v>2405735.04</v>
      </c>
    </row>
    <row r="2602" ht="12.75" customHeight="1">
      <c r="I2602" s="79"/>
      <c r="J2602" s="80"/>
      <c r="K2602" s="80"/>
    </row>
    <row r="2603" ht="12.75" customHeight="1">
      <c r="B2603" s="90" t="s">
        <v>4577</v>
      </c>
      <c r="D2603" s="90"/>
      <c r="E2603" s="90"/>
      <c r="F2603" s="90"/>
      <c r="G2603" s="90"/>
      <c r="I2603" s="79"/>
      <c r="J2603" s="80"/>
      <c r="K2603" s="92">
        <v>2405735.04</v>
      </c>
    </row>
  </sheetData>
  <mergeCells count="2">
    <mergeCell ref="J4:K4"/>
    <mergeCell ref="A5:I5"/>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7" width="82.75"/>
    <col customWidth="1" min="18" max="26" width="11.0"/>
  </cols>
  <sheetData>
    <row r="1" ht="12.75" customHeight="1">
      <c r="A1" s="90"/>
      <c r="B1" s="90"/>
      <c r="C1" s="90"/>
      <c r="D1" s="90"/>
      <c r="E1" s="90"/>
      <c r="F1" s="90"/>
      <c r="G1" s="90"/>
      <c r="H1" s="90"/>
      <c r="I1" s="90"/>
      <c r="J1" s="90"/>
      <c r="K1" s="90"/>
      <c r="L1" s="90"/>
      <c r="M1" s="90"/>
      <c r="N1" s="90"/>
      <c r="O1" s="90"/>
      <c r="P1" s="90"/>
      <c r="Q1" s="90"/>
    </row>
    <row r="2" ht="12.75" customHeight="1">
      <c r="A2" s="90"/>
      <c r="B2" s="90"/>
      <c r="C2" s="90"/>
      <c r="D2" s="90"/>
      <c r="E2" s="90"/>
      <c r="F2" s="90"/>
      <c r="G2" s="90"/>
      <c r="H2" s="90"/>
      <c r="I2" s="90"/>
      <c r="J2" s="90"/>
      <c r="K2" s="90"/>
      <c r="L2" s="90"/>
      <c r="M2" s="90"/>
      <c r="N2" s="90"/>
      <c r="O2" s="90"/>
      <c r="P2" s="90"/>
      <c r="Q2" s="90"/>
    </row>
    <row r="3" ht="12.75" customHeight="1">
      <c r="A3" s="90"/>
      <c r="B3" s="90"/>
      <c r="C3" s="90"/>
      <c r="D3" s="90"/>
      <c r="E3" s="90"/>
      <c r="F3" s="90"/>
      <c r="G3" s="90"/>
      <c r="H3" s="90"/>
      <c r="I3" s="90"/>
      <c r="J3" s="90"/>
      <c r="K3" s="90"/>
      <c r="L3" s="90"/>
      <c r="M3" s="90"/>
      <c r="N3" s="90"/>
      <c r="O3" s="90"/>
      <c r="P3" s="90"/>
      <c r="Q3" s="90"/>
    </row>
    <row r="4" ht="12.75" customHeight="1">
      <c r="A4" s="417" t="s">
        <v>4578</v>
      </c>
      <c r="B4" s="90"/>
      <c r="C4" s="90"/>
      <c r="D4" s="90"/>
      <c r="E4" s="90"/>
      <c r="F4" s="90"/>
      <c r="G4" s="90"/>
      <c r="H4" s="90"/>
      <c r="I4" s="90"/>
      <c r="J4" s="90"/>
      <c r="K4" s="90"/>
      <c r="L4" s="90"/>
      <c r="M4" s="90"/>
      <c r="N4" s="90"/>
      <c r="O4" s="90"/>
      <c r="P4" s="90"/>
      <c r="Q4" s="90"/>
    </row>
    <row r="5" ht="12.75" customHeight="1">
      <c r="A5" s="90"/>
      <c r="B5" s="90"/>
      <c r="C5" s="90"/>
      <c r="D5" s="90"/>
      <c r="E5" s="90"/>
      <c r="F5" s="90"/>
      <c r="G5" s="90"/>
      <c r="H5" s="90"/>
      <c r="I5" s="90"/>
      <c r="J5" s="90"/>
      <c r="K5" s="90"/>
      <c r="L5" s="90"/>
      <c r="M5" s="90"/>
      <c r="N5" s="90"/>
      <c r="O5" s="90"/>
      <c r="P5" s="90"/>
      <c r="Q5" s="90"/>
    </row>
    <row r="6" ht="12.75" customHeight="1">
      <c r="A6" s="90"/>
      <c r="B6" s="90"/>
      <c r="C6" s="90"/>
      <c r="D6" s="90"/>
      <c r="E6" s="90"/>
      <c r="F6" s="90"/>
      <c r="G6" s="90"/>
      <c r="H6" s="90"/>
      <c r="I6" s="90"/>
      <c r="J6" s="90"/>
      <c r="K6" s="90"/>
      <c r="L6" s="90"/>
      <c r="M6" s="90"/>
      <c r="N6" s="90"/>
      <c r="O6" s="90"/>
      <c r="P6" s="90"/>
      <c r="Q6" s="90"/>
    </row>
    <row r="7" ht="12.75" customHeight="1">
      <c r="A7" s="937" t="s">
        <v>4579</v>
      </c>
      <c r="B7" s="90"/>
      <c r="C7" s="90"/>
      <c r="D7" s="90"/>
      <c r="E7" s="90"/>
      <c r="F7" s="90"/>
      <c r="G7" s="90"/>
      <c r="H7" s="90"/>
      <c r="I7" s="90"/>
      <c r="J7" s="90"/>
      <c r="K7" s="90"/>
      <c r="L7" s="90"/>
      <c r="M7" s="90"/>
      <c r="N7" s="90"/>
      <c r="O7" s="90"/>
      <c r="P7" s="90"/>
      <c r="Q7" s="90"/>
    </row>
    <row r="8" ht="12.75" customHeight="1">
      <c r="A8" s="90"/>
      <c r="B8" s="90"/>
      <c r="C8" s="90"/>
      <c r="D8" s="90"/>
      <c r="E8" s="90"/>
      <c r="F8" s="90"/>
      <c r="G8" s="90"/>
      <c r="H8" s="90"/>
      <c r="I8" s="90"/>
      <c r="J8" s="90"/>
      <c r="K8" s="90"/>
      <c r="L8" s="90"/>
      <c r="M8" s="90"/>
      <c r="N8" s="90"/>
      <c r="O8" s="90"/>
      <c r="P8" s="90"/>
      <c r="Q8" s="90"/>
    </row>
    <row r="9" ht="12.75" customHeight="1">
      <c r="A9" s="937" t="s">
        <v>7997</v>
      </c>
      <c r="B9" s="90"/>
      <c r="C9" s="90"/>
      <c r="D9" s="90"/>
      <c r="E9" s="90"/>
      <c r="F9" s="90"/>
      <c r="G9" s="90"/>
      <c r="H9" s="90"/>
      <c r="I9" s="90"/>
      <c r="J9" s="90"/>
      <c r="K9" s="90"/>
      <c r="L9" s="90"/>
      <c r="M9" s="90"/>
      <c r="N9" s="90"/>
      <c r="O9" s="90"/>
      <c r="P9" s="90"/>
      <c r="Q9" s="90"/>
    </row>
    <row r="10" ht="12.75" customHeight="1">
      <c r="A10" s="90"/>
      <c r="B10" s="90"/>
      <c r="C10" s="90"/>
      <c r="D10" s="90"/>
      <c r="E10" s="90"/>
      <c r="F10" s="90"/>
      <c r="G10" s="90"/>
      <c r="H10" s="90"/>
      <c r="I10" s="90"/>
      <c r="J10" s="90"/>
      <c r="K10" s="90"/>
      <c r="L10" s="90"/>
      <c r="M10" s="90"/>
      <c r="N10" s="90"/>
      <c r="O10" s="90"/>
      <c r="P10" s="90"/>
      <c r="Q10" s="90"/>
    </row>
    <row r="11" ht="12.75" customHeight="1">
      <c r="A11" s="937" t="s">
        <v>7998</v>
      </c>
      <c r="B11" s="90"/>
      <c r="C11" s="90"/>
      <c r="D11" s="90"/>
      <c r="E11" s="90"/>
      <c r="F11" s="90"/>
      <c r="G11" s="90"/>
      <c r="H11" s="90"/>
      <c r="I11" s="90"/>
      <c r="J11" s="90"/>
      <c r="K11" s="90"/>
      <c r="L11" s="90"/>
      <c r="M11" s="90"/>
      <c r="N11" s="90"/>
      <c r="O11" s="90"/>
      <c r="P11" s="90"/>
      <c r="Q11" s="90"/>
    </row>
    <row r="12" ht="12.75" customHeight="1">
      <c r="A12" s="90"/>
      <c r="B12" s="90"/>
      <c r="C12" s="90"/>
      <c r="D12" s="90"/>
      <c r="E12" s="90"/>
      <c r="F12" s="90"/>
      <c r="G12" s="90"/>
      <c r="H12" s="90"/>
      <c r="I12" s="90"/>
      <c r="J12" s="90"/>
      <c r="K12" s="90"/>
      <c r="L12" s="90"/>
      <c r="M12" s="90"/>
      <c r="N12" s="90"/>
      <c r="O12" s="90"/>
      <c r="P12" s="90"/>
      <c r="Q12" s="90"/>
    </row>
    <row r="13" ht="12.75" customHeight="1">
      <c r="A13" s="937" t="s">
        <v>4582</v>
      </c>
      <c r="B13" s="90"/>
      <c r="C13" s="90"/>
      <c r="D13" s="90"/>
      <c r="E13" s="90"/>
      <c r="F13" s="90"/>
      <c r="G13" s="90"/>
      <c r="H13" s="90"/>
      <c r="I13" s="90"/>
      <c r="J13" s="90"/>
      <c r="K13" s="90"/>
      <c r="L13" s="90"/>
      <c r="M13" s="90"/>
      <c r="N13" s="90"/>
      <c r="O13" s="90"/>
      <c r="P13" s="90"/>
      <c r="Q13" s="90"/>
    </row>
    <row r="14" ht="12.75" customHeight="1">
      <c r="A14" s="90"/>
      <c r="B14" s="90"/>
      <c r="C14" s="90"/>
      <c r="D14" s="90"/>
      <c r="E14" s="90"/>
      <c r="F14" s="90"/>
      <c r="G14" s="90"/>
      <c r="H14" s="90"/>
      <c r="I14" s="90"/>
      <c r="J14" s="90"/>
      <c r="K14" s="90"/>
      <c r="L14" s="90"/>
      <c r="M14" s="90"/>
      <c r="N14" s="90"/>
      <c r="O14" s="90"/>
      <c r="P14" s="90"/>
      <c r="Q14" s="90"/>
    </row>
    <row r="15" ht="12.75" customHeight="1">
      <c r="A15" s="937" t="s">
        <v>7998</v>
      </c>
      <c r="B15" s="90"/>
      <c r="C15" s="90"/>
      <c r="D15" s="90"/>
      <c r="E15" s="90"/>
      <c r="F15" s="90"/>
      <c r="G15" s="90"/>
      <c r="H15" s="90"/>
      <c r="I15" s="90"/>
      <c r="J15" s="90"/>
      <c r="K15" s="90"/>
      <c r="L15" s="90"/>
      <c r="M15" s="90"/>
      <c r="N15" s="90"/>
      <c r="O15" s="90"/>
      <c r="P15" s="90"/>
      <c r="Q15" s="90"/>
    </row>
    <row r="16" ht="12.75" customHeight="1">
      <c r="A16" s="90"/>
      <c r="B16" s="90"/>
      <c r="C16" s="90"/>
      <c r="D16" s="90"/>
      <c r="E16" s="90"/>
      <c r="F16" s="90"/>
      <c r="G16" s="90"/>
      <c r="H16" s="90"/>
      <c r="I16" s="90"/>
      <c r="J16" s="90"/>
      <c r="K16" s="90"/>
      <c r="L16" s="90"/>
      <c r="M16" s="90"/>
      <c r="N16" s="90"/>
      <c r="O16" s="90"/>
      <c r="P16" s="90"/>
      <c r="Q16" s="90"/>
    </row>
    <row r="17" ht="12.75" customHeight="1">
      <c r="A17" s="937" t="s">
        <v>7997</v>
      </c>
      <c r="B17" s="90"/>
      <c r="C17" s="90"/>
      <c r="D17" s="90"/>
      <c r="E17" s="90"/>
      <c r="F17" s="90"/>
      <c r="G17" s="90"/>
      <c r="H17" s="90"/>
      <c r="I17" s="90"/>
      <c r="J17" s="90"/>
      <c r="K17" s="90"/>
      <c r="L17" s="90"/>
      <c r="M17" s="90"/>
      <c r="N17" s="90"/>
      <c r="O17" s="90"/>
      <c r="P17" s="90"/>
      <c r="Q17" s="90"/>
    </row>
    <row r="18" ht="12.75" customHeight="1">
      <c r="A18" s="90"/>
      <c r="B18" s="90"/>
      <c r="C18" s="90"/>
      <c r="D18" s="90"/>
      <c r="E18" s="90"/>
      <c r="F18" s="90"/>
      <c r="G18" s="90"/>
      <c r="H18" s="90"/>
      <c r="I18" s="90"/>
      <c r="J18" s="90"/>
      <c r="K18" s="90"/>
      <c r="L18" s="90"/>
      <c r="M18" s="90"/>
      <c r="N18" s="90"/>
      <c r="O18" s="90"/>
      <c r="P18" s="90"/>
      <c r="Q18" s="90"/>
    </row>
    <row r="19" ht="12.75" customHeight="1">
      <c r="A19" s="90"/>
      <c r="B19" s="90"/>
      <c r="C19" s="90"/>
      <c r="D19" s="90"/>
      <c r="E19" s="90"/>
      <c r="F19" s="90"/>
      <c r="G19" s="90"/>
      <c r="H19" s="90"/>
      <c r="I19" s="90"/>
      <c r="J19" s="90"/>
      <c r="K19" s="90"/>
      <c r="L19" s="90"/>
      <c r="M19" s="90"/>
      <c r="N19" s="90"/>
      <c r="O19" s="90"/>
      <c r="P19" s="90"/>
      <c r="Q19" s="90"/>
    </row>
    <row r="20" ht="12.75" customHeight="1">
      <c r="A20" s="937" t="s">
        <v>4584</v>
      </c>
      <c r="B20" s="90"/>
      <c r="C20" s="90"/>
      <c r="D20" s="90"/>
      <c r="E20" s="90"/>
      <c r="F20" s="90"/>
      <c r="G20" s="90"/>
      <c r="H20" s="90"/>
      <c r="I20" s="90"/>
      <c r="J20" s="90"/>
      <c r="K20" s="90"/>
      <c r="L20" s="90"/>
      <c r="M20" s="90"/>
      <c r="N20" s="90"/>
      <c r="O20" s="90"/>
      <c r="P20" s="90"/>
      <c r="Q20" s="90"/>
    </row>
    <row r="21" ht="12.75" customHeight="1">
      <c r="A21" s="90"/>
      <c r="B21" s="90"/>
      <c r="C21" s="90"/>
      <c r="D21" s="90"/>
      <c r="E21" s="90"/>
      <c r="F21" s="90"/>
      <c r="G21" s="90"/>
      <c r="H21" s="90"/>
      <c r="I21" s="90"/>
      <c r="J21" s="90"/>
      <c r="K21" s="90"/>
      <c r="L21" s="90"/>
      <c r="M21" s="90"/>
      <c r="N21" s="90"/>
      <c r="O21" s="90"/>
      <c r="P21" s="90"/>
      <c r="Q21" s="90"/>
    </row>
    <row r="22" ht="12.75" customHeight="1">
      <c r="A22" s="937" t="s">
        <v>4585</v>
      </c>
      <c r="B22" s="90"/>
      <c r="C22" s="90"/>
      <c r="D22" s="90"/>
      <c r="E22" s="90"/>
      <c r="F22" s="90"/>
      <c r="G22" s="90"/>
      <c r="H22" s="90"/>
      <c r="I22" s="90"/>
      <c r="J22" s="90"/>
      <c r="K22" s="90"/>
      <c r="L22" s="90"/>
      <c r="M22" s="90"/>
      <c r="N22" s="90"/>
      <c r="O22" s="90"/>
      <c r="P22" s="90"/>
      <c r="Q22" s="90"/>
    </row>
    <row r="23" ht="12.75" customHeight="1">
      <c r="A23" s="90"/>
      <c r="B23" s="90"/>
      <c r="C23" s="90"/>
      <c r="D23" s="90"/>
      <c r="E23" s="90"/>
      <c r="F23" s="90"/>
      <c r="G23" s="90"/>
      <c r="H23" s="90"/>
      <c r="I23" s="90"/>
      <c r="J23" s="90"/>
      <c r="K23" s="90"/>
      <c r="L23" s="90"/>
      <c r="M23" s="90"/>
      <c r="N23" s="90"/>
      <c r="O23" s="90"/>
      <c r="P23" s="90"/>
      <c r="Q23" s="90"/>
    </row>
    <row r="24" ht="12.75" customHeight="1">
      <c r="A24" s="937" t="s">
        <v>4586</v>
      </c>
      <c r="B24" s="90"/>
      <c r="C24" s="90"/>
      <c r="D24" s="90"/>
      <c r="E24" s="90"/>
      <c r="F24" s="90"/>
      <c r="G24" s="90"/>
      <c r="H24" s="90"/>
      <c r="I24" s="90"/>
      <c r="J24" s="90"/>
      <c r="K24" s="90"/>
      <c r="L24" s="90"/>
      <c r="M24" s="90"/>
      <c r="N24" s="90"/>
      <c r="O24" s="90"/>
      <c r="P24" s="90"/>
      <c r="Q24" s="90"/>
    </row>
    <row r="25" ht="12.75" customHeight="1">
      <c r="A25" s="90"/>
      <c r="B25" s="90"/>
      <c r="C25" s="90"/>
      <c r="D25" s="90"/>
      <c r="E25" s="90"/>
      <c r="F25" s="90"/>
      <c r="G25" s="90"/>
      <c r="H25" s="90"/>
      <c r="I25" s="90"/>
      <c r="J25" s="90"/>
      <c r="K25" s="90"/>
      <c r="L25" s="90"/>
      <c r="M25" s="90"/>
      <c r="N25" s="90"/>
      <c r="O25" s="90"/>
      <c r="P25" s="90"/>
      <c r="Q25" s="90"/>
    </row>
    <row r="26" ht="12.75" customHeight="1">
      <c r="A26" s="937" t="s">
        <v>4587</v>
      </c>
      <c r="B26" s="90"/>
      <c r="C26" s="90"/>
      <c r="D26" s="90"/>
      <c r="E26" s="90"/>
      <c r="F26" s="90"/>
      <c r="G26" s="90"/>
      <c r="H26" s="90"/>
      <c r="I26" s="90"/>
      <c r="J26" s="90"/>
      <c r="K26" s="90"/>
      <c r="L26" s="90"/>
      <c r="M26" s="90"/>
      <c r="N26" s="90"/>
      <c r="O26" s="90"/>
      <c r="P26" s="90"/>
      <c r="Q26" s="90"/>
    </row>
    <row r="27" ht="12.75" customHeight="1">
      <c r="A27" s="90"/>
      <c r="B27" s="90"/>
      <c r="C27" s="90"/>
      <c r="D27" s="90"/>
      <c r="E27" s="90"/>
      <c r="F27" s="90"/>
      <c r="G27" s="90"/>
      <c r="H27" s="90"/>
      <c r="I27" s="90"/>
      <c r="J27" s="90"/>
      <c r="K27" s="90"/>
      <c r="L27" s="90"/>
      <c r="M27" s="90"/>
      <c r="N27" s="90"/>
      <c r="O27" s="90"/>
      <c r="P27" s="90"/>
      <c r="Q27" s="90"/>
    </row>
    <row r="28" ht="12.75" customHeight="1">
      <c r="A28" s="937" t="s">
        <v>4588</v>
      </c>
      <c r="B28" s="90"/>
      <c r="C28" s="90"/>
      <c r="D28" s="90"/>
      <c r="E28" s="90"/>
      <c r="F28" s="90"/>
      <c r="G28" s="90"/>
      <c r="H28" s="90"/>
      <c r="I28" s="90"/>
      <c r="J28" s="90"/>
      <c r="K28" s="90"/>
      <c r="L28" s="90"/>
      <c r="M28" s="90"/>
      <c r="N28" s="90"/>
      <c r="O28" s="90"/>
      <c r="P28" s="90"/>
      <c r="Q28" s="90"/>
    </row>
    <row r="29" ht="12.75" customHeight="1">
      <c r="A29" s="90"/>
      <c r="B29" s="90"/>
      <c r="C29" s="90"/>
      <c r="D29" s="90"/>
      <c r="E29" s="90"/>
      <c r="F29" s="90"/>
      <c r="G29" s="90"/>
      <c r="H29" s="90"/>
      <c r="I29" s="90"/>
      <c r="J29" s="90"/>
      <c r="K29" s="90"/>
      <c r="L29" s="90"/>
      <c r="M29" s="90"/>
      <c r="N29" s="90"/>
      <c r="O29" s="90"/>
      <c r="P29" s="90"/>
      <c r="Q29" s="90"/>
    </row>
    <row r="30" ht="12.75" customHeight="1">
      <c r="A30" s="937" t="s">
        <v>4589</v>
      </c>
      <c r="B30" s="90"/>
      <c r="C30" s="90"/>
      <c r="D30" s="90"/>
      <c r="E30" s="90"/>
      <c r="F30" s="90"/>
      <c r="G30" s="90"/>
      <c r="H30" s="90"/>
      <c r="I30" s="90"/>
      <c r="J30" s="90"/>
      <c r="K30" s="90"/>
      <c r="L30" s="90"/>
      <c r="M30" s="90"/>
      <c r="N30" s="90"/>
      <c r="O30" s="90"/>
      <c r="P30" s="90"/>
      <c r="Q30" s="90"/>
    </row>
    <row r="31" ht="12.75" customHeight="1">
      <c r="A31" s="90"/>
      <c r="B31" s="90"/>
      <c r="C31" s="90"/>
      <c r="D31" s="90"/>
      <c r="E31" s="90"/>
      <c r="F31" s="90"/>
      <c r="G31" s="90"/>
      <c r="H31" s="90"/>
      <c r="I31" s="90"/>
      <c r="J31" s="90"/>
      <c r="K31" s="90"/>
      <c r="L31" s="90"/>
      <c r="M31" s="90"/>
      <c r="N31" s="90"/>
      <c r="O31" s="90"/>
      <c r="P31" s="90"/>
      <c r="Q31" s="90"/>
    </row>
    <row r="32" ht="12.75" customHeight="1">
      <c r="A32" s="937" t="s">
        <v>4590</v>
      </c>
      <c r="B32" s="90"/>
      <c r="C32" s="90"/>
      <c r="D32" s="90"/>
      <c r="E32" s="90"/>
      <c r="F32" s="90"/>
      <c r="G32" s="90"/>
      <c r="H32" s="90"/>
      <c r="I32" s="90"/>
      <c r="J32" s="90"/>
      <c r="K32" s="90"/>
      <c r="L32" s="90"/>
      <c r="M32" s="90"/>
      <c r="N32" s="90"/>
      <c r="O32" s="90"/>
      <c r="P32" s="90"/>
      <c r="Q32" s="90"/>
    </row>
    <row r="33" ht="12.75" customHeight="1">
      <c r="A33" s="90"/>
      <c r="B33" s="90"/>
      <c r="C33" s="90"/>
      <c r="D33" s="90"/>
      <c r="E33" s="90"/>
      <c r="F33" s="90"/>
      <c r="G33" s="90"/>
      <c r="H33" s="90"/>
      <c r="I33" s="90"/>
      <c r="J33" s="90"/>
      <c r="K33" s="90"/>
      <c r="L33" s="90"/>
      <c r="M33" s="90"/>
      <c r="N33" s="90"/>
      <c r="O33" s="90"/>
      <c r="P33" s="90"/>
      <c r="Q33" s="90"/>
    </row>
    <row r="34" ht="12.75" customHeight="1">
      <c r="A34" s="937" t="s">
        <v>4591</v>
      </c>
      <c r="B34" s="90"/>
      <c r="C34" s="90"/>
      <c r="D34" s="90"/>
      <c r="E34" s="90"/>
      <c r="F34" s="90"/>
      <c r="G34" s="90"/>
      <c r="H34" s="90"/>
      <c r="I34" s="90"/>
      <c r="J34" s="90"/>
      <c r="K34" s="90"/>
      <c r="L34" s="90"/>
      <c r="M34" s="90"/>
      <c r="N34" s="90"/>
      <c r="O34" s="90"/>
      <c r="P34" s="90"/>
      <c r="Q34" s="90"/>
    </row>
    <row r="35" ht="12.75" customHeight="1">
      <c r="A35" s="90"/>
      <c r="B35" s="90"/>
      <c r="C35" s="90"/>
      <c r="D35" s="90"/>
      <c r="E35" s="90"/>
      <c r="F35" s="90"/>
      <c r="G35" s="90"/>
      <c r="H35" s="90"/>
      <c r="I35" s="90"/>
      <c r="J35" s="90"/>
      <c r="K35" s="90"/>
      <c r="L35" s="90"/>
      <c r="M35" s="90"/>
      <c r="N35" s="90"/>
      <c r="O35" s="90"/>
      <c r="P35" s="90"/>
      <c r="Q35" s="90"/>
    </row>
    <row r="36" ht="12.75" customHeight="1">
      <c r="A36" s="937" t="s">
        <v>4592</v>
      </c>
      <c r="B36" s="90"/>
      <c r="C36" s="90"/>
      <c r="D36" s="90"/>
      <c r="E36" s="90"/>
      <c r="F36" s="90"/>
      <c r="G36" s="90"/>
      <c r="H36" s="90"/>
      <c r="I36" s="90"/>
      <c r="J36" s="90"/>
      <c r="K36" s="90"/>
      <c r="L36" s="90"/>
      <c r="M36" s="90"/>
      <c r="N36" s="90"/>
      <c r="O36" s="90"/>
      <c r="P36" s="90"/>
      <c r="Q36" s="90"/>
    </row>
    <row r="37" ht="12.75" customHeight="1">
      <c r="A37" s="90"/>
      <c r="B37" s="90"/>
      <c r="C37" s="90"/>
      <c r="D37" s="90"/>
      <c r="E37" s="90"/>
      <c r="F37" s="90"/>
      <c r="G37" s="90"/>
      <c r="H37" s="90"/>
      <c r="I37" s="90"/>
      <c r="J37" s="90"/>
      <c r="K37" s="90"/>
      <c r="L37" s="90"/>
      <c r="M37" s="90"/>
      <c r="N37" s="90"/>
      <c r="O37" s="90"/>
      <c r="P37" s="90"/>
      <c r="Q37" s="90"/>
    </row>
    <row r="38" ht="12.75" customHeight="1">
      <c r="A38" s="937" t="s">
        <v>4593</v>
      </c>
      <c r="B38" s="90"/>
      <c r="C38" s="90"/>
      <c r="D38" s="90"/>
      <c r="E38" s="90"/>
      <c r="F38" s="90"/>
      <c r="G38" s="90"/>
      <c r="H38" s="90"/>
      <c r="I38" s="90"/>
      <c r="J38" s="90"/>
      <c r="K38" s="90"/>
      <c r="L38" s="90"/>
      <c r="M38" s="90"/>
      <c r="N38" s="90"/>
      <c r="O38" s="90"/>
      <c r="P38" s="90"/>
      <c r="Q38" s="90"/>
    </row>
    <row r="39" ht="12.75" customHeight="1">
      <c r="A39" s="90"/>
      <c r="B39" s="90"/>
      <c r="C39" s="90"/>
      <c r="D39" s="90"/>
      <c r="E39" s="90"/>
      <c r="F39" s="90"/>
      <c r="G39" s="90"/>
      <c r="H39" s="90"/>
      <c r="I39" s="90"/>
      <c r="J39" s="90"/>
      <c r="K39" s="90"/>
      <c r="L39" s="90"/>
      <c r="M39" s="90"/>
      <c r="N39" s="90"/>
      <c r="O39" s="90"/>
      <c r="P39" s="90"/>
      <c r="Q39" s="90"/>
    </row>
    <row r="40" ht="12.75" customHeight="1">
      <c r="A40" s="937" t="s">
        <v>4594</v>
      </c>
      <c r="B40" s="90"/>
      <c r="C40" s="90"/>
      <c r="D40" s="90"/>
      <c r="E40" s="90"/>
      <c r="F40" s="90"/>
      <c r="G40" s="90"/>
      <c r="H40" s="90"/>
      <c r="I40" s="90"/>
      <c r="J40" s="90"/>
      <c r="K40" s="90"/>
      <c r="L40" s="90"/>
      <c r="M40" s="90"/>
      <c r="N40" s="90"/>
      <c r="O40" s="90"/>
      <c r="P40" s="90"/>
      <c r="Q40" s="90"/>
    </row>
    <row r="41" ht="12.75" customHeight="1">
      <c r="A41" s="90"/>
      <c r="B41" s="90"/>
      <c r="C41" s="90"/>
      <c r="D41" s="90"/>
      <c r="E41" s="90"/>
      <c r="F41" s="90"/>
      <c r="G41" s="90"/>
      <c r="H41" s="90"/>
      <c r="I41" s="90"/>
      <c r="J41" s="90"/>
      <c r="K41" s="90"/>
      <c r="L41" s="90"/>
      <c r="M41" s="90"/>
      <c r="N41" s="90"/>
      <c r="O41" s="90"/>
      <c r="P41" s="90"/>
      <c r="Q41" s="90"/>
    </row>
    <row r="42" ht="12.75" customHeight="1">
      <c r="A42" s="937" t="s">
        <v>4595</v>
      </c>
      <c r="B42" s="90"/>
      <c r="C42" s="90"/>
      <c r="D42" s="90"/>
      <c r="E42" s="90"/>
      <c r="F42" s="90"/>
      <c r="G42" s="90"/>
      <c r="H42" s="90"/>
      <c r="I42" s="90"/>
      <c r="J42" s="90"/>
      <c r="K42" s="90"/>
      <c r="L42" s="90"/>
      <c r="M42" s="90"/>
      <c r="N42" s="90"/>
      <c r="O42" s="90"/>
      <c r="P42" s="90"/>
      <c r="Q42" s="90"/>
    </row>
    <row r="43" ht="12.75" customHeight="1">
      <c r="A43" s="90"/>
      <c r="B43" s="90"/>
      <c r="C43" s="90"/>
      <c r="D43" s="90"/>
      <c r="E43" s="90"/>
      <c r="F43" s="90"/>
      <c r="G43" s="90"/>
      <c r="H43" s="90"/>
      <c r="I43" s="90"/>
      <c r="J43" s="90"/>
      <c r="K43" s="90"/>
      <c r="L43" s="90"/>
      <c r="M43" s="90"/>
      <c r="N43" s="90"/>
      <c r="O43" s="90"/>
      <c r="P43" s="90"/>
      <c r="Q43" s="90"/>
    </row>
    <row r="44" ht="12.75" customHeight="1">
      <c r="A44" s="937" t="s">
        <v>4596</v>
      </c>
      <c r="B44" s="90"/>
      <c r="C44" s="90"/>
      <c r="D44" s="90"/>
      <c r="E44" s="90"/>
      <c r="F44" s="90"/>
      <c r="G44" s="90"/>
      <c r="H44" s="90"/>
      <c r="I44" s="90"/>
      <c r="J44" s="90"/>
      <c r="K44" s="90"/>
      <c r="L44" s="90"/>
      <c r="M44" s="90"/>
      <c r="N44" s="90"/>
      <c r="O44" s="90"/>
      <c r="P44" s="90"/>
      <c r="Q44" s="90"/>
    </row>
    <row r="45" ht="12.75" customHeight="1">
      <c r="A45" s="90"/>
      <c r="B45" s="90"/>
      <c r="C45" s="90"/>
      <c r="D45" s="90"/>
      <c r="E45" s="90"/>
      <c r="F45" s="90"/>
      <c r="G45" s="90"/>
      <c r="H45" s="90"/>
      <c r="I45" s="90"/>
      <c r="J45" s="90"/>
      <c r="K45" s="90"/>
      <c r="L45" s="90"/>
      <c r="M45" s="90"/>
      <c r="N45" s="90"/>
      <c r="O45" s="90"/>
      <c r="P45" s="90"/>
      <c r="Q45" s="90"/>
    </row>
    <row r="46" ht="12.75" customHeight="1">
      <c r="A46" s="937" t="s">
        <v>4597</v>
      </c>
      <c r="B46" s="90"/>
      <c r="C46" s="90"/>
      <c r="D46" s="90"/>
      <c r="E46" s="90"/>
      <c r="F46" s="90"/>
      <c r="G46" s="90"/>
      <c r="H46" s="90"/>
      <c r="I46" s="90"/>
      <c r="J46" s="90"/>
      <c r="K46" s="90"/>
      <c r="L46" s="90"/>
      <c r="M46" s="90"/>
      <c r="N46" s="90"/>
      <c r="O46" s="90"/>
      <c r="P46" s="90"/>
      <c r="Q46" s="90"/>
    </row>
    <row r="47" ht="12.75" customHeight="1">
      <c r="A47" s="90"/>
      <c r="B47" s="90"/>
      <c r="C47" s="90"/>
      <c r="D47" s="90"/>
      <c r="E47" s="90"/>
      <c r="F47" s="90"/>
      <c r="G47" s="90"/>
      <c r="H47" s="90"/>
      <c r="I47" s="90"/>
      <c r="J47" s="90"/>
      <c r="K47" s="90"/>
      <c r="L47" s="90"/>
      <c r="M47" s="90"/>
      <c r="N47" s="90"/>
      <c r="O47" s="90"/>
      <c r="P47" s="90"/>
      <c r="Q47" s="90"/>
    </row>
    <row r="48" ht="12.75" customHeight="1">
      <c r="A48" s="937" t="s">
        <v>4598</v>
      </c>
      <c r="B48" s="90"/>
      <c r="C48" s="90"/>
      <c r="D48" s="90"/>
      <c r="E48" s="90"/>
      <c r="F48" s="90"/>
      <c r="G48" s="90"/>
      <c r="H48" s="90"/>
      <c r="I48" s="90"/>
      <c r="J48" s="90"/>
      <c r="K48" s="90"/>
      <c r="L48" s="90"/>
      <c r="M48" s="90"/>
      <c r="N48" s="90"/>
      <c r="O48" s="90"/>
      <c r="P48" s="90"/>
      <c r="Q48" s="90"/>
    </row>
    <row r="49" ht="12.75" customHeight="1">
      <c r="A49" s="90"/>
      <c r="B49" s="90"/>
      <c r="C49" s="90"/>
      <c r="D49" s="90"/>
      <c r="E49" s="90"/>
      <c r="F49" s="90"/>
      <c r="G49" s="90"/>
      <c r="H49" s="90"/>
      <c r="I49" s="90"/>
      <c r="J49" s="90"/>
      <c r="K49" s="90"/>
      <c r="L49" s="90"/>
      <c r="M49" s="90"/>
      <c r="N49" s="90"/>
      <c r="O49" s="90"/>
      <c r="P49" s="90"/>
      <c r="Q49" s="90"/>
    </row>
    <row r="50" ht="12.75" customHeight="1">
      <c r="A50" s="937" t="s">
        <v>4599</v>
      </c>
      <c r="B50" s="90"/>
      <c r="C50" s="90"/>
      <c r="D50" s="90"/>
      <c r="E50" s="90"/>
      <c r="F50" s="90"/>
      <c r="G50" s="90"/>
      <c r="H50" s="90"/>
      <c r="I50" s="90"/>
      <c r="J50" s="90"/>
      <c r="K50" s="90"/>
      <c r="L50" s="90"/>
      <c r="M50" s="90"/>
      <c r="N50" s="90"/>
      <c r="O50" s="90"/>
      <c r="P50" s="90"/>
      <c r="Q50" s="90"/>
    </row>
    <row r="51" ht="12.75" customHeight="1">
      <c r="A51" s="90"/>
      <c r="B51" s="90"/>
      <c r="C51" s="90"/>
      <c r="D51" s="90"/>
      <c r="E51" s="90"/>
      <c r="F51" s="90"/>
      <c r="G51" s="90"/>
      <c r="H51" s="90"/>
      <c r="I51" s="90"/>
      <c r="J51" s="90"/>
      <c r="K51" s="90"/>
      <c r="L51" s="90"/>
      <c r="M51" s="90"/>
      <c r="N51" s="90"/>
      <c r="O51" s="90"/>
      <c r="P51" s="90"/>
      <c r="Q51" s="90"/>
    </row>
    <row r="52" ht="12.75" customHeight="1">
      <c r="A52" s="937" t="s">
        <v>4600</v>
      </c>
      <c r="B52" s="90"/>
      <c r="C52" s="90"/>
      <c r="D52" s="90"/>
      <c r="E52" s="90"/>
      <c r="F52" s="90"/>
      <c r="G52" s="90"/>
      <c r="H52" s="90"/>
      <c r="I52" s="90"/>
      <c r="J52" s="90"/>
      <c r="K52" s="90"/>
      <c r="L52" s="90"/>
      <c r="M52" s="90"/>
      <c r="N52" s="90"/>
      <c r="O52" s="90"/>
      <c r="P52" s="90"/>
      <c r="Q52" s="90"/>
    </row>
    <row r="53" ht="12.75" customHeight="1">
      <c r="A53" s="90"/>
      <c r="B53" s="90"/>
      <c r="C53" s="90"/>
      <c r="D53" s="90"/>
      <c r="E53" s="90"/>
      <c r="F53" s="90"/>
      <c r="G53" s="90"/>
      <c r="H53" s="90"/>
      <c r="I53" s="90"/>
      <c r="J53" s="90"/>
      <c r="K53" s="90"/>
      <c r="L53" s="90"/>
      <c r="M53" s="90"/>
      <c r="N53" s="90"/>
      <c r="O53" s="90"/>
      <c r="P53" s="90"/>
      <c r="Q53" s="90"/>
    </row>
    <row r="54" ht="12.75" customHeight="1">
      <c r="A54" s="937" t="s">
        <v>4585</v>
      </c>
      <c r="B54" s="90"/>
      <c r="C54" s="90"/>
      <c r="D54" s="90"/>
      <c r="E54" s="90"/>
      <c r="F54" s="90"/>
      <c r="G54" s="90"/>
      <c r="H54" s="90"/>
      <c r="I54" s="90"/>
      <c r="J54" s="90"/>
      <c r="K54" s="90"/>
      <c r="L54" s="90"/>
      <c r="M54" s="90"/>
      <c r="N54" s="90"/>
      <c r="O54" s="90"/>
      <c r="P54" s="90"/>
      <c r="Q54" s="90"/>
    </row>
    <row r="55" ht="12.75" customHeight="1">
      <c r="A55" s="90"/>
      <c r="B55" s="90"/>
      <c r="C55" s="90"/>
      <c r="D55" s="90"/>
      <c r="E55" s="90"/>
      <c r="F55" s="90"/>
      <c r="G55" s="90"/>
      <c r="H55" s="90"/>
      <c r="I55" s="90"/>
      <c r="J55" s="90"/>
      <c r="K55" s="90"/>
      <c r="L55" s="90"/>
      <c r="M55" s="90"/>
      <c r="N55" s="90"/>
      <c r="O55" s="90"/>
      <c r="P55" s="90"/>
      <c r="Q55" s="90"/>
    </row>
    <row r="56" ht="12.75" customHeight="1">
      <c r="A56" s="90"/>
      <c r="B56" s="90"/>
      <c r="C56" s="90"/>
      <c r="D56" s="90"/>
      <c r="E56" s="90"/>
      <c r="F56" s="90"/>
      <c r="G56" s="90"/>
      <c r="H56" s="90"/>
      <c r="I56" s="90"/>
      <c r="J56" s="90"/>
      <c r="K56" s="90"/>
      <c r="L56" s="90"/>
      <c r="M56" s="90"/>
      <c r="N56" s="90"/>
      <c r="O56" s="90"/>
      <c r="P56" s="90"/>
      <c r="Q56" s="90"/>
    </row>
    <row r="57" ht="12.75" customHeight="1">
      <c r="A57" s="937" t="s">
        <v>4601</v>
      </c>
      <c r="B57" s="90"/>
      <c r="C57" s="90"/>
      <c r="D57" s="90"/>
      <c r="E57" s="90"/>
      <c r="F57" s="90"/>
      <c r="G57" s="90"/>
      <c r="H57" s="90"/>
      <c r="I57" s="90"/>
      <c r="J57" s="90"/>
      <c r="K57" s="90"/>
      <c r="L57" s="90"/>
      <c r="M57" s="90"/>
      <c r="N57" s="90"/>
      <c r="O57" s="90"/>
      <c r="P57" s="90"/>
      <c r="Q57" s="90"/>
    </row>
    <row r="58" ht="12.75" customHeight="1">
      <c r="A58" s="90"/>
      <c r="B58" s="90"/>
      <c r="C58" s="90"/>
      <c r="D58" s="90"/>
      <c r="E58" s="90"/>
      <c r="F58" s="90"/>
      <c r="G58" s="90"/>
      <c r="H58" s="90"/>
      <c r="I58" s="90"/>
      <c r="J58" s="90"/>
      <c r="K58" s="90"/>
      <c r="L58" s="90"/>
      <c r="M58" s="90"/>
      <c r="N58" s="90"/>
      <c r="O58" s="90"/>
      <c r="P58" s="90"/>
      <c r="Q58" s="90"/>
    </row>
    <row r="59" ht="12.75" customHeight="1">
      <c r="A59" s="937" t="s">
        <v>4601</v>
      </c>
      <c r="B59" s="90"/>
      <c r="C59" s="90"/>
      <c r="D59" s="90"/>
      <c r="E59" s="90"/>
      <c r="F59" s="90"/>
      <c r="G59" s="90"/>
      <c r="H59" s="90"/>
      <c r="I59" s="90"/>
      <c r="J59" s="90"/>
      <c r="K59" s="90"/>
      <c r="L59" s="90"/>
      <c r="M59" s="90"/>
      <c r="N59" s="90"/>
      <c r="O59" s="90"/>
      <c r="P59" s="90"/>
      <c r="Q59" s="90"/>
    </row>
    <row r="60" ht="12.75" customHeight="1">
      <c r="A60" s="90"/>
      <c r="B60" s="90"/>
      <c r="C60" s="90"/>
      <c r="D60" s="90"/>
      <c r="E60" s="90"/>
      <c r="F60" s="90"/>
      <c r="G60" s="90"/>
      <c r="H60" s="90"/>
      <c r="I60" s="90"/>
      <c r="J60" s="90"/>
      <c r="K60" s="90"/>
      <c r="L60" s="90"/>
      <c r="M60" s="90"/>
      <c r="N60" s="90"/>
      <c r="O60" s="90"/>
      <c r="P60" s="90"/>
      <c r="Q60" s="90"/>
    </row>
    <row r="61" ht="12.75" customHeight="1">
      <c r="A61" s="937" t="s">
        <v>4602</v>
      </c>
      <c r="B61" s="90"/>
      <c r="C61" s="90"/>
      <c r="D61" s="90"/>
      <c r="E61" s="90"/>
      <c r="F61" s="90"/>
      <c r="G61" s="90"/>
      <c r="H61" s="90"/>
      <c r="I61" s="90"/>
      <c r="J61" s="90"/>
      <c r="K61" s="90"/>
      <c r="L61" s="90"/>
      <c r="M61" s="90"/>
      <c r="N61" s="90"/>
      <c r="O61" s="90"/>
      <c r="P61" s="90"/>
      <c r="Q61" s="90"/>
    </row>
    <row r="62" ht="12.75" customHeight="1">
      <c r="A62" s="90"/>
      <c r="B62" s="90"/>
      <c r="C62" s="90"/>
      <c r="D62" s="90"/>
      <c r="E62" s="90"/>
      <c r="F62" s="90"/>
      <c r="G62" s="90"/>
      <c r="H62" s="90"/>
      <c r="I62" s="90"/>
      <c r="J62" s="90"/>
      <c r="K62" s="90"/>
      <c r="L62" s="90"/>
      <c r="M62" s="90"/>
      <c r="N62" s="90"/>
      <c r="O62" s="90"/>
      <c r="P62" s="90"/>
      <c r="Q62" s="90"/>
    </row>
    <row r="63" ht="12.75" customHeight="1">
      <c r="A63" s="937" t="s">
        <v>4603</v>
      </c>
      <c r="B63" s="90"/>
      <c r="C63" s="90"/>
      <c r="D63" s="90"/>
      <c r="E63" s="90"/>
      <c r="F63" s="90"/>
      <c r="G63" s="90"/>
      <c r="H63" s="90"/>
      <c r="I63" s="90"/>
      <c r="J63" s="90"/>
      <c r="K63" s="90"/>
      <c r="L63" s="90"/>
      <c r="M63" s="90"/>
      <c r="N63" s="90"/>
      <c r="O63" s="90"/>
      <c r="P63" s="90"/>
      <c r="Q63" s="90"/>
    </row>
    <row r="64" ht="12.75" customHeight="1">
      <c r="A64" s="90"/>
      <c r="B64" s="90"/>
      <c r="C64" s="90"/>
      <c r="D64" s="90"/>
      <c r="E64" s="90"/>
      <c r="F64" s="90"/>
      <c r="G64" s="90"/>
      <c r="H64" s="90"/>
      <c r="I64" s="90"/>
      <c r="J64" s="90"/>
      <c r="K64" s="90"/>
      <c r="L64" s="90"/>
      <c r="M64" s="90"/>
      <c r="N64" s="90"/>
      <c r="O64" s="90"/>
      <c r="P64" s="90"/>
      <c r="Q64" s="90"/>
    </row>
    <row r="65" ht="12.75" customHeight="1">
      <c r="A65" s="937" t="s">
        <v>4604</v>
      </c>
      <c r="B65" s="90"/>
      <c r="C65" s="90"/>
      <c r="D65" s="90"/>
      <c r="E65" s="90"/>
      <c r="F65" s="90"/>
      <c r="G65" s="90"/>
      <c r="H65" s="90"/>
      <c r="I65" s="90"/>
      <c r="J65" s="90"/>
      <c r="K65" s="90"/>
      <c r="L65" s="90"/>
      <c r="M65" s="90"/>
      <c r="N65" s="90"/>
      <c r="O65" s="90"/>
      <c r="P65" s="90"/>
      <c r="Q65" s="90"/>
    </row>
    <row r="66" ht="12.75" customHeight="1">
      <c r="A66" s="90"/>
      <c r="B66" s="90"/>
      <c r="C66" s="90"/>
      <c r="D66" s="90"/>
      <c r="E66" s="90"/>
      <c r="F66" s="90"/>
      <c r="G66" s="90"/>
      <c r="H66" s="90"/>
      <c r="I66" s="90"/>
      <c r="J66" s="90"/>
      <c r="K66" s="90"/>
      <c r="L66" s="90"/>
      <c r="M66" s="90"/>
      <c r="N66" s="90"/>
      <c r="O66" s="90"/>
      <c r="P66" s="90"/>
      <c r="Q66" s="90"/>
    </row>
    <row r="67" ht="12.75" customHeight="1">
      <c r="A67" s="937" t="s">
        <v>4605</v>
      </c>
      <c r="B67" s="90"/>
      <c r="C67" s="90"/>
      <c r="D67" s="90"/>
      <c r="E67" s="90"/>
      <c r="F67" s="90"/>
      <c r="G67" s="90"/>
      <c r="H67" s="90"/>
      <c r="I67" s="90"/>
      <c r="J67" s="90"/>
      <c r="K67" s="90"/>
      <c r="L67" s="90"/>
      <c r="M67" s="90"/>
      <c r="N67" s="90"/>
      <c r="O67" s="90"/>
      <c r="P67" s="90"/>
      <c r="Q67" s="90"/>
    </row>
    <row r="68" ht="12.75" customHeight="1">
      <c r="A68" s="90"/>
      <c r="B68" s="90"/>
      <c r="C68" s="90"/>
      <c r="D68" s="90"/>
      <c r="E68" s="90"/>
      <c r="F68" s="90"/>
      <c r="G68" s="90"/>
      <c r="H68" s="90"/>
      <c r="I68" s="90"/>
      <c r="J68" s="90"/>
      <c r="K68" s="90"/>
      <c r="L68" s="90"/>
      <c r="M68" s="90"/>
      <c r="N68" s="90"/>
      <c r="O68" s="90"/>
      <c r="P68" s="90"/>
      <c r="Q68" s="90"/>
    </row>
    <row r="69" ht="12.75" customHeight="1">
      <c r="A69" s="937" t="s">
        <v>4606</v>
      </c>
      <c r="B69" s="90"/>
      <c r="C69" s="90"/>
      <c r="D69" s="90"/>
      <c r="E69" s="90"/>
      <c r="F69" s="90"/>
      <c r="G69" s="90"/>
      <c r="H69" s="90"/>
      <c r="I69" s="90"/>
      <c r="J69" s="90"/>
      <c r="K69" s="90"/>
      <c r="L69" s="90"/>
      <c r="M69" s="90"/>
      <c r="N69" s="90"/>
      <c r="O69" s="90"/>
      <c r="P69" s="90"/>
      <c r="Q69" s="90"/>
    </row>
    <row r="70" ht="12.75" customHeight="1">
      <c r="A70" s="90"/>
      <c r="B70" s="90"/>
      <c r="C70" s="90"/>
      <c r="D70" s="90"/>
      <c r="E70" s="90"/>
      <c r="F70" s="90"/>
      <c r="G70" s="90"/>
      <c r="H70" s="90"/>
      <c r="I70" s="90"/>
      <c r="J70" s="90"/>
      <c r="K70" s="90"/>
      <c r="L70" s="90"/>
      <c r="M70" s="90"/>
      <c r="N70" s="90"/>
      <c r="O70" s="90"/>
      <c r="P70" s="90"/>
      <c r="Q70" s="90"/>
    </row>
    <row r="71" ht="12.75" customHeight="1">
      <c r="A71" s="937" t="s">
        <v>4607</v>
      </c>
      <c r="B71" s="90"/>
      <c r="C71" s="90"/>
      <c r="D71" s="90"/>
      <c r="E71" s="90"/>
      <c r="F71" s="90"/>
      <c r="G71" s="90"/>
      <c r="H71" s="90"/>
      <c r="I71" s="90"/>
      <c r="J71" s="90"/>
      <c r="K71" s="90"/>
      <c r="L71" s="90"/>
      <c r="M71" s="90"/>
      <c r="N71" s="90"/>
      <c r="O71" s="90"/>
      <c r="P71" s="90"/>
      <c r="Q71" s="90"/>
    </row>
    <row r="72" ht="12.75" customHeight="1">
      <c r="A72" s="90"/>
      <c r="B72" s="90"/>
      <c r="C72" s="90"/>
      <c r="D72" s="90"/>
      <c r="E72" s="90"/>
      <c r="F72" s="90"/>
      <c r="G72" s="90"/>
      <c r="H72" s="90"/>
      <c r="I72" s="90"/>
      <c r="J72" s="90"/>
      <c r="K72" s="90"/>
      <c r="L72" s="90"/>
      <c r="M72" s="90"/>
      <c r="N72" s="90"/>
      <c r="O72" s="90"/>
      <c r="P72" s="90"/>
      <c r="Q72" s="90"/>
    </row>
    <row r="73" ht="12.75" customHeight="1">
      <c r="A73" s="937" t="s">
        <v>4608</v>
      </c>
      <c r="B73" s="90"/>
      <c r="C73" s="90"/>
      <c r="D73" s="90"/>
      <c r="E73" s="90"/>
      <c r="F73" s="90"/>
      <c r="G73" s="90"/>
      <c r="H73" s="90"/>
      <c r="I73" s="90"/>
      <c r="J73" s="90"/>
      <c r="K73" s="90"/>
      <c r="L73" s="90"/>
      <c r="M73" s="90"/>
      <c r="N73" s="90"/>
      <c r="O73" s="90"/>
      <c r="P73" s="90"/>
      <c r="Q73" s="90"/>
    </row>
    <row r="74" ht="12.75" customHeight="1">
      <c r="A74" s="90"/>
      <c r="B74" s="90"/>
      <c r="C74" s="90"/>
      <c r="D74" s="90"/>
      <c r="E74" s="90"/>
      <c r="F74" s="90"/>
      <c r="G74" s="90"/>
      <c r="H74" s="90"/>
      <c r="I74" s="90"/>
      <c r="J74" s="90"/>
      <c r="K74" s="90"/>
      <c r="L74" s="90"/>
      <c r="M74" s="90"/>
      <c r="N74" s="90"/>
      <c r="O74" s="90"/>
      <c r="P74" s="90"/>
      <c r="Q74" s="90"/>
    </row>
    <row r="75" ht="12.75" customHeight="1">
      <c r="A75" s="937" t="s">
        <v>4609</v>
      </c>
      <c r="B75" s="90"/>
      <c r="C75" s="90"/>
      <c r="D75" s="90"/>
      <c r="E75" s="90"/>
      <c r="F75" s="90"/>
      <c r="G75" s="90"/>
      <c r="H75" s="90"/>
      <c r="I75" s="90"/>
      <c r="J75" s="90"/>
      <c r="K75" s="90"/>
      <c r="L75" s="90"/>
      <c r="M75" s="90"/>
      <c r="N75" s="90"/>
      <c r="O75" s="90"/>
      <c r="P75" s="90"/>
      <c r="Q75" s="90"/>
    </row>
    <row r="76" ht="12.75" customHeight="1">
      <c r="A76" s="90"/>
      <c r="B76" s="90"/>
      <c r="C76" s="90"/>
      <c r="D76" s="90"/>
      <c r="E76" s="90"/>
      <c r="F76" s="90"/>
      <c r="G76" s="90"/>
      <c r="H76" s="90"/>
      <c r="I76" s="90"/>
      <c r="J76" s="90"/>
      <c r="K76" s="90"/>
      <c r="L76" s="90"/>
      <c r="M76" s="90"/>
      <c r="N76" s="90"/>
      <c r="O76" s="90"/>
      <c r="P76" s="90"/>
      <c r="Q76" s="90"/>
    </row>
    <row r="77" ht="12.75" customHeight="1">
      <c r="A77" s="937" t="s">
        <v>4610</v>
      </c>
      <c r="B77" s="90"/>
      <c r="C77" s="90"/>
      <c r="D77" s="90"/>
      <c r="E77" s="90"/>
      <c r="F77" s="90"/>
      <c r="G77" s="90"/>
      <c r="H77" s="90"/>
      <c r="I77" s="90"/>
      <c r="J77" s="90"/>
      <c r="K77" s="90"/>
      <c r="L77" s="90"/>
      <c r="M77" s="90"/>
      <c r="N77" s="90"/>
      <c r="O77" s="90"/>
      <c r="P77" s="90"/>
      <c r="Q77" s="90"/>
    </row>
    <row r="78" ht="12.75" customHeight="1">
      <c r="A78" s="90"/>
      <c r="B78" s="90"/>
      <c r="C78" s="90"/>
      <c r="D78" s="90"/>
      <c r="E78" s="90"/>
      <c r="F78" s="90"/>
      <c r="G78" s="90"/>
      <c r="H78" s="90"/>
      <c r="I78" s="90"/>
      <c r="J78" s="90"/>
      <c r="K78" s="90"/>
      <c r="L78" s="90"/>
      <c r="M78" s="90"/>
      <c r="N78" s="90"/>
      <c r="O78" s="90"/>
      <c r="P78" s="90"/>
      <c r="Q78" s="90"/>
    </row>
    <row r="79" ht="12.75" customHeight="1">
      <c r="A79" s="937" t="s">
        <v>4611</v>
      </c>
      <c r="B79" s="90"/>
      <c r="C79" s="90"/>
      <c r="D79" s="90"/>
      <c r="E79" s="90"/>
      <c r="F79" s="90"/>
      <c r="G79" s="90"/>
      <c r="H79" s="90"/>
      <c r="I79" s="90"/>
      <c r="J79" s="90"/>
      <c r="K79" s="90"/>
      <c r="L79" s="90"/>
      <c r="M79" s="90"/>
      <c r="N79" s="90"/>
      <c r="O79" s="90"/>
      <c r="P79" s="90"/>
      <c r="Q79" s="90"/>
    </row>
    <row r="80" ht="12.75" customHeight="1">
      <c r="A80" s="90"/>
      <c r="B80" s="90"/>
      <c r="C80" s="90"/>
      <c r="D80" s="90"/>
      <c r="E80" s="90"/>
      <c r="F80" s="90"/>
      <c r="G80" s="90"/>
      <c r="H80" s="90"/>
      <c r="I80" s="90"/>
      <c r="J80" s="90"/>
      <c r="K80" s="90"/>
      <c r="L80" s="90"/>
      <c r="M80" s="90"/>
      <c r="N80" s="90"/>
      <c r="O80" s="90"/>
      <c r="P80" s="90"/>
      <c r="Q80" s="90"/>
    </row>
    <row r="81" ht="12.75" customHeight="1">
      <c r="A81" s="937" t="s">
        <v>4612</v>
      </c>
      <c r="B81" s="90"/>
      <c r="C81" s="90"/>
      <c r="D81" s="90"/>
      <c r="E81" s="90"/>
      <c r="F81" s="90"/>
      <c r="G81" s="90"/>
      <c r="H81" s="90"/>
      <c r="I81" s="90"/>
      <c r="J81" s="90"/>
      <c r="K81" s="90"/>
      <c r="L81" s="90"/>
      <c r="M81" s="90"/>
      <c r="N81" s="90"/>
      <c r="O81" s="90"/>
      <c r="P81" s="90"/>
      <c r="Q81" s="90"/>
    </row>
    <row r="82" ht="12.75" customHeight="1">
      <c r="A82" s="90"/>
      <c r="B82" s="90"/>
      <c r="C82" s="90"/>
      <c r="D82" s="90"/>
      <c r="E82" s="90"/>
      <c r="F82" s="90"/>
      <c r="G82" s="90"/>
      <c r="H82" s="90"/>
      <c r="I82" s="90"/>
      <c r="J82" s="90"/>
      <c r="K82" s="90"/>
      <c r="L82" s="90"/>
      <c r="M82" s="90"/>
      <c r="N82" s="90"/>
      <c r="O82" s="90"/>
      <c r="P82" s="90"/>
      <c r="Q82" s="90"/>
    </row>
    <row r="83" ht="12.75" customHeight="1">
      <c r="A83" s="937" t="s">
        <v>4601</v>
      </c>
      <c r="B83" s="90"/>
      <c r="C83" s="90"/>
      <c r="D83" s="90"/>
      <c r="E83" s="90"/>
      <c r="F83" s="90"/>
      <c r="G83" s="90"/>
      <c r="H83" s="90"/>
      <c r="I83" s="90"/>
      <c r="J83" s="90"/>
      <c r="K83" s="90"/>
      <c r="L83" s="90"/>
      <c r="M83" s="90"/>
      <c r="N83" s="90"/>
      <c r="O83" s="90"/>
      <c r="P83" s="90"/>
      <c r="Q83" s="90"/>
    </row>
    <row r="84" ht="12.75" customHeight="1">
      <c r="A84" s="90"/>
      <c r="B84" s="90"/>
      <c r="C84" s="90"/>
      <c r="D84" s="90"/>
      <c r="E84" s="90"/>
      <c r="F84" s="90"/>
      <c r="G84" s="90"/>
      <c r="H84" s="90"/>
      <c r="I84" s="90"/>
      <c r="J84" s="90"/>
      <c r="K84" s="90"/>
      <c r="L84" s="90"/>
      <c r="M84" s="90"/>
      <c r="N84" s="90"/>
      <c r="O84" s="90"/>
      <c r="P84" s="90"/>
      <c r="Q84" s="90"/>
    </row>
    <row r="85" ht="12.75" customHeight="1">
      <c r="A85" s="90"/>
      <c r="B85" s="90"/>
      <c r="C85" s="90"/>
      <c r="D85" s="90"/>
      <c r="E85" s="90"/>
      <c r="F85" s="90"/>
      <c r="G85" s="90"/>
      <c r="H85" s="90"/>
      <c r="I85" s="90"/>
      <c r="J85" s="90"/>
      <c r="K85" s="90"/>
      <c r="L85" s="90"/>
      <c r="M85" s="90"/>
      <c r="N85" s="90"/>
      <c r="O85" s="90"/>
      <c r="P85" s="90"/>
      <c r="Q85" s="90"/>
    </row>
    <row r="86" ht="12.75" customHeight="1">
      <c r="A86" s="937" t="s">
        <v>4613</v>
      </c>
      <c r="B86" s="90"/>
      <c r="C86" s="90"/>
      <c r="D86" s="90"/>
      <c r="E86" s="90"/>
      <c r="F86" s="90"/>
      <c r="G86" s="90"/>
      <c r="H86" s="90"/>
      <c r="I86" s="90"/>
      <c r="J86" s="90"/>
      <c r="K86" s="90"/>
      <c r="L86" s="90"/>
      <c r="M86" s="90"/>
      <c r="N86" s="90"/>
      <c r="O86" s="90"/>
      <c r="P86" s="90"/>
      <c r="Q86" s="90"/>
    </row>
    <row r="87" ht="12.75" customHeight="1">
      <c r="A87" s="90"/>
      <c r="B87" s="90"/>
      <c r="C87" s="90"/>
      <c r="D87" s="90"/>
      <c r="E87" s="90"/>
      <c r="F87" s="90"/>
      <c r="G87" s="90"/>
      <c r="H87" s="90"/>
      <c r="I87" s="90"/>
      <c r="J87" s="90"/>
      <c r="K87" s="90"/>
      <c r="L87" s="90"/>
      <c r="M87" s="90"/>
      <c r="N87" s="90"/>
      <c r="O87" s="90"/>
      <c r="P87" s="90"/>
      <c r="Q87" s="90"/>
    </row>
    <row r="88" ht="12.75" customHeight="1">
      <c r="A88" s="937" t="s">
        <v>4614</v>
      </c>
      <c r="B88" s="90"/>
      <c r="C88" s="90"/>
      <c r="D88" s="90"/>
      <c r="E88" s="90"/>
      <c r="F88" s="90"/>
      <c r="G88" s="90"/>
      <c r="H88" s="90"/>
      <c r="I88" s="90"/>
      <c r="J88" s="90"/>
      <c r="K88" s="90"/>
      <c r="L88" s="90"/>
      <c r="M88" s="90"/>
      <c r="N88" s="90"/>
      <c r="O88" s="90"/>
      <c r="P88" s="90"/>
      <c r="Q88" s="90"/>
    </row>
    <row r="89" ht="12.75" customHeight="1">
      <c r="A89" s="90"/>
      <c r="B89" s="90"/>
      <c r="C89" s="90"/>
      <c r="D89" s="90"/>
      <c r="E89" s="90"/>
      <c r="F89" s="90"/>
      <c r="G89" s="90"/>
      <c r="H89" s="90"/>
      <c r="I89" s="90"/>
      <c r="J89" s="90"/>
      <c r="K89" s="90"/>
      <c r="L89" s="90"/>
      <c r="M89" s="90"/>
      <c r="N89" s="90"/>
      <c r="O89" s="90"/>
      <c r="P89" s="90"/>
      <c r="Q89" s="90"/>
    </row>
    <row r="90" ht="12.75" customHeight="1">
      <c r="A90" s="937" t="s">
        <v>4615</v>
      </c>
      <c r="B90" s="90"/>
      <c r="C90" s="90"/>
      <c r="D90" s="90"/>
      <c r="E90" s="90"/>
      <c r="F90" s="90"/>
      <c r="G90" s="90"/>
      <c r="H90" s="90"/>
      <c r="I90" s="90"/>
      <c r="J90" s="90"/>
      <c r="K90" s="90"/>
      <c r="L90" s="90"/>
      <c r="M90" s="90"/>
      <c r="N90" s="90"/>
      <c r="O90" s="90"/>
      <c r="P90" s="90"/>
      <c r="Q90" s="90"/>
    </row>
    <row r="91" ht="12.75" customHeight="1">
      <c r="A91" s="90"/>
      <c r="B91" s="90"/>
      <c r="C91" s="90"/>
      <c r="D91" s="90"/>
      <c r="E91" s="90"/>
      <c r="F91" s="90"/>
      <c r="G91" s="90"/>
      <c r="H91" s="90"/>
      <c r="I91" s="90"/>
      <c r="J91" s="90"/>
      <c r="K91" s="90"/>
      <c r="L91" s="90"/>
      <c r="M91" s="90"/>
      <c r="N91" s="90"/>
      <c r="O91" s="90"/>
      <c r="P91" s="90"/>
      <c r="Q91" s="90"/>
    </row>
    <row r="92" ht="12.75" customHeight="1">
      <c r="A92" s="937" t="s">
        <v>4616</v>
      </c>
      <c r="B92" s="90"/>
      <c r="C92" s="90"/>
      <c r="D92" s="90"/>
      <c r="E92" s="90"/>
      <c r="F92" s="90"/>
      <c r="G92" s="90"/>
      <c r="H92" s="90"/>
      <c r="I92" s="90"/>
      <c r="J92" s="90"/>
      <c r="K92" s="90"/>
      <c r="L92" s="90"/>
      <c r="M92" s="90"/>
      <c r="N92" s="90"/>
      <c r="O92" s="90"/>
      <c r="P92" s="90"/>
      <c r="Q92" s="90"/>
    </row>
    <row r="93" ht="12.75" customHeight="1">
      <c r="A93" s="90"/>
      <c r="B93" s="90"/>
      <c r="C93" s="90"/>
      <c r="D93" s="90"/>
      <c r="E93" s="90"/>
      <c r="F93" s="90"/>
      <c r="G93" s="90"/>
      <c r="H93" s="90"/>
      <c r="I93" s="90"/>
      <c r="J93" s="90"/>
      <c r="K93" s="90"/>
      <c r="L93" s="90"/>
      <c r="M93" s="90"/>
      <c r="N93" s="90"/>
      <c r="O93" s="90"/>
      <c r="P93" s="90"/>
      <c r="Q93" s="90"/>
    </row>
    <row r="94" ht="12.75" customHeight="1">
      <c r="A94" s="937" t="s">
        <v>4617</v>
      </c>
      <c r="B94" s="90"/>
      <c r="C94" s="90"/>
      <c r="D94" s="90"/>
      <c r="E94" s="90"/>
      <c r="F94" s="90"/>
      <c r="G94" s="90"/>
      <c r="H94" s="90"/>
      <c r="I94" s="90"/>
      <c r="J94" s="90"/>
      <c r="K94" s="90"/>
      <c r="L94" s="90"/>
      <c r="M94" s="90"/>
      <c r="N94" s="90"/>
      <c r="O94" s="90"/>
      <c r="P94" s="90"/>
      <c r="Q94" s="90"/>
    </row>
    <row r="95" ht="12.75" customHeight="1">
      <c r="A95" s="90"/>
      <c r="B95" s="90"/>
      <c r="C95" s="90"/>
      <c r="D95" s="90"/>
      <c r="E95" s="90"/>
      <c r="F95" s="90"/>
      <c r="G95" s="90"/>
      <c r="H95" s="90"/>
      <c r="I95" s="90"/>
      <c r="J95" s="90"/>
      <c r="K95" s="90"/>
      <c r="L95" s="90"/>
      <c r="M95" s="90"/>
      <c r="N95" s="90"/>
      <c r="O95" s="90"/>
      <c r="P95" s="90"/>
      <c r="Q95" s="90"/>
    </row>
    <row r="96" ht="12.75" customHeight="1">
      <c r="A96" s="937" t="s">
        <v>4618</v>
      </c>
      <c r="B96" s="90"/>
      <c r="C96" s="90"/>
      <c r="D96" s="90"/>
      <c r="E96" s="90"/>
      <c r="F96" s="90"/>
      <c r="G96" s="90"/>
      <c r="H96" s="90"/>
      <c r="I96" s="90"/>
      <c r="J96" s="90"/>
      <c r="K96" s="90"/>
      <c r="L96" s="90"/>
      <c r="M96" s="90"/>
      <c r="N96" s="90"/>
      <c r="O96" s="90"/>
      <c r="P96" s="90"/>
      <c r="Q96" s="90"/>
    </row>
    <row r="97" ht="12.75" customHeight="1">
      <c r="A97" s="90"/>
      <c r="B97" s="90"/>
      <c r="C97" s="90"/>
      <c r="D97" s="90"/>
      <c r="E97" s="90"/>
      <c r="F97" s="90"/>
      <c r="G97" s="90"/>
      <c r="H97" s="90"/>
      <c r="I97" s="90"/>
      <c r="J97" s="90"/>
      <c r="K97" s="90"/>
      <c r="L97" s="90"/>
      <c r="M97" s="90"/>
      <c r="N97" s="90"/>
      <c r="O97" s="90"/>
      <c r="P97" s="90"/>
      <c r="Q97" s="90"/>
    </row>
    <row r="98" ht="12.75" customHeight="1">
      <c r="A98" s="937" t="s">
        <v>4619</v>
      </c>
      <c r="B98" s="90"/>
      <c r="C98" s="90"/>
      <c r="D98" s="90"/>
      <c r="E98" s="90"/>
      <c r="F98" s="90"/>
      <c r="G98" s="90"/>
      <c r="H98" s="90"/>
      <c r="I98" s="90"/>
      <c r="J98" s="90"/>
      <c r="K98" s="90"/>
      <c r="L98" s="90"/>
      <c r="M98" s="90"/>
      <c r="N98" s="90"/>
      <c r="O98" s="90"/>
      <c r="P98" s="90"/>
      <c r="Q98" s="90"/>
    </row>
    <row r="99" ht="12.75" customHeight="1">
      <c r="A99" s="90"/>
      <c r="B99" s="90"/>
      <c r="C99" s="90"/>
      <c r="D99" s="90"/>
      <c r="E99" s="90"/>
      <c r="F99" s="90"/>
      <c r="G99" s="90"/>
      <c r="H99" s="90"/>
      <c r="I99" s="90"/>
      <c r="J99" s="90"/>
      <c r="K99" s="90"/>
      <c r="L99" s="90"/>
      <c r="M99" s="90"/>
      <c r="N99" s="90"/>
      <c r="O99" s="90"/>
      <c r="P99" s="90"/>
      <c r="Q99" s="90"/>
    </row>
    <row r="100" ht="12.75" customHeight="1">
      <c r="A100" s="937" t="s">
        <v>4620</v>
      </c>
      <c r="B100" s="90"/>
      <c r="C100" s="90"/>
      <c r="D100" s="90"/>
      <c r="E100" s="90"/>
      <c r="F100" s="90"/>
      <c r="G100" s="90"/>
      <c r="H100" s="90"/>
      <c r="I100" s="90"/>
      <c r="J100" s="90"/>
      <c r="K100" s="90"/>
      <c r="L100" s="90"/>
      <c r="M100" s="90"/>
      <c r="N100" s="90"/>
      <c r="O100" s="90"/>
      <c r="P100" s="90"/>
      <c r="Q100" s="90"/>
    </row>
    <row r="101" ht="12.75" customHeight="1">
      <c r="A101" s="90"/>
      <c r="B101" s="90"/>
      <c r="C101" s="90"/>
      <c r="D101" s="90"/>
      <c r="E101" s="90"/>
      <c r="F101" s="90"/>
      <c r="G101" s="90"/>
      <c r="H101" s="90"/>
      <c r="I101" s="90"/>
      <c r="J101" s="90"/>
      <c r="K101" s="90"/>
      <c r="L101" s="90"/>
      <c r="M101" s="90"/>
      <c r="N101" s="90"/>
      <c r="O101" s="90"/>
      <c r="P101" s="90"/>
      <c r="Q101" s="90"/>
    </row>
    <row r="102" ht="12.75" customHeight="1">
      <c r="A102" s="937" t="s">
        <v>4616</v>
      </c>
      <c r="B102" s="90"/>
      <c r="C102" s="90"/>
      <c r="D102" s="90"/>
      <c r="E102" s="90"/>
      <c r="F102" s="90"/>
      <c r="G102" s="90"/>
      <c r="H102" s="90"/>
      <c r="I102" s="90"/>
      <c r="J102" s="90"/>
      <c r="K102" s="90"/>
      <c r="L102" s="90"/>
      <c r="M102" s="90"/>
      <c r="N102" s="90"/>
      <c r="O102" s="90"/>
      <c r="P102" s="90"/>
      <c r="Q102" s="90"/>
    </row>
    <row r="103" ht="12.75" customHeight="1">
      <c r="A103" s="90"/>
      <c r="B103" s="90"/>
      <c r="C103" s="90"/>
      <c r="D103" s="90"/>
      <c r="E103" s="90"/>
      <c r="F103" s="90"/>
      <c r="G103" s="90"/>
      <c r="H103" s="90"/>
      <c r="I103" s="90"/>
      <c r="J103" s="90"/>
      <c r="K103" s="90"/>
      <c r="L103" s="90"/>
      <c r="M103" s="90"/>
      <c r="N103" s="90"/>
      <c r="O103" s="90"/>
      <c r="P103" s="90"/>
      <c r="Q103" s="90"/>
    </row>
    <row r="104" ht="12.75" customHeight="1">
      <c r="A104" s="937" t="s">
        <v>4621</v>
      </c>
      <c r="B104" s="90"/>
      <c r="C104" s="90"/>
      <c r="D104" s="90"/>
      <c r="E104" s="90"/>
      <c r="F104" s="90"/>
      <c r="G104" s="90"/>
      <c r="H104" s="90"/>
      <c r="I104" s="90"/>
      <c r="J104" s="90"/>
      <c r="K104" s="90"/>
      <c r="L104" s="90"/>
      <c r="M104" s="90"/>
      <c r="N104" s="90"/>
      <c r="O104" s="90"/>
      <c r="P104" s="90"/>
      <c r="Q104" s="90"/>
    </row>
    <row r="105" ht="12.75" customHeight="1">
      <c r="A105" s="90"/>
      <c r="B105" s="90"/>
      <c r="C105" s="90"/>
      <c r="D105" s="90"/>
      <c r="E105" s="90"/>
      <c r="F105" s="90"/>
      <c r="G105" s="90"/>
      <c r="H105" s="90"/>
      <c r="I105" s="90"/>
      <c r="J105" s="90"/>
      <c r="K105" s="90"/>
      <c r="L105" s="90"/>
      <c r="M105" s="90"/>
      <c r="N105" s="90"/>
      <c r="O105" s="90"/>
      <c r="P105" s="90"/>
      <c r="Q105" s="90"/>
    </row>
    <row r="106" ht="12.75" customHeight="1">
      <c r="A106" s="937" t="s">
        <v>4622</v>
      </c>
      <c r="B106" s="90"/>
      <c r="C106" s="90"/>
      <c r="D106" s="90"/>
      <c r="E106" s="90"/>
      <c r="F106" s="90"/>
      <c r="G106" s="90"/>
      <c r="H106" s="90"/>
      <c r="I106" s="90"/>
      <c r="J106" s="90"/>
      <c r="K106" s="90"/>
      <c r="L106" s="90"/>
      <c r="M106" s="90"/>
      <c r="N106" s="90"/>
      <c r="O106" s="90"/>
      <c r="P106" s="90"/>
      <c r="Q106" s="90"/>
    </row>
    <row r="107" ht="12.75" customHeight="1">
      <c r="A107" s="90"/>
      <c r="B107" s="90"/>
      <c r="C107" s="90"/>
      <c r="D107" s="90"/>
      <c r="E107" s="90"/>
      <c r="F107" s="90"/>
      <c r="G107" s="90"/>
      <c r="H107" s="90"/>
      <c r="I107" s="90"/>
      <c r="J107" s="90"/>
      <c r="K107" s="90"/>
      <c r="L107" s="90"/>
      <c r="M107" s="90"/>
      <c r="N107" s="90"/>
      <c r="O107" s="90"/>
      <c r="P107" s="90"/>
      <c r="Q107" s="90"/>
    </row>
    <row r="108" ht="12.75" customHeight="1">
      <c r="A108" s="937" t="s">
        <v>4623</v>
      </c>
      <c r="B108" s="90"/>
      <c r="C108" s="90"/>
      <c r="D108" s="90"/>
      <c r="E108" s="90"/>
      <c r="F108" s="90"/>
      <c r="G108" s="90"/>
      <c r="H108" s="90"/>
      <c r="I108" s="90"/>
      <c r="J108" s="90"/>
      <c r="K108" s="90"/>
      <c r="L108" s="90"/>
      <c r="M108" s="90"/>
      <c r="N108" s="90"/>
      <c r="O108" s="90"/>
      <c r="P108" s="90"/>
      <c r="Q108" s="90"/>
    </row>
    <row r="109" ht="12.75" customHeight="1">
      <c r="A109" s="90"/>
      <c r="B109" s="90"/>
      <c r="C109" s="90"/>
      <c r="D109" s="90"/>
      <c r="E109" s="90"/>
      <c r="F109" s="90"/>
      <c r="G109" s="90"/>
      <c r="H109" s="90"/>
      <c r="I109" s="90"/>
      <c r="J109" s="90"/>
      <c r="K109" s="90"/>
      <c r="L109" s="90"/>
      <c r="M109" s="90"/>
      <c r="N109" s="90"/>
      <c r="O109" s="90"/>
      <c r="P109" s="90"/>
      <c r="Q109" s="90"/>
    </row>
    <row r="110" ht="12.75" customHeight="1">
      <c r="A110" s="937" t="s">
        <v>4624</v>
      </c>
      <c r="B110" s="90"/>
      <c r="C110" s="90"/>
      <c r="D110" s="90"/>
      <c r="E110" s="90"/>
      <c r="F110" s="90"/>
      <c r="G110" s="90"/>
      <c r="H110" s="90"/>
      <c r="I110" s="90"/>
      <c r="J110" s="90"/>
      <c r="K110" s="90"/>
      <c r="L110" s="90"/>
      <c r="M110" s="90"/>
      <c r="N110" s="90"/>
      <c r="O110" s="90"/>
      <c r="P110" s="90"/>
      <c r="Q110" s="90"/>
    </row>
    <row r="111" ht="12.75" customHeight="1">
      <c r="A111" s="90"/>
      <c r="B111" s="90"/>
      <c r="C111" s="90"/>
      <c r="D111" s="90"/>
      <c r="E111" s="90"/>
      <c r="F111" s="90"/>
      <c r="G111" s="90"/>
      <c r="H111" s="90"/>
      <c r="I111" s="90"/>
      <c r="J111" s="90"/>
      <c r="K111" s="90"/>
      <c r="L111" s="90"/>
      <c r="M111" s="90"/>
      <c r="N111" s="90"/>
      <c r="O111" s="90"/>
      <c r="P111" s="90"/>
      <c r="Q111" s="90"/>
    </row>
    <row r="112" ht="12.75" customHeight="1">
      <c r="A112" s="937" t="s">
        <v>4621</v>
      </c>
      <c r="B112" s="90"/>
      <c r="C112" s="90"/>
      <c r="D112" s="90"/>
      <c r="E112" s="90"/>
      <c r="F112" s="90"/>
      <c r="G112" s="90"/>
      <c r="H112" s="90"/>
      <c r="I112" s="90"/>
      <c r="J112" s="90"/>
      <c r="K112" s="90"/>
      <c r="L112" s="90"/>
      <c r="M112" s="90"/>
      <c r="N112" s="90"/>
      <c r="O112" s="90"/>
      <c r="P112" s="90"/>
      <c r="Q112" s="90"/>
    </row>
    <row r="113" ht="12.75" customHeight="1">
      <c r="A113" s="90"/>
      <c r="B113" s="90"/>
      <c r="C113" s="90"/>
      <c r="D113" s="90"/>
      <c r="E113" s="90"/>
      <c r="F113" s="90"/>
      <c r="G113" s="90"/>
      <c r="H113" s="90"/>
      <c r="I113" s="90"/>
      <c r="J113" s="90"/>
      <c r="K113" s="90"/>
      <c r="L113" s="90"/>
      <c r="M113" s="90"/>
      <c r="N113" s="90"/>
      <c r="O113" s="90"/>
      <c r="P113" s="90"/>
      <c r="Q113" s="90"/>
    </row>
    <row r="114" ht="12.75" customHeight="1">
      <c r="A114" s="937" t="s">
        <v>4622</v>
      </c>
      <c r="B114" s="90"/>
      <c r="C114" s="90"/>
      <c r="D114" s="90"/>
      <c r="E114" s="90"/>
      <c r="F114" s="90"/>
      <c r="G114" s="90"/>
      <c r="H114" s="90"/>
      <c r="I114" s="90"/>
      <c r="J114" s="90"/>
      <c r="K114" s="90"/>
      <c r="L114" s="90"/>
      <c r="M114" s="90"/>
      <c r="N114" s="90"/>
      <c r="O114" s="90"/>
      <c r="P114" s="90"/>
      <c r="Q114" s="90"/>
    </row>
    <row r="115" ht="12.75" customHeight="1">
      <c r="A115" s="90"/>
      <c r="B115" s="90"/>
      <c r="C115" s="90"/>
      <c r="D115" s="90"/>
      <c r="E115" s="90"/>
      <c r="F115" s="90"/>
      <c r="G115" s="90"/>
      <c r="H115" s="90"/>
      <c r="I115" s="90"/>
      <c r="J115" s="90"/>
      <c r="K115" s="90"/>
      <c r="L115" s="90"/>
      <c r="M115" s="90"/>
      <c r="N115" s="90"/>
      <c r="O115" s="90"/>
      <c r="P115" s="90"/>
      <c r="Q115" s="90"/>
    </row>
    <row r="116" ht="12.75" customHeight="1">
      <c r="A116" s="937" t="s">
        <v>4625</v>
      </c>
      <c r="B116" s="90"/>
      <c r="C116" s="90"/>
      <c r="D116" s="90"/>
      <c r="E116" s="90"/>
      <c r="F116" s="90"/>
      <c r="G116" s="90"/>
      <c r="H116" s="90"/>
      <c r="I116" s="90"/>
      <c r="J116" s="90"/>
      <c r="K116" s="90"/>
      <c r="L116" s="90"/>
      <c r="M116" s="90"/>
      <c r="N116" s="90"/>
      <c r="O116" s="90"/>
      <c r="P116" s="90"/>
      <c r="Q116" s="90"/>
    </row>
    <row r="117" ht="12.75" customHeight="1">
      <c r="A117" s="90"/>
      <c r="B117" s="90"/>
      <c r="C117" s="90"/>
      <c r="D117" s="90"/>
      <c r="E117" s="90"/>
      <c r="F117" s="90"/>
      <c r="G117" s="90"/>
      <c r="H117" s="90"/>
      <c r="I117" s="90"/>
      <c r="J117" s="90"/>
      <c r="K117" s="90"/>
      <c r="L117" s="90"/>
      <c r="M117" s="90"/>
      <c r="N117" s="90"/>
      <c r="O117" s="90"/>
      <c r="P117" s="90"/>
      <c r="Q117" s="90"/>
    </row>
    <row r="118" ht="12.75" customHeight="1">
      <c r="A118" s="937" t="s">
        <v>4626</v>
      </c>
      <c r="B118" s="90"/>
      <c r="C118" s="90"/>
      <c r="D118" s="90"/>
      <c r="E118" s="90"/>
      <c r="F118" s="90"/>
      <c r="G118" s="90"/>
      <c r="H118" s="90"/>
      <c r="I118" s="90"/>
      <c r="J118" s="90"/>
      <c r="K118" s="90"/>
      <c r="L118" s="90"/>
      <c r="M118" s="90"/>
      <c r="N118" s="90"/>
      <c r="O118" s="90"/>
      <c r="P118" s="90"/>
      <c r="Q118" s="90"/>
    </row>
    <row r="119" ht="12.75" customHeight="1">
      <c r="A119" s="90"/>
      <c r="B119" s="90"/>
      <c r="C119" s="90"/>
      <c r="D119" s="90"/>
      <c r="E119" s="90"/>
      <c r="F119" s="90"/>
      <c r="G119" s="90"/>
      <c r="H119" s="90"/>
      <c r="I119" s="90"/>
      <c r="J119" s="90"/>
      <c r="K119" s="90"/>
      <c r="L119" s="90"/>
      <c r="M119" s="90"/>
      <c r="N119" s="90"/>
      <c r="O119" s="90"/>
      <c r="P119" s="90"/>
      <c r="Q119" s="90"/>
    </row>
    <row r="120" ht="12.75" customHeight="1">
      <c r="A120" s="937" t="s">
        <v>4627</v>
      </c>
      <c r="B120" s="90"/>
      <c r="C120" s="90"/>
      <c r="D120" s="90"/>
      <c r="E120" s="90"/>
      <c r="F120" s="90"/>
      <c r="G120" s="90"/>
      <c r="H120" s="90"/>
      <c r="I120" s="90"/>
      <c r="J120" s="90"/>
      <c r="K120" s="90"/>
      <c r="L120" s="90"/>
      <c r="M120" s="90"/>
      <c r="N120" s="90"/>
      <c r="O120" s="90"/>
      <c r="P120" s="90"/>
      <c r="Q120" s="90"/>
    </row>
    <row r="121" ht="12.75" customHeight="1">
      <c r="A121" s="90"/>
      <c r="B121" s="90"/>
      <c r="C121" s="90"/>
      <c r="D121" s="90"/>
      <c r="E121" s="90"/>
      <c r="F121" s="90"/>
      <c r="G121" s="90"/>
      <c r="H121" s="90"/>
      <c r="I121" s="90"/>
      <c r="J121" s="90"/>
      <c r="K121" s="90"/>
      <c r="L121" s="90"/>
      <c r="M121" s="90"/>
      <c r="N121" s="90"/>
      <c r="O121" s="90"/>
      <c r="P121" s="90"/>
      <c r="Q121" s="90"/>
    </row>
    <row r="122" ht="12.75" customHeight="1">
      <c r="A122" s="937" t="s">
        <v>4628</v>
      </c>
      <c r="B122" s="90"/>
      <c r="C122" s="90"/>
      <c r="D122" s="90"/>
      <c r="E122" s="90"/>
      <c r="F122" s="90"/>
      <c r="G122" s="90"/>
      <c r="H122" s="90"/>
      <c r="I122" s="90"/>
      <c r="J122" s="90"/>
      <c r="K122" s="90"/>
      <c r="L122" s="90"/>
      <c r="M122" s="90"/>
      <c r="N122" s="90"/>
      <c r="O122" s="90"/>
      <c r="P122" s="90"/>
      <c r="Q122" s="90"/>
    </row>
    <row r="123" ht="12.75" customHeight="1">
      <c r="A123" s="90"/>
      <c r="B123" s="90"/>
      <c r="C123" s="90"/>
      <c r="D123" s="90"/>
      <c r="E123" s="90"/>
      <c r="F123" s="90"/>
      <c r="G123" s="90"/>
      <c r="H123" s="90"/>
      <c r="I123" s="90"/>
      <c r="J123" s="90"/>
      <c r="K123" s="90"/>
      <c r="L123" s="90"/>
      <c r="M123" s="90"/>
      <c r="N123" s="90"/>
      <c r="O123" s="90"/>
      <c r="P123" s="90"/>
      <c r="Q123" s="90"/>
    </row>
    <row r="124" ht="12.75" customHeight="1">
      <c r="A124" s="937" t="s">
        <v>4629</v>
      </c>
      <c r="B124" s="90"/>
      <c r="C124" s="90"/>
      <c r="D124" s="90"/>
      <c r="E124" s="90"/>
      <c r="F124" s="90"/>
      <c r="G124" s="90"/>
      <c r="H124" s="90"/>
      <c r="I124" s="90"/>
      <c r="J124" s="90"/>
      <c r="K124" s="90"/>
      <c r="L124" s="90"/>
      <c r="M124" s="90"/>
      <c r="N124" s="90"/>
      <c r="O124" s="90"/>
      <c r="P124" s="90"/>
      <c r="Q124" s="90"/>
    </row>
    <row r="125" ht="12.75" customHeight="1">
      <c r="A125" s="90"/>
      <c r="B125" s="90"/>
      <c r="C125" s="90"/>
      <c r="D125" s="90"/>
      <c r="E125" s="90"/>
      <c r="F125" s="90"/>
      <c r="G125" s="90"/>
      <c r="H125" s="90"/>
      <c r="I125" s="90"/>
      <c r="J125" s="90"/>
      <c r="K125" s="90"/>
      <c r="L125" s="90"/>
      <c r="M125" s="90"/>
      <c r="N125" s="90"/>
      <c r="O125" s="90"/>
      <c r="P125" s="90"/>
      <c r="Q125" s="90"/>
    </row>
    <row r="126" ht="12.75" customHeight="1">
      <c r="A126" s="937" t="s">
        <v>4630</v>
      </c>
      <c r="B126" s="90"/>
      <c r="C126" s="90"/>
      <c r="D126" s="90"/>
      <c r="E126" s="90"/>
      <c r="F126" s="90"/>
      <c r="G126" s="90"/>
      <c r="H126" s="90"/>
      <c r="I126" s="90"/>
      <c r="J126" s="90"/>
      <c r="K126" s="90"/>
      <c r="L126" s="90"/>
      <c r="M126" s="90"/>
      <c r="N126" s="90"/>
      <c r="O126" s="90"/>
      <c r="P126" s="90"/>
      <c r="Q126" s="90"/>
    </row>
    <row r="127" ht="12.75" customHeight="1">
      <c r="A127" s="90"/>
      <c r="B127" s="90"/>
      <c r="C127" s="90"/>
      <c r="D127" s="90"/>
      <c r="E127" s="90"/>
      <c r="F127" s="90"/>
      <c r="G127" s="90"/>
      <c r="H127" s="90"/>
      <c r="I127" s="90"/>
      <c r="J127" s="90"/>
      <c r="K127" s="90"/>
      <c r="L127" s="90"/>
      <c r="M127" s="90"/>
      <c r="N127" s="90"/>
      <c r="O127" s="90"/>
      <c r="P127" s="90"/>
      <c r="Q127" s="90"/>
    </row>
    <row r="128" ht="12.75" customHeight="1">
      <c r="A128" s="937" t="s">
        <v>4631</v>
      </c>
      <c r="B128" s="90"/>
      <c r="C128" s="90"/>
      <c r="D128" s="90"/>
      <c r="E128" s="90"/>
      <c r="F128" s="90"/>
      <c r="G128" s="90"/>
      <c r="H128" s="90"/>
      <c r="I128" s="90"/>
      <c r="J128" s="90"/>
      <c r="K128" s="90"/>
      <c r="L128" s="90"/>
      <c r="M128" s="90"/>
      <c r="N128" s="90"/>
      <c r="O128" s="90"/>
      <c r="P128" s="90"/>
      <c r="Q128" s="90"/>
    </row>
    <row r="129" ht="12.75" customHeight="1">
      <c r="A129" s="90"/>
      <c r="B129" s="90"/>
      <c r="C129" s="90"/>
      <c r="D129" s="90"/>
      <c r="E129" s="90"/>
      <c r="F129" s="90"/>
      <c r="G129" s="90"/>
      <c r="H129" s="90"/>
      <c r="I129" s="90"/>
      <c r="J129" s="90"/>
      <c r="K129" s="90"/>
      <c r="L129" s="90"/>
      <c r="M129" s="90"/>
      <c r="N129" s="90"/>
      <c r="O129" s="90"/>
      <c r="P129" s="90"/>
      <c r="Q129" s="90"/>
    </row>
    <row r="130" ht="12.75" customHeight="1">
      <c r="A130" s="937" t="s">
        <v>4632</v>
      </c>
      <c r="B130" s="90"/>
      <c r="C130" s="90"/>
      <c r="D130" s="90"/>
      <c r="E130" s="90"/>
      <c r="F130" s="90"/>
      <c r="G130" s="90"/>
      <c r="H130" s="90"/>
      <c r="I130" s="90"/>
      <c r="J130" s="90"/>
      <c r="K130" s="90"/>
      <c r="L130" s="90"/>
      <c r="M130" s="90"/>
      <c r="N130" s="90"/>
      <c r="O130" s="90"/>
      <c r="P130" s="90"/>
      <c r="Q130" s="90"/>
    </row>
    <row r="131" ht="12.75" customHeight="1">
      <c r="A131" s="90"/>
      <c r="B131" s="90"/>
      <c r="C131" s="90"/>
      <c r="D131" s="90"/>
      <c r="E131" s="90"/>
      <c r="F131" s="90"/>
      <c r="G131" s="90"/>
      <c r="H131" s="90"/>
      <c r="I131" s="90"/>
      <c r="J131" s="90"/>
      <c r="K131" s="90"/>
      <c r="L131" s="90"/>
      <c r="M131" s="90"/>
      <c r="N131" s="90"/>
      <c r="O131" s="90"/>
      <c r="P131" s="90"/>
      <c r="Q131" s="90"/>
    </row>
    <row r="132" ht="12.75" customHeight="1">
      <c r="A132" s="937" t="s">
        <v>4613</v>
      </c>
      <c r="B132" s="90"/>
      <c r="C132" s="90"/>
      <c r="D132" s="90"/>
      <c r="E132" s="90"/>
      <c r="F132" s="90"/>
      <c r="G132" s="90"/>
      <c r="H132" s="90"/>
      <c r="I132" s="90"/>
      <c r="J132" s="90"/>
      <c r="K132" s="90"/>
      <c r="L132" s="90"/>
      <c r="M132" s="90"/>
      <c r="N132" s="90"/>
      <c r="O132" s="90"/>
      <c r="P132" s="90"/>
      <c r="Q132" s="90"/>
    </row>
    <row r="133" ht="12.75" customHeight="1">
      <c r="A133" s="90"/>
      <c r="B133" s="90"/>
      <c r="C133" s="90"/>
      <c r="D133" s="90"/>
      <c r="E133" s="90"/>
      <c r="F133" s="90"/>
      <c r="G133" s="90"/>
      <c r="H133" s="90"/>
      <c r="I133" s="90"/>
      <c r="J133" s="90"/>
      <c r="K133" s="90"/>
      <c r="L133" s="90"/>
      <c r="M133" s="90"/>
      <c r="N133" s="90"/>
      <c r="O133" s="90"/>
      <c r="P133" s="90"/>
      <c r="Q133" s="90"/>
    </row>
    <row r="134" ht="12.75" customHeight="1">
      <c r="A134" s="90"/>
      <c r="B134" s="90"/>
      <c r="C134" s="90"/>
      <c r="D134" s="90"/>
      <c r="E134" s="90"/>
      <c r="F134" s="90"/>
      <c r="G134" s="90"/>
      <c r="H134" s="90"/>
      <c r="I134" s="90"/>
      <c r="J134" s="90"/>
      <c r="K134" s="90"/>
      <c r="L134" s="90"/>
      <c r="M134" s="90"/>
      <c r="N134" s="90"/>
      <c r="O134" s="90"/>
      <c r="P134" s="90"/>
      <c r="Q134" s="90"/>
    </row>
    <row r="135" ht="12.75" customHeight="1">
      <c r="A135" s="937" t="s">
        <v>4633</v>
      </c>
      <c r="B135" s="90"/>
      <c r="C135" s="90"/>
      <c r="D135" s="90"/>
      <c r="E135" s="90"/>
      <c r="F135" s="90"/>
      <c r="G135" s="90"/>
      <c r="H135" s="90"/>
      <c r="I135" s="90"/>
      <c r="J135" s="90"/>
      <c r="K135" s="90"/>
      <c r="L135" s="90"/>
      <c r="M135" s="90"/>
      <c r="N135" s="90"/>
      <c r="O135" s="90"/>
      <c r="P135" s="90"/>
      <c r="Q135" s="90"/>
    </row>
    <row r="136" ht="12.75" customHeight="1">
      <c r="A136" s="90"/>
      <c r="B136" s="90"/>
      <c r="C136" s="90"/>
      <c r="D136" s="90"/>
      <c r="E136" s="90"/>
      <c r="F136" s="90"/>
      <c r="G136" s="90"/>
      <c r="H136" s="90"/>
      <c r="I136" s="90"/>
      <c r="J136" s="90"/>
      <c r="K136" s="90"/>
      <c r="L136" s="90"/>
      <c r="M136" s="90"/>
      <c r="N136" s="90"/>
      <c r="O136" s="90"/>
      <c r="P136" s="90"/>
      <c r="Q136" s="90"/>
    </row>
    <row r="137" ht="12.75" customHeight="1">
      <c r="A137" s="937" t="s">
        <v>4634</v>
      </c>
      <c r="B137" s="90"/>
      <c r="C137" s="90"/>
      <c r="D137" s="90"/>
      <c r="E137" s="90"/>
      <c r="F137" s="90"/>
      <c r="G137" s="90"/>
      <c r="H137" s="90"/>
      <c r="I137" s="90"/>
      <c r="J137" s="90"/>
      <c r="K137" s="90"/>
      <c r="L137" s="90"/>
      <c r="M137" s="90"/>
      <c r="N137" s="90"/>
      <c r="O137" s="90"/>
      <c r="P137" s="90"/>
      <c r="Q137" s="90"/>
    </row>
    <row r="138" ht="12.75" customHeight="1">
      <c r="A138" s="90"/>
      <c r="B138" s="90"/>
      <c r="C138" s="90"/>
      <c r="D138" s="90"/>
      <c r="E138" s="90"/>
      <c r="F138" s="90"/>
      <c r="G138" s="90"/>
      <c r="H138" s="90"/>
      <c r="I138" s="90"/>
      <c r="J138" s="90"/>
      <c r="K138" s="90"/>
      <c r="L138" s="90"/>
      <c r="M138" s="90"/>
      <c r="N138" s="90"/>
      <c r="O138" s="90"/>
      <c r="P138" s="90"/>
      <c r="Q138" s="90"/>
    </row>
    <row r="139" ht="12.75" customHeight="1">
      <c r="A139" s="937" t="s">
        <v>4635</v>
      </c>
      <c r="B139" s="90"/>
      <c r="C139" s="90"/>
      <c r="D139" s="90"/>
      <c r="E139" s="90"/>
      <c r="F139" s="90"/>
      <c r="G139" s="90"/>
      <c r="H139" s="90"/>
      <c r="I139" s="90"/>
      <c r="J139" s="90"/>
      <c r="K139" s="90"/>
      <c r="L139" s="90"/>
      <c r="M139" s="90"/>
      <c r="N139" s="90"/>
      <c r="O139" s="90"/>
      <c r="P139" s="90"/>
      <c r="Q139" s="90"/>
    </row>
    <row r="140" ht="12.75" customHeight="1">
      <c r="A140" s="90"/>
      <c r="B140" s="90"/>
      <c r="C140" s="90"/>
      <c r="D140" s="90"/>
      <c r="E140" s="90"/>
      <c r="F140" s="90"/>
      <c r="G140" s="90"/>
      <c r="H140" s="90"/>
      <c r="I140" s="90"/>
      <c r="J140" s="90"/>
      <c r="K140" s="90"/>
      <c r="L140" s="90"/>
      <c r="M140" s="90"/>
      <c r="N140" s="90"/>
      <c r="O140" s="90"/>
      <c r="P140" s="90"/>
      <c r="Q140" s="90"/>
    </row>
    <row r="141" ht="12.75" customHeight="1">
      <c r="A141" s="937" t="s">
        <v>4636</v>
      </c>
      <c r="B141" s="90"/>
      <c r="C141" s="90"/>
      <c r="D141" s="90"/>
      <c r="E141" s="90"/>
      <c r="F141" s="90"/>
      <c r="G141" s="90"/>
      <c r="H141" s="90"/>
      <c r="I141" s="90"/>
      <c r="J141" s="90"/>
      <c r="K141" s="90"/>
      <c r="L141" s="90"/>
      <c r="M141" s="90"/>
      <c r="N141" s="90"/>
      <c r="O141" s="90"/>
      <c r="P141" s="90"/>
      <c r="Q141" s="90"/>
    </row>
    <row r="142" ht="12.75" customHeight="1">
      <c r="A142" s="90"/>
      <c r="B142" s="90"/>
      <c r="C142" s="90"/>
      <c r="D142" s="90"/>
      <c r="E142" s="90"/>
      <c r="F142" s="90"/>
      <c r="G142" s="90"/>
      <c r="H142" s="90"/>
      <c r="I142" s="90"/>
      <c r="J142" s="90"/>
      <c r="K142" s="90"/>
      <c r="L142" s="90"/>
      <c r="M142" s="90"/>
      <c r="N142" s="90"/>
      <c r="O142" s="90"/>
      <c r="P142" s="90"/>
      <c r="Q142" s="90"/>
    </row>
    <row r="143" ht="12.75" customHeight="1">
      <c r="A143" s="937" t="s">
        <v>4637</v>
      </c>
      <c r="B143" s="90"/>
      <c r="C143" s="90"/>
      <c r="D143" s="90"/>
      <c r="E143" s="90"/>
      <c r="F143" s="90"/>
      <c r="G143" s="90"/>
      <c r="H143" s="90"/>
      <c r="I143" s="90"/>
      <c r="J143" s="90"/>
      <c r="K143" s="90"/>
      <c r="L143" s="90"/>
      <c r="M143" s="90"/>
      <c r="N143" s="90"/>
      <c r="O143" s="90"/>
      <c r="P143" s="90"/>
      <c r="Q143" s="90"/>
    </row>
    <row r="144" ht="12.75" customHeight="1">
      <c r="A144" s="90"/>
      <c r="B144" s="90"/>
      <c r="C144" s="90"/>
      <c r="D144" s="90"/>
      <c r="E144" s="90"/>
      <c r="F144" s="90"/>
      <c r="G144" s="90"/>
      <c r="H144" s="90"/>
      <c r="I144" s="90"/>
      <c r="J144" s="90"/>
      <c r="K144" s="90"/>
      <c r="L144" s="90"/>
      <c r="M144" s="90"/>
      <c r="N144" s="90"/>
      <c r="O144" s="90"/>
      <c r="P144" s="90"/>
      <c r="Q144" s="90"/>
    </row>
    <row r="145" ht="12.75" customHeight="1">
      <c r="A145" s="937" t="s">
        <v>4633</v>
      </c>
      <c r="B145" s="90"/>
      <c r="C145" s="90"/>
      <c r="D145" s="90"/>
      <c r="E145" s="90"/>
      <c r="F145" s="90"/>
      <c r="G145" s="90"/>
      <c r="H145" s="90"/>
      <c r="I145" s="90"/>
      <c r="J145" s="90"/>
      <c r="K145" s="90"/>
      <c r="L145" s="90"/>
      <c r="M145" s="90"/>
      <c r="N145" s="90"/>
      <c r="O145" s="90"/>
      <c r="P145" s="90"/>
      <c r="Q145" s="90"/>
    </row>
    <row r="146" ht="12.75" customHeight="1">
      <c r="A146" s="90"/>
      <c r="B146" s="90"/>
      <c r="C146" s="90"/>
      <c r="D146" s="90"/>
      <c r="E146" s="90"/>
      <c r="F146" s="90"/>
      <c r="G146" s="90"/>
      <c r="H146" s="90"/>
      <c r="I146" s="90"/>
      <c r="J146" s="90"/>
      <c r="K146" s="90"/>
      <c r="L146" s="90"/>
      <c r="M146" s="90"/>
      <c r="N146" s="90"/>
      <c r="O146" s="90"/>
      <c r="P146" s="90"/>
      <c r="Q146" s="90"/>
    </row>
    <row r="147" ht="12.75" customHeight="1">
      <c r="A147" s="90"/>
      <c r="B147" s="90"/>
      <c r="C147" s="90"/>
      <c r="D147" s="90"/>
      <c r="E147" s="90"/>
      <c r="F147" s="90"/>
      <c r="G147" s="90"/>
      <c r="H147" s="90"/>
      <c r="I147" s="90"/>
      <c r="J147" s="90"/>
      <c r="K147" s="90"/>
      <c r="L147" s="90"/>
      <c r="M147" s="90"/>
      <c r="N147" s="90"/>
      <c r="O147" s="90"/>
      <c r="P147" s="90"/>
      <c r="Q147" s="90"/>
    </row>
    <row r="148" ht="12.75" customHeight="1">
      <c r="A148" s="937" t="s">
        <v>4638</v>
      </c>
      <c r="B148" s="90"/>
      <c r="C148" s="90"/>
      <c r="D148" s="90"/>
      <c r="E148" s="90"/>
      <c r="F148" s="90"/>
      <c r="G148" s="90"/>
      <c r="H148" s="90"/>
      <c r="I148" s="90"/>
      <c r="J148" s="90"/>
      <c r="K148" s="90"/>
      <c r="L148" s="90"/>
      <c r="M148" s="90"/>
      <c r="N148" s="90"/>
      <c r="O148" s="90"/>
      <c r="P148" s="90"/>
      <c r="Q148" s="90"/>
    </row>
    <row r="149" ht="12.75" customHeight="1">
      <c r="A149" s="90"/>
      <c r="B149" s="90"/>
      <c r="C149" s="90"/>
      <c r="D149" s="90"/>
      <c r="E149" s="90"/>
      <c r="F149" s="90"/>
      <c r="G149" s="90"/>
      <c r="H149" s="90"/>
      <c r="I149" s="90"/>
      <c r="J149" s="90"/>
      <c r="K149" s="90"/>
      <c r="L149" s="90"/>
      <c r="M149" s="90"/>
      <c r="N149" s="90"/>
      <c r="O149" s="90"/>
      <c r="P149" s="90"/>
      <c r="Q149" s="90"/>
    </row>
    <row r="150" ht="12.75" customHeight="1">
      <c r="A150" s="937" t="s">
        <v>4639</v>
      </c>
      <c r="B150" s="90"/>
      <c r="C150" s="90"/>
      <c r="D150" s="90"/>
      <c r="E150" s="90"/>
      <c r="F150" s="90"/>
      <c r="G150" s="90"/>
      <c r="H150" s="90"/>
      <c r="I150" s="90"/>
      <c r="J150" s="90"/>
      <c r="K150" s="90"/>
      <c r="L150" s="90"/>
      <c r="M150" s="90"/>
      <c r="N150" s="90"/>
      <c r="O150" s="90"/>
      <c r="P150" s="90"/>
      <c r="Q150" s="90"/>
    </row>
    <row r="151" ht="12.75" customHeight="1">
      <c r="A151" s="90"/>
      <c r="B151" s="90"/>
      <c r="C151" s="90"/>
      <c r="D151" s="90"/>
      <c r="E151" s="90"/>
      <c r="F151" s="90"/>
      <c r="G151" s="90"/>
      <c r="H151" s="90"/>
      <c r="I151" s="90"/>
      <c r="J151" s="90"/>
      <c r="K151" s="90"/>
      <c r="L151" s="90"/>
      <c r="M151" s="90"/>
      <c r="N151" s="90"/>
      <c r="O151" s="90"/>
      <c r="P151" s="90"/>
      <c r="Q151" s="90"/>
    </row>
    <row r="152" ht="12.75" customHeight="1">
      <c r="A152" s="937" t="s">
        <v>4640</v>
      </c>
      <c r="B152" s="90"/>
      <c r="C152" s="90"/>
      <c r="D152" s="90"/>
      <c r="E152" s="90"/>
      <c r="F152" s="90"/>
      <c r="G152" s="90"/>
      <c r="H152" s="90"/>
      <c r="I152" s="90"/>
      <c r="J152" s="90"/>
      <c r="K152" s="90"/>
      <c r="L152" s="90"/>
      <c r="M152" s="90"/>
      <c r="N152" s="90"/>
      <c r="O152" s="90"/>
      <c r="P152" s="90"/>
      <c r="Q152" s="90"/>
    </row>
    <row r="153" ht="12.75" customHeight="1">
      <c r="A153" s="90"/>
      <c r="B153" s="90"/>
      <c r="C153" s="90"/>
      <c r="D153" s="90"/>
      <c r="E153" s="90"/>
      <c r="F153" s="90"/>
      <c r="G153" s="90"/>
      <c r="H153" s="90"/>
      <c r="I153" s="90"/>
      <c r="J153" s="90"/>
      <c r="K153" s="90"/>
      <c r="L153" s="90"/>
      <c r="M153" s="90"/>
      <c r="N153" s="90"/>
      <c r="O153" s="90"/>
      <c r="P153" s="90"/>
      <c r="Q153" s="90"/>
    </row>
    <row r="154" ht="12.75" customHeight="1">
      <c r="A154" s="937" t="s">
        <v>4641</v>
      </c>
      <c r="B154" s="90"/>
      <c r="C154" s="90"/>
      <c r="D154" s="90"/>
      <c r="E154" s="90"/>
      <c r="F154" s="90"/>
      <c r="G154" s="90"/>
      <c r="H154" s="90"/>
      <c r="I154" s="90"/>
      <c r="J154" s="90"/>
      <c r="K154" s="90"/>
      <c r="L154" s="90"/>
      <c r="M154" s="90"/>
      <c r="N154" s="90"/>
      <c r="O154" s="90"/>
      <c r="P154" s="90"/>
      <c r="Q154" s="90"/>
    </row>
    <row r="155" ht="12.75" customHeight="1">
      <c r="A155" s="90"/>
      <c r="B155" s="90"/>
      <c r="C155" s="90"/>
      <c r="D155" s="90"/>
      <c r="E155" s="90"/>
      <c r="F155" s="90"/>
      <c r="G155" s="90"/>
      <c r="H155" s="90"/>
      <c r="I155" s="90"/>
      <c r="J155" s="90"/>
      <c r="K155" s="90"/>
      <c r="L155" s="90"/>
      <c r="M155" s="90"/>
      <c r="N155" s="90"/>
      <c r="O155" s="90"/>
      <c r="P155" s="90"/>
      <c r="Q155" s="90"/>
    </row>
    <row r="156" ht="12.75" customHeight="1">
      <c r="A156" s="937" t="s">
        <v>4642</v>
      </c>
      <c r="B156" s="90"/>
      <c r="C156" s="90"/>
      <c r="D156" s="90"/>
      <c r="E156" s="90"/>
      <c r="F156" s="90"/>
      <c r="G156" s="90"/>
      <c r="H156" s="90"/>
      <c r="I156" s="90"/>
      <c r="J156" s="90"/>
      <c r="K156" s="90"/>
      <c r="L156" s="90"/>
      <c r="M156" s="90"/>
      <c r="N156" s="90"/>
      <c r="O156" s="90"/>
      <c r="P156" s="90"/>
      <c r="Q156" s="90"/>
    </row>
    <row r="157" ht="12.75" customHeight="1">
      <c r="A157" s="90"/>
      <c r="B157" s="90"/>
      <c r="C157" s="90"/>
      <c r="D157" s="90"/>
      <c r="E157" s="90"/>
      <c r="F157" s="90"/>
      <c r="G157" s="90"/>
      <c r="H157" s="90"/>
      <c r="I157" s="90"/>
      <c r="J157" s="90"/>
      <c r="K157" s="90"/>
      <c r="L157" s="90"/>
      <c r="M157" s="90"/>
      <c r="N157" s="90"/>
      <c r="O157" s="90"/>
      <c r="P157" s="90"/>
      <c r="Q157" s="90"/>
    </row>
    <row r="158" ht="12.75" customHeight="1">
      <c r="A158" s="937" t="s">
        <v>4643</v>
      </c>
      <c r="B158" s="90"/>
      <c r="C158" s="90"/>
      <c r="D158" s="90"/>
      <c r="E158" s="90"/>
      <c r="F158" s="90"/>
      <c r="G158" s="90"/>
      <c r="H158" s="90"/>
      <c r="I158" s="90"/>
      <c r="J158" s="90"/>
      <c r="K158" s="90"/>
      <c r="L158" s="90"/>
      <c r="M158" s="90"/>
      <c r="N158" s="90"/>
      <c r="O158" s="90"/>
      <c r="P158" s="90"/>
      <c r="Q158" s="90"/>
    </row>
    <row r="159" ht="12.75" customHeight="1">
      <c r="A159" s="90"/>
      <c r="B159" s="90"/>
      <c r="C159" s="90"/>
      <c r="D159" s="90"/>
      <c r="E159" s="90"/>
      <c r="F159" s="90"/>
      <c r="G159" s="90"/>
      <c r="H159" s="90"/>
      <c r="I159" s="90"/>
      <c r="J159" s="90"/>
      <c r="K159" s="90"/>
      <c r="L159" s="90"/>
      <c r="M159" s="90"/>
      <c r="N159" s="90"/>
      <c r="O159" s="90"/>
      <c r="P159" s="90"/>
      <c r="Q159" s="90"/>
    </row>
    <row r="160" ht="12.75" customHeight="1">
      <c r="A160" s="937" t="s">
        <v>4644</v>
      </c>
      <c r="B160" s="90"/>
      <c r="C160" s="90"/>
      <c r="D160" s="90"/>
      <c r="E160" s="90"/>
      <c r="F160" s="90"/>
      <c r="G160" s="90"/>
      <c r="H160" s="90"/>
      <c r="I160" s="90"/>
      <c r="J160" s="90"/>
      <c r="K160" s="90"/>
      <c r="L160" s="90"/>
      <c r="M160" s="90"/>
      <c r="N160" s="90"/>
      <c r="O160" s="90"/>
      <c r="P160" s="90"/>
      <c r="Q160" s="90"/>
    </row>
    <row r="161" ht="12.75" customHeight="1">
      <c r="A161" s="90"/>
      <c r="B161" s="90"/>
      <c r="C161" s="90"/>
      <c r="D161" s="90"/>
      <c r="E161" s="90"/>
      <c r="F161" s="90"/>
      <c r="G161" s="90"/>
      <c r="H161" s="90"/>
      <c r="I161" s="90"/>
      <c r="J161" s="90"/>
      <c r="K161" s="90"/>
      <c r="L161" s="90"/>
      <c r="M161" s="90"/>
      <c r="N161" s="90"/>
      <c r="O161" s="90"/>
      <c r="P161" s="90"/>
      <c r="Q161" s="90"/>
    </row>
    <row r="162" ht="12.75" customHeight="1">
      <c r="A162" s="937" t="s">
        <v>4645</v>
      </c>
      <c r="B162" s="90"/>
      <c r="C162" s="90"/>
      <c r="D162" s="90"/>
      <c r="E162" s="90"/>
      <c r="F162" s="90"/>
      <c r="G162" s="90"/>
      <c r="H162" s="90"/>
      <c r="I162" s="90"/>
      <c r="J162" s="90"/>
      <c r="K162" s="90"/>
      <c r="L162" s="90"/>
      <c r="M162" s="90"/>
      <c r="N162" s="90"/>
      <c r="O162" s="90"/>
      <c r="P162" s="90"/>
      <c r="Q162" s="90"/>
    </row>
    <row r="163" ht="12.75" customHeight="1">
      <c r="A163" s="90"/>
      <c r="B163" s="90"/>
      <c r="C163" s="90"/>
      <c r="D163" s="90"/>
      <c r="E163" s="90"/>
      <c r="F163" s="90"/>
      <c r="G163" s="90"/>
      <c r="H163" s="90"/>
      <c r="I163" s="90"/>
      <c r="J163" s="90"/>
      <c r="K163" s="90"/>
      <c r="L163" s="90"/>
      <c r="M163" s="90"/>
      <c r="N163" s="90"/>
      <c r="O163" s="90"/>
      <c r="P163" s="90"/>
      <c r="Q163" s="90"/>
    </row>
    <row r="164" ht="12.75" customHeight="1">
      <c r="A164" s="937" t="s">
        <v>4646</v>
      </c>
      <c r="B164" s="90"/>
      <c r="C164" s="90"/>
      <c r="D164" s="90"/>
      <c r="E164" s="90"/>
      <c r="F164" s="90"/>
      <c r="G164" s="90"/>
      <c r="H164" s="90"/>
      <c r="I164" s="90"/>
      <c r="J164" s="90"/>
      <c r="K164" s="90"/>
      <c r="L164" s="90"/>
      <c r="M164" s="90"/>
      <c r="N164" s="90"/>
      <c r="O164" s="90"/>
      <c r="P164" s="90"/>
      <c r="Q164" s="90"/>
    </row>
    <row r="165" ht="12.75" customHeight="1">
      <c r="A165" s="90"/>
      <c r="B165" s="90"/>
      <c r="C165" s="90"/>
      <c r="D165" s="90"/>
      <c r="E165" s="90"/>
      <c r="F165" s="90"/>
      <c r="G165" s="90"/>
      <c r="H165" s="90"/>
      <c r="I165" s="90"/>
      <c r="J165" s="90"/>
      <c r="K165" s="90"/>
      <c r="L165" s="90"/>
      <c r="M165" s="90"/>
      <c r="N165" s="90"/>
      <c r="O165" s="90"/>
      <c r="P165" s="90"/>
      <c r="Q165" s="90"/>
    </row>
    <row r="166" ht="12.75" customHeight="1">
      <c r="A166" s="937" t="s">
        <v>4638</v>
      </c>
      <c r="B166" s="90"/>
      <c r="C166" s="90"/>
      <c r="D166" s="90"/>
      <c r="E166" s="90"/>
      <c r="F166" s="90"/>
      <c r="G166" s="90"/>
      <c r="H166" s="90"/>
      <c r="I166" s="90"/>
      <c r="J166" s="90"/>
      <c r="K166" s="90"/>
      <c r="L166" s="90"/>
      <c r="M166" s="90"/>
      <c r="N166" s="90"/>
      <c r="O166" s="90"/>
      <c r="P166" s="90"/>
      <c r="Q166" s="90"/>
    </row>
    <row r="167" ht="12.75" customHeight="1">
      <c r="A167" s="90"/>
      <c r="B167" s="90"/>
      <c r="C167" s="90"/>
      <c r="D167" s="90"/>
      <c r="E167" s="90"/>
      <c r="F167" s="90"/>
      <c r="G167" s="90"/>
      <c r="H167" s="90"/>
      <c r="I167" s="90"/>
      <c r="J167" s="90"/>
      <c r="K167" s="90"/>
      <c r="L167" s="90"/>
      <c r="M167" s="90"/>
      <c r="N167" s="90"/>
      <c r="O167" s="90"/>
      <c r="P167" s="90"/>
      <c r="Q167" s="90"/>
    </row>
    <row r="168" ht="12.75" customHeight="1">
      <c r="A168" s="90"/>
      <c r="B168" s="90"/>
      <c r="C168" s="90"/>
      <c r="D168" s="90"/>
      <c r="E168" s="90"/>
      <c r="F168" s="90"/>
      <c r="G168" s="90"/>
      <c r="H168" s="90"/>
      <c r="I168" s="90"/>
      <c r="J168" s="90"/>
      <c r="K168" s="90"/>
      <c r="L168" s="90"/>
      <c r="M168" s="90"/>
      <c r="N168" s="90"/>
      <c r="O168" s="90"/>
      <c r="P168" s="90"/>
      <c r="Q168" s="90"/>
    </row>
    <row r="169" ht="12.75" customHeight="1">
      <c r="A169" s="937" t="s">
        <v>4647</v>
      </c>
      <c r="B169" s="90"/>
      <c r="C169" s="90"/>
      <c r="D169" s="90"/>
      <c r="E169" s="90"/>
      <c r="F169" s="90"/>
      <c r="G169" s="90"/>
      <c r="H169" s="90"/>
      <c r="I169" s="90"/>
      <c r="J169" s="90"/>
      <c r="K169" s="90"/>
      <c r="L169" s="90"/>
      <c r="M169" s="90"/>
      <c r="N169" s="90"/>
      <c r="O169" s="90"/>
      <c r="P169" s="90"/>
      <c r="Q169" s="90"/>
    </row>
    <row r="170" ht="12.75" customHeight="1">
      <c r="A170" s="90"/>
      <c r="B170" s="90"/>
      <c r="C170" s="90"/>
      <c r="D170" s="90"/>
      <c r="E170" s="90"/>
      <c r="F170" s="90"/>
      <c r="G170" s="90"/>
      <c r="H170" s="90"/>
      <c r="I170" s="90"/>
      <c r="J170" s="90"/>
      <c r="K170" s="90"/>
      <c r="L170" s="90"/>
      <c r="M170" s="90"/>
      <c r="N170" s="90"/>
      <c r="O170" s="90"/>
      <c r="P170" s="90"/>
      <c r="Q170" s="90"/>
    </row>
    <row r="171" ht="12.75" customHeight="1">
      <c r="A171" s="937" t="s">
        <v>4648</v>
      </c>
      <c r="B171" s="90"/>
      <c r="C171" s="90"/>
      <c r="D171" s="90"/>
      <c r="E171" s="90"/>
      <c r="F171" s="90"/>
      <c r="G171" s="90"/>
      <c r="H171" s="90"/>
      <c r="I171" s="90"/>
      <c r="J171" s="90"/>
      <c r="K171" s="90"/>
      <c r="L171" s="90"/>
      <c r="M171" s="90"/>
      <c r="N171" s="90"/>
      <c r="O171" s="90"/>
      <c r="P171" s="90"/>
      <c r="Q171" s="90"/>
    </row>
    <row r="172" ht="12.75" customHeight="1">
      <c r="A172" s="90"/>
      <c r="B172" s="90"/>
      <c r="C172" s="90"/>
      <c r="D172" s="90"/>
      <c r="E172" s="90"/>
      <c r="F172" s="90"/>
      <c r="G172" s="90"/>
      <c r="H172" s="90"/>
      <c r="I172" s="90"/>
      <c r="J172" s="90"/>
      <c r="K172" s="90"/>
      <c r="L172" s="90"/>
      <c r="M172" s="90"/>
      <c r="N172" s="90"/>
      <c r="O172" s="90"/>
      <c r="P172" s="90"/>
      <c r="Q172" s="90"/>
    </row>
    <row r="173" ht="12.75" customHeight="1">
      <c r="A173" s="937" t="s">
        <v>4649</v>
      </c>
      <c r="B173" s="90"/>
      <c r="C173" s="90"/>
      <c r="D173" s="90"/>
      <c r="E173" s="90"/>
      <c r="F173" s="90"/>
      <c r="G173" s="90"/>
      <c r="H173" s="90"/>
      <c r="I173" s="90"/>
      <c r="J173" s="90"/>
      <c r="K173" s="90"/>
      <c r="L173" s="90"/>
      <c r="M173" s="90"/>
      <c r="N173" s="90"/>
      <c r="O173" s="90"/>
      <c r="P173" s="90"/>
      <c r="Q173" s="90"/>
    </row>
    <row r="174" ht="12.75" customHeight="1">
      <c r="A174" s="90"/>
      <c r="B174" s="90"/>
      <c r="C174" s="90"/>
      <c r="D174" s="90"/>
      <c r="E174" s="90"/>
      <c r="F174" s="90"/>
      <c r="G174" s="90"/>
      <c r="H174" s="90"/>
      <c r="I174" s="90"/>
      <c r="J174" s="90"/>
      <c r="K174" s="90"/>
      <c r="L174" s="90"/>
      <c r="M174" s="90"/>
      <c r="N174" s="90"/>
      <c r="O174" s="90"/>
      <c r="P174" s="90"/>
      <c r="Q174" s="90"/>
    </row>
    <row r="175" ht="12.75" customHeight="1">
      <c r="A175" s="937" t="s">
        <v>4650</v>
      </c>
      <c r="B175" s="90"/>
      <c r="C175" s="90"/>
      <c r="D175" s="90"/>
      <c r="E175" s="90"/>
      <c r="F175" s="90"/>
      <c r="G175" s="90"/>
      <c r="H175" s="90"/>
      <c r="I175" s="90"/>
      <c r="J175" s="90"/>
      <c r="K175" s="90"/>
      <c r="L175" s="90"/>
      <c r="M175" s="90"/>
      <c r="N175" s="90"/>
      <c r="O175" s="90"/>
      <c r="P175" s="90"/>
      <c r="Q175" s="90"/>
    </row>
    <row r="176" ht="12.75" customHeight="1">
      <c r="A176" s="90"/>
      <c r="B176" s="90"/>
      <c r="C176" s="90"/>
      <c r="D176" s="90"/>
      <c r="E176" s="90"/>
      <c r="F176" s="90"/>
      <c r="G176" s="90"/>
      <c r="H176" s="90"/>
      <c r="I176" s="90"/>
      <c r="J176" s="90"/>
      <c r="K176" s="90"/>
      <c r="L176" s="90"/>
      <c r="M176" s="90"/>
      <c r="N176" s="90"/>
      <c r="O176" s="90"/>
      <c r="P176" s="90"/>
      <c r="Q176" s="90"/>
    </row>
    <row r="177" ht="12.75" customHeight="1">
      <c r="A177" s="937" t="s">
        <v>4651</v>
      </c>
      <c r="B177" s="90"/>
      <c r="C177" s="90"/>
      <c r="D177" s="90"/>
      <c r="E177" s="90"/>
      <c r="F177" s="90"/>
      <c r="G177" s="90"/>
      <c r="H177" s="90"/>
      <c r="I177" s="90"/>
      <c r="J177" s="90"/>
      <c r="K177" s="90"/>
      <c r="L177" s="90"/>
      <c r="M177" s="90"/>
      <c r="N177" s="90"/>
      <c r="O177" s="90"/>
      <c r="P177" s="90"/>
      <c r="Q177" s="90"/>
    </row>
    <row r="178" ht="12.75" customHeight="1">
      <c r="A178" s="90"/>
      <c r="B178" s="90"/>
      <c r="C178" s="90"/>
      <c r="D178" s="90"/>
      <c r="E178" s="90"/>
      <c r="F178" s="90"/>
      <c r="G178" s="90"/>
      <c r="H178" s="90"/>
      <c r="I178" s="90"/>
      <c r="J178" s="90"/>
      <c r="K178" s="90"/>
      <c r="L178" s="90"/>
      <c r="M178" s="90"/>
      <c r="N178" s="90"/>
      <c r="O178" s="90"/>
      <c r="P178" s="90"/>
      <c r="Q178" s="90"/>
    </row>
    <row r="179" ht="12.75" customHeight="1">
      <c r="A179" s="937" t="s">
        <v>4652</v>
      </c>
      <c r="B179" s="90"/>
      <c r="C179" s="90"/>
      <c r="D179" s="90"/>
      <c r="E179" s="90"/>
      <c r="F179" s="90"/>
      <c r="G179" s="90"/>
      <c r="H179" s="90"/>
      <c r="I179" s="90"/>
      <c r="J179" s="90"/>
      <c r="K179" s="90"/>
      <c r="L179" s="90"/>
      <c r="M179" s="90"/>
      <c r="N179" s="90"/>
      <c r="O179" s="90"/>
      <c r="P179" s="90"/>
      <c r="Q179" s="90"/>
    </row>
    <row r="180" ht="12.75" customHeight="1">
      <c r="A180" s="90"/>
      <c r="B180" s="90"/>
      <c r="C180" s="90"/>
      <c r="D180" s="90"/>
      <c r="E180" s="90"/>
      <c r="F180" s="90"/>
      <c r="G180" s="90"/>
      <c r="H180" s="90"/>
      <c r="I180" s="90"/>
      <c r="J180" s="90"/>
      <c r="K180" s="90"/>
      <c r="L180" s="90"/>
      <c r="M180" s="90"/>
      <c r="N180" s="90"/>
      <c r="O180" s="90"/>
      <c r="P180" s="90"/>
      <c r="Q180" s="90"/>
    </row>
    <row r="181" ht="12.75" customHeight="1">
      <c r="A181" s="937" t="s">
        <v>4653</v>
      </c>
      <c r="B181" s="90"/>
      <c r="C181" s="90"/>
      <c r="D181" s="90"/>
      <c r="E181" s="90"/>
      <c r="F181" s="90"/>
      <c r="G181" s="90"/>
      <c r="H181" s="90"/>
      <c r="I181" s="90"/>
      <c r="J181" s="90"/>
      <c r="K181" s="90"/>
      <c r="L181" s="90"/>
      <c r="M181" s="90"/>
      <c r="N181" s="90"/>
      <c r="O181" s="90"/>
      <c r="P181" s="90"/>
      <c r="Q181" s="90"/>
    </row>
    <row r="182" ht="12.75" customHeight="1">
      <c r="A182" s="90"/>
      <c r="B182" s="90"/>
      <c r="C182" s="90"/>
      <c r="D182" s="90"/>
      <c r="E182" s="90"/>
      <c r="F182" s="90"/>
      <c r="G182" s="90"/>
      <c r="H182" s="90"/>
      <c r="I182" s="90"/>
      <c r="J182" s="90"/>
      <c r="K182" s="90"/>
      <c r="L182" s="90"/>
      <c r="M182" s="90"/>
      <c r="N182" s="90"/>
      <c r="O182" s="90"/>
      <c r="P182" s="90"/>
      <c r="Q182" s="90"/>
    </row>
    <row r="183" ht="12.75" customHeight="1">
      <c r="A183" s="937" t="s">
        <v>4654</v>
      </c>
      <c r="B183" s="90"/>
      <c r="C183" s="90"/>
      <c r="D183" s="90"/>
      <c r="E183" s="90"/>
      <c r="F183" s="90"/>
      <c r="G183" s="90"/>
      <c r="H183" s="90"/>
      <c r="I183" s="90"/>
      <c r="J183" s="90"/>
      <c r="K183" s="90"/>
      <c r="L183" s="90"/>
      <c r="M183" s="90"/>
      <c r="N183" s="90"/>
      <c r="O183" s="90"/>
      <c r="P183" s="90"/>
      <c r="Q183" s="90"/>
    </row>
    <row r="184" ht="12.75" customHeight="1">
      <c r="A184" s="90"/>
      <c r="B184" s="90"/>
      <c r="C184" s="90"/>
      <c r="D184" s="90"/>
      <c r="E184" s="90"/>
      <c r="F184" s="90"/>
      <c r="G184" s="90"/>
      <c r="H184" s="90"/>
      <c r="I184" s="90"/>
      <c r="J184" s="90"/>
      <c r="K184" s="90"/>
      <c r="L184" s="90"/>
      <c r="M184" s="90"/>
      <c r="N184" s="90"/>
      <c r="O184" s="90"/>
      <c r="P184" s="90"/>
      <c r="Q184" s="90"/>
    </row>
    <row r="185" ht="12.75" customHeight="1">
      <c r="A185" s="937" t="s">
        <v>4655</v>
      </c>
      <c r="B185" s="90"/>
      <c r="C185" s="90"/>
      <c r="D185" s="90"/>
      <c r="E185" s="90"/>
      <c r="F185" s="90"/>
      <c r="G185" s="90"/>
      <c r="H185" s="90"/>
      <c r="I185" s="90"/>
      <c r="J185" s="90"/>
      <c r="K185" s="90"/>
      <c r="L185" s="90"/>
      <c r="M185" s="90"/>
      <c r="N185" s="90"/>
      <c r="O185" s="90"/>
      <c r="P185" s="90"/>
      <c r="Q185" s="90"/>
    </row>
    <row r="186" ht="12.75" customHeight="1">
      <c r="A186" s="90"/>
      <c r="B186" s="90"/>
      <c r="C186" s="90"/>
      <c r="D186" s="90"/>
      <c r="E186" s="90"/>
      <c r="F186" s="90"/>
      <c r="G186" s="90"/>
      <c r="H186" s="90"/>
      <c r="I186" s="90"/>
      <c r="J186" s="90"/>
      <c r="K186" s="90"/>
      <c r="L186" s="90"/>
      <c r="M186" s="90"/>
      <c r="N186" s="90"/>
      <c r="O186" s="90"/>
      <c r="P186" s="90"/>
      <c r="Q186" s="90"/>
    </row>
    <row r="187" ht="12.75" customHeight="1">
      <c r="A187" s="937" t="s">
        <v>4656</v>
      </c>
      <c r="B187" s="90"/>
      <c r="C187" s="90"/>
      <c r="D187" s="90"/>
      <c r="E187" s="90"/>
      <c r="F187" s="90"/>
      <c r="G187" s="90"/>
      <c r="H187" s="90"/>
      <c r="I187" s="90"/>
      <c r="J187" s="90"/>
      <c r="K187" s="90"/>
      <c r="L187" s="90"/>
      <c r="M187" s="90"/>
      <c r="N187" s="90"/>
      <c r="O187" s="90"/>
      <c r="P187" s="90"/>
      <c r="Q187" s="90"/>
    </row>
    <row r="188" ht="12.75" customHeight="1">
      <c r="A188" s="90"/>
      <c r="B188" s="90"/>
      <c r="C188" s="90"/>
      <c r="D188" s="90"/>
      <c r="E188" s="90"/>
      <c r="F188" s="90"/>
      <c r="G188" s="90"/>
      <c r="H188" s="90"/>
      <c r="I188" s="90"/>
      <c r="J188" s="90"/>
      <c r="K188" s="90"/>
      <c r="L188" s="90"/>
      <c r="M188" s="90"/>
      <c r="N188" s="90"/>
      <c r="O188" s="90"/>
      <c r="P188" s="90"/>
      <c r="Q188" s="90"/>
    </row>
    <row r="189" ht="12.75" customHeight="1">
      <c r="A189" s="937" t="s">
        <v>4657</v>
      </c>
      <c r="B189" s="90"/>
      <c r="C189" s="90"/>
      <c r="D189" s="90"/>
      <c r="E189" s="90"/>
      <c r="F189" s="90"/>
      <c r="G189" s="90"/>
      <c r="H189" s="90"/>
      <c r="I189" s="90"/>
      <c r="J189" s="90"/>
      <c r="K189" s="90"/>
      <c r="L189" s="90"/>
      <c r="M189" s="90"/>
      <c r="N189" s="90"/>
      <c r="O189" s="90"/>
      <c r="P189" s="90"/>
      <c r="Q189" s="90"/>
    </row>
    <row r="190" ht="12.75" customHeight="1">
      <c r="A190" s="90"/>
      <c r="B190" s="90"/>
      <c r="C190" s="90"/>
      <c r="D190" s="90"/>
      <c r="E190" s="90"/>
      <c r="F190" s="90"/>
      <c r="G190" s="90"/>
      <c r="H190" s="90"/>
      <c r="I190" s="90"/>
      <c r="J190" s="90"/>
      <c r="K190" s="90"/>
      <c r="L190" s="90"/>
      <c r="M190" s="90"/>
      <c r="N190" s="90"/>
      <c r="O190" s="90"/>
      <c r="P190" s="90"/>
      <c r="Q190" s="90"/>
    </row>
    <row r="191" ht="12.75" customHeight="1">
      <c r="A191" s="937" t="s">
        <v>7999</v>
      </c>
      <c r="B191" s="90"/>
      <c r="C191" s="90"/>
      <c r="D191" s="90"/>
      <c r="E191" s="90"/>
      <c r="F191" s="90"/>
      <c r="G191" s="90"/>
      <c r="H191" s="90"/>
      <c r="I191" s="90"/>
      <c r="J191" s="90"/>
      <c r="K191" s="90"/>
      <c r="L191" s="90"/>
      <c r="M191" s="90"/>
      <c r="N191" s="90"/>
      <c r="O191" s="90"/>
      <c r="P191" s="90"/>
      <c r="Q191" s="90"/>
    </row>
    <row r="192" ht="12.75" customHeight="1">
      <c r="A192" s="937" t="s">
        <v>8000</v>
      </c>
      <c r="B192" s="90"/>
      <c r="C192" s="90"/>
      <c r="D192" s="90"/>
      <c r="E192" s="90"/>
      <c r="F192" s="90"/>
      <c r="G192" s="90"/>
      <c r="H192" s="90"/>
      <c r="I192" s="90"/>
      <c r="J192" s="90"/>
      <c r="K192" s="90"/>
      <c r="L192" s="90"/>
      <c r="M192" s="90"/>
      <c r="N192" s="90"/>
      <c r="O192" s="90"/>
      <c r="P192" s="90"/>
      <c r="Q192" s="90"/>
    </row>
    <row r="193" ht="12.75" customHeight="1">
      <c r="A193" s="90"/>
      <c r="B193" s="90"/>
      <c r="C193" s="90"/>
      <c r="D193" s="90"/>
      <c r="E193" s="90"/>
      <c r="F193" s="90"/>
      <c r="G193" s="90"/>
      <c r="H193" s="90"/>
      <c r="I193" s="90"/>
      <c r="J193" s="90"/>
      <c r="K193" s="90"/>
      <c r="L193" s="90"/>
      <c r="M193" s="90"/>
      <c r="N193" s="90"/>
      <c r="O193" s="90"/>
      <c r="P193" s="90"/>
      <c r="Q193" s="90"/>
    </row>
    <row r="194" ht="12.75" customHeight="1">
      <c r="A194" s="937" t="s">
        <v>4659</v>
      </c>
      <c r="B194" s="90"/>
      <c r="C194" s="90"/>
      <c r="D194" s="90"/>
      <c r="E194" s="90"/>
      <c r="F194" s="90"/>
      <c r="G194" s="90"/>
      <c r="H194" s="90"/>
      <c r="I194" s="90"/>
      <c r="J194" s="90"/>
      <c r="K194" s="90"/>
      <c r="L194" s="90"/>
      <c r="M194" s="90"/>
      <c r="N194" s="90"/>
      <c r="O194" s="90"/>
      <c r="P194" s="90"/>
      <c r="Q194" s="90"/>
    </row>
    <row r="195" ht="12.75" customHeight="1">
      <c r="A195" s="90"/>
      <c r="B195" s="90"/>
      <c r="C195" s="90"/>
      <c r="D195" s="90"/>
      <c r="E195" s="90"/>
      <c r="F195" s="90"/>
      <c r="G195" s="90"/>
      <c r="H195" s="90"/>
      <c r="I195" s="90"/>
      <c r="J195" s="90"/>
      <c r="K195" s="90"/>
      <c r="L195" s="90"/>
      <c r="M195" s="90"/>
      <c r="N195" s="90"/>
      <c r="O195" s="90"/>
      <c r="P195" s="90"/>
      <c r="Q195" s="90"/>
    </row>
    <row r="196" ht="12.75" customHeight="1">
      <c r="A196" s="937" t="s">
        <v>4660</v>
      </c>
      <c r="B196" s="90"/>
      <c r="C196" s="90"/>
      <c r="D196" s="90"/>
      <c r="E196" s="90"/>
      <c r="F196" s="90"/>
      <c r="G196" s="90"/>
      <c r="H196" s="90"/>
      <c r="I196" s="90"/>
      <c r="J196" s="90"/>
      <c r="K196" s="90"/>
      <c r="L196" s="90"/>
      <c r="M196" s="90"/>
      <c r="N196" s="90"/>
      <c r="O196" s="90"/>
      <c r="P196" s="90"/>
      <c r="Q196" s="90"/>
    </row>
    <row r="197" ht="12.75" customHeight="1">
      <c r="A197" s="90"/>
      <c r="B197" s="90"/>
      <c r="C197" s="90"/>
      <c r="D197" s="90"/>
      <c r="E197" s="90"/>
      <c r="F197" s="90"/>
      <c r="G197" s="90"/>
      <c r="H197" s="90"/>
      <c r="I197" s="90"/>
      <c r="J197" s="90"/>
      <c r="K197" s="90"/>
      <c r="L197" s="90"/>
      <c r="M197" s="90"/>
      <c r="N197" s="90"/>
      <c r="O197" s="90"/>
      <c r="P197" s="90"/>
      <c r="Q197" s="90"/>
    </row>
    <row r="198" ht="12.75" customHeight="1">
      <c r="A198" s="937" t="s">
        <v>4661</v>
      </c>
      <c r="B198" s="90"/>
      <c r="C198" s="90"/>
      <c r="D198" s="90"/>
      <c r="E198" s="90"/>
      <c r="F198" s="90"/>
      <c r="G198" s="90"/>
      <c r="H198" s="90"/>
      <c r="I198" s="90"/>
      <c r="J198" s="90"/>
      <c r="K198" s="90"/>
      <c r="L198" s="90"/>
      <c r="M198" s="90"/>
      <c r="N198" s="90"/>
      <c r="O198" s="90"/>
      <c r="P198" s="90"/>
      <c r="Q198" s="90"/>
    </row>
    <row r="199" ht="12.75" customHeight="1">
      <c r="A199" s="90"/>
      <c r="B199" s="90"/>
      <c r="C199" s="90"/>
      <c r="D199" s="90"/>
      <c r="E199" s="90"/>
      <c r="F199" s="90"/>
      <c r="G199" s="90"/>
      <c r="H199" s="90"/>
      <c r="I199" s="90"/>
      <c r="J199" s="90"/>
      <c r="K199" s="90"/>
      <c r="L199" s="90"/>
      <c r="M199" s="90"/>
      <c r="N199" s="90"/>
      <c r="O199" s="90"/>
      <c r="P199" s="90"/>
      <c r="Q199" s="90"/>
    </row>
    <row r="200" ht="12.75" customHeight="1">
      <c r="A200" s="937" t="s">
        <v>4662</v>
      </c>
      <c r="B200" s="90"/>
      <c r="C200" s="90"/>
      <c r="D200" s="90"/>
      <c r="E200" s="90"/>
      <c r="F200" s="90"/>
      <c r="G200" s="90"/>
      <c r="H200" s="90"/>
      <c r="I200" s="90"/>
      <c r="J200" s="90"/>
      <c r="K200" s="90"/>
      <c r="L200" s="90"/>
      <c r="M200" s="90"/>
      <c r="N200" s="90"/>
      <c r="O200" s="90"/>
      <c r="P200" s="90"/>
      <c r="Q200" s="90"/>
    </row>
    <row r="201" ht="12.75" customHeight="1">
      <c r="A201" s="90"/>
      <c r="B201" s="90"/>
      <c r="C201" s="90"/>
      <c r="D201" s="90"/>
      <c r="E201" s="90"/>
      <c r="F201" s="90"/>
      <c r="G201" s="90"/>
      <c r="H201" s="90"/>
      <c r="I201" s="90"/>
      <c r="J201" s="90"/>
      <c r="K201" s="90"/>
      <c r="L201" s="90"/>
      <c r="M201" s="90"/>
      <c r="N201" s="90"/>
      <c r="O201" s="90"/>
      <c r="P201" s="90"/>
      <c r="Q201" s="90"/>
    </row>
    <row r="202" ht="12.75" customHeight="1">
      <c r="A202" s="937" t="s">
        <v>4647</v>
      </c>
      <c r="B202" s="90"/>
      <c r="C202" s="90"/>
      <c r="D202" s="90"/>
      <c r="E202" s="90"/>
      <c r="F202" s="90"/>
      <c r="G202" s="90"/>
      <c r="H202" s="90"/>
      <c r="I202" s="90"/>
      <c r="J202" s="90"/>
      <c r="K202" s="90"/>
      <c r="L202" s="90"/>
      <c r="M202" s="90"/>
      <c r="N202" s="90"/>
      <c r="O202" s="90"/>
      <c r="P202" s="90"/>
      <c r="Q202" s="90"/>
    </row>
    <row r="203" ht="12.75" customHeight="1">
      <c r="A203" s="90"/>
      <c r="B203" s="90"/>
      <c r="C203" s="90"/>
      <c r="D203" s="90"/>
      <c r="E203" s="90"/>
      <c r="F203" s="90"/>
      <c r="G203" s="90"/>
      <c r="H203" s="90"/>
      <c r="I203" s="90"/>
      <c r="J203" s="90"/>
      <c r="K203" s="90"/>
      <c r="L203" s="90"/>
      <c r="M203" s="90"/>
      <c r="N203" s="90"/>
      <c r="O203" s="90"/>
      <c r="P203" s="90"/>
      <c r="Q203" s="90"/>
    </row>
    <row r="204" ht="12.75" customHeight="1">
      <c r="A204" s="90"/>
      <c r="B204" s="90"/>
      <c r="C204" s="90"/>
      <c r="D204" s="90"/>
      <c r="E204" s="90"/>
      <c r="F204" s="90"/>
      <c r="G204" s="90"/>
      <c r="H204" s="90"/>
      <c r="I204" s="90"/>
      <c r="J204" s="90"/>
      <c r="K204" s="90"/>
      <c r="L204" s="90"/>
      <c r="M204" s="90"/>
      <c r="N204" s="90"/>
      <c r="O204" s="90"/>
      <c r="P204" s="90"/>
      <c r="Q204" s="90"/>
    </row>
    <row r="205" ht="12.75" customHeight="1">
      <c r="A205" s="937" t="s">
        <v>4663</v>
      </c>
      <c r="B205" s="90"/>
      <c r="C205" s="90"/>
      <c r="D205" s="90"/>
      <c r="E205" s="90"/>
      <c r="F205" s="90"/>
      <c r="G205" s="90"/>
      <c r="H205" s="90"/>
      <c r="I205" s="90"/>
      <c r="J205" s="90"/>
      <c r="K205" s="90"/>
      <c r="L205" s="90"/>
      <c r="M205" s="90"/>
      <c r="N205" s="90"/>
      <c r="O205" s="90"/>
      <c r="P205" s="90"/>
      <c r="Q205" s="90"/>
    </row>
    <row r="206" ht="12.75" customHeight="1">
      <c r="A206" s="90"/>
      <c r="B206" s="90"/>
      <c r="C206" s="90"/>
      <c r="D206" s="90"/>
      <c r="E206" s="90"/>
      <c r="F206" s="90"/>
      <c r="G206" s="90"/>
      <c r="H206" s="90"/>
      <c r="I206" s="90"/>
      <c r="J206" s="90"/>
      <c r="K206" s="90"/>
      <c r="L206" s="90"/>
      <c r="M206" s="90"/>
      <c r="N206" s="90"/>
      <c r="O206" s="90"/>
      <c r="P206" s="90"/>
      <c r="Q206" s="90"/>
    </row>
    <row r="207" ht="12.75" customHeight="1">
      <c r="A207" s="937" t="s">
        <v>4664</v>
      </c>
      <c r="B207" s="90"/>
      <c r="C207" s="90"/>
      <c r="D207" s="90"/>
      <c r="E207" s="90"/>
      <c r="F207" s="90"/>
      <c r="G207" s="90"/>
      <c r="H207" s="90"/>
      <c r="I207" s="90"/>
      <c r="J207" s="90"/>
      <c r="K207" s="90"/>
      <c r="L207" s="90"/>
      <c r="M207" s="90"/>
      <c r="N207" s="90"/>
      <c r="O207" s="90"/>
      <c r="P207" s="90"/>
      <c r="Q207" s="90"/>
    </row>
    <row r="208" ht="12.75" customHeight="1">
      <c r="A208" s="90"/>
      <c r="B208" s="90"/>
      <c r="C208" s="90"/>
      <c r="D208" s="90"/>
      <c r="E208" s="90"/>
      <c r="F208" s="90"/>
      <c r="G208" s="90"/>
      <c r="H208" s="90"/>
      <c r="I208" s="90"/>
      <c r="J208" s="90"/>
      <c r="K208" s="90"/>
      <c r="L208" s="90"/>
      <c r="M208" s="90"/>
      <c r="N208" s="90"/>
      <c r="O208" s="90"/>
      <c r="P208" s="90"/>
      <c r="Q208" s="90"/>
    </row>
    <row r="209" ht="12.75" customHeight="1">
      <c r="A209" s="937" t="s">
        <v>4665</v>
      </c>
      <c r="B209" s="90"/>
      <c r="C209" s="90"/>
      <c r="D209" s="90"/>
      <c r="E209" s="90"/>
      <c r="F209" s="90"/>
      <c r="G209" s="90"/>
      <c r="H209" s="90"/>
      <c r="I209" s="90"/>
      <c r="J209" s="90"/>
      <c r="K209" s="90"/>
      <c r="L209" s="90"/>
      <c r="M209" s="90"/>
      <c r="N209" s="90"/>
      <c r="O209" s="90"/>
      <c r="P209" s="90"/>
      <c r="Q209" s="90"/>
    </row>
    <row r="210" ht="12.75" customHeight="1">
      <c r="A210" s="90"/>
      <c r="B210" s="90"/>
      <c r="C210" s="90"/>
      <c r="D210" s="90"/>
      <c r="E210" s="90"/>
      <c r="F210" s="90"/>
      <c r="G210" s="90"/>
      <c r="H210" s="90"/>
      <c r="I210" s="90"/>
      <c r="J210" s="90"/>
      <c r="K210" s="90"/>
      <c r="L210" s="90"/>
      <c r="M210" s="90"/>
      <c r="N210" s="90"/>
      <c r="O210" s="90"/>
      <c r="P210" s="90"/>
      <c r="Q210" s="90"/>
    </row>
    <row r="211" ht="12.75" customHeight="1">
      <c r="A211" s="937" t="s">
        <v>4666</v>
      </c>
      <c r="B211" s="90"/>
      <c r="C211" s="90"/>
      <c r="D211" s="90"/>
      <c r="E211" s="90"/>
      <c r="F211" s="90"/>
      <c r="G211" s="90"/>
      <c r="H211" s="90"/>
      <c r="I211" s="90"/>
      <c r="J211" s="90"/>
      <c r="K211" s="90"/>
      <c r="L211" s="90"/>
      <c r="M211" s="90"/>
      <c r="N211" s="90"/>
      <c r="O211" s="90"/>
      <c r="P211" s="90"/>
      <c r="Q211" s="90"/>
    </row>
    <row r="212" ht="12.75" customHeight="1">
      <c r="A212" s="90"/>
      <c r="B212" s="90"/>
      <c r="C212" s="90"/>
      <c r="D212" s="90"/>
      <c r="E212" s="90"/>
      <c r="F212" s="90"/>
      <c r="G212" s="90"/>
      <c r="H212" s="90"/>
      <c r="I212" s="90"/>
      <c r="J212" s="90"/>
      <c r="K212" s="90"/>
      <c r="L212" s="90"/>
      <c r="M212" s="90"/>
      <c r="N212" s="90"/>
      <c r="O212" s="90"/>
      <c r="P212" s="90"/>
      <c r="Q212" s="90"/>
    </row>
    <row r="213" ht="12.75" customHeight="1">
      <c r="A213" s="937" t="s">
        <v>4667</v>
      </c>
      <c r="B213" s="90"/>
      <c r="C213" s="90"/>
      <c r="D213" s="90"/>
      <c r="E213" s="90"/>
      <c r="F213" s="90"/>
      <c r="G213" s="90"/>
      <c r="H213" s="90"/>
      <c r="I213" s="90"/>
      <c r="J213" s="90"/>
      <c r="K213" s="90"/>
      <c r="L213" s="90"/>
      <c r="M213" s="90"/>
      <c r="N213" s="90"/>
      <c r="O213" s="90"/>
      <c r="P213" s="90"/>
      <c r="Q213" s="90"/>
    </row>
    <row r="214" ht="12.75" customHeight="1">
      <c r="A214" s="90"/>
      <c r="B214" s="90"/>
      <c r="C214" s="90"/>
      <c r="D214" s="90"/>
      <c r="E214" s="90"/>
      <c r="F214" s="90"/>
      <c r="G214" s="90"/>
      <c r="H214" s="90"/>
      <c r="I214" s="90"/>
      <c r="J214" s="90"/>
      <c r="K214" s="90"/>
      <c r="L214" s="90"/>
      <c r="M214" s="90"/>
      <c r="N214" s="90"/>
      <c r="O214" s="90"/>
      <c r="P214" s="90"/>
      <c r="Q214" s="90"/>
    </row>
    <row r="215" ht="12.75" customHeight="1">
      <c r="A215" s="937" t="s">
        <v>4668</v>
      </c>
      <c r="B215" s="90"/>
      <c r="C215" s="90"/>
      <c r="D215" s="90"/>
      <c r="E215" s="90"/>
      <c r="F215" s="90"/>
      <c r="G215" s="90"/>
      <c r="H215" s="90"/>
      <c r="I215" s="90"/>
      <c r="J215" s="90"/>
      <c r="K215" s="90"/>
      <c r="L215" s="90"/>
      <c r="M215" s="90"/>
      <c r="N215" s="90"/>
      <c r="O215" s="90"/>
      <c r="P215" s="90"/>
      <c r="Q215" s="90"/>
    </row>
    <row r="216" ht="12.75" customHeight="1">
      <c r="A216" s="90"/>
      <c r="B216" s="90"/>
      <c r="C216" s="90"/>
      <c r="D216" s="90"/>
      <c r="E216" s="90"/>
      <c r="F216" s="90"/>
      <c r="G216" s="90"/>
      <c r="H216" s="90"/>
      <c r="I216" s="90"/>
      <c r="J216" s="90"/>
      <c r="K216" s="90"/>
      <c r="L216" s="90"/>
      <c r="M216" s="90"/>
      <c r="N216" s="90"/>
      <c r="O216" s="90"/>
      <c r="P216" s="90"/>
      <c r="Q216" s="90"/>
    </row>
    <row r="217" ht="12.75" customHeight="1">
      <c r="A217" s="937" t="s">
        <v>4669</v>
      </c>
      <c r="B217" s="90"/>
      <c r="C217" s="90"/>
      <c r="D217" s="90"/>
      <c r="E217" s="90"/>
      <c r="F217" s="90"/>
      <c r="G217" s="90"/>
      <c r="H217" s="90"/>
      <c r="I217" s="90"/>
      <c r="J217" s="90"/>
      <c r="K217" s="90"/>
      <c r="L217" s="90"/>
      <c r="M217" s="90"/>
      <c r="N217" s="90"/>
      <c r="O217" s="90"/>
      <c r="P217" s="90"/>
      <c r="Q217" s="90"/>
    </row>
    <row r="218" ht="12.75" customHeight="1">
      <c r="A218" s="90"/>
      <c r="B218" s="90"/>
      <c r="C218" s="90"/>
      <c r="D218" s="90"/>
      <c r="E218" s="90"/>
      <c r="F218" s="90"/>
      <c r="G218" s="90"/>
      <c r="H218" s="90"/>
      <c r="I218" s="90"/>
      <c r="J218" s="90"/>
      <c r="K218" s="90"/>
      <c r="L218" s="90"/>
      <c r="M218" s="90"/>
      <c r="N218" s="90"/>
      <c r="O218" s="90"/>
      <c r="P218" s="90"/>
      <c r="Q218" s="90"/>
    </row>
    <row r="219" ht="12.75" customHeight="1">
      <c r="A219" s="937" t="s">
        <v>4670</v>
      </c>
      <c r="B219" s="90"/>
      <c r="C219" s="90"/>
      <c r="D219" s="90"/>
      <c r="E219" s="90"/>
      <c r="F219" s="90"/>
      <c r="G219" s="90"/>
      <c r="H219" s="90"/>
      <c r="I219" s="90"/>
      <c r="J219" s="90"/>
      <c r="K219" s="90"/>
      <c r="L219" s="90"/>
      <c r="M219" s="90"/>
      <c r="N219" s="90"/>
      <c r="O219" s="90"/>
      <c r="P219" s="90"/>
      <c r="Q219" s="90"/>
    </row>
    <row r="220" ht="12.75" customHeight="1">
      <c r="A220" s="90"/>
      <c r="B220" s="90"/>
      <c r="C220" s="90"/>
      <c r="D220" s="90"/>
      <c r="E220" s="90"/>
      <c r="F220" s="90"/>
      <c r="G220" s="90"/>
      <c r="H220" s="90"/>
      <c r="I220" s="90"/>
      <c r="J220" s="90"/>
      <c r="K220" s="90"/>
      <c r="L220" s="90"/>
      <c r="M220" s="90"/>
      <c r="N220" s="90"/>
      <c r="O220" s="90"/>
      <c r="P220" s="90"/>
      <c r="Q220" s="90"/>
    </row>
    <row r="221" ht="12.75" customHeight="1">
      <c r="A221" s="937" t="s">
        <v>4671</v>
      </c>
      <c r="B221" s="90"/>
      <c r="C221" s="90"/>
      <c r="D221" s="90"/>
      <c r="E221" s="90"/>
      <c r="F221" s="90"/>
      <c r="G221" s="90"/>
      <c r="H221" s="90"/>
      <c r="I221" s="90"/>
      <c r="J221" s="90"/>
      <c r="K221" s="90"/>
      <c r="L221" s="90"/>
      <c r="M221" s="90"/>
      <c r="N221" s="90"/>
      <c r="O221" s="90"/>
      <c r="P221" s="90"/>
      <c r="Q221" s="90"/>
    </row>
    <row r="222" ht="12.75" customHeight="1">
      <c r="A222" s="90"/>
      <c r="B222" s="90"/>
      <c r="C222" s="90"/>
      <c r="D222" s="90"/>
      <c r="E222" s="90"/>
      <c r="F222" s="90"/>
      <c r="G222" s="90"/>
      <c r="H222" s="90"/>
      <c r="I222" s="90"/>
      <c r="J222" s="90"/>
      <c r="K222" s="90"/>
      <c r="L222" s="90"/>
      <c r="M222" s="90"/>
      <c r="N222" s="90"/>
      <c r="O222" s="90"/>
      <c r="P222" s="90"/>
      <c r="Q222" s="90"/>
    </row>
    <row r="223" ht="12.75" customHeight="1">
      <c r="A223" s="937" t="s">
        <v>4672</v>
      </c>
      <c r="B223" s="90"/>
      <c r="C223" s="90"/>
      <c r="D223" s="90"/>
      <c r="E223" s="90"/>
      <c r="F223" s="90"/>
      <c r="G223" s="90"/>
      <c r="H223" s="90"/>
      <c r="I223" s="90"/>
      <c r="J223" s="90"/>
      <c r="K223" s="90"/>
      <c r="L223" s="90"/>
      <c r="M223" s="90"/>
      <c r="N223" s="90"/>
      <c r="O223" s="90"/>
      <c r="P223" s="90"/>
      <c r="Q223" s="90"/>
    </row>
    <row r="224" ht="12.75" customHeight="1">
      <c r="A224" s="90"/>
      <c r="B224" s="90"/>
      <c r="C224" s="90"/>
      <c r="D224" s="90"/>
      <c r="E224" s="90"/>
      <c r="F224" s="90"/>
      <c r="G224" s="90"/>
      <c r="H224" s="90"/>
      <c r="I224" s="90"/>
      <c r="J224" s="90"/>
      <c r="K224" s="90"/>
      <c r="L224" s="90"/>
      <c r="M224" s="90"/>
      <c r="N224" s="90"/>
      <c r="O224" s="90"/>
      <c r="P224" s="90"/>
      <c r="Q224" s="90"/>
    </row>
    <row r="225" ht="12.75" customHeight="1">
      <c r="A225" s="937" t="s">
        <v>4673</v>
      </c>
      <c r="B225" s="90"/>
      <c r="C225" s="90"/>
      <c r="D225" s="90"/>
      <c r="E225" s="90"/>
      <c r="F225" s="90"/>
      <c r="G225" s="90"/>
      <c r="H225" s="90"/>
      <c r="I225" s="90"/>
      <c r="J225" s="90"/>
      <c r="K225" s="90"/>
      <c r="L225" s="90"/>
      <c r="M225" s="90"/>
      <c r="N225" s="90"/>
      <c r="O225" s="90"/>
      <c r="P225" s="90"/>
      <c r="Q225" s="90"/>
    </row>
    <row r="226" ht="12.75" customHeight="1">
      <c r="A226" s="90"/>
      <c r="B226" s="90"/>
      <c r="C226" s="90"/>
      <c r="D226" s="90"/>
      <c r="E226" s="90"/>
      <c r="F226" s="90"/>
      <c r="G226" s="90"/>
      <c r="H226" s="90"/>
      <c r="I226" s="90"/>
      <c r="J226" s="90"/>
      <c r="K226" s="90"/>
      <c r="L226" s="90"/>
      <c r="M226" s="90"/>
      <c r="N226" s="90"/>
      <c r="O226" s="90"/>
      <c r="P226" s="90"/>
      <c r="Q226" s="90"/>
    </row>
    <row r="227" ht="12.75" customHeight="1">
      <c r="A227" s="937" t="s">
        <v>4674</v>
      </c>
      <c r="B227" s="90"/>
      <c r="C227" s="90"/>
      <c r="D227" s="90"/>
      <c r="E227" s="90"/>
      <c r="F227" s="90"/>
      <c r="G227" s="90"/>
      <c r="H227" s="90"/>
      <c r="I227" s="90"/>
      <c r="J227" s="90"/>
      <c r="K227" s="90"/>
      <c r="L227" s="90"/>
      <c r="M227" s="90"/>
      <c r="N227" s="90"/>
      <c r="O227" s="90"/>
      <c r="P227" s="90"/>
      <c r="Q227" s="90"/>
    </row>
    <row r="228" ht="12.75" customHeight="1">
      <c r="A228" s="90"/>
      <c r="B228" s="90"/>
      <c r="C228" s="90"/>
      <c r="D228" s="90"/>
      <c r="E228" s="90"/>
      <c r="F228" s="90"/>
      <c r="G228" s="90"/>
      <c r="H228" s="90"/>
      <c r="I228" s="90"/>
      <c r="J228" s="90"/>
      <c r="K228" s="90"/>
      <c r="L228" s="90"/>
      <c r="M228" s="90"/>
      <c r="N228" s="90"/>
      <c r="O228" s="90"/>
      <c r="P228" s="90"/>
      <c r="Q228" s="90"/>
    </row>
    <row r="229" ht="12.75" customHeight="1">
      <c r="A229" s="937" t="s">
        <v>4675</v>
      </c>
      <c r="B229" s="90"/>
      <c r="C229" s="90"/>
      <c r="D229" s="90"/>
      <c r="E229" s="90"/>
      <c r="F229" s="90"/>
      <c r="G229" s="90"/>
      <c r="H229" s="90"/>
      <c r="I229" s="90"/>
      <c r="J229" s="90"/>
      <c r="K229" s="90"/>
      <c r="L229" s="90"/>
      <c r="M229" s="90"/>
      <c r="N229" s="90"/>
      <c r="O229" s="90"/>
      <c r="P229" s="90"/>
      <c r="Q229" s="90"/>
    </row>
    <row r="230" ht="12.75" customHeight="1">
      <c r="A230" s="90"/>
      <c r="B230" s="90"/>
      <c r="C230" s="90"/>
      <c r="D230" s="90"/>
      <c r="E230" s="90"/>
      <c r="F230" s="90"/>
      <c r="G230" s="90"/>
      <c r="H230" s="90"/>
      <c r="I230" s="90"/>
      <c r="J230" s="90"/>
      <c r="K230" s="90"/>
      <c r="L230" s="90"/>
      <c r="M230" s="90"/>
      <c r="N230" s="90"/>
      <c r="O230" s="90"/>
      <c r="P230" s="90"/>
      <c r="Q230" s="90"/>
    </row>
    <row r="231" ht="12.75" customHeight="1">
      <c r="A231" s="937" t="s">
        <v>4676</v>
      </c>
      <c r="B231" s="90"/>
      <c r="C231" s="90"/>
      <c r="D231" s="90"/>
      <c r="E231" s="90"/>
      <c r="F231" s="90"/>
      <c r="G231" s="90"/>
      <c r="H231" s="90"/>
      <c r="I231" s="90"/>
      <c r="J231" s="90"/>
      <c r="K231" s="90"/>
      <c r="L231" s="90"/>
      <c r="M231" s="90"/>
      <c r="N231" s="90"/>
      <c r="O231" s="90"/>
      <c r="P231" s="90"/>
      <c r="Q231" s="90"/>
    </row>
    <row r="232" ht="12.75" customHeight="1">
      <c r="A232" s="90"/>
      <c r="B232" s="90"/>
      <c r="C232" s="90"/>
      <c r="D232" s="90"/>
      <c r="E232" s="90"/>
      <c r="F232" s="90"/>
      <c r="G232" s="90"/>
      <c r="H232" s="90"/>
      <c r="I232" s="90"/>
      <c r="J232" s="90"/>
      <c r="K232" s="90"/>
      <c r="L232" s="90"/>
      <c r="M232" s="90"/>
      <c r="N232" s="90"/>
      <c r="O232" s="90"/>
      <c r="P232" s="90"/>
      <c r="Q232" s="90"/>
    </row>
    <row r="233" ht="12.75" customHeight="1">
      <c r="A233" s="937" t="s">
        <v>4677</v>
      </c>
      <c r="B233" s="90"/>
      <c r="C233" s="90"/>
      <c r="D233" s="90"/>
      <c r="E233" s="90"/>
      <c r="F233" s="90"/>
      <c r="G233" s="90"/>
      <c r="H233" s="90"/>
      <c r="I233" s="90"/>
      <c r="J233" s="90"/>
      <c r="K233" s="90"/>
      <c r="L233" s="90"/>
      <c r="M233" s="90"/>
      <c r="N233" s="90"/>
      <c r="O233" s="90"/>
      <c r="P233" s="90"/>
      <c r="Q233" s="90"/>
    </row>
    <row r="234" ht="12.75" customHeight="1">
      <c r="A234" s="90"/>
      <c r="B234" s="90"/>
      <c r="C234" s="90"/>
      <c r="D234" s="90"/>
      <c r="E234" s="90"/>
      <c r="F234" s="90"/>
      <c r="G234" s="90"/>
      <c r="H234" s="90"/>
      <c r="I234" s="90"/>
      <c r="J234" s="90"/>
      <c r="K234" s="90"/>
      <c r="L234" s="90"/>
      <c r="M234" s="90"/>
      <c r="N234" s="90"/>
      <c r="O234" s="90"/>
      <c r="P234" s="90"/>
      <c r="Q234" s="90"/>
    </row>
    <row r="235" ht="12.75" customHeight="1">
      <c r="A235" s="937" t="s">
        <v>4678</v>
      </c>
      <c r="B235" s="90"/>
      <c r="C235" s="90"/>
      <c r="D235" s="90"/>
      <c r="E235" s="90"/>
      <c r="F235" s="90"/>
      <c r="G235" s="90"/>
      <c r="H235" s="90"/>
      <c r="I235" s="90"/>
      <c r="J235" s="90"/>
      <c r="K235" s="90"/>
      <c r="L235" s="90"/>
      <c r="M235" s="90"/>
      <c r="N235" s="90"/>
      <c r="O235" s="90"/>
      <c r="P235" s="90"/>
      <c r="Q235" s="90"/>
    </row>
    <row r="236" ht="12.75" customHeight="1">
      <c r="A236" s="90"/>
      <c r="B236" s="90"/>
      <c r="C236" s="90"/>
      <c r="D236" s="90"/>
      <c r="E236" s="90"/>
      <c r="F236" s="90"/>
      <c r="G236" s="90"/>
      <c r="H236" s="90"/>
      <c r="I236" s="90"/>
      <c r="J236" s="90"/>
      <c r="K236" s="90"/>
      <c r="L236" s="90"/>
      <c r="M236" s="90"/>
      <c r="N236" s="90"/>
      <c r="O236" s="90"/>
      <c r="P236" s="90"/>
      <c r="Q236" s="90"/>
    </row>
    <row r="237" ht="12.75" customHeight="1">
      <c r="A237" s="937" t="s">
        <v>4679</v>
      </c>
      <c r="B237" s="90"/>
      <c r="C237" s="90"/>
      <c r="D237" s="90"/>
      <c r="E237" s="90"/>
      <c r="F237" s="90"/>
      <c r="G237" s="90"/>
      <c r="H237" s="90"/>
      <c r="I237" s="90"/>
      <c r="J237" s="90"/>
      <c r="K237" s="90"/>
      <c r="L237" s="90"/>
      <c r="M237" s="90"/>
      <c r="N237" s="90"/>
      <c r="O237" s="90"/>
      <c r="P237" s="90"/>
      <c r="Q237" s="90"/>
    </row>
    <row r="238" ht="12.75" customHeight="1">
      <c r="A238" s="90"/>
      <c r="B238" s="90"/>
      <c r="C238" s="90"/>
      <c r="D238" s="90"/>
      <c r="E238" s="90"/>
      <c r="F238" s="90"/>
      <c r="G238" s="90"/>
      <c r="H238" s="90"/>
      <c r="I238" s="90"/>
      <c r="J238" s="90"/>
      <c r="K238" s="90"/>
      <c r="L238" s="90"/>
      <c r="M238" s="90"/>
      <c r="N238" s="90"/>
      <c r="O238" s="90"/>
      <c r="P238" s="90"/>
      <c r="Q238" s="90"/>
    </row>
    <row r="239" ht="12.75" customHeight="1">
      <c r="A239" s="937" t="s">
        <v>8001</v>
      </c>
      <c r="B239" s="90"/>
      <c r="C239" s="90"/>
      <c r="D239" s="90"/>
      <c r="E239" s="90"/>
      <c r="F239" s="90"/>
      <c r="G239" s="90"/>
      <c r="H239" s="90"/>
      <c r="I239" s="90"/>
      <c r="J239" s="90"/>
      <c r="K239" s="90"/>
      <c r="L239" s="90"/>
      <c r="M239" s="90"/>
      <c r="N239" s="90"/>
      <c r="O239" s="90"/>
      <c r="P239" s="90"/>
      <c r="Q239" s="90"/>
    </row>
    <row r="240" ht="12.75" customHeight="1">
      <c r="A240" s="937" t="s">
        <v>8002</v>
      </c>
      <c r="B240" s="90"/>
      <c r="C240" s="90"/>
      <c r="D240" s="90"/>
      <c r="E240" s="90"/>
      <c r="F240" s="90"/>
      <c r="G240" s="90"/>
      <c r="H240" s="90"/>
      <c r="I240" s="90"/>
      <c r="J240" s="90"/>
      <c r="K240" s="90"/>
      <c r="L240" s="90"/>
      <c r="M240" s="90"/>
      <c r="N240" s="90"/>
      <c r="O240" s="90"/>
      <c r="P240" s="90"/>
      <c r="Q240" s="90"/>
    </row>
    <row r="241" ht="12.75" customHeight="1">
      <c r="A241" s="90"/>
      <c r="B241" s="90"/>
      <c r="C241" s="90"/>
      <c r="D241" s="90"/>
      <c r="E241" s="90"/>
      <c r="F241" s="90"/>
      <c r="G241" s="90"/>
      <c r="H241" s="90"/>
      <c r="I241" s="90"/>
      <c r="J241" s="90"/>
      <c r="K241" s="90"/>
      <c r="L241" s="90"/>
      <c r="M241" s="90"/>
      <c r="N241" s="90"/>
      <c r="O241" s="90"/>
      <c r="P241" s="90"/>
      <c r="Q241" s="90"/>
    </row>
    <row r="242" ht="12.75" customHeight="1">
      <c r="A242" s="937" t="s">
        <v>4681</v>
      </c>
      <c r="B242" s="90"/>
      <c r="C242" s="90"/>
      <c r="D242" s="90"/>
      <c r="E242" s="90"/>
      <c r="F242" s="90"/>
      <c r="G242" s="90"/>
      <c r="H242" s="90"/>
      <c r="I242" s="90"/>
      <c r="J242" s="90"/>
      <c r="K242" s="90"/>
      <c r="L242" s="90"/>
      <c r="M242" s="90"/>
      <c r="N242" s="90"/>
      <c r="O242" s="90"/>
      <c r="P242" s="90"/>
      <c r="Q242" s="90"/>
    </row>
    <row r="243" ht="12.75" customHeight="1">
      <c r="A243" s="90"/>
      <c r="B243" s="90"/>
      <c r="C243" s="90"/>
      <c r="D243" s="90"/>
      <c r="E243" s="90"/>
      <c r="F243" s="90"/>
      <c r="G243" s="90"/>
      <c r="H243" s="90"/>
      <c r="I243" s="90"/>
      <c r="J243" s="90"/>
      <c r="K243" s="90"/>
      <c r="L243" s="90"/>
      <c r="M243" s="90"/>
      <c r="N243" s="90"/>
      <c r="O243" s="90"/>
      <c r="P243" s="90"/>
      <c r="Q243" s="90"/>
    </row>
    <row r="244" ht="12.75" customHeight="1">
      <c r="A244" s="937" t="s">
        <v>4682</v>
      </c>
      <c r="B244" s="90"/>
      <c r="C244" s="90"/>
      <c r="D244" s="90"/>
      <c r="E244" s="90"/>
      <c r="F244" s="90"/>
      <c r="G244" s="90"/>
      <c r="H244" s="90"/>
      <c r="I244" s="90"/>
      <c r="J244" s="90"/>
      <c r="K244" s="90"/>
      <c r="L244" s="90"/>
      <c r="M244" s="90"/>
      <c r="N244" s="90"/>
      <c r="O244" s="90"/>
      <c r="P244" s="90"/>
      <c r="Q244" s="90"/>
    </row>
    <row r="245" ht="12.75" customHeight="1">
      <c r="A245" s="90"/>
      <c r="B245" s="90"/>
      <c r="C245" s="90"/>
      <c r="D245" s="90"/>
      <c r="E245" s="90"/>
      <c r="F245" s="90"/>
      <c r="G245" s="90"/>
      <c r="H245" s="90"/>
      <c r="I245" s="90"/>
      <c r="J245" s="90"/>
      <c r="K245" s="90"/>
      <c r="L245" s="90"/>
      <c r="M245" s="90"/>
      <c r="N245" s="90"/>
      <c r="O245" s="90"/>
      <c r="P245" s="90"/>
      <c r="Q245" s="90"/>
    </row>
    <row r="246" ht="12.75" customHeight="1">
      <c r="A246" s="937" t="s">
        <v>4683</v>
      </c>
      <c r="B246" s="90"/>
      <c r="C246" s="90"/>
      <c r="D246" s="90"/>
      <c r="E246" s="90"/>
      <c r="F246" s="90"/>
      <c r="G246" s="90"/>
      <c r="H246" s="90"/>
      <c r="I246" s="90"/>
      <c r="J246" s="90"/>
      <c r="K246" s="90"/>
      <c r="L246" s="90"/>
      <c r="M246" s="90"/>
      <c r="N246" s="90"/>
      <c r="O246" s="90"/>
      <c r="P246" s="90"/>
      <c r="Q246" s="90"/>
    </row>
    <row r="247" ht="12.75" customHeight="1">
      <c r="A247" s="90"/>
      <c r="B247" s="90"/>
      <c r="C247" s="90"/>
      <c r="D247" s="90"/>
      <c r="E247" s="90"/>
      <c r="F247" s="90"/>
      <c r="G247" s="90"/>
      <c r="H247" s="90"/>
      <c r="I247" s="90"/>
      <c r="J247" s="90"/>
      <c r="K247" s="90"/>
      <c r="L247" s="90"/>
      <c r="M247" s="90"/>
      <c r="N247" s="90"/>
      <c r="O247" s="90"/>
      <c r="P247" s="90"/>
      <c r="Q247" s="90"/>
    </row>
    <row r="248" ht="12.75" customHeight="1">
      <c r="A248" s="937" t="s">
        <v>4684</v>
      </c>
      <c r="B248" s="90"/>
      <c r="C248" s="90"/>
      <c r="D248" s="90"/>
      <c r="E248" s="90"/>
      <c r="F248" s="90"/>
      <c r="G248" s="90"/>
      <c r="H248" s="90"/>
      <c r="I248" s="90"/>
      <c r="J248" s="90"/>
      <c r="K248" s="90"/>
      <c r="L248" s="90"/>
      <c r="M248" s="90"/>
      <c r="N248" s="90"/>
      <c r="O248" s="90"/>
      <c r="P248" s="90"/>
      <c r="Q248" s="90"/>
    </row>
    <row r="249" ht="12.75" customHeight="1">
      <c r="A249" s="90"/>
      <c r="B249" s="90"/>
      <c r="C249" s="90"/>
      <c r="D249" s="90"/>
      <c r="E249" s="90"/>
      <c r="F249" s="90"/>
      <c r="G249" s="90"/>
      <c r="H249" s="90"/>
      <c r="I249" s="90"/>
      <c r="J249" s="90"/>
      <c r="K249" s="90"/>
      <c r="L249" s="90"/>
      <c r="M249" s="90"/>
      <c r="N249" s="90"/>
      <c r="O249" s="90"/>
      <c r="P249" s="90"/>
      <c r="Q249" s="90"/>
    </row>
    <row r="250" ht="12.75" customHeight="1">
      <c r="A250" s="937" t="s">
        <v>4685</v>
      </c>
      <c r="B250" s="90"/>
      <c r="C250" s="90"/>
      <c r="D250" s="90"/>
      <c r="E250" s="90"/>
      <c r="F250" s="90"/>
      <c r="G250" s="90"/>
      <c r="H250" s="90"/>
      <c r="I250" s="90"/>
      <c r="J250" s="90"/>
      <c r="K250" s="90"/>
      <c r="L250" s="90"/>
      <c r="M250" s="90"/>
      <c r="N250" s="90"/>
      <c r="O250" s="90"/>
      <c r="P250" s="90"/>
      <c r="Q250" s="90"/>
    </row>
    <row r="251" ht="12.75" customHeight="1">
      <c r="A251" s="90"/>
      <c r="B251" s="90"/>
      <c r="C251" s="90"/>
      <c r="D251" s="90"/>
      <c r="E251" s="90"/>
      <c r="F251" s="90"/>
      <c r="G251" s="90"/>
      <c r="H251" s="90"/>
      <c r="I251" s="90"/>
      <c r="J251" s="90"/>
      <c r="K251" s="90"/>
      <c r="L251" s="90"/>
      <c r="M251" s="90"/>
      <c r="N251" s="90"/>
      <c r="O251" s="90"/>
      <c r="P251" s="90"/>
      <c r="Q251" s="90"/>
    </row>
    <row r="252" ht="12.75" customHeight="1">
      <c r="A252" s="937" t="s">
        <v>4663</v>
      </c>
      <c r="B252" s="90"/>
      <c r="C252" s="90"/>
      <c r="D252" s="90"/>
      <c r="E252" s="90"/>
      <c r="F252" s="90"/>
      <c r="G252" s="90"/>
      <c r="H252" s="90"/>
      <c r="I252" s="90"/>
      <c r="J252" s="90"/>
      <c r="K252" s="90"/>
      <c r="L252" s="90"/>
      <c r="M252" s="90"/>
      <c r="N252" s="90"/>
      <c r="O252" s="90"/>
      <c r="P252" s="90"/>
      <c r="Q252" s="90"/>
    </row>
    <row r="253" ht="12.75" customHeight="1">
      <c r="A253" s="90"/>
      <c r="B253" s="90"/>
      <c r="C253" s="90"/>
      <c r="D253" s="90"/>
      <c r="E253" s="90"/>
      <c r="F253" s="90"/>
      <c r="G253" s="90"/>
      <c r="H253" s="90"/>
      <c r="I253" s="90"/>
      <c r="J253" s="90"/>
      <c r="K253" s="90"/>
      <c r="L253" s="90"/>
      <c r="M253" s="90"/>
      <c r="N253" s="90"/>
      <c r="O253" s="90"/>
      <c r="P253" s="90"/>
      <c r="Q253" s="90"/>
    </row>
    <row r="254" ht="12.75" customHeight="1">
      <c r="A254" s="90"/>
      <c r="B254" s="90"/>
      <c r="C254" s="90"/>
      <c r="D254" s="90"/>
      <c r="E254" s="90"/>
      <c r="F254" s="90"/>
      <c r="G254" s="90"/>
      <c r="H254" s="90"/>
      <c r="I254" s="90"/>
      <c r="J254" s="90"/>
      <c r="K254" s="90"/>
      <c r="L254" s="90"/>
      <c r="M254" s="90"/>
      <c r="N254" s="90"/>
      <c r="O254" s="90"/>
      <c r="P254" s="90"/>
      <c r="Q254" s="90"/>
    </row>
    <row r="255" ht="12.75" customHeight="1">
      <c r="A255" s="937" t="s">
        <v>4686</v>
      </c>
      <c r="B255" s="90"/>
      <c r="C255" s="90"/>
      <c r="D255" s="90"/>
      <c r="E255" s="90"/>
      <c r="F255" s="90"/>
      <c r="G255" s="90"/>
      <c r="H255" s="90"/>
      <c r="I255" s="90"/>
      <c r="J255" s="90"/>
      <c r="K255" s="90"/>
      <c r="L255" s="90"/>
      <c r="M255" s="90"/>
      <c r="N255" s="90"/>
      <c r="O255" s="90"/>
      <c r="P255" s="90"/>
      <c r="Q255" s="90"/>
    </row>
    <row r="256" ht="12.75" customHeight="1">
      <c r="A256" s="90"/>
      <c r="B256" s="90"/>
      <c r="C256" s="90"/>
      <c r="D256" s="90"/>
      <c r="E256" s="90"/>
      <c r="F256" s="90"/>
      <c r="G256" s="90"/>
      <c r="H256" s="90"/>
      <c r="I256" s="90"/>
      <c r="J256" s="90"/>
      <c r="K256" s="90"/>
      <c r="L256" s="90"/>
      <c r="M256" s="90"/>
      <c r="N256" s="90"/>
      <c r="O256" s="90"/>
      <c r="P256" s="90"/>
      <c r="Q256" s="90"/>
    </row>
    <row r="257" ht="12.75" customHeight="1">
      <c r="A257" s="937" t="s">
        <v>4687</v>
      </c>
      <c r="B257" s="90"/>
      <c r="C257" s="90"/>
      <c r="D257" s="90"/>
      <c r="E257" s="90"/>
      <c r="F257" s="90"/>
      <c r="G257" s="90"/>
      <c r="H257" s="90"/>
      <c r="I257" s="90"/>
      <c r="J257" s="90"/>
      <c r="K257" s="90"/>
      <c r="L257" s="90"/>
      <c r="M257" s="90"/>
      <c r="N257" s="90"/>
      <c r="O257" s="90"/>
      <c r="P257" s="90"/>
      <c r="Q257" s="90"/>
    </row>
    <row r="258" ht="12.75" customHeight="1">
      <c r="A258" s="90"/>
      <c r="B258" s="90"/>
      <c r="C258" s="90"/>
      <c r="D258" s="90"/>
      <c r="E258" s="90"/>
      <c r="F258" s="90"/>
      <c r="G258" s="90"/>
      <c r="H258" s="90"/>
      <c r="I258" s="90"/>
      <c r="J258" s="90"/>
      <c r="K258" s="90"/>
      <c r="L258" s="90"/>
      <c r="M258" s="90"/>
      <c r="N258" s="90"/>
      <c r="O258" s="90"/>
      <c r="P258" s="90"/>
      <c r="Q258" s="90"/>
    </row>
    <row r="259" ht="12.75" customHeight="1">
      <c r="A259" s="937" t="s">
        <v>4688</v>
      </c>
      <c r="B259" s="90"/>
      <c r="C259" s="90"/>
      <c r="D259" s="90"/>
      <c r="E259" s="90"/>
      <c r="F259" s="90"/>
      <c r="G259" s="90"/>
      <c r="H259" s="90"/>
      <c r="I259" s="90"/>
      <c r="J259" s="90"/>
      <c r="K259" s="90"/>
      <c r="L259" s="90"/>
      <c r="M259" s="90"/>
      <c r="N259" s="90"/>
      <c r="O259" s="90"/>
      <c r="P259" s="90"/>
      <c r="Q259" s="90"/>
    </row>
    <row r="260" ht="12.75" customHeight="1">
      <c r="A260" s="90"/>
      <c r="B260" s="90"/>
      <c r="C260" s="90"/>
      <c r="D260" s="90"/>
      <c r="E260" s="90"/>
      <c r="F260" s="90"/>
      <c r="G260" s="90"/>
      <c r="H260" s="90"/>
      <c r="I260" s="90"/>
      <c r="J260" s="90"/>
      <c r="K260" s="90"/>
      <c r="L260" s="90"/>
      <c r="M260" s="90"/>
      <c r="N260" s="90"/>
      <c r="O260" s="90"/>
      <c r="P260" s="90"/>
      <c r="Q260" s="90"/>
    </row>
    <row r="261" ht="12.75" customHeight="1">
      <c r="A261" s="937" t="s">
        <v>4689</v>
      </c>
      <c r="B261" s="90"/>
      <c r="C261" s="90"/>
      <c r="D261" s="90"/>
      <c r="E261" s="90"/>
      <c r="F261" s="90"/>
      <c r="G261" s="90"/>
      <c r="H261" s="90"/>
      <c r="I261" s="90"/>
      <c r="J261" s="90"/>
      <c r="K261" s="90"/>
      <c r="L261" s="90"/>
      <c r="M261" s="90"/>
      <c r="N261" s="90"/>
      <c r="O261" s="90"/>
      <c r="P261" s="90"/>
      <c r="Q261" s="90"/>
    </row>
    <row r="262" ht="12.75" customHeight="1">
      <c r="A262" s="90"/>
      <c r="B262" s="90"/>
      <c r="C262" s="90"/>
      <c r="D262" s="90"/>
      <c r="E262" s="90"/>
      <c r="F262" s="90"/>
      <c r="G262" s="90"/>
      <c r="H262" s="90"/>
      <c r="I262" s="90"/>
      <c r="J262" s="90"/>
      <c r="K262" s="90"/>
      <c r="L262" s="90"/>
      <c r="M262" s="90"/>
      <c r="N262" s="90"/>
      <c r="O262" s="90"/>
      <c r="P262" s="90"/>
      <c r="Q262" s="90"/>
    </row>
    <row r="263" ht="12.75" customHeight="1">
      <c r="A263" s="937" t="s">
        <v>4690</v>
      </c>
      <c r="B263" s="90"/>
      <c r="C263" s="90"/>
      <c r="D263" s="90"/>
      <c r="E263" s="90"/>
      <c r="F263" s="90"/>
      <c r="G263" s="90"/>
      <c r="H263" s="90"/>
      <c r="I263" s="90"/>
      <c r="J263" s="90"/>
      <c r="K263" s="90"/>
      <c r="L263" s="90"/>
      <c r="M263" s="90"/>
      <c r="N263" s="90"/>
      <c r="O263" s="90"/>
      <c r="P263" s="90"/>
      <c r="Q263" s="90"/>
    </row>
    <row r="264" ht="12.75" customHeight="1">
      <c r="A264" s="90"/>
      <c r="B264" s="90"/>
      <c r="C264" s="90"/>
      <c r="D264" s="90"/>
      <c r="E264" s="90"/>
      <c r="F264" s="90"/>
      <c r="G264" s="90"/>
      <c r="H264" s="90"/>
      <c r="I264" s="90"/>
      <c r="J264" s="90"/>
      <c r="K264" s="90"/>
      <c r="L264" s="90"/>
      <c r="M264" s="90"/>
      <c r="N264" s="90"/>
      <c r="O264" s="90"/>
      <c r="P264" s="90"/>
      <c r="Q264" s="90"/>
    </row>
    <row r="265" ht="12.75" customHeight="1">
      <c r="A265" s="937" t="s">
        <v>4691</v>
      </c>
      <c r="B265" s="90"/>
      <c r="C265" s="90"/>
      <c r="D265" s="90"/>
      <c r="E265" s="90"/>
      <c r="F265" s="90"/>
      <c r="G265" s="90"/>
      <c r="H265" s="90"/>
      <c r="I265" s="90"/>
      <c r="J265" s="90"/>
      <c r="K265" s="90"/>
      <c r="L265" s="90"/>
      <c r="M265" s="90"/>
      <c r="N265" s="90"/>
      <c r="O265" s="90"/>
      <c r="P265" s="90"/>
      <c r="Q265" s="90"/>
    </row>
    <row r="266" ht="12.75" customHeight="1">
      <c r="A266" s="90"/>
      <c r="B266" s="90"/>
      <c r="C266" s="90"/>
      <c r="D266" s="90"/>
      <c r="E266" s="90"/>
      <c r="F266" s="90"/>
      <c r="G266" s="90"/>
      <c r="H266" s="90"/>
      <c r="I266" s="90"/>
      <c r="J266" s="90"/>
      <c r="K266" s="90"/>
      <c r="L266" s="90"/>
      <c r="M266" s="90"/>
      <c r="N266" s="90"/>
      <c r="O266" s="90"/>
      <c r="P266" s="90"/>
      <c r="Q266" s="90"/>
    </row>
    <row r="267" ht="12.75" customHeight="1">
      <c r="A267" s="937" t="s">
        <v>4692</v>
      </c>
      <c r="B267" s="90"/>
      <c r="C267" s="90"/>
      <c r="D267" s="90"/>
      <c r="E267" s="90"/>
      <c r="F267" s="90"/>
      <c r="G267" s="90"/>
      <c r="H267" s="90"/>
      <c r="I267" s="90"/>
      <c r="J267" s="90"/>
      <c r="K267" s="90"/>
      <c r="L267" s="90"/>
      <c r="M267" s="90"/>
      <c r="N267" s="90"/>
      <c r="O267" s="90"/>
      <c r="P267" s="90"/>
      <c r="Q267" s="90"/>
    </row>
    <row r="268" ht="12.75" customHeight="1">
      <c r="A268" s="90"/>
      <c r="B268" s="90"/>
      <c r="C268" s="90"/>
      <c r="D268" s="90"/>
      <c r="E268" s="90"/>
      <c r="F268" s="90"/>
      <c r="G268" s="90"/>
      <c r="H268" s="90"/>
      <c r="I268" s="90"/>
      <c r="J268" s="90"/>
      <c r="K268" s="90"/>
      <c r="L268" s="90"/>
      <c r="M268" s="90"/>
      <c r="N268" s="90"/>
      <c r="O268" s="90"/>
      <c r="P268" s="90"/>
      <c r="Q268" s="90"/>
    </row>
    <row r="269" ht="12.75" customHeight="1">
      <c r="A269" s="937" t="s">
        <v>4693</v>
      </c>
      <c r="B269" s="90"/>
      <c r="C269" s="90"/>
      <c r="D269" s="90"/>
      <c r="E269" s="90"/>
      <c r="F269" s="90"/>
      <c r="G269" s="90"/>
      <c r="H269" s="90"/>
      <c r="I269" s="90"/>
      <c r="J269" s="90"/>
      <c r="K269" s="90"/>
      <c r="L269" s="90"/>
      <c r="M269" s="90"/>
      <c r="N269" s="90"/>
      <c r="O269" s="90"/>
      <c r="P269" s="90"/>
      <c r="Q269" s="90"/>
    </row>
    <row r="270" ht="12.75" customHeight="1">
      <c r="A270" s="90"/>
      <c r="B270" s="90"/>
      <c r="C270" s="90"/>
      <c r="D270" s="90"/>
      <c r="E270" s="90"/>
      <c r="F270" s="90"/>
      <c r="G270" s="90"/>
      <c r="H270" s="90"/>
      <c r="I270" s="90"/>
      <c r="J270" s="90"/>
      <c r="K270" s="90"/>
      <c r="L270" s="90"/>
      <c r="M270" s="90"/>
      <c r="N270" s="90"/>
      <c r="O270" s="90"/>
      <c r="P270" s="90"/>
      <c r="Q270" s="90"/>
    </row>
    <row r="271" ht="12.75" customHeight="1">
      <c r="A271" s="937" t="s">
        <v>4694</v>
      </c>
      <c r="B271" s="90"/>
      <c r="C271" s="90"/>
      <c r="D271" s="90"/>
      <c r="E271" s="90"/>
      <c r="F271" s="90"/>
      <c r="G271" s="90"/>
      <c r="H271" s="90"/>
      <c r="I271" s="90"/>
      <c r="J271" s="90"/>
      <c r="K271" s="90"/>
      <c r="L271" s="90"/>
      <c r="M271" s="90"/>
      <c r="N271" s="90"/>
      <c r="O271" s="90"/>
      <c r="P271" s="90"/>
      <c r="Q271" s="90"/>
    </row>
    <row r="272" ht="12.75" customHeight="1">
      <c r="A272" s="90"/>
      <c r="B272" s="90"/>
      <c r="C272" s="90"/>
      <c r="D272" s="90"/>
      <c r="E272" s="90"/>
      <c r="F272" s="90"/>
      <c r="G272" s="90"/>
      <c r="H272" s="90"/>
      <c r="I272" s="90"/>
      <c r="J272" s="90"/>
      <c r="K272" s="90"/>
      <c r="L272" s="90"/>
      <c r="M272" s="90"/>
      <c r="N272" s="90"/>
      <c r="O272" s="90"/>
      <c r="P272" s="90"/>
      <c r="Q272" s="90"/>
    </row>
    <row r="273" ht="12.75" customHeight="1">
      <c r="A273" s="937" t="s">
        <v>4695</v>
      </c>
      <c r="B273" s="90"/>
      <c r="C273" s="90"/>
      <c r="D273" s="90"/>
      <c r="E273" s="90"/>
      <c r="F273" s="90"/>
      <c r="G273" s="90"/>
      <c r="H273" s="90"/>
      <c r="I273" s="90"/>
      <c r="J273" s="90"/>
      <c r="K273" s="90"/>
      <c r="L273" s="90"/>
      <c r="M273" s="90"/>
      <c r="N273" s="90"/>
      <c r="O273" s="90"/>
      <c r="P273" s="90"/>
      <c r="Q273" s="90"/>
    </row>
    <row r="274" ht="12.75" customHeight="1">
      <c r="A274" s="90"/>
      <c r="B274" s="90"/>
      <c r="C274" s="90"/>
      <c r="D274" s="90"/>
      <c r="E274" s="90"/>
      <c r="F274" s="90"/>
      <c r="G274" s="90"/>
      <c r="H274" s="90"/>
      <c r="I274" s="90"/>
      <c r="J274" s="90"/>
      <c r="K274" s="90"/>
      <c r="L274" s="90"/>
      <c r="M274" s="90"/>
      <c r="N274" s="90"/>
      <c r="O274" s="90"/>
      <c r="P274" s="90"/>
      <c r="Q274" s="90"/>
    </row>
    <row r="275" ht="12.75" customHeight="1">
      <c r="A275" s="937" t="s">
        <v>4696</v>
      </c>
      <c r="B275" s="90"/>
      <c r="C275" s="90"/>
      <c r="D275" s="90"/>
      <c r="E275" s="90"/>
      <c r="F275" s="90"/>
      <c r="G275" s="90"/>
      <c r="H275" s="90"/>
      <c r="I275" s="90"/>
      <c r="J275" s="90"/>
      <c r="K275" s="90"/>
      <c r="L275" s="90"/>
      <c r="M275" s="90"/>
      <c r="N275" s="90"/>
      <c r="O275" s="90"/>
      <c r="P275" s="90"/>
      <c r="Q275" s="90"/>
    </row>
    <row r="276" ht="12.75" customHeight="1">
      <c r="A276" s="90"/>
      <c r="B276" s="90"/>
      <c r="C276" s="90"/>
      <c r="D276" s="90"/>
      <c r="E276" s="90"/>
      <c r="F276" s="90"/>
      <c r="G276" s="90"/>
      <c r="H276" s="90"/>
      <c r="I276" s="90"/>
      <c r="J276" s="90"/>
      <c r="K276" s="90"/>
      <c r="L276" s="90"/>
      <c r="M276" s="90"/>
      <c r="N276" s="90"/>
      <c r="O276" s="90"/>
      <c r="P276" s="90"/>
      <c r="Q276" s="90"/>
    </row>
    <row r="277" ht="12.75" customHeight="1">
      <c r="A277" s="937" t="s">
        <v>4697</v>
      </c>
      <c r="B277" s="90"/>
      <c r="C277" s="90"/>
      <c r="D277" s="90"/>
      <c r="E277" s="90"/>
      <c r="F277" s="90"/>
      <c r="G277" s="90"/>
      <c r="H277" s="90"/>
      <c r="I277" s="90"/>
      <c r="J277" s="90"/>
      <c r="K277" s="90"/>
      <c r="L277" s="90"/>
      <c r="M277" s="90"/>
      <c r="N277" s="90"/>
      <c r="O277" s="90"/>
      <c r="P277" s="90"/>
      <c r="Q277" s="90"/>
    </row>
    <row r="278" ht="12.75" customHeight="1">
      <c r="A278" s="90"/>
      <c r="B278" s="90"/>
      <c r="C278" s="90"/>
      <c r="D278" s="90"/>
      <c r="E278" s="90"/>
      <c r="F278" s="90"/>
      <c r="G278" s="90"/>
      <c r="H278" s="90"/>
      <c r="I278" s="90"/>
      <c r="J278" s="90"/>
      <c r="K278" s="90"/>
      <c r="L278" s="90"/>
      <c r="M278" s="90"/>
      <c r="N278" s="90"/>
      <c r="O278" s="90"/>
      <c r="P278" s="90"/>
      <c r="Q278" s="90"/>
    </row>
    <row r="279" ht="12.75" customHeight="1">
      <c r="A279" s="937" t="s">
        <v>4698</v>
      </c>
      <c r="B279" s="90"/>
      <c r="C279" s="90"/>
      <c r="D279" s="90"/>
      <c r="E279" s="90"/>
      <c r="F279" s="90"/>
      <c r="G279" s="90"/>
      <c r="H279" s="90"/>
      <c r="I279" s="90"/>
      <c r="J279" s="90"/>
      <c r="K279" s="90"/>
      <c r="L279" s="90"/>
      <c r="M279" s="90"/>
      <c r="N279" s="90"/>
      <c r="O279" s="90"/>
      <c r="P279" s="90"/>
      <c r="Q279" s="90"/>
    </row>
    <row r="280" ht="12.75" customHeight="1">
      <c r="A280" s="90"/>
      <c r="B280" s="90"/>
      <c r="C280" s="90"/>
      <c r="D280" s="90"/>
      <c r="E280" s="90"/>
      <c r="F280" s="90"/>
      <c r="G280" s="90"/>
      <c r="H280" s="90"/>
      <c r="I280" s="90"/>
      <c r="J280" s="90"/>
      <c r="K280" s="90"/>
      <c r="L280" s="90"/>
      <c r="M280" s="90"/>
      <c r="N280" s="90"/>
      <c r="O280" s="90"/>
      <c r="P280" s="90"/>
      <c r="Q280" s="90"/>
    </row>
    <row r="281" ht="12.75" customHeight="1">
      <c r="A281" s="937" t="s">
        <v>4699</v>
      </c>
      <c r="B281" s="90"/>
      <c r="C281" s="90"/>
      <c r="D281" s="90"/>
      <c r="E281" s="90"/>
      <c r="F281" s="90"/>
      <c r="G281" s="90"/>
      <c r="H281" s="90"/>
      <c r="I281" s="90"/>
      <c r="J281" s="90"/>
      <c r="K281" s="90"/>
      <c r="L281" s="90"/>
      <c r="M281" s="90"/>
      <c r="N281" s="90"/>
      <c r="O281" s="90"/>
      <c r="P281" s="90"/>
      <c r="Q281" s="90"/>
    </row>
    <row r="282" ht="12.75" customHeight="1">
      <c r="A282" s="90"/>
      <c r="B282" s="90"/>
      <c r="C282" s="90"/>
      <c r="D282" s="90"/>
      <c r="E282" s="90"/>
      <c r="F282" s="90"/>
      <c r="G282" s="90"/>
      <c r="H282" s="90"/>
      <c r="I282" s="90"/>
      <c r="J282" s="90"/>
      <c r="K282" s="90"/>
      <c r="L282" s="90"/>
      <c r="M282" s="90"/>
      <c r="N282" s="90"/>
      <c r="O282" s="90"/>
      <c r="P282" s="90"/>
      <c r="Q282" s="90"/>
    </row>
    <row r="283" ht="12.75" customHeight="1">
      <c r="A283" s="937" t="s">
        <v>4700</v>
      </c>
      <c r="B283" s="90"/>
      <c r="C283" s="90"/>
      <c r="D283" s="90"/>
      <c r="E283" s="90"/>
      <c r="F283" s="90"/>
      <c r="G283" s="90"/>
      <c r="H283" s="90"/>
      <c r="I283" s="90"/>
      <c r="J283" s="90"/>
      <c r="K283" s="90"/>
      <c r="L283" s="90"/>
      <c r="M283" s="90"/>
      <c r="N283" s="90"/>
      <c r="O283" s="90"/>
      <c r="P283" s="90"/>
      <c r="Q283" s="90"/>
    </row>
    <row r="284" ht="12.75" customHeight="1">
      <c r="A284" s="90"/>
      <c r="B284" s="90"/>
      <c r="C284" s="90"/>
      <c r="D284" s="90"/>
      <c r="E284" s="90"/>
      <c r="F284" s="90"/>
      <c r="G284" s="90"/>
      <c r="H284" s="90"/>
      <c r="I284" s="90"/>
      <c r="J284" s="90"/>
      <c r="K284" s="90"/>
      <c r="L284" s="90"/>
      <c r="M284" s="90"/>
      <c r="N284" s="90"/>
      <c r="O284" s="90"/>
      <c r="P284" s="90"/>
      <c r="Q284" s="90"/>
    </row>
    <row r="285" ht="12.75" customHeight="1">
      <c r="A285" s="937" t="s">
        <v>4701</v>
      </c>
      <c r="B285" s="90"/>
      <c r="C285" s="90"/>
      <c r="D285" s="90"/>
      <c r="E285" s="90"/>
      <c r="F285" s="90"/>
      <c r="G285" s="90"/>
      <c r="H285" s="90"/>
      <c r="I285" s="90"/>
      <c r="J285" s="90"/>
      <c r="K285" s="90"/>
      <c r="L285" s="90"/>
      <c r="M285" s="90"/>
      <c r="N285" s="90"/>
      <c r="O285" s="90"/>
      <c r="P285" s="90"/>
      <c r="Q285" s="90"/>
    </row>
    <row r="286" ht="12.75" customHeight="1">
      <c r="A286" s="90"/>
      <c r="B286" s="90"/>
      <c r="C286" s="90"/>
      <c r="D286" s="90"/>
      <c r="E286" s="90"/>
      <c r="F286" s="90"/>
      <c r="G286" s="90"/>
      <c r="H286" s="90"/>
      <c r="I286" s="90"/>
      <c r="J286" s="90"/>
      <c r="K286" s="90"/>
      <c r="L286" s="90"/>
      <c r="M286" s="90"/>
      <c r="N286" s="90"/>
      <c r="O286" s="90"/>
      <c r="P286" s="90"/>
      <c r="Q286" s="90"/>
    </row>
    <row r="287" ht="12.75" customHeight="1">
      <c r="A287" s="937" t="s">
        <v>4702</v>
      </c>
      <c r="B287" s="90"/>
      <c r="C287" s="90"/>
      <c r="D287" s="90"/>
      <c r="E287" s="90"/>
      <c r="F287" s="90"/>
      <c r="G287" s="90"/>
      <c r="H287" s="90"/>
      <c r="I287" s="90"/>
      <c r="J287" s="90"/>
      <c r="K287" s="90"/>
      <c r="L287" s="90"/>
      <c r="M287" s="90"/>
      <c r="N287" s="90"/>
      <c r="O287" s="90"/>
      <c r="P287" s="90"/>
      <c r="Q287" s="90"/>
    </row>
    <row r="288" ht="12.75" customHeight="1">
      <c r="A288" s="90"/>
      <c r="B288" s="90"/>
      <c r="C288" s="90"/>
      <c r="D288" s="90"/>
      <c r="E288" s="90"/>
      <c r="F288" s="90"/>
      <c r="G288" s="90"/>
      <c r="H288" s="90"/>
      <c r="I288" s="90"/>
      <c r="J288" s="90"/>
      <c r="K288" s="90"/>
      <c r="L288" s="90"/>
      <c r="M288" s="90"/>
      <c r="N288" s="90"/>
      <c r="O288" s="90"/>
      <c r="P288" s="90"/>
      <c r="Q288" s="90"/>
    </row>
    <row r="289" ht="12.75" customHeight="1">
      <c r="A289" s="937" t="s">
        <v>4703</v>
      </c>
      <c r="B289" s="90"/>
      <c r="C289" s="90"/>
      <c r="D289" s="90"/>
      <c r="E289" s="90"/>
      <c r="F289" s="90"/>
      <c r="G289" s="90"/>
      <c r="H289" s="90"/>
      <c r="I289" s="90"/>
      <c r="J289" s="90"/>
      <c r="K289" s="90"/>
      <c r="L289" s="90"/>
      <c r="M289" s="90"/>
      <c r="N289" s="90"/>
      <c r="O289" s="90"/>
      <c r="P289" s="90"/>
      <c r="Q289" s="90"/>
    </row>
    <row r="290" ht="12.75" customHeight="1">
      <c r="A290" s="90"/>
      <c r="B290" s="90"/>
      <c r="C290" s="90"/>
      <c r="D290" s="90"/>
      <c r="E290" s="90"/>
      <c r="F290" s="90"/>
      <c r="G290" s="90"/>
      <c r="H290" s="90"/>
      <c r="I290" s="90"/>
      <c r="J290" s="90"/>
      <c r="K290" s="90"/>
      <c r="L290" s="90"/>
      <c r="M290" s="90"/>
      <c r="N290" s="90"/>
      <c r="O290" s="90"/>
      <c r="P290" s="90"/>
      <c r="Q290" s="90"/>
    </row>
    <row r="291" ht="12.75" customHeight="1">
      <c r="A291" s="937" t="s">
        <v>4704</v>
      </c>
      <c r="B291" s="90"/>
      <c r="C291" s="90"/>
      <c r="D291" s="90"/>
      <c r="E291" s="90"/>
      <c r="F291" s="90"/>
      <c r="G291" s="90"/>
      <c r="H291" s="90"/>
      <c r="I291" s="90"/>
      <c r="J291" s="90"/>
      <c r="K291" s="90"/>
      <c r="L291" s="90"/>
      <c r="M291" s="90"/>
      <c r="N291" s="90"/>
      <c r="O291" s="90"/>
      <c r="P291" s="90"/>
      <c r="Q291" s="90"/>
    </row>
    <row r="292" ht="12.75" customHeight="1">
      <c r="A292" s="90"/>
      <c r="B292" s="90"/>
      <c r="C292" s="90"/>
      <c r="D292" s="90"/>
      <c r="E292" s="90"/>
      <c r="F292" s="90"/>
      <c r="G292" s="90"/>
      <c r="H292" s="90"/>
      <c r="I292" s="90"/>
      <c r="J292" s="90"/>
      <c r="K292" s="90"/>
      <c r="L292" s="90"/>
      <c r="M292" s="90"/>
      <c r="N292" s="90"/>
      <c r="O292" s="90"/>
      <c r="P292" s="90"/>
      <c r="Q292" s="90"/>
    </row>
    <row r="293" ht="12.75" customHeight="1">
      <c r="A293" s="937" t="s">
        <v>4705</v>
      </c>
      <c r="B293" s="90"/>
      <c r="C293" s="90"/>
      <c r="D293" s="90"/>
      <c r="E293" s="90"/>
      <c r="F293" s="90"/>
      <c r="G293" s="90"/>
      <c r="H293" s="90"/>
      <c r="I293" s="90"/>
      <c r="J293" s="90"/>
      <c r="K293" s="90"/>
      <c r="L293" s="90"/>
      <c r="M293" s="90"/>
      <c r="N293" s="90"/>
      <c r="O293" s="90"/>
      <c r="P293" s="90"/>
      <c r="Q293" s="90"/>
    </row>
    <row r="294" ht="12.75" customHeight="1">
      <c r="A294" s="90"/>
      <c r="B294" s="90"/>
      <c r="C294" s="90"/>
      <c r="D294" s="90"/>
      <c r="E294" s="90"/>
      <c r="F294" s="90"/>
      <c r="G294" s="90"/>
      <c r="H294" s="90"/>
      <c r="I294" s="90"/>
      <c r="J294" s="90"/>
      <c r="K294" s="90"/>
      <c r="L294" s="90"/>
      <c r="M294" s="90"/>
      <c r="N294" s="90"/>
      <c r="O294" s="90"/>
      <c r="P294" s="90"/>
      <c r="Q294" s="90"/>
    </row>
    <row r="295" ht="12.75" customHeight="1">
      <c r="A295" s="937" t="s">
        <v>4706</v>
      </c>
      <c r="B295" s="90"/>
      <c r="C295" s="90"/>
      <c r="D295" s="90"/>
      <c r="E295" s="90"/>
      <c r="F295" s="90"/>
      <c r="G295" s="90"/>
      <c r="H295" s="90"/>
      <c r="I295" s="90"/>
      <c r="J295" s="90"/>
      <c r="K295" s="90"/>
      <c r="L295" s="90"/>
      <c r="M295" s="90"/>
      <c r="N295" s="90"/>
      <c r="O295" s="90"/>
      <c r="P295" s="90"/>
      <c r="Q295" s="90"/>
    </row>
    <row r="296" ht="12.75" customHeight="1">
      <c r="A296" s="90"/>
      <c r="B296" s="90"/>
      <c r="C296" s="90"/>
      <c r="D296" s="90"/>
      <c r="E296" s="90"/>
      <c r="F296" s="90"/>
      <c r="G296" s="90"/>
      <c r="H296" s="90"/>
      <c r="I296" s="90"/>
      <c r="J296" s="90"/>
      <c r="K296" s="90"/>
      <c r="L296" s="90"/>
      <c r="M296" s="90"/>
      <c r="N296" s="90"/>
      <c r="O296" s="90"/>
      <c r="P296" s="90"/>
      <c r="Q296" s="90"/>
    </row>
    <row r="297" ht="12.75" customHeight="1">
      <c r="A297" s="937" t="s">
        <v>4707</v>
      </c>
      <c r="B297" s="90"/>
      <c r="C297" s="90"/>
      <c r="D297" s="90"/>
      <c r="E297" s="90"/>
      <c r="F297" s="90"/>
      <c r="G297" s="90"/>
      <c r="H297" s="90"/>
      <c r="I297" s="90"/>
      <c r="J297" s="90"/>
      <c r="K297" s="90"/>
      <c r="L297" s="90"/>
      <c r="M297" s="90"/>
      <c r="N297" s="90"/>
      <c r="O297" s="90"/>
      <c r="P297" s="90"/>
      <c r="Q297" s="90"/>
    </row>
    <row r="298" ht="12.75" customHeight="1">
      <c r="A298" s="90"/>
      <c r="B298" s="90"/>
      <c r="C298" s="90"/>
      <c r="D298" s="90"/>
      <c r="E298" s="90"/>
      <c r="F298" s="90"/>
      <c r="G298" s="90"/>
      <c r="H298" s="90"/>
      <c r="I298" s="90"/>
      <c r="J298" s="90"/>
      <c r="K298" s="90"/>
      <c r="L298" s="90"/>
      <c r="M298" s="90"/>
      <c r="N298" s="90"/>
      <c r="O298" s="90"/>
      <c r="P298" s="90"/>
      <c r="Q298" s="90"/>
    </row>
    <row r="299" ht="12.75" customHeight="1">
      <c r="A299" s="937" t="s">
        <v>4708</v>
      </c>
      <c r="B299" s="90"/>
      <c r="C299" s="90"/>
      <c r="D299" s="90"/>
      <c r="E299" s="90"/>
      <c r="F299" s="90"/>
      <c r="G299" s="90"/>
      <c r="H299" s="90"/>
      <c r="I299" s="90"/>
      <c r="J299" s="90"/>
      <c r="K299" s="90"/>
      <c r="L299" s="90"/>
      <c r="M299" s="90"/>
      <c r="N299" s="90"/>
      <c r="O299" s="90"/>
      <c r="P299" s="90"/>
      <c r="Q299" s="90"/>
    </row>
    <row r="300" ht="12.75" customHeight="1">
      <c r="A300" s="90"/>
      <c r="B300" s="90"/>
      <c r="C300" s="90"/>
      <c r="D300" s="90"/>
      <c r="E300" s="90"/>
      <c r="F300" s="90"/>
      <c r="G300" s="90"/>
      <c r="H300" s="90"/>
      <c r="I300" s="90"/>
      <c r="J300" s="90"/>
      <c r="K300" s="90"/>
      <c r="L300" s="90"/>
      <c r="M300" s="90"/>
      <c r="N300" s="90"/>
      <c r="O300" s="90"/>
      <c r="P300" s="90"/>
      <c r="Q300" s="90"/>
    </row>
    <row r="301" ht="12.75" customHeight="1">
      <c r="A301" s="937" t="s">
        <v>4709</v>
      </c>
      <c r="B301" s="90"/>
      <c r="C301" s="90"/>
      <c r="D301" s="90"/>
      <c r="E301" s="90"/>
      <c r="F301" s="90"/>
      <c r="G301" s="90"/>
      <c r="H301" s="90"/>
      <c r="I301" s="90"/>
      <c r="J301" s="90"/>
      <c r="K301" s="90"/>
      <c r="L301" s="90"/>
      <c r="M301" s="90"/>
      <c r="N301" s="90"/>
      <c r="O301" s="90"/>
      <c r="P301" s="90"/>
      <c r="Q301" s="90"/>
    </row>
    <row r="302" ht="12.75" customHeight="1">
      <c r="A302" s="90"/>
      <c r="B302" s="90"/>
      <c r="C302" s="90"/>
      <c r="D302" s="90"/>
      <c r="E302" s="90"/>
      <c r="F302" s="90"/>
      <c r="G302" s="90"/>
      <c r="H302" s="90"/>
      <c r="I302" s="90"/>
      <c r="J302" s="90"/>
      <c r="K302" s="90"/>
      <c r="L302" s="90"/>
      <c r="M302" s="90"/>
      <c r="N302" s="90"/>
      <c r="O302" s="90"/>
      <c r="P302" s="90"/>
      <c r="Q302" s="90"/>
    </row>
    <row r="303" ht="12.75" customHeight="1">
      <c r="A303" s="937" t="s">
        <v>4710</v>
      </c>
      <c r="B303" s="90"/>
      <c r="C303" s="90"/>
      <c r="D303" s="90"/>
      <c r="E303" s="90"/>
      <c r="F303" s="90"/>
      <c r="G303" s="90"/>
      <c r="H303" s="90"/>
      <c r="I303" s="90"/>
      <c r="J303" s="90"/>
      <c r="K303" s="90"/>
      <c r="L303" s="90"/>
      <c r="M303" s="90"/>
      <c r="N303" s="90"/>
      <c r="O303" s="90"/>
      <c r="P303" s="90"/>
      <c r="Q303" s="90"/>
    </row>
    <row r="304" ht="12.75" customHeight="1">
      <c r="A304" s="90"/>
      <c r="B304" s="90"/>
      <c r="C304" s="90"/>
      <c r="D304" s="90"/>
      <c r="E304" s="90"/>
      <c r="F304" s="90"/>
      <c r="G304" s="90"/>
      <c r="H304" s="90"/>
      <c r="I304" s="90"/>
      <c r="J304" s="90"/>
      <c r="K304" s="90"/>
      <c r="L304" s="90"/>
      <c r="M304" s="90"/>
      <c r="N304" s="90"/>
      <c r="O304" s="90"/>
      <c r="P304" s="90"/>
      <c r="Q304" s="90"/>
    </row>
    <row r="305" ht="12.75" customHeight="1">
      <c r="A305" s="937" t="s">
        <v>4711</v>
      </c>
      <c r="B305" s="90"/>
      <c r="C305" s="90"/>
      <c r="D305" s="90"/>
      <c r="E305" s="90"/>
      <c r="F305" s="90"/>
      <c r="G305" s="90"/>
      <c r="H305" s="90"/>
      <c r="I305" s="90"/>
      <c r="J305" s="90"/>
      <c r="K305" s="90"/>
      <c r="L305" s="90"/>
      <c r="M305" s="90"/>
      <c r="N305" s="90"/>
      <c r="O305" s="90"/>
      <c r="P305" s="90"/>
      <c r="Q305" s="90"/>
    </row>
    <row r="306" ht="12.75" customHeight="1">
      <c r="A306" s="90"/>
      <c r="B306" s="90"/>
      <c r="C306" s="90"/>
      <c r="D306" s="90"/>
      <c r="E306" s="90"/>
      <c r="F306" s="90"/>
      <c r="G306" s="90"/>
      <c r="H306" s="90"/>
      <c r="I306" s="90"/>
      <c r="J306" s="90"/>
      <c r="K306" s="90"/>
      <c r="L306" s="90"/>
      <c r="M306" s="90"/>
      <c r="N306" s="90"/>
      <c r="O306" s="90"/>
      <c r="P306" s="90"/>
      <c r="Q306" s="90"/>
    </row>
    <row r="307" ht="12.75" customHeight="1">
      <c r="A307" s="937" t="s">
        <v>4712</v>
      </c>
      <c r="B307" s="90"/>
      <c r="C307" s="90"/>
      <c r="D307" s="90"/>
      <c r="E307" s="90"/>
      <c r="F307" s="90"/>
      <c r="G307" s="90"/>
      <c r="H307" s="90"/>
      <c r="I307" s="90"/>
      <c r="J307" s="90"/>
      <c r="K307" s="90"/>
      <c r="L307" s="90"/>
      <c r="M307" s="90"/>
      <c r="N307" s="90"/>
      <c r="O307" s="90"/>
      <c r="P307" s="90"/>
      <c r="Q307" s="90"/>
    </row>
    <row r="308" ht="12.75" customHeight="1">
      <c r="A308" s="90"/>
      <c r="B308" s="90"/>
      <c r="C308" s="90"/>
      <c r="D308" s="90"/>
      <c r="E308" s="90"/>
      <c r="F308" s="90"/>
      <c r="G308" s="90"/>
      <c r="H308" s="90"/>
      <c r="I308" s="90"/>
      <c r="J308" s="90"/>
      <c r="K308" s="90"/>
      <c r="L308" s="90"/>
      <c r="M308" s="90"/>
      <c r="N308" s="90"/>
      <c r="O308" s="90"/>
      <c r="P308" s="90"/>
      <c r="Q308" s="90"/>
    </row>
    <row r="309" ht="12.75" customHeight="1">
      <c r="A309" s="937" t="s">
        <v>4713</v>
      </c>
      <c r="B309" s="90"/>
      <c r="C309" s="90"/>
      <c r="D309" s="90"/>
      <c r="E309" s="90"/>
      <c r="F309" s="90"/>
      <c r="G309" s="90"/>
      <c r="H309" s="90"/>
      <c r="I309" s="90"/>
      <c r="J309" s="90"/>
      <c r="K309" s="90"/>
      <c r="L309" s="90"/>
      <c r="M309" s="90"/>
      <c r="N309" s="90"/>
      <c r="O309" s="90"/>
      <c r="P309" s="90"/>
      <c r="Q309" s="90"/>
    </row>
    <row r="310" ht="12.75" customHeight="1">
      <c r="A310" s="90"/>
      <c r="B310" s="90"/>
      <c r="C310" s="90"/>
      <c r="D310" s="90"/>
      <c r="E310" s="90"/>
      <c r="F310" s="90"/>
      <c r="G310" s="90"/>
      <c r="H310" s="90"/>
      <c r="I310" s="90"/>
      <c r="J310" s="90"/>
      <c r="K310" s="90"/>
      <c r="L310" s="90"/>
      <c r="M310" s="90"/>
      <c r="N310" s="90"/>
      <c r="O310" s="90"/>
      <c r="P310" s="90"/>
      <c r="Q310" s="90"/>
    </row>
    <row r="311" ht="12.75" customHeight="1">
      <c r="A311" s="937" t="s">
        <v>8003</v>
      </c>
      <c r="B311" s="90"/>
      <c r="C311" s="90"/>
      <c r="D311" s="90"/>
      <c r="E311" s="90"/>
      <c r="F311" s="90"/>
      <c r="G311" s="90"/>
      <c r="H311" s="90"/>
      <c r="I311" s="90"/>
      <c r="J311" s="90"/>
      <c r="K311" s="90"/>
      <c r="L311" s="90"/>
      <c r="M311" s="90"/>
      <c r="N311" s="90"/>
      <c r="O311" s="90"/>
      <c r="P311" s="90"/>
      <c r="Q311" s="90"/>
    </row>
    <row r="312" ht="12.75" customHeight="1">
      <c r="A312" s="937" t="s">
        <v>8004</v>
      </c>
      <c r="B312" s="90"/>
      <c r="C312" s="90"/>
      <c r="D312" s="90"/>
      <c r="E312" s="90"/>
      <c r="F312" s="90"/>
      <c r="G312" s="90"/>
      <c r="H312" s="90"/>
      <c r="I312" s="90"/>
      <c r="J312" s="90"/>
      <c r="K312" s="90"/>
      <c r="L312" s="90"/>
      <c r="M312" s="90"/>
      <c r="N312" s="90"/>
      <c r="O312" s="90"/>
      <c r="P312" s="90"/>
      <c r="Q312" s="90"/>
    </row>
    <row r="313" ht="12.75" customHeight="1">
      <c r="A313" s="937" t="s">
        <v>8005</v>
      </c>
      <c r="B313" s="90"/>
      <c r="C313" s="90"/>
      <c r="D313" s="90"/>
      <c r="E313" s="90"/>
      <c r="F313" s="90"/>
      <c r="G313" s="90"/>
      <c r="H313" s="90"/>
      <c r="I313" s="90"/>
      <c r="J313" s="90"/>
      <c r="K313" s="90"/>
      <c r="L313" s="90"/>
      <c r="M313" s="90"/>
      <c r="N313" s="90"/>
      <c r="O313" s="90"/>
      <c r="P313" s="90"/>
      <c r="Q313" s="90"/>
    </row>
    <row r="314" ht="12.75" customHeight="1">
      <c r="A314" s="937" t="s">
        <v>8006</v>
      </c>
      <c r="B314" s="90"/>
      <c r="C314" s="90"/>
      <c r="D314" s="90"/>
      <c r="E314" s="90"/>
      <c r="F314" s="90"/>
      <c r="G314" s="90"/>
      <c r="H314" s="90"/>
      <c r="I314" s="90"/>
      <c r="J314" s="90"/>
      <c r="K314" s="90"/>
      <c r="L314" s="90"/>
      <c r="M314" s="90"/>
      <c r="N314" s="90"/>
      <c r="O314" s="90"/>
      <c r="P314" s="90"/>
      <c r="Q314" s="90"/>
    </row>
    <row r="315" ht="12.75" customHeight="1">
      <c r="A315" s="90"/>
      <c r="B315" s="90"/>
      <c r="C315" s="90"/>
      <c r="D315" s="90"/>
      <c r="E315" s="90"/>
      <c r="F315" s="90"/>
      <c r="G315" s="90"/>
      <c r="H315" s="90"/>
      <c r="I315" s="90"/>
      <c r="J315" s="90"/>
      <c r="K315" s="90"/>
      <c r="L315" s="90"/>
      <c r="M315" s="90"/>
      <c r="N315" s="90"/>
      <c r="O315" s="90"/>
      <c r="P315" s="90"/>
      <c r="Q315" s="90"/>
    </row>
    <row r="316" ht="12.75" customHeight="1">
      <c r="A316" s="937" t="s">
        <v>4715</v>
      </c>
      <c r="B316" s="90"/>
      <c r="C316" s="90"/>
      <c r="D316" s="90"/>
      <c r="E316" s="90"/>
      <c r="F316" s="90"/>
      <c r="G316" s="90"/>
      <c r="H316" s="90"/>
      <c r="I316" s="90"/>
      <c r="J316" s="90"/>
      <c r="K316" s="90"/>
      <c r="L316" s="90"/>
      <c r="M316" s="90"/>
      <c r="N316" s="90"/>
      <c r="O316" s="90"/>
      <c r="P316" s="90"/>
      <c r="Q316" s="90"/>
    </row>
    <row r="317" ht="12.75" customHeight="1">
      <c r="A317" s="90"/>
      <c r="B317" s="90"/>
      <c r="C317" s="90"/>
      <c r="D317" s="90"/>
      <c r="E317" s="90"/>
      <c r="F317" s="90"/>
      <c r="G317" s="90"/>
      <c r="H317" s="90"/>
      <c r="I317" s="90"/>
      <c r="J317" s="90"/>
      <c r="K317" s="90"/>
      <c r="L317" s="90"/>
      <c r="M317" s="90"/>
      <c r="N317" s="90"/>
      <c r="O317" s="90"/>
      <c r="P317" s="90"/>
      <c r="Q317" s="90"/>
    </row>
    <row r="318" ht="12.75" customHeight="1">
      <c r="A318" s="937" t="s">
        <v>4716</v>
      </c>
      <c r="B318" s="90"/>
      <c r="C318" s="90"/>
      <c r="D318" s="90"/>
      <c r="E318" s="90"/>
      <c r="F318" s="90"/>
      <c r="G318" s="90"/>
      <c r="H318" s="90"/>
      <c r="I318" s="90"/>
      <c r="J318" s="90"/>
      <c r="K318" s="90"/>
      <c r="L318" s="90"/>
      <c r="M318" s="90"/>
      <c r="N318" s="90"/>
      <c r="O318" s="90"/>
      <c r="P318" s="90"/>
      <c r="Q318" s="90"/>
    </row>
    <row r="319" ht="12.75" customHeight="1">
      <c r="A319" s="90"/>
      <c r="B319" s="90"/>
      <c r="C319" s="90"/>
      <c r="D319" s="90"/>
      <c r="E319" s="90"/>
      <c r="F319" s="90"/>
      <c r="G319" s="90"/>
      <c r="H319" s="90"/>
      <c r="I319" s="90"/>
      <c r="J319" s="90"/>
      <c r="K319" s="90"/>
      <c r="L319" s="90"/>
      <c r="M319" s="90"/>
      <c r="N319" s="90"/>
      <c r="O319" s="90"/>
      <c r="P319" s="90"/>
      <c r="Q319" s="90"/>
    </row>
    <row r="320" ht="12.75" customHeight="1">
      <c r="A320" s="937" t="s">
        <v>4717</v>
      </c>
      <c r="B320" s="90"/>
      <c r="C320" s="90"/>
      <c r="D320" s="90"/>
      <c r="E320" s="90"/>
      <c r="F320" s="90"/>
      <c r="G320" s="90"/>
      <c r="H320" s="90"/>
      <c r="I320" s="90"/>
      <c r="J320" s="90"/>
      <c r="K320" s="90"/>
      <c r="L320" s="90"/>
      <c r="M320" s="90"/>
      <c r="N320" s="90"/>
      <c r="O320" s="90"/>
      <c r="P320" s="90"/>
      <c r="Q320" s="90"/>
    </row>
    <row r="321" ht="12.75" customHeight="1">
      <c r="A321" s="90"/>
      <c r="B321" s="90"/>
      <c r="C321" s="90"/>
      <c r="D321" s="90"/>
      <c r="E321" s="90"/>
      <c r="F321" s="90"/>
      <c r="G321" s="90"/>
      <c r="H321" s="90"/>
      <c r="I321" s="90"/>
      <c r="J321" s="90"/>
      <c r="K321" s="90"/>
      <c r="L321" s="90"/>
      <c r="M321" s="90"/>
      <c r="N321" s="90"/>
      <c r="O321" s="90"/>
      <c r="P321" s="90"/>
      <c r="Q321" s="90"/>
    </row>
    <row r="322" ht="12.75" customHeight="1">
      <c r="A322" s="937" t="s">
        <v>4718</v>
      </c>
      <c r="B322" s="90"/>
      <c r="C322" s="90"/>
      <c r="D322" s="90"/>
      <c r="E322" s="90"/>
      <c r="F322" s="90"/>
      <c r="G322" s="90"/>
      <c r="H322" s="90"/>
      <c r="I322" s="90"/>
      <c r="J322" s="90"/>
      <c r="K322" s="90"/>
      <c r="L322" s="90"/>
      <c r="M322" s="90"/>
      <c r="N322" s="90"/>
      <c r="O322" s="90"/>
      <c r="P322" s="90"/>
      <c r="Q322" s="90"/>
    </row>
    <row r="323" ht="12.75" customHeight="1">
      <c r="A323" s="90"/>
      <c r="B323" s="90"/>
      <c r="C323" s="90"/>
      <c r="D323" s="90"/>
      <c r="E323" s="90"/>
      <c r="F323" s="90"/>
      <c r="G323" s="90"/>
      <c r="H323" s="90"/>
      <c r="I323" s="90"/>
      <c r="J323" s="90"/>
      <c r="K323" s="90"/>
      <c r="L323" s="90"/>
      <c r="M323" s="90"/>
      <c r="N323" s="90"/>
      <c r="O323" s="90"/>
      <c r="P323" s="90"/>
      <c r="Q323" s="90"/>
    </row>
    <row r="324" ht="12.75" customHeight="1">
      <c r="A324" s="937" t="s">
        <v>8007</v>
      </c>
      <c r="B324" s="90"/>
      <c r="C324" s="90"/>
      <c r="D324" s="90"/>
      <c r="E324" s="90"/>
      <c r="F324" s="90"/>
      <c r="G324" s="90"/>
      <c r="H324" s="90"/>
      <c r="I324" s="90"/>
      <c r="J324" s="90"/>
      <c r="K324" s="90"/>
      <c r="L324" s="90"/>
      <c r="M324" s="90"/>
      <c r="N324" s="90"/>
      <c r="O324" s="90"/>
      <c r="P324" s="90"/>
      <c r="Q324" s="90"/>
    </row>
    <row r="325" ht="12.75" customHeight="1">
      <c r="A325" s="937" t="s">
        <v>8008</v>
      </c>
      <c r="B325" s="90"/>
      <c r="C325" s="90"/>
      <c r="D325" s="90"/>
      <c r="E325" s="90"/>
      <c r="F325" s="90"/>
      <c r="G325" s="90"/>
      <c r="H325" s="90"/>
      <c r="I325" s="90"/>
      <c r="J325" s="90"/>
      <c r="K325" s="90"/>
      <c r="L325" s="90"/>
      <c r="M325" s="90"/>
      <c r="N325" s="90"/>
      <c r="O325" s="90"/>
      <c r="P325" s="90"/>
      <c r="Q325" s="90"/>
    </row>
    <row r="326" ht="12.75" customHeight="1">
      <c r="A326" s="90"/>
      <c r="B326" s="90"/>
      <c r="C326" s="90"/>
      <c r="D326" s="90"/>
      <c r="E326" s="90"/>
      <c r="F326" s="90"/>
      <c r="G326" s="90"/>
      <c r="H326" s="90"/>
      <c r="I326" s="90"/>
      <c r="J326" s="90"/>
      <c r="K326" s="90"/>
      <c r="L326" s="90"/>
      <c r="M326" s="90"/>
      <c r="N326" s="90"/>
      <c r="O326" s="90"/>
      <c r="P326" s="90"/>
      <c r="Q326" s="90"/>
    </row>
    <row r="327" ht="12.75" customHeight="1">
      <c r="A327" s="937" t="s">
        <v>4720</v>
      </c>
      <c r="B327" s="90"/>
      <c r="C327" s="90"/>
      <c r="D327" s="90"/>
      <c r="E327" s="90"/>
      <c r="F327" s="90"/>
      <c r="G327" s="90"/>
      <c r="H327" s="90"/>
      <c r="I327" s="90"/>
      <c r="J327" s="90"/>
      <c r="K327" s="90"/>
      <c r="L327" s="90"/>
      <c r="M327" s="90"/>
      <c r="N327" s="90"/>
      <c r="O327" s="90"/>
      <c r="P327" s="90"/>
      <c r="Q327" s="90"/>
    </row>
    <row r="328" ht="12.75" customHeight="1">
      <c r="A328" s="90"/>
      <c r="B328" s="90"/>
      <c r="C328" s="90"/>
      <c r="D328" s="90"/>
      <c r="E328" s="90"/>
      <c r="F328" s="90"/>
      <c r="G328" s="90"/>
      <c r="H328" s="90"/>
      <c r="I328" s="90"/>
      <c r="J328" s="90"/>
      <c r="K328" s="90"/>
      <c r="L328" s="90"/>
      <c r="M328" s="90"/>
      <c r="N328" s="90"/>
      <c r="O328" s="90"/>
      <c r="P328" s="90"/>
      <c r="Q328" s="90"/>
    </row>
    <row r="329" ht="12.75" customHeight="1">
      <c r="A329" s="937" t="s">
        <v>4721</v>
      </c>
      <c r="B329" s="90"/>
      <c r="C329" s="90"/>
      <c r="D329" s="90"/>
      <c r="E329" s="90"/>
      <c r="F329" s="90"/>
      <c r="G329" s="90"/>
      <c r="H329" s="90"/>
      <c r="I329" s="90"/>
      <c r="J329" s="90"/>
      <c r="K329" s="90"/>
      <c r="L329" s="90"/>
      <c r="M329" s="90"/>
      <c r="N329" s="90"/>
      <c r="O329" s="90"/>
      <c r="P329" s="90"/>
      <c r="Q329" s="90"/>
    </row>
    <row r="330" ht="12.75" customHeight="1">
      <c r="A330" s="90"/>
      <c r="B330" s="90"/>
      <c r="C330" s="90"/>
      <c r="D330" s="90"/>
      <c r="E330" s="90"/>
      <c r="F330" s="90"/>
      <c r="G330" s="90"/>
      <c r="H330" s="90"/>
      <c r="I330" s="90"/>
      <c r="J330" s="90"/>
      <c r="K330" s="90"/>
      <c r="L330" s="90"/>
      <c r="M330" s="90"/>
      <c r="N330" s="90"/>
      <c r="O330" s="90"/>
      <c r="P330" s="90"/>
      <c r="Q330" s="90"/>
    </row>
    <row r="331" ht="12.75" customHeight="1">
      <c r="A331" s="937" t="s">
        <v>4722</v>
      </c>
      <c r="B331" s="90"/>
      <c r="C331" s="90"/>
      <c r="D331" s="90"/>
      <c r="E331" s="90"/>
      <c r="F331" s="90"/>
      <c r="G331" s="90"/>
      <c r="H331" s="90"/>
      <c r="I331" s="90"/>
      <c r="J331" s="90"/>
      <c r="K331" s="90"/>
      <c r="L331" s="90"/>
      <c r="M331" s="90"/>
      <c r="N331" s="90"/>
      <c r="O331" s="90"/>
      <c r="P331" s="90"/>
      <c r="Q331" s="90"/>
    </row>
    <row r="332" ht="12.75" customHeight="1">
      <c r="A332" s="90"/>
      <c r="B332" s="90"/>
      <c r="C332" s="90"/>
      <c r="D332" s="90"/>
      <c r="E332" s="90"/>
      <c r="F332" s="90"/>
      <c r="G332" s="90"/>
      <c r="H332" s="90"/>
      <c r="I332" s="90"/>
      <c r="J332" s="90"/>
      <c r="K332" s="90"/>
      <c r="L332" s="90"/>
      <c r="M332" s="90"/>
      <c r="N332" s="90"/>
      <c r="O332" s="90"/>
      <c r="P332" s="90"/>
      <c r="Q332" s="90"/>
    </row>
    <row r="333" ht="12.75" customHeight="1">
      <c r="A333" s="937" t="s">
        <v>4723</v>
      </c>
      <c r="B333" s="90"/>
      <c r="C333" s="90"/>
      <c r="D333" s="90"/>
      <c r="E333" s="90"/>
      <c r="F333" s="90"/>
      <c r="G333" s="90"/>
      <c r="H333" s="90"/>
      <c r="I333" s="90"/>
      <c r="J333" s="90"/>
      <c r="K333" s="90"/>
      <c r="L333" s="90"/>
      <c r="M333" s="90"/>
      <c r="N333" s="90"/>
      <c r="O333" s="90"/>
      <c r="P333" s="90"/>
      <c r="Q333" s="90"/>
    </row>
    <row r="334" ht="12.75" customHeight="1">
      <c r="A334" s="90"/>
      <c r="B334" s="90"/>
      <c r="C334" s="90"/>
      <c r="D334" s="90"/>
      <c r="E334" s="90"/>
      <c r="F334" s="90"/>
      <c r="G334" s="90"/>
      <c r="H334" s="90"/>
      <c r="I334" s="90"/>
      <c r="J334" s="90"/>
      <c r="K334" s="90"/>
      <c r="L334" s="90"/>
      <c r="M334" s="90"/>
      <c r="N334" s="90"/>
      <c r="O334" s="90"/>
      <c r="P334" s="90"/>
      <c r="Q334" s="90"/>
    </row>
    <row r="335" ht="12.75" customHeight="1">
      <c r="A335" s="937" t="s">
        <v>4724</v>
      </c>
      <c r="B335" s="90"/>
      <c r="C335" s="90"/>
      <c r="D335" s="90"/>
      <c r="E335" s="90"/>
      <c r="F335" s="90"/>
      <c r="G335" s="90"/>
      <c r="H335" s="90"/>
      <c r="I335" s="90"/>
      <c r="J335" s="90"/>
      <c r="K335" s="90"/>
      <c r="L335" s="90"/>
      <c r="M335" s="90"/>
      <c r="N335" s="90"/>
      <c r="O335" s="90"/>
      <c r="P335" s="90"/>
      <c r="Q335" s="90"/>
    </row>
    <row r="336" ht="12.75" customHeight="1">
      <c r="A336" s="90"/>
      <c r="B336" s="90"/>
      <c r="C336" s="90"/>
      <c r="D336" s="90"/>
      <c r="E336" s="90"/>
      <c r="F336" s="90"/>
      <c r="G336" s="90"/>
      <c r="H336" s="90"/>
      <c r="I336" s="90"/>
      <c r="J336" s="90"/>
      <c r="K336" s="90"/>
      <c r="L336" s="90"/>
      <c r="M336" s="90"/>
      <c r="N336" s="90"/>
      <c r="O336" s="90"/>
      <c r="P336" s="90"/>
      <c r="Q336" s="90"/>
    </row>
    <row r="337" ht="12.75" customHeight="1">
      <c r="A337" s="937" t="s">
        <v>4725</v>
      </c>
      <c r="B337" s="90"/>
      <c r="C337" s="90"/>
      <c r="D337" s="90"/>
      <c r="E337" s="90"/>
      <c r="F337" s="90"/>
      <c r="G337" s="90"/>
      <c r="H337" s="90"/>
      <c r="I337" s="90"/>
      <c r="J337" s="90"/>
      <c r="K337" s="90"/>
      <c r="L337" s="90"/>
      <c r="M337" s="90"/>
      <c r="N337" s="90"/>
      <c r="O337" s="90"/>
      <c r="P337" s="90"/>
      <c r="Q337" s="90"/>
    </row>
    <row r="338" ht="12.75" customHeight="1">
      <c r="A338" s="90"/>
      <c r="B338" s="90"/>
      <c r="C338" s="90"/>
      <c r="D338" s="90"/>
      <c r="E338" s="90"/>
      <c r="F338" s="90"/>
      <c r="G338" s="90"/>
      <c r="H338" s="90"/>
      <c r="I338" s="90"/>
      <c r="J338" s="90"/>
      <c r="K338" s="90"/>
      <c r="L338" s="90"/>
      <c r="M338" s="90"/>
      <c r="N338" s="90"/>
      <c r="O338" s="90"/>
      <c r="P338" s="90"/>
      <c r="Q338" s="90"/>
    </row>
    <row r="339" ht="12.75" customHeight="1">
      <c r="A339" s="937" t="s">
        <v>4726</v>
      </c>
      <c r="B339" s="90"/>
      <c r="C339" s="90"/>
      <c r="D339" s="90"/>
      <c r="E339" s="90"/>
      <c r="F339" s="90"/>
      <c r="G339" s="90"/>
      <c r="H339" s="90"/>
      <c r="I339" s="90"/>
      <c r="J339" s="90"/>
      <c r="K339" s="90"/>
      <c r="L339" s="90"/>
      <c r="M339" s="90"/>
      <c r="N339" s="90"/>
      <c r="O339" s="90"/>
      <c r="P339" s="90"/>
      <c r="Q339" s="90"/>
    </row>
    <row r="340" ht="12.75" customHeight="1">
      <c r="A340" s="90"/>
      <c r="B340" s="90"/>
      <c r="C340" s="90"/>
      <c r="D340" s="90"/>
      <c r="E340" s="90"/>
      <c r="F340" s="90"/>
      <c r="G340" s="90"/>
      <c r="H340" s="90"/>
      <c r="I340" s="90"/>
      <c r="J340" s="90"/>
      <c r="K340" s="90"/>
      <c r="L340" s="90"/>
      <c r="M340" s="90"/>
      <c r="N340" s="90"/>
      <c r="O340" s="90"/>
      <c r="P340" s="90"/>
      <c r="Q340" s="90"/>
    </row>
    <row r="341" ht="12.75" customHeight="1">
      <c r="A341" s="937" t="s">
        <v>8009</v>
      </c>
      <c r="B341" s="90"/>
      <c r="C341" s="90"/>
      <c r="D341" s="90"/>
      <c r="E341" s="90"/>
      <c r="F341" s="90"/>
      <c r="G341" s="90"/>
      <c r="H341" s="90"/>
      <c r="I341" s="90"/>
      <c r="J341" s="90"/>
      <c r="K341" s="90"/>
      <c r="L341" s="90"/>
      <c r="M341" s="90"/>
      <c r="N341" s="90"/>
      <c r="O341" s="90"/>
      <c r="P341" s="90"/>
      <c r="Q341" s="90"/>
    </row>
    <row r="342" ht="12.75" customHeight="1">
      <c r="A342" s="937" t="s">
        <v>8010</v>
      </c>
      <c r="B342" s="90"/>
      <c r="C342" s="90"/>
      <c r="D342" s="90"/>
      <c r="E342" s="90"/>
      <c r="F342" s="90"/>
      <c r="G342" s="90"/>
      <c r="H342" s="90"/>
      <c r="I342" s="90"/>
      <c r="J342" s="90"/>
      <c r="K342" s="90"/>
      <c r="L342" s="90"/>
      <c r="M342" s="90"/>
      <c r="N342" s="90"/>
      <c r="O342" s="90"/>
      <c r="P342" s="90"/>
      <c r="Q342" s="90"/>
    </row>
    <row r="343" ht="12.75" customHeight="1">
      <c r="A343" s="90"/>
      <c r="B343" s="90"/>
      <c r="C343" s="90"/>
      <c r="D343" s="90"/>
      <c r="E343" s="90"/>
      <c r="F343" s="90"/>
      <c r="G343" s="90"/>
      <c r="H343" s="90"/>
      <c r="I343" s="90"/>
      <c r="J343" s="90"/>
      <c r="K343" s="90"/>
      <c r="L343" s="90"/>
      <c r="M343" s="90"/>
      <c r="N343" s="90"/>
      <c r="O343" s="90"/>
      <c r="P343" s="90"/>
      <c r="Q343" s="90"/>
    </row>
    <row r="344" ht="12.75" customHeight="1">
      <c r="A344" s="937" t="s">
        <v>4728</v>
      </c>
      <c r="B344" s="90"/>
      <c r="C344" s="90"/>
      <c r="D344" s="90"/>
      <c r="E344" s="90"/>
      <c r="F344" s="90"/>
      <c r="G344" s="90"/>
      <c r="H344" s="90"/>
      <c r="I344" s="90"/>
      <c r="J344" s="90"/>
      <c r="K344" s="90"/>
      <c r="L344" s="90"/>
      <c r="M344" s="90"/>
      <c r="N344" s="90"/>
      <c r="O344" s="90"/>
      <c r="P344" s="90"/>
      <c r="Q344" s="90"/>
    </row>
    <row r="345" ht="12.75" customHeight="1">
      <c r="A345" s="90"/>
      <c r="B345" s="90"/>
      <c r="C345" s="90"/>
      <c r="D345" s="90"/>
      <c r="E345" s="90"/>
      <c r="F345" s="90"/>
      <c r="G345" s="90"/>
      <c r="H345" s="90"/>
      <c r="I345" s="90"/>
      <c r="J345" s="90"/>
      <c r="K345" s="90"/>
      <c r="L345" s="90"/>
      <c r="M345" s="90"/>
      <c r="N345" s="90"/>
      <c r="O345" s="90"/>
      <c r="P345" s="90"/>
      <c r="Q345" s="90"/>
    </row>
    <row r="346" ht="12.75" customHeight="1">
      <c r="A346" s="937" t="s">
        <v>4729</v>
      </c>
      <c r="B346" s="90"/>
      <c r="C346" s="90"/>
      <c r="D346" s="90"/>
      <c r="E346" s="90"/>
      <c r="F346" s="90"/>
      <c r="G346" s="90"/>
      <c r="H346" s="90"/>
      <c r="I346" s="90"/>
      <c r="J346" s="90"/>
      <c r="K346" s="90"/>
      <c r="L346" s="90"/>
      <c r="M346" s="90"/>
      <c r="N346" s="90"/>
      <c r="O346" s="90"/>
      <c r="P346" s="90"/>
      <c r="Q346" s="90"/>
    </row>
    <row r="347" ht="12.75" customHeight="1">
      <c r="A347" s="90"/>
      <c r="B347" s="90"/>
      <c r="C347" s="90"/>
      <c r="D347" s="90"/>
      <c r="E347" s="90"/>
      <c r="F347" s="90"/>
      <c r="G347" s="90"/>
      <c r="H347" s="90"/>
      <c r="I347" s="90"/>
      <c r="J347" s="90"/>
      <c r="K347" s="90"/>
      <c r="L347" s="90"/>
      <c r="M347" s="90"/>
      <c r="N347" s="90"/>
      <c r="O347" s="90"/>
      <c r="P347" s="90"/>
      <c r="Q347" s="90"/>
    </row>
    <row r="348" ht="12.75" customHeight="1">
      <c r="A348" s="937" t="s">
        <v>4730</v>
      </c>
      <c r="B348" s="90"/>
      <c r="C348" s="90"/>
      <c r="D348" s="90"/>
      <c r="E348" s="90"/>
      <c r="F348" s="90"/>
      <c r="G348" s="90"/>
      <c r="H348" s="90"/>
      <c r="I348" s="90"/>
      <c r="J348" s="90"/>
      <c r="K348" s="90"/>
      <c r="L348" s="90"/>
      <c r="M348" s="90"/>
      <c r="N348" s="90"/>
      <c r="O348" s="90"/>
      <c r="P348" s="90"/>
      <c r="Q348" s="90"/>
    </row>
    <row r="349" ht="12.75" customHeight="1">
      <c r="A349" s="90"/>
      <c r="B349" s="90"/>
      <c r="C349" s="90"/>
      <c r="D349" s="90"/>
      <c r="E349" s="90"/>
      <c r="F349" s="90"/>
      <c r="G349" s="90"/>
      <c r="H349" s="90"/>
      <c r="I349" s="90"/>
      <c r="J349" s="90"/>
      <c r="K349" s="90"/>
      <c r="L349" s="90"/>
      <c r="M349" s="90"/>
      <c r="N349" s="90"/>
      <c r="O349" s="90"/>
      <c r="P349" s="90"/>
      <c r="Q349" s="90"/>
    </row>
    <row r="350" ht="12.75" customHeight="1">
      <c r="A350" s="937" t="s">
        <v>4731</v>
      </c>
      <c r="B350" s="90"/>
      <c r="C350" s="90"/>
      <c r="D350" s="90"/>
      <c r="E350" s="90"/>
      <c r="F350" s="90"/>
      <c r="G350" s="90"/>
      <c r="H350" s="90"/>
      <c r="I350" s="90"/>
      <c r="J350" s="90"/>
      <c r="K350" s="90"/>
      <c r="L350" s="90"/>
      <c r="M350" s="90"/>
      <c r="N350" s="90"/>
      <c r="O350" s="90"/>
      <c r="P350" s="90"/>
      <c r="Q350" s="90"/>
    </row>
    <row r="351" ht="12.75" customHeight="1">
      <c r="A351" s="90"/>
      <c r="B351" s="90"/>
      <c r="C351" s="90"/>
      <c r="D351" s="90"/>
      <c r="E351" s="90"/>
      <c r="F351" s="90"/>
      <c r="G351" s="90"/>
      <c r="H351" s="90"/>
      <c r="I351" s="90"/>
      <c r="J351" s="90"/>
      <c r="K351" s="90"/>
      <c r="L351" s="90"/>
      <c r="M351" s="90"/>
      <c r="N351" s="90"/>
      <c r="O351" s="90"/>
      <c r="P351" s="90"/>
      <c r="Q351" s="90"/>
    </row>
    <row r="352" ht="12.75" customHeight="1">
      <c r="A352" s="937" t="s">
        <v>8011</v>
      </c>
      <c r="B352" s="90"/>
      <c r="C352" s="90"/>
      <c r="D352" s="90"/>
      <c r="E352" s="90"/>
      <c r="F352" s="90"/>
      <c r="G352" s="90"/>
      <c r="H352" s="90"/>
      <c r="I352" s="90"/>
      <c r="J352" s="90"/>
      <c r="K352" s="90"/>
      <c r="L352" s="90"/>
      <c r="M352" s="90"/>
      <c r="N352" s="90"/>
      <c r="O352" s="90"/>
      <c r="P352" s="90"/>
      <c r="Q352" s="90"/>
    </row>
    <row r="353" ht="12.75" customHeight="1">
      <c r="A353" s="937" t="s">
        <v>8012</v>
      </c>
      <c r="B353" s="90"/>
      <c r="C353" s="90"/>
      <c r="D353" s="90"/>
      <c r="E353" s="90"/>
      <c r="F353" s="90"/>
      <c r="G353" s="90"/>
      <c r="H353" s="90"/>
      <c r="I353" s="90"/>
      <c r="J353" s="90"/>
      <c r="K353" s="90"/>
      <c r="L353" s="90"/>
      <c r="M353" s="90"/>
      <c r="N353" s="90"/>
      <c r="O353" s="90"/>
      <c r="P353" s="90"/>
      <c r="Q353" s="90"/>
    </row>
    <row r="354" ht="12.75" customHeight="1">
      <c r="A354" s="90"/>
      <c r="B354" s="90"/>
      <c r="C354" s="90"/>
      <c r="D354" s="90"/>
      <c r="E354" s="90"/>
      <c r="F354" s="90"/>
      <c r="G354" s="90"/>
      <c r="H354" s="90"/>
      <c r="I354" s="90"/>
      <c r="J354" s="90"/>
      <c r="K354" s="90"/>
      <c r="L354" s="90"/>
      <c r="M354" s="90"/>
      <c r="N354" s="90"/>
      <c r="O354" s="90"/>
      <c r="P354" s="90"/>
      <c r="Q354" s="90"/>
    </row>
    <row r="355" ht="12.75" customHeight="1">
      <c r="A355" s="937" t="s">
        <v>4733</v>
      </c>
      <c r="B355" s="90"/>
      <c r="C355" s="90"/>
      <c r="D355" s="90"/>
      <c r="E355" s="90"/>
      <c r="F355" s="90"/>
      <c r="G355" s="90"/>
      <c r="H355" s="90"/>
      <c r="I355" s="90"/>
      <c r="J355" s="90"/>
      <c r="K355" s="90"/>
      <c r="L355" s="90"/>
      <c r="M355" s="90"/>
      <c r="N355" s="90"/>
      <c r="O355" s="90"/>
      <c r="P355" s="90"/>
      <c r="Q355" s="90"/>
    </row>
    <row r="356" ht="12.75" customHeight="1">
      <c r="A356" s="90"/>
      <c r="B356" s="90"/>
      <c r="C356" s="90"/>
      <c r="D356" s="90"/>
      <c r="E356" s="90"/>
      <c r="F356" s="90"/>
      <c r="G356" s="90"/>
      <c r="H356" s="90"/>
      <c r="I356" s="90"/>
      <c r="J356" s="90"/>
      <c r="K356" s="90"/>
      <c r="L356" s="90"/>
      <c r="M356" s="90"/>
      <c r="N356" s="90"/>
      <c r="O356" s="90"/>
      <c r="P356" s="90"/>
      <c r="Q356" s="90"/>
    </row>
    <row r="357" ht="12.75" customHeight="1">
      <c r="A357" s="937" t="s">
        <v>8013</v>
      </c>
      <c r="B357" s="90"/>
      <c r="C357" s="90"/>
      <c r="D357" s="90"/>
      <c r="E357" s="90"/>
      <c r="F357" s="90"/>
      <c r="G357" s="90"/>
      <c r="H357" s="90"/>
      <c r="I357" s="90"/>
      <c r="J357" s="90"/>
      <c r="K357" s="90"/>
      <c r="L357" s="90"/>
      <c r="M357" s="90"/>
      <c r="N357" s="90"/>
      <c r="O357" s="90"/>
      <c r="P357" s="90"/>
      <c r="Q357" s="90"/>
    </row>
    <row r="358" ht="12.75" customHeight="1">
      <c r="A358" s="937" t="s">
        <v>8014</v>
      </c>
      <c r="B358" s="90"/>
      <c r="C358" s="90"/>
      <c r="D358" s="90"/>
      <c r="E358" s="90"/>
      <c r="F358" s="90"/>
      <c r="G358" s="90"/>
      <c r="H358" s="90"/>
      <c r="I358" s="90"/>
      <c r="J358" s="90"/>
      <c r="K358" s="90"/>
      <c r="L358" s="90"/>
      <c r="M358" s="90"/>
      <c r="N358" s="90"/>
      <c r="O358" s="90"/>
      <c r="P358" s="90"/>
      <c r="Q358" s="90"/>
    </row>
    <row r="359" ht="12.75" customHeight="1">
      <c r="A359" s="90"/>
      <c r="B359" s="90"/>
      <c r="C359" s="90"/>
      <c r="D359" s="90"/>
      <c r="E359" s="90"/>
      <c r="F359" s="90"/>
      <c r="G359" s="90"/>
      <c r="H359" s="90"/>
      <c r="I359" s="90"/>
      <c r="J359" s="90"/>
      <c r="K359" s="90"/>
      <c r="L359" s="90"/>
      <c r="M359" s="90"/>
      <c r="N359" s="90"/>
      <c r="O359" s="90"/>
      <c r="P359" s="90"/>
      <c r="Q359" s="90"/>
    </row>
    <row r="360" ht="12.75" customHeight="1">
      <c r="A360" s="937" t="s">
        <v>4735</v>
      </c>
      <c r="B360" s="90"/>
      <c r="C360" s="90"/>
      <c r="D360" s="90"/>
      <c r="E360" s="90"/>
      <c r="F360" s="90"/>
      <c r="G360" s="90"/>
      <c r="H360" s="90"/>
      <c r="I360" s="90"/>
      <c r="J360" s="90"/>
      <c r="K360" s="90"/>
      <c r="L360" s="90"/>
      <c r="M360" s="90"/>
      <c r="N360" s="90"/>
      <c r="O360" s="90"/>
      <c r="P360" s="90"/>
      <c r="Q360" s="90"/>
    </row>
    <row r="361" ht="12.75" customHeight="1">
      <c r="A361" s="90"/>
      <c r="B361" s="90"/>
      <c r="C361" s="90"/>
      <c r="D361" s="90"/>
      <c r="E361" s="90"/>
      <c r="F361" s="90"/>
      <c r="G361" s="90"/>
      <c r="H361" s="90"/>
      <c r="I361" s="90"/>
      <c r="J361" s="90"/>
      <c r="K361" s="90"/>
      <c r="L361" s="90"/>
      <c r="M361" s="90"/>
      <c r="N361" s="90"/>
      <c r="O361" s="90"/>
      <c r="P361" s="90"/>
      <c r="Q361" s="90"/>
    </row>
    <row r="362" ht="12.75" customHeight="1">
      <c r="A362" s="937" t="s">
        <v>8015</v>
      </c>
      <c r="B362" s="90"/>
      <c r="C362" s="90"/>
      <c r="D362" s="90"/>
      <c r="E362" s="90"/>
      <c r="F362" s="90"/>
      <c r="G362" s="90"/>
      <c r="H362" s="90"/>
      <c r="I362" s="90"/>
      <c r="J362" s="90"/>
      <c r="K362" s="90"/>
      <c r="L362" s="90"/>
      <c r="M362" s="90"/>
      <c r="N362" s="90"/>
      <c r="O362" s="90"/>
      <c r="P362" s="90"/>
      <c r="Q362" s="90"/>
    </row>
    <row r="363" ht="12.75" customHeight="1">
      <c r="A363" s="937" t="s">
        <v>8016</v>
      </c>
      <c r="B363" s="90"/>
      <c r="C363" s="90"/>
      <c r="D363" s="90"/>
      <c r="E363" s="90"/>
      <c r="F363" s="90"/>
      <c r="G363" s="90"/>
      <c r="H363" s="90"/>
      <c r="I363" s="90"/>
      <c r="J363" s="90"/>
      <c r="K363" s="90"/>
      <c r="L363" s="90"/>
      <c r="M363" s="90"/>
      <c r="N363" s="90"/>
      <c r="O363" s="90"/>
      <c r="P363" s="90"/>
      <c r="Q363" s="90"/>
    </row>
    <row r="364" ht="12.75" customHeight="1">
      <c r="A364" s="937" t="s">
        <v>8017</v>
      </c>
      <c r="B364" s="90"/>
      <c r="C364" s="90"/>
      <c r="D364" s="90"/>
      <c r="E364" s="90"/>
      <c r="F364" s="90"/>
      <c r="G364" s="90"/>
      <c r="H364" s="90"/>
      <c r="I364" s="90"/>
      <c r="J364" s="90"/>
      <c r="K364" s="90"/>
      <c r="L364" s="90"/>
      <c r="M364" s="90"/>
      <c r="N364" s="90"/>
      <c r="O364" s="90"/>
      <c r="P364" s="90"/>
      <c r="Q364" s="90"/>
    </row>
    <row r="365" ht="12.75" customHeight="1">
      <c r="A365" s="90"/>
      <c r="B365" s="90"/>
      <c r="C365" s="90"/>
      <c r="D365" s="90"/>
      <c r="E365" s="90"/>
      <c r="F365" s="90"/>
      <c r="G365" s="90"/>
      <c r="H365" s="90"/>
      <c r="I365" s="90"/>
      <c r="J365" s="90"/>
      <c r="K365" s="90"/>
      <c r="L365" s="90"/>
      <c r="M365" s="90"/>
      <c r="N365" s="90"/>
      <c r="O365" s="90"/>
      <c r="P365" s="90"/>
      <c r="Q365" s="90"/>
    </row>
    <row r="366" ht="12.75" customHeight="1">
      <c r="A366" s="937" t="s">
        <v>4737</v>
      </c>
      <c r="B366" s="90"/>
      <c r="C366" s="90"/>
      <c r="D366" s="90"/>
      <c r="E366" s="90"/>
      <c r="F366" s="90"/>
      <c r="G366" s="90"/>
      <c r="H366" s="90"/>
      <c r="I366" s="90"/>
      <c r="J366" s="90"/>
      <c r="K366" s="90"/>
      <c r="L366" s="90"/>
      <c r="M366" s="90"/>
      <c r="N366" s="90"/>
      <c r="O366" s="90"/>
      <c r="P366" s="90"/>
      <c r="Q366" s="90"/>
    </row>
    <row r="367" ht="12.75" customHeight="1">
      <c r="A367" s="90"/>
      <c r="B367" s="90"/>
      <c r="C367" s="90"/>
      <c r="D367" s="90"/>
      <c r="E367" s="90"/>
      <c r="F367" s="90"/>
      <c r="G367" s="90"/>
      <c r="H367" s="90"/>
      <c r="I367" s="90"/>
      <c r="J367" s="90"/>
      <c r="K367" s="90"/>
      <c r="L367" s="90"/>
      <c r="M367" s="90"/>
      <c r="N367" s="90"/>
      <c r="O367" s="90"/>
      <c r="P367" s="90"/>
      <c r="Q367" s="90"/>
    </row>
    <row r="368" ht="12.75" customHeight="1">
      <c r="A368" s="937" t="s">
        <v>4738</v>
      </c>
      <c r="B368" s="90"/>
      <c r="C368" s="90"/>
      <c r="D368" s="90"/>
      <c r="E368" s="90"/>
      <c r="F368" s="90"/>
      <c r="G368" s="90"/>
      <c r="H368" s="90"/>
      <c r="I368" s="90"/>
      <c r="J368" s="90"/>
      <c r="K368" s="90"/>
      <c r="L368" s="90"/>
      <c r="M368" s="90"/>
      <c r="N368" s="90"/>
      <c r="O368" s="90"/>
      <c r="P368" s="90"/>
      <c r="Q368" s="90"/>
    </row>
    <row r="369" ht="12.75" customHeight="1">
      <c r="A369" s="90"/>
      <c r="B369" s="90"/>
      <c r="C369" s="90"/>
      <c r="D369" s="90"/>
      <c r="E369" s="90"/>
      <c r="F369" s="90"/>
      <c r="G369" s="90"/>
      <c r="H369" s="90"/>
      <c r="I369" s="90"/>
      <c r="J369" s="90"/>
      <c r="K369" s="90"/>
      <c r="L369" s="90"/>
      <c r="M369" s="90"/>
      <c r="N369" s="90"/>
      <c r="O369" s="90"/>
      <c r="P369" s="90"/>
      <c r="Q369" s="90"/>
    </row>
    <row r="370" ht="12.75" customHeight="1">
      <c r="A370" s="937" t="s">
        <v>4739</v>
      </c>
      <c r="B370" s="90"/>
      <c r="C370" s="90"/>
      <c r="D370" s="90"/>
      <c r="E370" s="90"/>
      <c r="F370" s="90"/>
      <c r="G370" s="90"/>
      <c r="H370" s="90"/>
      <c r="I370" s="90"/>
      <c r="J370" s="90"/>
      <c r="K370" s="90"/>
      <c r="L370" s="90"/>
      <c r="M370" s="90"/>
      <c r="N370" s="90"/>
      <c r="O370" s="90"/>
      <c r="P370" s="90"/>
      <c r="Q370" s="90"/>
    </row>
    <row r="371" ht="12.75" customHeight="1">
      <c r="A371" s="90"/>
      <c r="B371" s="90"/>
      <c r="C371" s="90"/>
      <c r="D371" s="90"/>
      <c r="E371" s="90"/>
      <c r="F371" s="90"/>
      <c r="G371" s="90"/>
      <c r="H371" s="90"/>
      <c r="I371" s="90"/>
      <c r="J371" s="90"/>
      <c r="K371" s="90"/>
      <c r="L371" s="90"/>
      <c r="M371" s="90"/>
      <c r="N371" s="90"/>
      <c r="O371" s="90"/>
      <c r="P371" s="90"/>
      <c r="Q371" s="90"/>
    </row>
    <row r="372" ht="12.75" customHeight="1">
      <c r="A372" s="937" t="s">
        <v>4740</v>
      </c>
      <c r="B372" s="90"/>
      <c r="C372" s="90"/>
      <c r="D372" s="90"/>
      <c r="E372" s="90"/>
      <c r="F372" s="90"/>
      <c r="G372" s="90"/>
      <c r="H372" s="90"/>
      <c r="I372" s="90"/>
      <c r="J372" s="90"/>
      <c r="K372" s="90"/>
      <c r="L372" s="90"/>
      <c r="M372" s="90"/>
      <c r="N372" s="90"/>
      <c r="O372" s="90"/>
      <c r="P372" s="90"/>
      <c r="Q372" s="90"/>
    </row>
    <row r="373" ht="12.75" customHeight="1">
      <c r="A373" s="90"/>
      <c r="B373" s="90"/>
      <c r="C373" s="90"/>
      <c r="D373" s="90"/>
      <c r="E373" s="90"/>
      <c r="F373" s="90"/>
      <c r="G373" s="90"/>
      <c r="H373" s="90"/>
      <c r="I373" s="90"/>
      <c r="J373" s="90"/>
      <c r="K373" s="90"/>
      <c r="L373" s="90"/>
      <c r="M373" s="90"/>
      <c r="N373" s="90"/>
      <c r="O373" s="90"/>
      <c r="P373" s="90"/>
      <c r="Q373" s="90"/>
    </row>
    <row r="374" ht="12.75" customHeight="1">
      <c r="A374" s="937" t="s">
        <v>4741</v>
      </c>
      <c r="B374" s="90"/>
      <c r="C374" s="90"/>
      <c r="D374" s="90"/>
      <c r="E374" s="90"/>
      <c r="F374" s="90"/>
      <c r="G374" s="90"/>
      <c r="H374" s="90"/>
      <c r="I374" s="90"/>
      <c r="J374" s="90"/>
      <c r="K374" s="90"/>
      <c r="L374" s="90"/>
      <c r="M374" s="90"/>
      <c r="N374" s="90"/>
      <c r="O374" s="90"/>
      <c r="P374" s="90"/>
      <c r="Q374" s="90"/>
    </row>
    <row r="375" ht="12.75" customHeight="1">
      <c r="A375" s="90"/>
      <c r="B375" s="90"/>
      <c r="C375" s="90"/>
      <c r="D375" s="90"/>
      <c r="E375" s="90"/>
      <c r="F375" s="90"/>
      <c r="G375" s="90"/>
      <c r="H375" s="90"/>
      <c r="I375" s="90"/>
      <c r="J375" s="90"/>
      <c r="K375" s="90"/>
      <c r="L375" s="90"/>
      <c r="M375" s="90"/>
      <c r="N375" s="90"/>
      <c r="O375" s="90"/>
      <c r="P375" s="90"/>
      <c r="Q375" s="90"/>
    </row>
    <row r="376" ht="12.75" customHeight="1">
      <c r="A376" s="937" t="s">
        <v>4742</v>
      </c>
      <c r="B376" s="90"/>
      <c r="C376" s="90"/>
      <c r="D376" s="90"/>
      <c r="E376" s="90"/>
      <c r="F376" s="90"/>
      <c r="G376" s="90"/>
      <c r="H376" s="90"/>
      <c r="I376" s="90"/>
      <c r="J376" s="90"/>
      <c r="K376" s="90"/>
      <c r="L376" s="90"/>
      <c r="M376" s="90"/>
      <c r="N376" s="90"/>
      <c r="O376" s="90"/>
      <c r="P376" s="90"/>
      <c r="Q376" s="90"/>
    </row>
    <row r="377" ht="12.75" customHeight="1">
      <c r="A377" s="90"/>
      <c r="B377" s="90"/>
      <c r="C377" s="90"/>
      <c r="D377" s="90"/>
      <c r="E377" s="90"/>
      <c r="F377" s="90"/>
      <c r="G377" s="90"/>
      <c r="H377" s="90"/>
      <c r="I377" s="90"/>
      <c r="J377" s="90"/>
      <c r="K377" s="90"/>
      <c r="L377" s="90"/>
      <c r="M377" s="90"/>
      <c r="N377" s="90"/>
      <c r="O377" s="90"/>
      <c r="P377" s="90"/>
      <c r="Q377" s="90"/>
    </row>
    <row r="378" ht="12.75" customHeight="1">
      <c r="A378" s="937" t="s">
        <v>4743</v>
      </c>
      <c r="B378" s="90"/>
      <c r="C378" s="90"/>
      <c r="D378" s="90"/>
      <c r="E378" s="90"/>
      <c r="F378" s="90"/>
      <c r="G378" s="90"/>
      <c r="H378" s="90"/>
      <c r="I378" s="90"/>
      <c r="J378" s="90"/>
      <c r="K378" s="90"/>
      <c r="L378" s="90"/>
      <c r="M378" s="90"/>
      <c r="N378" s="90"/>
      <c r="O378" s="90"/>
      <c r="P378" s="90"/>
      <c r="Q378" s="90"/>
    </row>
    <row r="379" ht="12.75" customHeight="1">
      <c r="A379" s="90"/>
      <c r="B379" s="90"/>
      <c r="C379" s="90"/>
      <c r="D379" s="90"/>
      <c r="E379" s="90"/>
      <c r="F379" s="90"/>
      <c r="G379" s="90"/>
      <c r="H379" s="90"/>
      <c r="I379" s="90"/>
      <c r="J379" s="90"/>
      <c r="K379" s="90"/>
      <c r="L379" s="90"/>
      <c r="M379" s="90"/>
      <c r="N379" s="90"/>
      <c r="O379" s="90"/>
      <c r="P379" s="90"/>
      <c r="Q379" s="90"/>
    </row>
    <row r="380" ht="12.75" customHeight="1">
      <c r="A380" s="937" t="s">
        <v>4744</v>
      </c>
      <c r="B380" s="90"/>
      <c r="C380" s="90"/>
      <c r="D380" s="90"/>
      <c r="E380" s="90"/>
      <c r="F380" s="90"/>
      <c r="G380" s="90"/>
      <c r="H380" s="90"/>
      <c r="I380" s="90"/>
      <c r="J380" s="90"/>
      <c r="K380" s="90"/>
      <c r="L380" s="90"/>
      <c r="M380" s="90"/>
      <c r="N380" s="90"/>
      <c r="O380" s="90"/>
      <c r="P380" s="90"/>
      <c r="Q380" s="90"/>
    </row>
    <row r="381" ht="12.75" customHeight="1">
      <c r="A381" s="90"/>
      <c r="B381" s="90"/>
      <c r="C381" s="90"/>
      <c r="D381" s="90"/>
      <c r="E381" s="90"/>
      <c r="F381" s="90"/>
      <c r="G381" s="90"/>
      <c r="H381" s="90"/>
      <c r="I381" s="90"/>
      <c r="J381" s="90"/>
      <c r="K381" s="90"/>
      <c r="L381" s="90"/>
      <c r="M381" s="90"/>
      <c r="N381" s="90"/>
      <c r="O381" s="90"/>
      <c r="P381" s="90"/>
      <c r="Q381" s="90"/>
    </row>
    <row r="382" ht="12.75" customHeight="1">
      <c r="A382" s="937" t="s">
        <v>4745</v>
      </c>
      <c r="B382" s="90"/>
      <c r="C382" s="90"/>
      <c r="D382" s="90"/>
      <c r="E382" s="90"/>
      <c r="F382" s="90"/>
      <c r="G382" s="90"/>
      <c r="H382" s="90"/>
      <c r="I382" s="90"/>
      <c r="J382" s="90"/>
      <c r="K382" s="90"/>
      <c r="L382" s="90"/>
      <c r="M382" s="90"/>
      <c r="N382" s="90"/>
      <c r="O382" s="90"/>
      <c r="P382" s="90"/>
      <c r="Q382" s="90"/>
    </row>
    <row r="383" ht="12.75" customHeight="1">
      <c r="A383" s="90"/>
      <c r="B383" s="90"/>
      <c r="C383" s="90"/>
      <c r="D383" s="90"/>
      <c r="E383" s="90"/>
      <c r="F383" s="90"/>
      <c r="G383" s="90"/>
      <c r="H383" s="90"/>
      <c r="I383" s="90"/>
      <c r="J383" s="90"/>
      <c r="K383" s="90"/>
      <c r="L383" s="90"/>
      <c r="M383" s="90"/>
      <c r="N383" s="90"/>
      <c r="O383" s="90"/>
      <c r="P383" s="90"/>
      <c r="Q383" s="90"/>
    </row>
    <row r="384" ht="12.75" customHeight="1">
      <c r="A384" s="937" t="s">
        <v>4746</v>
      </c>
      <c r="B384" s="90"/>
      <c r="C384" s="90"/>
      <c r="D384" s="90"/>
      <c r="E384" s="90"/>
      <c r="F384" s="90"/>
      <c r="G384" s="90"/>
      <c r="H384" s="90"/>
      <c r="I384" s="90"/>
      <c r="J384" s="90"/>
      <c r="K384" s="90"/>
      <c r="L384" s="90"/>
      <c r="M384" s="90"/>
      <c r="N384" s="90"/>
      <c r="O384" s="90"/>
      <c r="P384" s="90"/>
      <c r="Q384" s="90"/>
    </row>
    <row r="385" ht="12.75" customHeight="1">
      <c r="A385" s="90"/>
      <c r="B385" s="90"/>
      <c r="C385" s="90"/>
      <c r="D385" s="90"/>
      <c r="E385" s="90"/>
      <c r="F385" s="90"/>
      <c r="G385" s="90"/>
      <c r="H385" s="90"/>
      <c r="I385" s="90"/>
      <c r="J385" s="90"/>
      <c r="K385" s="90"/>
      <c r="L385" s="90"/>
      <c r="M385" s="90"/>
      <c r="N385" s="90"/>
      <c r="O385" s="90"/>
      <c r="P385" s="90"/>
      <c r="Q385" s="90"/>
    </row>
    <row r="386" ht="12.75" customHeight="1">
      <c r="A386" s="937" t="s">
        <v>4747</v>
      </c>
      <c r="B386" s="90"/>
      <c r="C386" s="90"/>
      <c r="D386" s="90"/>
      <c r="E386" s="90"/>
      <c r="F386" s="90"/>
      <c r="G386" s="90"/>
      <c r="H386" s="90"/>
      <c r="I386" s="90"/>
      <c r="J386" s="90"/>
      <c r="K386" s="90"/>
      <c r="L386" s="90"/>
      <c r="M386" s="90"/>
      <c r="N386" s="90"/>
      <c r="O386" s="90"/>
      <c r="P386" s="90"/>
      <c r="Q386" s="90"/>
    </row>
    <row r="387" ht="12.75" customHeight="1">
      <c r="A387" s="90"/>
      <c r="B387" s="90"/>
      <c r="C387" s="90"/>
      <c r="D387" s="90"/>
      <c r="E387" s="90"/>
      <c r="F387" s="90"/>
      <c r="G387" s="90"/>
      <c r="H387" s="90"/>
      <c r="I387" s="90"/>
      <c r="J387" s="90"/>
      <c r="K387" s="90"/>
      <c r="L387" s="90"/>
      <c r="M387" s="90"/>
      <c r="N387" s="90"/>
      <c r="O387" s="90"/>
      <c r="P387" s="90"/>
      <c r="Q387" s="90"/>
    </row>
    <row r="388" ht="12.75" customHeight="1">
      <c r="A388" s="937" t="s">
        <v>4748</v>
      </c>
      <c r="B388" s="90"/>
      <c r="C388" s="90"/>
      <c r="D388" s="90"/>
      <c r="E388" s="90"/>
      <c r="F388" s="90"/>
      <c r="G388" s="90"/>
      <c r="H388" s="90"/>
      <c r="I388" s="90"/>
      <c r="J388" s="90"/>
      <c r="K388" s="90"/>
      <c r="L388" s="90"/>
      <c r="M388" s="90"/>
      <c r="N388" s="90"/>
      <c r="O388" s="90"/>
      <c r="P388" s="90"/>
      <c r="Q388" s="90"/>
    </row>
    <row r="389" ht="12.75" customHeight="1">
      <c r="A389" s="90"/>
      <c r="B389" s="90"/>
      <c r="C389" s="90"/>
      <c r="D389" s="90"/>
      <c r="E389" s="90"/>
      <c r="F389" s="90"/>
      <c r="G389" s="90"/>
      <c r="H389" s="90"/>
      <c r="I389" s="90"/>
      <c r="J389" s="90"/>
      <c r="K389" s="90"/>
      <c r="L389" s="90"/>
      <c r="M389" s="90"/>
      <c r="N389" s="90"/>
      <c r="O389" s="90"/>
      <c r="P389" s="90"/>
      <c r="Q389" s="90"/>
    </row>
    <row r="390" ht="12.75" customHeight="1">
      <c r="A390" s="937" t="s">
        <v>4749</v>
      </c>
      <c r="B390" s="90"/>
      <c r="C390" s="90"/>
      <c r="D390" s="90"/>
      <c r="E390" s="90"/>
      <c r="F390" s="90"/>
      <c r="G390" s="90"/>
      <c r="H390" s="90"/>
      <c r="I390" s="90"/>
      <c r="J390" s="90"/>
      <c r="K390" s="90"/>
      <c r="L390" s="90"/>
      <c r="M390" s="90"/>
      <c r="N390" s="90"/>
      <c r="O390" s="90"/>
      <c r="P390" s="90"/>
      <c r="Q390" s="90"/>
    </row>
    <row r="391" ht="12.75" customHeight="1">
      <c r="A391" s="90"/>
      <c r="B391" s="90"/>
      <c r="C391" s="90"/>
      <c r="D391" s="90"/>
      <c r="E391" s="90"/>
      <c r="F391" s="90"/>
      <c r="G391" s="90"/>
      <c r="H391" s="90"/>
      <c r="I391" s="90"/>
      <c r="J391" s="90"/>
      <c r="K391" s="90"/>
      <c r="L391" s="90"/>
      <c r="M391" s="90"/>
      <c r="N391" s="90"/>
      <c r="O391" s="90"/>
      <c r="P391" s="90"/>
      <c r="Q391" s="90"/>
    </row>
    <row r="392" ht="12.75" customHeight="1">
      <c r="A392" s="937" t="s">
        <v>4750</v>
      </c>
      <c r="B392" s="90"/>
      <c r="C392" s="90"/>
      <c r="D392" s="90"/>
      <c r="E392" s="90"/>
      <c r="F392" s="90"/>
      <c r="G392" s="90"/>
      <c r="H392" s="90"/>
      <c r="I392" s="90"/>
      <c r="J392" s="90"/>
      <c r="K392" s="90"/>
      <c r="L392" s="90"/>
      <c r="M392" s="90"/>
      <c r="N392" s="90"/>
      <c r="O392" s="90"/>
      <c r="P392" s="90"/>
      <c r="Q392" s="90"/>
    </row>
    <row r="393" ht="12.75" customHeight="1">
      <c r="A393" s="90"/>
      <c r="B393" s="90"/>
      <c r="C393" s="90"/>
      <c r="D393" s="90"/>
      <c r="E393" s="90"/>
      <c r="F393" s="90"/>
      <c r="G393" s="90"/>
      <c r="H393" s="90"/>
      <c r="I393" s="90"/>
      <c r="J393" s="90"/>
      <c r="K393" s="90"/>
      <c r="L393" s="90"/>
      <c r="M393" s="90"/>
      <c r="N393" s="90"/>
      <c r="O393" s="90"/>
      <c r="P393" s="90"/>
      <c r="Q393" s="90"/>
    </row>
    <row r="394" ht="12.75" customHeight="1">
      <c r="A394" s="937" t="s">
        <v>4751</v>
      </c>
      <c r="B394" s="90"/>
      <c r="C394" s="90"/>
      <c r="D394" s="90"/>
      <c r="E394" s="90"/>
      <c r="F394" s="90"/>
      <c r="G394" s="90"/>
      <c r="H394" s="90"/>
      <c r="I394" s="90"/>
      <c r="J394" s="90"/>
      <c r="K394" s="90"/>
      <c r="L394" s="90"/>
      <c r="M394" s="90"/>
      <c r="N394" s="90"/>
      <c r="O394" s="90"/>
      <c r="P394" s="90"/>
      <c r="Q394" s="90"/>
    </row>
    <row r="395" ht="12.75" customHeight="1">
      <c r="A395" s="90"/>
      <c r="B395" s="90"/>
      <c r="C395" s="90"/>
      <c r="D395" s="90"/>
      <c r="E395" s="90"/>
      <c r="F395" s="90"/>
      <c r="G395" s="90"/>
      <c r="H395" s="90"/>
      <c r="I395" s="90"/>
      <c r="J395" s="90"/>
      <c r="K395" s="90"/>
      <c r="L395" s="90"/>
      <c r="M395" s="90"/>
      <c r="N395" s="90"/>
      <c r="O395" s="90"/>
      <c r="P395" s="90"/>
      <c r="Q395" s="90"/>
    </row>
    <row r="396" ht="12.75" customHeight="1">
      <c r="A396" s="937" t="s">
        <v>4752</v>
      </c>
      <c r="B396" s="90"/>
      <c r="C396" s="90"/>
      <c r="D396" s="90"/>
      <c r="E396" s="90"/>
      <c r="F396" s="90"/>
      <c r="G396" s="90"/>
      <c r="H396" s="90"/>
      <c r="I396" s="90"/>
      <c r="J396" s="90"/>
      <c r="K396" s="90"/>
      <c r="L396" s="90"/>
      <c r="M396" s="90"/>
      <c r="N396" s="90"/>
      <c r="O396" s="90"/>
      <c r="P396" s="90"/>
      <c r="Q396" s="90"/>
    </row>
    <row r="397" ht="12.75" customHeight="1">
      <c r="A397" s="90"/>
      <c r="B397" s="90"/>
      <c r="C397" s="90"/>
      <c r="D397" s="90"/>
      <c r="E397" s="90"/>
      <c r="F397" s="90"/>
      <c r="G397" s="90"/>
      <c r="H397" s="90"/>
      <c r="I397" s="90"/>
      <c r="J397" s="90"/>
      <c r="K397" s="90"/>
      <c r="L397" s="90"/>
      <c r="M397" s="90"/>
      <c r="N397" s="90"/>
      <c r="O397" s="90"/>
      <c r="P397" s="90"/>
      <c r="Q397" s="90"/>
    </row>
    <row r="398" ht="12.75" customHeight="1">
      <c r="A398" s="937" t="s">
        <v>4686</v>
      </c>
      <c r="B398" s="90"/>
      <c r="C398" s="90"/>
      <c r="D398" s="90"/>
      <c r="E398" s="90"/>
      <c r="F398" s="90"/>
      <c r="G398" s="90"/>
      <c r="H398" s="90"/>
      <c r="I398" s="90"/>
      <c r="J398" s="90"/>
      <c r="K398" s="90"/>
      <c r="L398" s="90"/>
      <c r="M398" s="90"/>
      <c r="N398" s="90"/>
      <c r="O398" s="90"/>
      <c r="P398" s="90"/>
      <c r="Q398" s="90"/>
    </row>
    <row r="399" ht="12.75" customHeight="1">
      <c r="A399" s="90"/>
      <c r="B399" s="90"/>
      <c r="C399" s="90"/>
      <c r="D399" s="90"/>
      <c r="E399" s="90"/>
      <c r="F399" s="90"/>
      <c r="G399" s="90"/>
      <c r="H399" s="90"/>
      <c r="I399" s="90"/>
      <c r="J399" s="90"/>
      <c r="K399" s="90"/>
      <c r="L399" s="90"/>
      <c r="M399" s="90"/>
      <c r="N399" s="90"/>
      <c r="O399" s="90"/>
      <c r="P399" s="90"/>
      <c r="Q399" s="90"/>
    </row>
    <row r="400" ht="12.75" customHeight="1">
      <c r="A400" s="90"/>
      <c r="B400" s="90"/>
      <c r="C400" s="90"/>
      <c r="D400" s="90"/>
      <c r="E400" s="90"/>
      <c r="F400" s="90"/>
      <c r="G400" s="90"/>
      <c r="H400" s="90"/>
      <c r="I400" s="90"/>
      <c r="J400" s="90"/>
      <c r="K400" s="90"/>
      <c r="L400" s="90"/>
      <c r="M400" s="90"/>
      <c r="N400" s="90"/>
      <c r="O400" s="90"/>
      <c r="P400" s="90"/>
      <c r="Q400" s="90"/>
    </row>
    <row r="401" ht="12.75" customHeight="1">
      <c r="A401" s="937" t="s">
        <v>4837</v>
      </c>
      <c r="B401" s="90"/>
      <c r="C401" s="90"/>
      <c r="D401" s="90"/>
      <c r="E401" s="90"/>
      <c r="F401" s="90"/>
      <c r="G401" s="90"/>
      <c r="H401" s="90"/>
      <c r="I401" s="90"/>
      <c r="J401" s="90"/>
      <c r="K401" s="90"/>
      <c r="L401" s="90"/>
      <c r="M401" s="90"/>
      <c r="N401" s="90"/>
      <c r="O401" s="90"/>
      <c r="P401" s="90"/>
      <c r="Q401" s="90"/>
    </row>
    <row r="402" ht="12.75" customHeight="1">
      <c r="A402" s="90"/>
      <c r="B402" s="90"/>
      <c r="C402" s="90"/>
      <c r="D402" s="90"/>
      <c r="E402" s="90"/>
      <c r="F402" s="90"/>
      <c r="G402" s="90"/>
      <c r="H402" s="90"/>
      <c r="I402" s="90"/>
      <c r="J402" s="90"/>
      <c r="K402" s="90"/>
      <c r="L402" s="90"/>
      <c r="M402" s="90"/>
      <c r="N402" s="90"/>
      <c r="O402" s="90"/>
      <c r="P402" s="90"/>
      <c r="Q402" s="90"/>
    </row>
    <row r="403" ht="12.75" customHeight="1">
      <c r="A403" s="937" t="s">
        <v>4754</v>
      </c>
      <c r="B403" s="90"/>
      <c r="C403" s="90"/>
      <c r="D403" s="90"/>
      <c r="E403" s="90"/>
      <c r="F403" s="90"/>
      <c r="G403" s="90"/>
      <c r="H403" s="90"/>
      <c r="I403" s="90"/>
      <c r="J403" s="90"/>
      <c r="K403" s="90"/>
      <c r="L403" s="90"/>
      <c r="M403" s="90"/>
      <c r="N403" s="90"/>
      <c r="O403" s="90"/>
      <c r="P403" s="90"/>
      <c r="Q403" s="90"/>
    </row>
    <row r="404" ht="12.75" customHeight="1">
      <c r="A404" s="90"/>
      <c r="B404" s="90"/>
      <c r="C404" s="90"/>
      <c r="D404" s="90"/>
      <c r="E404" s="90"/>
      <c r="F404" s="90"/>
      <c r="G404" s="90"/>
      <c r="H404" s="90"/>
      <c r="I404" s="90"/>
      <c r="J404" s="90"/>
      <c r="K404" s="90"/>
      <c r="L404" s="90"/>
      <c r="M404" s="90"/>
      <c r="N404" s="90"/>
      <c r="O404" s="90"/>
      <c r="P404" s="90"/>
      <c r="Q404" s="90"/>
    </row>
    <row r="405" ht="12.75" customHeight="1">
      <c r="A405" s="937" t="s">
        <v>4755</v>
      </c>
      <c r="B405" s="90"/>
      <c r="C405" s="90"/>
      <c r="D405" s="90"/>
      <c r="E405" s="90"/>
      <c r="F405" s="90"/>
      <c r="G405" s="90"/>
      <c r="H405" s="90"/>
      <c r="I405" s="90"/>
      <c r="J405" s="90"/>
      <c r="K405" s="90"/>
      <c r="L405" s="90"/>
      <c r="M405" s="90"/>
      <c r="N405" s="90"/>
      <c r="O405" s="90"/>
      <c r="P405" s="90"/>
      <c r="Q405" s="90"/>
    </row>
    <row r="406" ht="12.75" customHeight="1">
      <c r="A406" s="90"/>
      <c r="B406" s="90"/>
      <c r="C406" s="90"/>
      <c r="D406" s="90"/>
      <c r="E406" s="90"/>
      <c r="F406" s="90"/>
      <c r="G406" s="90"/>
      <c r="H406" s="90"/>
      <c r="I406" s="90"/>
      <c r="J406" s="90"/>
      <c r="K406" s="90"/>
      <c r="L406" s="90"/>
      <c r="M406" s="90"/>
      <c r="N406" s="90"/>
      <c r="O406" s="90"/>
      <c r="P406" s="90"/>
      <c r="Q406" s="90"/>
    </row>
    <row r="407" ht="12.75" customHeight="1">
      <c r="A407" s="937" t="s">
        <v>4756</v>
      </c>
      <c r="B407" s="90"/>
      <c r="C407" s="90"/>
      <c r="D407" s="90"/>
      <c r="E407" s="90"/>
      <c r="F407" s="90"/>
      <c r="G407" s="90"/>
      <c r="H407" s="90"/>
      <c r="I407" s="90"/>
      <c r="J407" s="90"/>
      <c r="K407" s="90"/>
      <c r="L407" s="90"/>
      <c r="M407" s="90"/>
      <c r="N407" s="90"/>
      <c r="O407" s="90"/>
      <c r="P407" s="90"/>
      <c r="Q407" s="90"/>
    </row>
    <row r="408" ht="12.75" customHeight="1">
      <c r="A408" s="90"/>
      <c r="B408" s="90"/>
      <c r="C408" s="90"/>
      <c r="D408" s="90"/>
      <c r="E408" s="90"/>
      <c r="F408" s="90"/>
      <c r="G408" s="90"/>
      <c r="H408" s="90"/>
      <c r="I408" s="90"/>
      <c r="J408" s="90"/>
      <c r="K408" s="90"/>
      <c r="L408" s="90"/>
      <c r="M408" s="90"/>
      <c r="N408" s="90"/>
      <c r="O408" s="90"/>
      <c r="P408" s="90"/>
      <c r="Q408" s="90"/>
    </row>
    <row r="409" ht="12.75" customHeight="1">
      <c r="A409" s="937" t="s">
        <v>4757</v>
      </c>
      <c r="B409" s="90"/>
      <c r="C409" s="90"/>
      <c r="D409" s="90"/>
      <c r="E409" s="90"/>
      <c r="F409" s="90"/>
      <c r="G409" s="90"/>
      <c r="H409" s="90"/>
      <c r="I409" s="90"/>
      <c r="J409" s="90"/>
      <c r="K409" s="90"/>
      <c r="L409" s="90"/>
      <c r="M409" s="90"/>
      <c r="N409" s="90"/>
      <c r="O409" s="90"/>
      <c r="P409" s="90"/>
      <c r="Q409" s="90"/>
    </row>
    <row r="410" ht="12.75" customHeight="1">
      <c r="A410" s="90"/>
      <c r="B410" s="90"/>
      <c r="C410" s="90"/>
      <c r="D410" s="90"/>
      <c r="E410" s="90"/>
      <c r="F410" s="90"/>
      <c r="G410" s="90"/>
      <c r="H410" s="90"/>
      <c r="I410" s="90"/>
      <c r="J410" s="90"/>
      <c r="K410" s="90"/>
      <c r="L410" s="90"/>
      <c r="M410" s="90"/>
      <c r="N410" s="90"/>
      <c r="O410" s="90"/>
      <c r="P410" s="90"/>
      <c r="Q410" s="90"/>
    </row>
    <row r="411" ht="12.75" customHeight="1">
      <c r="A411" s="937" t="s">
        <v>4758</v>
      </c>
      <c r="B411" s="90"/>
      <c r="C411" s="90"/>
      <c r="D411" s="90"/>
      <c r="E411" s="90"/>
      <c r="F411" s="90"/>
      <c r="G411" s="90"/>
      <c r="H411" s="90"/>
      <c r="I411" s="90"/>
      <c r="J411" s="90"/>
      <c r="K411" s="90"/>
      <c r="L411" s="90"/>
      <c r="M411" s="90"/>
      <c r="N411" s="90"/>
      <c r="O411" s="90"/>
      <c r="P411" s="90"/>
      <c r="Q411" s="90"/>
    </row>
    <row r="412" ht="12.75" customHeight="1">
      <c r="A412" s="90"/>
      <c r="B412" s="90"/>
      <c r="C412" s="90"/>
      <c r="D412" s="90"/>
      <c r="E412" s="90"/>
      <c r="F412" s="90"/>
      <c r="G412" s="90"/>
      <c r="H412" s="90"/>
      <c r="I412" s="90"/>
      <c r="J412" s="90"/>
      <c r="K412" s="90"/>
      <c r="L412" s="90"/>
      <c r="M412" s="90"/>
      <c r="N412" s="90"/>
      <c r="O412" s="90"/>
      <c r="P412" s="90"/>
      <c r="Q412" s="90"/>
    </row>
    <row r="413" ht="12.75" customHeight="1">
      <c r="A413" s="937" t="s">
        <v>4759</v>
      </c>
      <c r="B413" s="90"/>
      <c r="C413" s="90"/>
      <c r="D413" s="90"/>
      <c r="E413" s="90"/>
      <c r="F413" s="90"/>
      <c r="G413" s="90"/>
      <c r="H413" s="90"/>
      <c r="I413" s="90"/>
      <c r="J413" s="90"/>
      <c r="K413" s="90"/>
      <c r="L413" s="90"/>
      <c r="M413" s="90"/>
      <c r="N413" s="90"/>
      <c r="O413" s="90"/>
      <c r="P413" s="90"/>
      <c r="Q413" s="90"/>
    </row>
    <row r="414" ht="12.75" customHeight="1">
      <c r="A414" s="90"/>
      <c r="B414" s="90"/>
      <c r="C414" s="90"/>
      <c r="D414" s="90"/>
      <c r="E414" s="90"/>
      <c r="F414" s="90"/>
      <c r="G414" s="90"/>
      <c r="H414" s="90"/>
      <c r="I414" s="90"/>
      <c r="J414" s="90"/>
      <c r="K414" s="90"/>
      <c r="L414" s="90"/>
      <c r="M414" s="90"/>
      <c r="N414" s="90"/>
      <c r="O414" s="90"/>
      <c r="P414" s="90"/>
      <c r="Q414" s="90"/>
    </row>
    <row r="415" ht="12.75" customHeight="1">
      <c r="A415" s="937" t="s">
        <v>4760</v>
      </c>
      <c r="B415" s="90"/>
      <c r="C415" s="90"/>
      <c r="D415" s="90"/>
      <c r="E415" s="90"/>
      <c r="F415" s="90"/>
      <c r="G415" s="90"/>
      <c r="H415" s="90"/>
      <c r="I415" s="90"/>
      <c r="J415" s="90"/>
      <c r="K415" s="90"/>
      <c r="L415" s="90"/>
      <c r="M415" s="90"/>
      <c r="N415" s="90"/>
      <c r="O415" s="90"/>
      <c r="P415" s="90"/>
      <c r="Q415" s="90"/>
    </row>
    <row r="416" ht="12.75" customHeight="1">
      <c r="A416" s="90"/>
      <c r="B416" s="90"/>
      <c r="C416" s="90"/>
      <c r="D416" s="90"/>
      <c r="E416" s="90"/>
      <c r="F416" s="90"/>
      <c r="G416" s="90"/>
      <c r="H416" s="90"/>
      <c r="I416" s="90"/>
      <c r="J416" s="90"/>
      <c r="K416" s="90"/>
      <c r="L416" s="90"/>
      <c r="M416" s="90"/>
      <c r="N416" s="90"/>
      <c r="O416" s="90"/>
      <c r="P416" s="90"/>
      <c r="Q416" s="90"/>
    </row>
    <row r="417" ht="12.75" customHeight="1">
      <c r="A417" s="937" t="s">
        <v>4761</v>
      </c>
      <c r="B417" s="90"/>
      <c r="C417" s="90"/>
      <c r="D417" s="90"/>
      <c r="E417" s="90"/>
      <c r="F417" s="90"/>
      <c r="G417" s="90"/>
      <c r="H417" s="90"/>
      <c r="I417" s="90"/>
      <c r="J417" s="90"/>
      <c r="K417" s="90"/>
      <c r="L417" s="90"/>
      <c r="M417" s="90"/>
      <c r="N417" s="90"/>
      <c r="O417" s="90"/>
      <c r="P417" s="90"/>
      <c r="Q417" s="90"/>
    </row>
    <row r="418" ht="12.75" customHeight="1">
      <c r="A418" s="90"/>
      <c r="B418" s="90"/>
      <c r="C418" s="90"/>
      <c r="D418" s="90"/>
      <c r="E418" s="90"/>
      <c r="F418" s="90"/>
      <c r="G418" s="90"/>
      <c r="H418" s="90"/>
      <c r="I418" s="90"/>
      <c r="J418" s="90"/>
      <c r="K418" s="90"/>
      <c r="L418" s="90"/>
      <c r="M418" s="90"/>
      <c r="N418" s="90"/>
      <c r="O418" s="90"/>
      <c r="P418" s="90"/>
      <c r="Q418" s="90"/>
    </row>
    <row r="419" ht="12.75" customHeight="1">
      <c r="A419" s="937" t="s">
        <v>4762</v>
      </c>
      <c r="B419" s="90"/>
      <c r="C419" s="90"/>
      <c r="D419" s="90"/>
      <c r="E419" s="90"/>
      <c r="F419" s="90"/>
      <c r="G419" s="90"/>
      <c r="H419" s="90"/>
      <c r="I419" s="90"/>
      <c r="J419" s="90"/>
      <c r="K419" s="90"/>
      <c r="L419" s="90"/>
      <c r="M419" s="90"/>
      <c r="N419" s="90"/>
      <c r="O419" s="90"/>
      <c r="P419" s="90"/>
      <c r="Q419" s="90"/>
    </row>
    <row r="420" ht="12.75" customHeight="1">
      <c r="A420" s="90"/>
      <c r="B420" s="90"/>
      <c r="C420" s="90"/>
      <c r="D420" s="90"/>
      <c r="E420" s="90"/>
      <c r="F420" s="90"/>
      <c r="G420" s="90"/>
      <c r="H420" s="90"/>
      <c r="I420" s="90"/>
      <c r="J420" s="90"/>
      <c r="K420" s="90"/>
      <c r="L420" s="90"/>
      <c r="M420" s="90"/>
      <c r="N420" s="90"/>
      <c r="O420" s="90"/>
      <c r="P420" s="90"/>
      <c r="Q420" s="90"/>
    </row>
    <row r="421" ht="12.75" customHeight="1">
      <c r="A421" s="937" t="s">
        <v>4763</v>
      </c>
      <c r="B421" s="90"/>
      <c r="C421" s="90"/>
      <c r="D421" s="90"/>
      <c r="E421" s="90"/>
      <c r="F421" s="90"/>
      <c r="G421" s="90"/>
      <c r="H421" s="90"/>
      <c r="I421" s="90"/>
      <c r="J421" s="90"/>
      <c r="K421" s="90"/>
      <c r="L421" s="90"/>
      <c r="M421" s="90"/>
      <c r="N421" s="90"/>
      <c r="O421" s="90"/>
      <c r="P421" s="90"/>
      <c r="Q421" s="90"/>
    </row>
    <row r="422" ht="12.75" customHeight="1">
      <c r="A422" s="90"/>
      <c r="B422" s="90"/>
      <c r="C422" s="90"/>
      <c r="D422" s="90"/>
      <c r="E422" s="90"/>
      <c r="F422" s="90"/>
      <c r="G422" s="90"/>
      <c r="H422" s="90"/>
      <c r="I422" s="90"/>
      <c r="J422" s="90"/>
      <c r="K422" s="90"/>
      <c r="L422" s="90"/>
      <c r="M422" s="90"/>
      <c r="N422" s="90"/>
      <c r="O422" s="90"/>
      <c r="P422" s="90"/>
      <c r="Q422" s="90"/>
    </row>
    <row r="423" ht="12.75" customHeight="1">
      <c r="A423" s="937" t="s">
        <v>4764</v>
      </c>
      <c r="B423" s="90"/>
      <c r="C423" s="90"/>
      <c r="D423" s="90"/>
      <c r="E423" s="90"/>
      <c r="F423" s="90"/>
      <c r="G423" s="90"/>
      <c r="H423" s="90"/>
      <c r="I423" s="90"/>
      <c r="J423" s="90"/>
      <c r="K423" s="90"/>
      <c r="L423" s="90"/>
      <c r="M423" s="90"/>
      <c r="N423" s="90"/>
      <c r="O423" s="90"/>
      <c r="P423" s="90"/>
      <c r="Q423" s="90"/>
    </row>
    <row r="424" ht="12.75" customHeight="1">
      <c r="A424" s="90"/>
      <c r="B424" s="90"/>
      <c r="C424" s="90"/>
      <c r="D424" s="90"/>
      <c r="E424" s="90"/>
      <c r="F424" s="90"/>
      <c r="G424" s="90"/>
      <c r="H424" s="90"/>
      <c r="I424" s="90"/>
      <c r="J424" s="90"/>
      <c r="K424" s="90"/>
      <c r="L424" s="90"/>
      <c r="M424" s="90"/>
      <c r="N424" s="90"/>
      <c r="O424" s="90"/>
      <c r="P424" s="90"/>
      <c r="Q424" s="90"/>
    </row>
    <row r="425" ht="12.75" customHeight="1">
      <c r="A425" s="937" t="s">
        <v>4765</v>
      </c>
      <c r="B425" s="90"/>
      <c r="C425" s="90"/>
      <c r="D425" s="90"/>
      <c r="E425" s="90"/>
      <c r="F425" s="90"/>
      <c r="G425" s="90"/>
      <c r="H425" s="90"/>
      <c r="I425" s="90"/>
      <c r="J425" s="90"/>
      <c r="K425" s="90"/>
      <c r="L425" s="90"/>
      <c r="M425" s="90"/>
      <c r="N425" s="90"/>
      <c r="O425" s="90"/>
      <c r="P425" s="90"/>
      <c r="Q425" s="90"/>
    </row>
    <row r="426" ht="12.75" customHeight="1">
      <c r="A426" s="90"/>
      <c r="B426" s="90"/>
      <c r="C426" s="90"/>
      <c r="D426" s="90"/>
      <c r="E426" s="90"/>
      <c r="F426" s="90"/>
      <c r="G426" s="90"/>
      <c r="H426" s="90"/>
      <c r="I426" s="90"/>
      <c r="J426" s="90"/>
      <c r="K426" s="90"/>
      <c r="L426" s="90"/>
      <c r="M426" s="90"/>
      <c r="N426" s="90"/>
      <c r="O426" s="90"/>
      <c r="P426" s="90"/>
      <c r="Q426" s="90"/>
    </row>
    <row r="427" ht="12.75" customHeight="1">
      <c r="A427" s="937" t="s">
        <v>4766</v>
      </c>
      <c r="B427" s="90"/>
      <c r="C427" s="90"/>
      <c r="D427" s="90"/>
      <c r="E427" s="90"/>
      <c r="F427" s="90"/>
      <c r="G427" s="90"/>
      <c r="H427" s="90"/>
      <c r="I427" s="90"/>
      <c r="J427" s="90"/>
      <c r="K427" s="90"/>
      <c r="L427" s="90"/>
      <c r="M427" s="90"/>
      <c r="N427" s="90"/>
      <c r="O427" s="90"/>
      <c r="P427" s="90"/>
      <c r="Q427" s="90"/>
    </row>
    <row r="428" ht="12.75" customHeight="1">
      <c r="A428" s="90"/>
      <c r="B428" s="90"/>
      <c r="C428" s="90"/>
      <c r="D428" s="90"/>
      <c r="E428" s="90"/>
      <c r="F428" s="90"/>
      <c r="G428" s="90"/>
      <c r="H428" s="90"/>
      <c r="I428" s="90"/>
      <c r="J428" s="90"/>
      <c r="K428" s="90"/>
      <c r="L428" s="90"/>
      <c r="M428" s="90"/>
      <c r="N428" s="90"/>
      <c r="O428" s="90"/>
      <c r="P428" s="90"/>
      <c r="Q428" s="90"/>
    </row>
    <row r="429" ht="12.75" customHeight="1">
      <c r="A429" s="937" t="s">
        <v>4767</v>
      </c>
      <c r="B429" s="90"/>
      <c r="C429" s="90"/>
      <c r="D429" s="90"/>
      <c r="E429" s="90"/>
      <c r="F429" s="90"/>
      <c r="G429" s="90"/>
      <c r="H429" s="90"/>
      <c r="I429" s="90"/>
      <c r="J429" s="90"/>
      <c r="K429" s="90"/>
      <c r="L429" s="90"/>
      <c r="M429" s="90"/>
      <c r="N429" s="90"/>
      <c r="O429" s="90"/>
      <c r="P429" s="90"/>
      <c r="Q429" s="90"/>
    </row>
    <row r="430" ht="12.75" customHeight="1">
      <c r="A430" s="90"/>
      <c r="B430" s="90"/>
      <c r="C430" s="90"/>
      <c r="D430" s="90"/>
      <c r="E430" s="90"/>
      <c r="F430" s="90"/>
      <c r="G430" s="90"/>
      <c r="H430" s="90"/>
      <c r="I430" s="90"/>
      <c r="J430" s="90"/>
      <c r="K430" s="90"/>
      <c r="L430" s="90"/>
      <c r="M430" s="90"/>
      <c r="N430" s="90"/>
      <c r="O430" s="90"/>
      <c r="P430" s="90"/>
      <c r="Q430" s="90"/>
    </row>
    <row r="431" ht="12.75" customHeight="1">
      <c r="A431" s="937" t="s">
        <v>4768</v>
      </c>
      <c r="B431" s="90"/>
      <c r="C431" s="90"/>
      <c r="D431" s="90"/>
      <c r="E431" s="90"/>
      <c r="F431" s="90"/>
      <c r="G431" s="90"/>
      <c r="H431" s="90"/>
      <c r="I431" s="90"/>
      <c r="J431" s="90"/>
      <c r="K431" s="90"/>
      <c r="L431" s="90"/>
      <c r="M431" s="90"/>
      <c r="N431" s="90"/>
      <c r="O431" s="90"/>
      <c r="P431" s="90"/>
      <c r="Q431" s="90"/>
    </row>
    <row r="432" ht="12.75" customHeight="1">
      <c r="A432" s="90"/>
      <c r="B432" s="90"/>
      <c r="C432" s="90"/>
      <c r="D432" s="90"/>
      <c r="E432" s="90"/>
      <c r="F432" s="90"/>
      <c r="G432" s="90"/>
      <c r="H432" s="90"/>
      <c r="I432" s="90"/>
      <c r="J432" s="90"/>
      <c r="K432" s="90"/>
      <c r="L432" s="90"/>
      <c r="M432" s="90"/>
      <c r="N432" s="90"/>
      <c r="O432" s="90"/>
      <c r="P432" s="90"/>
      <c r="Q432" s="90"/>
    </row>
    <row r="433" ht="12.75" customHeight="1">
      <c r="A433" s="937" t="s">
        <v>4769</v>
      </c>
      <c r="B433" s="90"/>
      <c r="C433" s="90"/>
      <c r="D433" s="90"/>
      <c r="E433" s="90"/>
      <c r="F433" s="90"/>
      <c r="G433" s="90"/>
      <c r="H433" s="90"/>
      <c r="I433" s="90"/>
      <c r="J433" s="90"/>
      <c r="K433" s="90"/>
      <c r="L433" s="90"/>
      <c r="M433" s="90"/>
      <c r="N433" s="90"/>
      <c r="O433" s="90"/>
      <c r="P433" s="90"/>
      <c r="Q433" s="90"/>
    </row>
    <row r="434" ht="12.75" customHeight="1">
      <c r="A434" s="90"/>
      <c r="B434" s="90"/>
      <c r="C434" s="90"/>
      <c r="D434" s="90"/>
      <c r="E434" s="90"/>
      <c r="F434" s="90"/>
      <c r="G434" s="90"/>
      <c r="H434" s="90"/>
      <c r="I434" s="90"/>
      <c r="J434" s="90"/>
      <c r="K434" s="90"/>
      <c r="L434" s="90"/>
      <c r="M434" s="90"/>
      <c r="N434" s="90"/>
      <c r="O434" s="90"/>
      <c r="P434" s="90"/>
      <c r="Q434" s="90"/>
    </row>
    <row r="435" ht="12.75" customHeight="1">
      <c r="A435" s="937" t="s">
        <v>4770</v>
      </c>
      <c r="B435" s="90"/>
      <c r="C435" s="90"/>
      <c r="D435" s="90"/>
      <c r="E435" s="90"/>
      <c r="F435" s="90"/>
      <c r="G435" s="90"/>
      <c r="H435" s="90"/>
      <c r="I435" s="90"/>
      <c r="J435" s="90"/>
      <c r="K435" s="90"/>
      <c r="L435" s="90"/>
      <c r="M435" s="90"/>
      <c r="N435" s="90"/>
      <c r="O435" s="90"/>
      <c r="P435" s="90"/>
      <c r="Q435" s="90"/>
    </row>
    <row r="436" ht="12.75" customHeight="1">
      <c r="A436" s="90"/>
      <c r="B436" s="90"/>
      <c r="C436" s="90"/>
      <c r="D436" s="90"/>
      <c r="E436" s="90"/>
      <c r="F436" s="90"/>
      <c r="G436" s="90"/>
      <c r="H436" s="90"/>
      <c r="I436" s="90"/>
      <c r="J436" s="90"/>
      <c r="K436" s="90"/>
      <c r="L436" s="90"/>
      <c r="M436" s="90"/>
      <c r="N436" s="90"/>
      <c r="O436" s="90"/>
      <c r="P436" s="90"/>
      <c r="Q436" s="90"/>
    </row>
    <row r="437" ht="12.75" customHeight="1">
      <c r="A437" s="937" t="s">
        <v>4771</v>
      </c>
      <c r="B437" s="90"/>
      <c r="C437" s="90"/>
      <c r="D437" s="90"/>
      <c r="E437" s="90"/>
      <c r="F437" s="90"/>
      <c r="G437" s="90"/>
      <c r="H437" s="90"/>
      <c r="I437" s="90"/>
      <c r="J437" s="90"/>
      <c r="K437" s="90"/>
      <c r="L437" s="90"/>
      <c r="M437" s="90"/>
      <c r="N437" s="90"/>
      <c r="O437" s="90"/>
      <c r="P437" s="90"/>
      <c r="Q437" s="90"/>
    </row>
    <row r="438" ht="12.75" customHeight="1">
      <c r="A438" s="90"/>
      <c r="B438" s="90"/>
      <c r="C438" s="90"/>
      <c r="D438" s="90"/>
      <c r="E438" s="90"/>
      <c r="F438" s="90"/>
      <c r="G438" s="90"/>
      <c r="H438" s="90"/>
      <c r="I438" s="90"/>
      <c r="J438" s="90"/>
      <c r="K438" s="90"/>
      <c r="L438" s="90"/>
      <c r="M438" s="90"/>
      <c r="N438" s="90"/>
      <c r="O438" s="90"/>
      <c r="P438" s="90"/>
      <c r="Q438" s="90"/>
    </row>
    <row r="439" ht="12.75" customHeight="1">
      <c r="A439" s="937" t="s">
        <v>4772</v>
      </c>
      <c r="B439" s="90"/>
      <c r="C439" s="90"/>
      <c r="D439" s="90"/>
      <c r="E439" s="90"/>
      <c r="F439" s="90"/>
      <c r="G439" s="90"/>
      <c r="H439" s="90"/>
      <c r="I439" s="90"/>
      <c r="J439" s="90"/>
      <c r="K439" s="90"/>
      <c r="L439" s="90"/>
      <c r="M439" s="90"/>
      <c r="N439" s="90"/>
      <c r="O439" s="90"/>
      <c r="P439" s="90"/>
      <c r="Q439" s="90"/>
    </row>
    <row r="440" ht="12.75" customHeight="1">
      <c r="A440" s="90"/>
      <c r="B440" s="90"/>
      <c r="C440" s="90"/>
      <c r="D440" s="90"/>
      <c r="E440" s="90"/>
      <c r="F440" s="90"/>
      <c r="G440" s="90"/>
      <c r="H440" s="90"/>
      <c r="I440" s="90"/>
      <c r="J440" s="90"/>
      <c r="K440" s="90"/>
      <c r="L440" s="90"/>
      <c r="M440" s="90"/>
      <c r="N440" s="90"/>
      <c r="O440" s="90"/>
      <c r="P440" s="90"/>
      <c r="Q440" s="90"/>
    </row>
    <row r="441" ht="12.75" customHeight="1">
      <c r="A441" s="937" t="s">
        <v>4773</v>
      </c>
      <c r="B441" s="90"/>
      <c r="C441" s="90"/>
      <c r="D441" s="90"/>
      <c r="E441" s="90"/>
      <c r="F441" s="90"/>
      <c r="G441" s="90"/>
      <c r="H441" s="90"/>
      <c r="I441" s="90"/>
      <c r="J441" s="90"/>
      <c r="K441" s="90"/>
      <c r="L441" s="90"/>
      <c r="M441" s="90"/>
      <c r="N441" s="90"/>
      <c r="O441" s="90"/>
      <c r="P441" s="90"/>
      <c r="Q441" s="90"/>
    </row>
    <row r="442" ht="12.75" customHeight="1">
      <c r="A442" s="90"/>
      <c r="B442" s="90"/>
      <c r="C442" s="90"/>
      <c r="D442" s="90"/>
      <c r="E442" s="90"/>
      <c r="F442" s="90"/>
      <c r="G442" s="90"/>
      <c r="H442" s="90"/>
      <c r="I442" s="90"/>
      <c r="J442" s="90"/>
      <c r="K442" s="90"/>
      <c r="L442" s="90"/>
      <c r="M442" s="90"/>
      <c r="N442" s="90"/>
      <c r="O442" s="90"/>
      <c r="P442" s="90"/>
      <c r="Q442" s="90"/>
    </row>
    <row r="443" ht="12.75" customHeight="1">
      <c r="A443" s="937" t="s">
        <v>4774</v>
      </c>
      <c r="B443" s="90"/>
      <c r="C443" s="90"/>
      <c r="D443" s="90"/>
      <c r="E443" s="90"/>
      <c r="F443" s="90"/>
      <c r="G443" s="90"/>
      <c r="H443" s="90"/>
      <c r="I443" s="90"/>
      <c r="J443" s="90"/>
      <c r="K443" s="90"/>
      <c r="L443" s="90"/>
      <c r="M443" s="90"/>
      <c r="N443" s="90"/>
      <c r="O443" s="90"/>
      <c r="P443" s="90"/>
      <c r="Q443" s="90"/>
    </row>
    <row r="444" ht="12.75" customHeight="1">
      <c r="A444" s="90"/>
      <c r="B444" s="90"/>
      <c r="C444" s="90"/>
      <c r="D444" s="90"/>
      <c r="E444" s="90"/>
      <c r="F444" s="90"/>
      <c r="G444" s="90"/>
      <c r="H444" s="90"/>
      <c r="I444" s="90"/>
      <c r="J444" s="90"/>
      <c r="K444" s="90"/>
      <c r="L444" s="90"/>
      <c r="M444" s="90"/>
      <c r="N444" s="90"/>
      <c r="O444" s="90"/>
      <c r="P444" s="90"/>
      <c r="Q444" s="90"/>
    </row>
    <row r="445" ht="12.75" customHeight="1">
      <c r="A445" s="937" t="s">
        <v>4775</v>
      </c>
      <c r="B445" s="90"/>
      <c r="C445" s="90"/>
      <c r="D445" s="90"/>
      <c r="E445" s="90"/>
      <c r="F445" s="90"/>
      <c r="G445" s="90"/>
      <c r="H445" s="90"/>
      <c r="I445" s="90"/>
      <c r="J445" s="90"/>
      <c r="K445" s="90"/>
      <c r="L445" s="90"/>
      <c r="M445" s="90"/>
      <c r="N445" s="90"/>
      <c r="O445" s="90"/>
      <c r="P445" s="90"/>
      <c r="Q445" s="90"/>
    </row>
    <row r="446" ht="12.75" customHeight="1">
      <c r="A446" s="90"/>
      <c r="B446" s="90"/>
      <c r="C446" s="90"/>
      <c r="D446" s="90"/>
      <c r="E446" s="90"/>
      <c r="F446" s="90"/>
      <c r="G446" s="90"/>
      <c r="H446" s="90"/>
      <c r="I446" s="90"/>
      <c r="J446" s="90"/>
      <c r="K446" s="90"/>
      <c r="L446" s="90"/>
      <c r="M446" s="90"/>
      <c r="N446" s="90"/>
      <c r="O446" s="90"/>
      <c r="P446" s="90"/>
      <c r="Q446" s="90"/>
    </row>
    <row r="447" ht="12.75" customHeight="1">
      <c r="A447" s="937" t="s">
        <v>4776</v>
      </c>
      <c r="B447" s="90"/>
      <c r="C447" s="90"/>
      <c r="D447" s="90"/>
      <c r="E447" s="90"/>
      <c r="F447" s="90"/>
      <c r="G447" s="90"/>
      <c r="H447" s="90"/>
      <c r="I447" s="90"/>
      <c r="J447" s="90"/>
      <c r="K447" s="90"/>
      <c r="L447" s="90"/>
      <c r="M447" s="90"/>
      <c r="N447" s="90"/>
      <c r="O447" s="90"/>
      <c r="P447" s="90"/>
      <c r="Q447" s="90"/>
    </row>
    <row r="448" ht="12.75" customHeight="1">
      <c r="A448" s="90"/>
      <c r="B448" s="90"/>
      <c r="C448" s="90"/>
      <c r="D448" s="90"/>
      <c r="E448" s="90"/>
      <c r="F448" s="90"/>
      <c r="G448" s="90"/>
      <c r="H448" s="90"/>
      <c r="I448" s="90"/>
      <c r="J448" s="90"/>
      <c r="K448" s="90"/>
      <c r="L448" s="90"/>
      <c r="M448" s="90"/>
      <c r="N448" s="90"/>
      <c r="O448" s="90"/>
      <c r="P448" s="90"/>
      <c r="Q448" s="90"/>
    </row>
    <row r="449" ht="12.75" customHeight="1">
      <c r="A449" s="937" t="s">
        <v>4777</v>
      </c>
      <c r="B449" s="90"/>
      <c r="C449" s="90"/>
      <c r="D449" s="90"/>
      <c r="E449" s="90"/>
      <c r="F449" s="90"/>
      <c r="G449" s="90"/>
      <c r="H449" s="90"/>
      <c r="I449" s="90"/>
      <c r="J449" s="90"/>
      <c r="K449" s="90"/>
      <c r="L449" s="90"/>
      <c r="M449" s="90"/>
      <c r="N449" s="90"/>
      <c r="O449" s="90"/>
      <c r="P449" s="90"/>
      <c r="Q449" s="90"/>
    </row>
    <row r="450" ht="12.75" customHeight="1">
      <c r="A450" s="90"/>
      <c r="B450" s="90"/>
      <c r="C450" s="90"/>
      <c r="D450" s="90"/>
      <c r="E450" s="90"/>
      <c r="F450" s="90"/>
      <c r="G450" s="90"/>
      <c r="H450" s="90"/>
      <c r="I450" s="90"/>
      <c r="J450" s="90"/>
      <c r="K450" s="90"/>
      <c r="L450" s="90"/>
      <c r="M450" s="90"/>
      <c r="N450" s="90"/>
      <c r="O450" s="90"/>
      <c r="P450" s="90"/>
      <c r="Q450" s="90"/>
    </row>
    <row r="451" ht="12.75" customHeight="1">
      <c r="A451" s="937" t="s">
        <v>4778</v>
      </c>
      <c r="B451" s="90"/>
      <c r="C451" s="90"/>
      <c r="D451" s="90"/>
      <c r="E451" s="90"/>
      <c r="F451" s="90"/>
      <c r="G451" s="90"/>
      <c r="H451" s="90"/>
      <c r="I451" s="90"/>
      <c r="J451" s="90"/>
      <c r="K451" s="90"/>
      <c r="L451" s="90"/>
      <c r="M451" s="90"/>
      <c r="N451" s="90"/>
      <c r="O451" s="90"/>
      <c r="P451" s="90"/>
      <c r="Q451" s="90"/>
    </row>
    <row r="452" ht="12.75" customHeight="1">
      <c r="A452" s="90"/>
      <c r="B452" s="90"/>
      <c r="C452" s="90"/>
      <c r="D452" s="90"/>
      <c r="E452" s="90"/>
      <c r="F452" s="90"/>
      <c r="G452" s="90"/>
      <c r="H452" s="90"/>
      <c r="I452" s="90"/>
      <c r="J452" s="90"/>
      <c r="K452" s="90"/>
      <c r="L452" s="90"/>
      <c r="M452" s="90"/>
      <c r="N452" s="90"/>
      <c r="O452" s="90"/>
      <c r="P452" s="90"/>
      <c r="Q452" s="90"/>
    </row>
    <row r="453" ht="12.75" customHeight="1">
      <c r="A453" s="937" t="s">
        <v>4779</v>
      </c>
      <c r="B453" s="90"/>
      <c r="C453" s="90"/>
      <c r="D453" s="90"/>
      <c r="E453" s="90"/>
      <c r="F453" s="90"/>
      <c r="G453" s="90"/>
      <c r="H453" s="90"/>
      <c r="I453" s="90"/>
      <c r="J453" s="90"/>
      <c r="K453" s="90"/>
      <c r="L453" s="90"/>
      <c r="M453" s="90"/>
      <c r="N453" s="90"/>
      <c r="O453" s="90"/>
      <c r="P453" s="90"/>
      <c r="Q453" s="90"/>
    </row>
    <row r="454" ht="12.75" customHeight="1">
      <c r="A454" s="90"/>
      <c r="B454" s="90"/>
      <c r="C454" s="90"/>
      <c r="D454" s="90"/>
      <c r="E454" s="90"/>
      <c r="F454" s="90"/>
      <c r="G454" s="90"/>
      <c r="H454" s="90"/>
      <c r="I454" s="90"/>
      <c r="J454" s="90"/>
      <c r="K454" s="90"/>
      <c r="L454" s="90"/>
      <c r="M454" s="90"/>
      <c r="N454" s="90"/>
      <c r="O454" s="90"/>
      <c r="P454" s="90"/>
      <c r="Q454" s="90"/>
    </row>
    <row r="455" ht="12.75" customHeight="1">
      <c r="A455" s="937" t="s">
        <v>4780</v>
      </c>
      <c r="B455" s="90"/>
      <c r="C455" s="90"/>
      <c r="D455" s="90"/>
      <c r="E455" s="90"/>
      <c r="F455" s="90"/>
      <c r="G455" s="90"/>
      <c r="H455" s="90"/>
      <c r="I455" s="90"/>
      <c r="J455" s="90"/>
      <c r="K455" s="90"/>
      <c r="L455" s="90"/>
      <c r="M455" s="90"/>
      <c r="N455" s="90"/>
      <c r="O455" s="90"/>
      <c r="P455" s="90"/>
      <c r="Q455" s="90"/>
    </row>
    <row r="456" ht="12.75" customHeight="1">
      <c r="A456" s="90"/>
      <c r="B456" s="90"/>
      <c r="C456" s="90"/>
      <c r="D456" s="90"/>
      <c r="E456" s="90"/>
      <c r="F456" s="90"/>
      <c r="G456" s="90"/>
      <c r="H456" s="90"/>
      <c r="I456" s="90"/>
      <c r="J456" s="90"/>
      <c r="K456" s="90"/>
      <c r="L456" s="90"/>
      <c r="M456" s="90"/>
      <c r="N456" s="90"/>
      <c r="O456" s="90"/>
      <c r="P456" s="90"/>
      <c r="Q456" s="90"/>
    </row>
    <row r="457" ht="12.75" customHeight="1">
      <c r="A457" s="937" t="s">
        <v>4781</v>
      </c>
      <c r="B457" s="90"/>
      <c r="C457" s="90"/>
      <c r="D457" s="90"/>
      <c r="E457" s="90"/>
      <c r="F457" s="90"/>
      <c r="G457" s="90"/>
      <c r="H457" s="90"/>
      <c r="I457" s="90"/>
      <c r="J457" s="90"/>
      <c r="K457" s="90"/>
      <c r="L457" s="90"/>
      <c r="M457" s="90"/>
      <c r="N457" s="90"/>
      <c r="O457" s="90"/>
      <c r="P457" s="90"/>
      <c r="Q457" s="90"/>
    </row>
    <row r="458" ht="12.75" customHeight="1">
      <c r="A458" s="90"/>
      <c r="B458" s="90"/>
      <c r="C458" s="90"/>
      <c r="D458" s="90"/>
      <c r="E458" s="90"/>
      <c r="F458" s="90"/>
      <c r="G458" s="90"/>
      <c r="H458" s="90"/>
      <c r="I458" s="90"/>
      <c r="J458" s="90"/>
      <c r="K458" s="90"/>
      <c r="L458" s="90"/>
      <c r="M458" s="90"/>
      <c r="N458" s="90"/>
      <c r="O458" s="90"/>
      <c r="P458" s="90"/>
      <c r="Q458" s="90"/>
    </row>
    <row r="459" ht="12.75" customHeight="1">
      <c r="A459" s="937" t="s">
        <v>4782</v>
      </c>
      <c r="B459" s="90"/>
      <c r="C459" s="90"/>
      <c r="D459" s="90"/>
      <c r="E459" s="90"/>
      <c r="F459" s="90"/>
      <c r="G459" s="90"/>
      <c r="H459" s="90"/>
      <c r="I459" s="90"/>
      <c r="J459" s="90"/>
      <c r="K459" s="90"/>
      <c r="L459" s="90"/>
      <c r="M459" s="90"/>
      <c r="N459" s="90"/>
      <c r="O459" s="90"/>
      <c r="P459" s="90"/>
      <c r="Q459" s="90"/>
    </row>
    <row r="460" ht="12.75" customHeight="1">
      <c r="A460" s="90"/>
      <c r="B460" s="90"/>
      <c r="C460" s="90"/>
      <c r="D460" s="90"/>
      <c r="E460" s="90"/>
      <c r="F460" s="90"/>
      <c r="G460" s="90"/>
      <c r="H460" s="90"/>
      <c r="I460" s="90"/>
      <c r="J460" s="90"/>
      <c r="K460" s="90"/>
      <c r="L460" s="90"/>
      <c r="M460" s="90"/>
      <c r="N460" s="90"/>
      <c r="O460" s="90"/>
      <c r="P460" s="90"/>
      <c r="Q460" s="90"/>
    </row>
    <row r="461" ht="12.75" customHeight="1">
      <c r="A461" s="937" t="s">
        <v>4783</v>
      </c>
      <c r="B461" s="90"/>
      <c r="C461" s="90"/>
      <c r="D461" s="90"/>
      <c r="E461" s="90"/>
      <c r="F461" s="90"/>
      <c r="G461" s="90"/>
      <c r="H461" s="90"/>
      <c r="I461" s="90"/>
      <c r="J461" s="90"/>
      <c r="K461" s="90"/>
      <c r="L461" s="90"/>
      <c r="M461" s="90"/>
      <c r="N461" s="90"/>
      <c r="O461" s="90"/>
      <c r="P461" s="90"/>
      <c r="Q461" s="90"/>
    </row>
    <row r="462" ht="12.75" customHeight="1">
      <c r="A462" s="90"/>
      <c r="B462" s="90"/>
      <c r="C462" s="90"/>
      <c r="D462" s="90"/>
      <c r="E462" s="90"/>
      <c r="F462" s="90"/>
      <c r="G462" s="90"/>
      <c r="H462" s="90"/>
      <c r="I462" s="90"/>
      <c r="J462" s="90"/>
      <c r="K462" s="90"/>
      <c r="L462" s="90"/>
      <c r="M462" s="90"/>
      <c r="N462" s="90"/>
      <c r="O462" s="90"/>
      <c r="P462" s="90"/>
      <c r="Q462" s="90"/>
    </row>
    <row r="463" ht="12.75" customHeight="1">
      <c r="A463" s="937" t="s">
        <v>4784</v>
      </c>
      <c r="B463" s="90"/>
      <c r="C463" s="90"/>
      <c r="D463" s="90"/>
      <c r="E463" s="90"/>
      <c r="F463" s="90"/>
      <c r="G463" s="90"/>
      <c r="H463" s="90"/>
      <c r="I463" s="90"/>
      <c r="J463" s="90"/>
      <c r="K463" s="90"/>
      <c r="L463" s="90"/>
      <c r="M463" s="90"/>
      <c r="N463" s="90"/>
      <c r="O463" s="90"/>
      <c r="P463" s="90"/>
      <c r="Q463" s="90"/>
    </row>
    <row r="464" ht="12.75" customHeight="1">
      <c r="A464" s="90"/>
      <c r="B464" s="90"/>
      <c r="C464" s="90"/>
      <c r="D464" s="90"/>
      <c r="E464" s="90"/>
      <c r="F464" s="90"/>
      <c r="G464" s="90"/>
      <c r="H464" s="90"/>
      <c r="I464" s="90"/>
      <c r="J464" s="90"/>
      <c r="K464" s="90"/>
      <c r="L464" s="90"/>
      <c r="M464" s="90"/>
      <c r="N464" s="90"/>
      <c r="O464" s="90"/>
      <c r="P464" s="90"/>
      <c r="Q464" s="90"/>
    </row>
    <row r="465" ht="12.75" customHeight="1">
      <c r="A465" s="937" t="s">
        <v>4785</v>
      </c>
      <c r="B465" s="90"/>
      <c r="C465" s="90"/>
      <c r="D465" s="90"/>
      <c r="E465" s="90"/>
      <c r="F465" s="90"/>
      <c r="G465" s="90"/>
      <c r="H465" s="90"/>
      <c r="I465" s="90"/>
      <c r="J465" s="90"/>
      <c r="K465" s="90"/>
      <c r="L465" s="90"/>
      <c r="M465" s="90"/>
      <c r="N465" s="90"/>
      <c r="O465" s="90"/>
      <c r="P465" s="90"/>
      <c r="Q465" s="90"/>
    </row>
    <row r="466" ht="12.75" customHeight="1">
      <c r="A466" s="90"/>
      <c r="B466" s="90"/>
      <c r="C466" s="90"/>
      <c r="D466" s="90"/>
      <c r="E466" s="90"/>
      <c r="F466" s="90"/>
      <c r="G466" s="90"/>
      <c r="H466" s="90"/>
      <c r="I466" s="90"/>
      <c r="J466" s="90"/>
      <c r="K466" s="90"/>
      <c r="L466" s="90"/>
      <c r="M466" s="90"/>
      <c r="N466" s="90"/>
      <c r="O466" s="90"/>
      <c r="P466" s="90"/>
      <c r="Q466" s="90"/>
    </row>
    <row r="467" ht="12.75" customHeight="1">
      <c r="A467" s="937" t="s">
        <v>4786</v>
      </c>
      <c r="B467" s="90"/>
      <c r="C467" s="90"/>
      <c r="D467" s="90"/>
      <c r="E467" s="90"/>
      <c r="F467" s="90"/>
      <c r="G467" s="90"/>
      <c r="H467" s="90"/>
      <c r="I467" s="90"/>
      <c r="J467" s="90"/>
      <c r="K467" s="90"/>
      <c r="L467" s="90"/>
      <c r="M467" s="90"/>
      <c r="N467" s="90"/>
      <c r="O467" s="90"/>
      <c r="P467" s="90"/>
      <c r="Q467" s="90"/>
    </row>
    <row r="468" ht="12.75" customHeight="1">
      <c r="A468" s="90"/>
      <c r="B468" s="90"/>
      <c r="C468" s="90"/>
      <c r="D468" s="90"/>
      <c r="E468" s="90"/>
      <c r="F468" s="90"/>
      <c r="G468" s="90"/>
      <c r="H468" s="90"/>
      <c r="I468" s="90"/>
      <c r="J468" s="90"/>
      <c r="K468" s="90"/>
      <c r="L468" s="90"/>
      <c r="M468" s="90"/>
      <c r="N468" s="90"/>
      <c r="O468" s="90"/>
      <c r="P468" s="90"/>
      <c r="Q468" s="90"/>
    </row>
    <row r="469" ht="12.75" customHeight="1">
      <c r="A469" s="937" t="s">
        <v>4787</v>
      </c>
      <c r="B469" s="90"/>
      <c r="C469" s="90"/>
      <c r="D469" s="90"/>
      <c r="E469" s="90"/>
      <c r="F469" s="90"/>
      <c r="G469" s="90"/>
      <c r="H469" s="90"/>
      <c r="I469" s="90"/>
      <c r="J469" s="90"/>
      <c r="K469" s="90"/>
      <c r="L469" s="90"/>
      <c r="M469" s="90"/>
      <c r="N469" s="90"/>
      <c r="O469" s="90"/>
      <c r="P469" s="90"/>
      <c r="Q469" s="90"/>
    </row>
    <row r="470" ht="12.75" customHeight="1">
      <c r="A470" s="90"/>
      <c r="B470" s="90"/>
      <c r="C470" s="90"/>
      <c r="D470" s="90"/>
      <c r="E470" s="90"/>
      <c r="F470" s="90"/>
      <c r="G470" s="90"/>
      <c r="H470" s="90"/>
      <c r="I470" s="90"/>
      <c r="J470" s="90"/>
      <c r="K470" s="90"/>
      <c r="L470" s="90"/>
      <c r="M470" s="90"/>
      <c r="N470" s="90"/>
      <c r="O470" s="90"/>
      <c r="P470" s="90"/>
      <c r="Q470" s="90"/>
    </row>
    <row r="471" ht="12.75" customHeight="1">
      <c r="A471" s="937" t="s">
        <v>4788</v>
      </c>
      <c r="B471" s="90"/>
      <c r="C471" s="90"/>
      <c r="D471" s="90"/>
      <c r="E471" s="90"/>
      <c r="F471" s="90"/>
      <c r="G471" s="90"/>
      <c r="H471" s="90"/>
      <c r="I471" s="90"/>
      <c r="J471" s="90"/>
      <c r="K471" s="90"/>
      <c r="L471" s="90"/>
      <c r="M471" s="90"/>
      <c r="N471" s="90"/>
      <c r="O471" s="90"/>
      <c r="P471" s="90"/>
      <c r="Q471" s="90"/>
    </row>
    <row r="472" ht="12.75" customHeight="1">
      <c r="A472" s="90"/>
      <c r="B472" s="90"/>
      <c r="C472" s="90"/>
      <c r="D472" s="90"/>
      <c r="E472" s="90"/>
      <c r="F472" s="90"/>
      <c r="G472" s="90"/>
      <c r="H472" s="90"/>
      <c r="I472" s="90"/>
      <c r="J472" s="90"/>
      <c r="K472" s="90"/>
      <c r="L472" s="90"/>
      <c r="M472" s="90"/>
      <c r="N472" s="90"/>
      <c r="O472" s="90"/>
      <c r="P472" s="90"/>
      <c r="Q472" s="90"/>
    </row>
    <row r="473" ht="12.75" customHeight="1">
      <c r="A473" s="937" t="s">
        <v>4789</v>
      </c>
      <c r="B473" s="90"/>
      <c r="C473" s="90"/>
      <c r="D473" s="90"/>
      <c r="E473" s="90"/>
      <c r="F473" s="90"/>
      <c r="G473" s="90"/>
      <c r="H473" s="90"/>
      <c r="I473" s="90"/>
      <c r="J473" s="90"/>
      <c r="K473" s="90"/>
      <c r="L473" s="90"/>
      <c r="M473" s="90"/>
      <c r="N473" s="90"/>
      <c r="O473" s="90"/>
      <c r="P473" s="90"/>
      <c r="Q473" s="90"/>
    </row>
    <row r="474" ht="12.75" customHeight="1">
      <c r="A474" s="90"/>
      <c r="B474" s="90"/>
      <c r="C474" s="90"/>
      <c r="D474" s="90"/>
      <c r="E474" s="90"/>
      <c r="F474" s="90"/>
      <c r="G474" s="90"/>
      <c r="H474" s="90"/>
      <c r="I474" s="90"/>
      <c r="J474" s="90"/>
      <c r="K474" s="90"/>
      <c r="L474" s="90"/>
      <c r="M474" s="90"/>
      <c r="N474" s="90"/>
      <c r="O474" s="90"/>
      <c r="P474" s="90"/>
      <c r="Q474" s="90"/>
    </row>
    <row r="475" ht="12.75" customHeight="1">
      <c r="A475" s="937" t="s">
        <v>4790</v>
      </c>
      <c r="B475" s="90"/>
      <c r="C475" s="90"/>
      <c r="D475" s="90"/>
      <c r="E475" s="90"/>
      <c r="F475" s="90"/>
      <c r="G475" s="90"/>
      <c r="H475" s="90"/>
      <c r="I475" s="90"/>
      <c r="J475" s="90"/>
      <c r="K475" s="90"/>
      <c r="L475" s="90"/>
      <c r="M475" s="90"/>
      <c r="N475" s="90"/>
      <c r="O475" s="90"/>
      <c r="P475" s="90"/>
      <c r="Q475" s="90"/>
    </row>
    <row r="476" ht="12.75" customHeight="1">
      <c r="A476" s="90"/>
      <c r="B476" s="90"/>
      <c r="C476" s="90"/>
      <c r="D476" s="90"/>
      <c r="E476" s="90"/>
      <c r="F476" s="90"/>
      <c r="G476" s="90"/>
      <c r="H476" s="90"/>
      <c r="I476" s="90"/>
      <c r="J476" s="90"/>
      <c r="K476" s="90"/>
      <c r="L476" s="90"/>
      <c r="M476" s="90"/>
      <c r="N476" s="90"/>
      <c r="O476" s="90"/>
      <c r="P476" s="90"/>
      <c r="Q476" s="90"/>
    </row>
    <row r="477" ht="12.75" customHeight="1">
      <c r="A477" s="937" t="s">
        <v>4791</v>
      </c>
      <c r="B477" s="90"/>
      <c r="C477" s="90"/>
      <c r="D477" s="90"/>
      <c r="E477" s="90"/>
      <c r="F477" s="90"/>
      <c r="G477" s="90"/>
      <c r="H477" s="90"/>
      <c r="I477" s="90"/>
      <c r="J477" s="90"/>
      <c r="K477" s="90"/>
      <c r="L477" s="90"/>
      <c r="M477" s="90"/>
      <c r="N477" s="90"/>
      <c r="O477" s="90"/>
      <c r="P477" s="90"/>
      <c r="Q477" s="90"/>
    </row>
    <row r="478" ht="12.75" customHeight="1">
      <c r="A478" s="90"/>
      <c r="B478" s="90"/>
      <c r="C478" s="90"/>
      <c r="D478" s="90"/>
      <c r="E478" s="90"/>
      <c r="F478" s="90"/>
      <c r="G478" s="90"/>
      <c r="H478" s="90"/>
      <c r="I478" s="90"/>
      <c r="J478" s="90"/>
      <c r="K478" s="90"/>
      <c r="L478" s="90"/>
      <c r="M478" s="90"/>
      <c r="N478" s="90"/>
      <c r="O478" s="90"/>
      <c r="P478" s="90"/>
      <c r="Q478" s="90"/>
    </row>
    <row r="479" ht="12.75" customHeight="1">
      <c r="A479" s="937" t="s">
        <v>4792</v>
      </c>
      <c r="B479" s="90"/>
      <c r="C479" s="90"/>
      <c r="D479" s="90"/>
      <c r="E479" s="90"/>
      <c r="F479" s="90"/>
      <c r="G479" s="90"/>
      <c r="H479" s="90"/>
      <c r="I479" s="90"/>
      <c r="J479" s="90"/>
      <c r="K479" s="90"/>
      <c r="L479" s="90"/>
      <c r="M479" s="90"/>
      <c r="N479" s="90"/>
      <c r="O479" s="90"/>
      <c r="P479" s="90"/>
      <c r="Q479" s="90"/>
    </row>
    <row r="480" ht="12.75" customHeight="1">
      <c r="A480" s="90"/>
      <c r="B480" s="90"/>
      <c r="C480" s="90"/>
      <c r="D480" s="90"/>
      <c r="E480" s="90"/>
      <c r="F480" s="90"/>
      <c r="G480" s="90"/>
      <c r="H480" s="90"/>
      <c r="I480" s="90"/>
      <c r="J480" s="90"/>
      <c r="K480" s="90"/>
      <c r="L480" s="90"/>
      <c r="M480" s="90"/>
      <c r="N480" s="90"/>
      <c r="O480" s="90"/>
      <c r="P480" s="90"/>
      <c r="Q480" s="90"/>
    </row>
    <row r="481" ht="12.75" customHeight="1">
      <c r="A481" s="937" t="s">
        <v>4793</v>
      </c>
      <c r="B481" s="90"/>
      <c r="C481" s="90"/>
      <c r="D481" s="90"/>
      <c r="E481" s="90"/>
      <c r="F481" s="90"/>
      <c r="G481" s="90"/>
      <c r="H481" s="90"/>
      <c r="I481" s="90"/>
      <c r="J481" s="90"/>
      <c r="K481" s="90"/>
      <c r="L481" s="90"/>
      <c r="M481" s="90"/>
      <c r="N481" s="90"/>
      <c r="O481" s="90"/>
      <c r="P481" s="90"/>
      <c r="Q481" s="90"/>
    </row>
    <row r="482" ht="12.75" customHeight="1">
      <c r="A482" s="90"/>
      <c r="B482" s="90"/>
      <c r="C482" s="90"/>
      <c r="D482" s="90"/>
      <c r="E482" s="90"/>
      <c r="F482" s="90"/>
      <c r="G482" s="90"/>
      <c r="H482" s="90"/>
      <c r="I482" s="90"/>
      <c r="J482" s="90"/>
      <c r="K482" s="90"/>
      <c r="L482" s="90"/>
      <c r="M482" s="90"/>
      <c r="N482" s="90"/>
      <c r="O482" s="90"/>
      <c r="P482" s="90"/>
      <c r="Q482" s="90"/>
    </row>
    <row r="483" ht="12.75" customHeight="1">
      <c r="A483" s="937" t="s">
        <v>4794</v>
      </c>
      <c r="B483" s="90"/>
      <c r="C483" s="90"/>
      <c r="D483" s="90"/>
      <c r="E483" s="90"/>
      <c r="F483" s="90"/>
      <c r="G483" s="90"/>
      <c r="H483" s="90"/>
      <c r="I483" s="90"/>
      <c r="J483" s="90"/>
      <c r="K483" s="90"/>
      <c r="L483" s="90"/>
      <c r="M483" s="90"/>
      <c r="N483" s="90"/>
      <c r="O483" s="90"/>
      <c r="P483" s="90"/>
      <c r="Q483" s="90"/>
    </row>
    <row r="484" ht="12.75" customHeight="1">
      <c r="A484" s="90"/>
      <c r="B484" s="90"/>
      <c r="C484" s="90"/>
      <c r="D484" s="90"/>
      <c r="E484" s="90"/>
      <c r="F484" s="90"/>
      <c r="G484" s="90"/>
      <c r="H484" s="90"/>
      <c r="I484" s="90"/>
      <c r="J484" s="90"/>
      <c r="K484" s="90"/>
      <c r="L484" s="90"/>
      <c r="M484" s="90"/>
      <c r="N484" s="90"/>
      <c r="O484" s="90"/>
      <c r="P484" s="90"/>
      <c r="Q484" s="90"/>
    </row>
    <row r="485" ht="12.75" customHeight="1">
      <c r="A485" s="937" t="s">
        <v>4795</v>
      </c>
      <c r="B485" s="90"/>
      <c r="C485" s="90"/>
      <c r="D485" s="90"/>
      <c r="E485" s="90"/>
      <c r="F485" s="90"/>
      <c r="G485" s="90"/>
      <c r="H485" s="90"/>
      <c r="I485" s="90"/>
      <c r="J485" s="90"/>
      <c r="K485" s="90"/>
      <c r="L485" s="90"/>
      <c r="M485" s="90"/>
      <c r="N485" s="90"/>
      <c r="O485" s="90"/>
      <c r="P485" s="90"/>
      <c r="Q485" s="90"/>
    </row>
    <row r="486" ht="12.75" customHeight="1">
      <c r="A486" s="90"/>
      <c r="B486" s="90"/>
      <c r="C486" s="90"/>
      <c r="D486" s="90"/>
      <c r="E486" s="90"/>
      <c r="F486" s="90"/>
      <c r="G486" s="90"/>
      <c r="H486" s="90"/>
      <c r="I486" s="90"/>
      <c r="J486" s="90"/>
      <c r="K486" s="90"/>
      <c r="L486" s="90"/>
      <c r="M486" s="90"/>
      <c r="N486" s="90"/>
      <c r="O486" s="90"/>
      <c r="P486" s="90"/>
      <c r="Q486" s="90"/>
    </row>
    <row r="487" ht="12.75" customHeight="1">
      <c r="A487" s="937" t="s">
        <v>4796</v>
      </c>
      <c r="B487" s="90"/>
      <c r="C487" s="90"/>
      <c r="D487" s="90"/>
      <c r="E487" s="90"/>
      <c r="F487" s="90"/>
      <c r="G487" s="90"/>
      <c r="H487" s="90"/>
      <c r="I487" s="90"/>
      <c r="J487" s="90"/>
      <c r="K487" s="90"/>
      <c r="L487" s="90"/>
      <c r="M487" s="90"/>
      <c r="N487" s="90"/>
      <c r="O487" s="90"/>
      <c r="P487" s="90"/>
      <c r="Q487" s="90"/>
    </row>
    <row r="488" ht="12.75" customHeight="1">
      <c r="A488" s="90"/>
      <c r="B488" s="90"/>
      <c r="C488" s="90"/>
      <c r="D488" s="90"/>
      <c r="E488" s="90"/>
      <c r="F488" s="90"/>
      <c r="G488" s="90"/>
      <c r="H488" s="90"/>
      <c r="I488" s="90"/>
      <c r="J488" s="90"/>
      <c r="K488" s="90"/>
      <c r="L488" s="90"/>
      <c r="M488" s="90"/>
      <c r="N488" s="90"/>
      <c r="O488" s="90"/>
      <c r="P488" s="90"/>
      <c r="Q488" s="90"/>
    </row>
    <row r="489" ht="12.75" customHeight="1">
      <c r="A489" s="937" t="s">
        <v>4797</v>
      </c>
      <c r="B489" s="90"/>
      <c r="C489" s="90"/>
      <c r="D489" s="90"/>
      <c r="E489" s="90"/>
      <c r="F489" s="90"/>
      <c r="G489" s="90"/>
      <c r="H489" s="90"/>
      <c r="I489" s="90"/>
      <c r="J489" s="90"/>
      <c r="K489" s="90"/>
      <c r="L489" s="90"/>
      <c r="M489" s="90"/>
      <c r="N489" s="90"/>
      <c r="O489" s="90"/>
      <c r="P489" s="90"/>
      <c r="Q489" s="90"/>
    </row>
    <row r="490" ht="12.75" customHeight="1">
      <c r="A490" s="90"/>
      <c r="B490" s="90"/>
      <c r="C490" s="90"/>
      <c r="D490" s="90"/>
      <c r="E490" s="90"/>
      <c r="F490" s="90"/>
      <c r="G490" s="90"/>
      <c r="H490" s="90"/>
      <c r="I490" s="90"/>
      <c r="J490" s="90"/>
      <c r="K490" s="90"/>
      <c r="L490" s="90"/>
      <c r="M490" s="90"/>
      <c r="N490" s="90"/>
      <c r="O490" s="90"/>
      <c r="P490" s="90"/>
      <c r="Q490" s="90"/>
    </row>
    <row r="491" ht="12.75" customHeight="1">
      <c r="A491" s="937" t="s">
        <v>4798</v>
      </c>
      <c r="B491" s="90"/>
      <c r="C491" s="90"/>
      <c r="D491" s="90"/>
      <c r="E491" s="90"/>
      <c r="F491" s="90"/>
      <c r="G491" s="90"/>
      <c r="H491" s="90"/>
      <c r="I491" s="90"/>
      <c r="J491" s="90"/>
      <c r="K491" s="90"/>
      <c r="L491" s="90"/>
      <c r="M491" s="90"/>
      <c r="N491" s="90"/>
      <c r="O491" s="90"/>
      <c r="P491" s="90"/>
      <c r="Q491" s="90"/>
    </row>
    <row r="492" ht="12.75" customHeight="1">
      <c r="A492" s="90"/>
      <c r="B492" s="90"/>
      <c r="C492" s="90"/>
      <c r="D492" s="90"/>
      <c r="E492" s="90"/>
      <c r="F492" s="90"/>
      <c r="G492" s="90"/>
      <c r="H492" s="90"/>
      <c r="I492" s="90"/>
      <c r="J492" s="90"/>
      <c r="K492" s="90"/>
      <c r="L492" s="90"/>
      <c r="M492" s="90"/>
      <c r="N492" s="90"/>
      <c r="O492" s="90"/>
      <c r="P492" s="90"/>
      <c r="Q492" s="90"/>
    </row>
    <row r="493" ht="12.75" customHeight="1">
      <c r="A493" s="937" t="s">
        <v>4799</v>
      </c>
      <c r="B493" s="90"/>
      <c r="C493" s="90"/>
      <c r="D493" s="90"/>
      <c r="E493" s="90"/>
      <c r="F493" s="90"/>
      <c r="G493" s="90"/>
      <c r="H493" s="90"/>
      <c r="I493" s="90"/>
      <c r="J493" s="90"/>
      <c r="K493" s="90"/>
      <c r="L493" s="90"/>
      <c r="M493" s="90"/>
      <c r="N493" s="90"/>
      <c r="O493" s="90"/>
      <c r="P493" s="90"/>
      <c r="Q493" s="90"/>
    </row>
    <row r="494" ht="12.75" customHeight="1">
      <c r="A494" s="90"/>
      <c r="B494" s="90"/>
      <c r="C494" s="90"/>
      <c r="D494" s="90"/>
      <c r="E494" s="90"/>
      <c r="F494" s="90"/>
      <c r="G494" s="90"/>
      <c r="H494" s="90"/>
      <c r="I494" s="90"/>
      <c r="J494" s="90"/>
      <c r="K494" s="90"/>
      <c r="L494" s="90"/>
      <c r="M494" s="90"/>
      <c r="N494" s="90"/>
      <c r="O494" s="90"/>
      <c r="P494" s="90"/>
      <c r="Q494" s="90"/>
    </row>
    <row r="495" ht="12.75" customHeight="1">
      <c r="A495" s="937" t="s">
        <v>4800</v>
      </c>
      <c r="B495" s="90"/>
      <c r="C495" s="90"/>
      <c r="D495" s="90"/>
      <c r="E495" s="90"/>
      <c r="F495" s="90"/>
      <c r="G495" s="90"/>
      <c r="H495" s="90"/>
      <c r="I495" s="90"/>
      <c r="J495" s="90"/>
      <c r="K495" s="90"/>
      <c r="L495" s="90"/>
      <c r="M495" s="90"/>
      <c r="N495" s="90"/>
      <c r="O495" s="90"/>
      <c r="P495" s="90"/>
      <c r="Q495" s="90"/>
    </row>
    <row r="496" ht="12.75" customHeight="1">
      <c r="A496" s="90"/>
      <c r="B496" s="90"/>
      <c r="C496" s="90"/>
      <c r="D496" s="90"/>
      <c r="E496" s="90"/>
      <c r="F496" s="90"/>
      <c r="G496" s="90"/>
      <c r="H496" s="90"/>
      <c r="I496" s="90"/>
      <c r="J496" s="90"/>
      <c r="K496" s="90"/>
      <c r="L496" s="90"/>
      <c r="M496" s="90"/>
      <c r="N496" s="90"/>
      <c r="O496" s="90"/>
      <c r="P496" s="90"/>
      <c r="Q496" s="90"/>
    </row>
    <row r="497" ht="12.75" customHeight="1">
      <c r="A497" s="937" t="s">
        <v>4801</v>
      </c>
      <c r="B497" s="90"/>
      <c r="C497" s="90"/>
      <c r="D497" s="90"/>
      <c r="E497" s="90"/>
      <c r="F497" s="90"/>
      <c r="G497" s="90"/>
      <c r="H497" s="90"/>
      <c r="I497" s="90"/>
      <c r="J497" s="90"/>
      <c r="K497" s="90"/>
      <c r="L497" s="90"/>
      <c r="M497" s="90"/>
      <c r="N497" s="90"/>
      <c r="O497" s="90"/>
      <c r="P497" s="90"/>
      <c r="Q497" s="90"/>
    </row>
    <row r="498" ht="12.75" customHeight="1">
      <c r="A498" s="90"/>
      <c r="B498" s="90"/>
      <c r="C498" s="90"/>
      <c r="D498" s="90"/>
      <c r="E498" s="90"/>
      <c r="F498" s="90"/>
      <c r="G498" s="90"/>
      <c r="H498" s="90"/>
      <c r="I498" s="90"/>
      <c r="J498" s="90"/>
      <c r="K498" s="90"/>
      <c r="L498" s="90"/>
      <c r="M498" s="90"/>
      <c r="N498" s="90"/>
      <c r="O498" s="90"/>
      <c r="P498" s="90"/>
      <c r="Q498" s="90"/>
    </row>
    <row r="499" ht="12.75" customHeight="1">
      <c r="A499" s="937" t="s">
        <v>8018</v>
      </c>
      <c r="B499" s="90"/>
      <c r="C499" s="90"/>
      <c r="D499" s="90"/>
      <c r="E499" s="90"/>
      <c r="F499" s="90"/>
      <c r="G499" s="90"/>
      <c r="H499" s="90"/>
      <c r="I499" s="90"/>
      <c r="J499" s="90"/>
      <c r="K499" s="90"/>
      <c r="L499" s="90"/>
      <c r="M499" s="90"/>
      <c r="N499" s="90"/>
      <c r="O499" s="90"/>
      <c r="P499" s="90"/>
      <c r="Q499" s="90"/>
    </row>
    <row r="500" ht="12.75" customHeight="1">
      <c r="A500" s="937" t="s">
        <v>8019</v>
      </c>
      <c r="B500" s="90"/>
      <c r="C500" s="90"/>
      <c r="D500" s="90"/>
      <c r="E500" s="90"/>
      <c r="F500" s="90"/>
      <c r="G500" s="90"/>
      <c r="H500" s="90"/>
      <c r="I500" s="90"/>
      <c r="J500" s="90"/>
      <c r="K500" s="90"/>
      <c r="L500" s="90"/>
      <c r="M500" s="90"/>
      <c r="N500" s="90"/>
      <c r="O500" s="90"/>
      <c r="P500" s="90"/>
      <c r="Q500" s="90"/>
    </row>
    <row r="501" ht="12.75" customHeight="1">
      <c r="A501" s="90"/>
      <c r="B501" s="90"/>
      <c r="C501" s="90"/>
      <c r="D501" s="90"/>
      <c r="E501" s="90"/>
      <c r="F501" s="90"/>
      <c r="G501" s="90"/>
      <c r="H501" s="90"/>
      <c r="I501" s="90"/>
      <c r="J501" s="90"/>
      <c r="K501" s="90"/>
      <c r="L501" s="90"/>
      <c r="M501" s="90"/>
      <c r="N501" s="90"/>
      <c r="O501" s="90"/>
      <c r="P501" s="90"/>
      <c r="Q501" s="90"/>
    </row>
    <row r="502" ht="12.75" customHeight="1">
      <c r="A502" s="937" t="s">
        <v>4804</v>
      </c>
      <c r="B502" s="90"/>
      <c r="C502" s="90"/>
      <c r="D502" s="90"/>
      <c r="E502" s="90"/>
      <c r="F502" s="90"/>
      <c r="G502" s="90"/>
      <c r="H502" s="90"/>
      <c r="I502" s="90"/>
      <c r="J502" s="90"/>
      <c r="K502" s="90"/>
      <c r="L502" s="90"/>
      <c r="M502" s="90"/>
      <c r="N502" s="90"/>
      <c r="O502" s="90"/>
      <c r="P502" s="90"/>
      <c r="Q502" s="90"/>
    </row>
    <row r="503" ht="12.75" customHeight="1">
      <c r="A503" s="90"/>
      <c r="B503" s="90"/>
      <c r="C503" s="90"/>
      <c r="D503" s="90"/>
      <c r="E503" s="90"/>
      <c r="F503" s="90"/>
      <c r="G503" s="90"/>
      <c r="H503" s="90"/>
      <c r="I503" s="90"/>
      <c r="J503" s="90"/>
      <c r="K503" s="90"/>
      <c r="L503" s="90"/>
      <c r="M503" s="90"/>
      <c r="N503" s="90"/>
      <c r="O503" s="90"/>
      <c r="P503" s="90"/>
      <c r="Q503" s="90"/>
    </row>
    <row r="504" ht="12.75" customHeight="1">
      <c r="A504" s="937" t="s">
        <v>4805</v>
      </c>
      <c r="B504" s="90"/>
      <c r="C504" s="90"/>
      <c r="D504" s="90"/>
      <c r="E504" s="90"/>
      <c r="F504" s="90"/>
      <c r="G504" s="90"/>
      <c r="H504" s="90"/>
      <c r="I504" s="90"/>
      <c r="J504" s="90"/>
      <c r="K504" s="90"/>
      <c r="L504" s="90"/>
      <c r="M504" s="90"/>
      <c r="N504" s="90"/>
      <c r="O504" s="90"/>
      <c r="P504" s="90"/>
      <c r="Q504" s="90"/>
    </row>
    <row r="505" ht="12.75" customHeight="1">
      <c r="A505" s="90"/>
      <c r="B505" s="90"/>
      <c r="C505" s="90"/>
      <c r="D505" s="90"/>
      <c r="E505" s="90"/>
      <c r="F505" s="90"/>
      <c r="G505" s="90"/>
      <c r="H505" s="90"/>
      <c r="I505" s="90"/>
      <c r="J505" s="90"/>
      <c r="K505" s="90"/>
      <c r="L505" s="90"/>
      <c r="M505" s="90"/>
      <c r="N505" s="90"/>
      <c r="O505" s="90"/>
      <c r="P505" s="90"/>
      <c r="Q505" s="90"/>
    </row>
    <row r="506" ht="12.75" customHeight="1">
      <c r="A506" s="937" t="s">
        <v>4806</v>
      </c>
      <c r="B506" s="90"/>
      <c r="C506" s="90"/>
      <c r="D506" s="90"/>
      <c r="E506" s="90"/>
      <c r="F506" s="90"/>
      <c r="G506" s="90"/>
      <c r="H506" s="90"/>
      <c r="I506" s="90"/>
      <c r="J506" s="90"/>
      <c r="K506" s="90"/>
      <c r="L506" s="90"/>
      <c r="M506" s="90"/>
      <c r="N506" s="90"/>
      <c r="O506" s="90"/>
      <c r="P506" s="90"/>
      <c r="Q506" s="90"/>
    </row>
    <row r="507" ht="12.75" customHeight="1">
      <c r="A507" s="90"/>
      <c r="B507" s="90"/>
      <c r="C507" s="90"/>
      <c r="D507" s="90"/>
      <c r="E507" s="90"/>
      <c r="F507" s="90"/>
      <c r="G507" s="90"/>
      <c r="H507" s="90"/>
      <c r="I507" s="90"/>
      <c r="J507" s="90"/>
      <c r="K507" s="90"/>
      <c r="L507" s="90"/>
      <c r="M507" s="90"/>
      <c r="N507" s="90"/>
      <c r="O507" s="90"/>
      <c r="P507" s="90"/>
      <c r="Q507" s="90"/>
    </row>
    <row r="508" ht="12.75" customHeight="1">
      <c r="A508" s="937" t="s">
        <v>4807</v>
      </c>
      <c r="B508" s="90"/>
      <c r="C508" s="90"/>
      <c r="D508" s="90"/>
      <c r="E508" s="90"/>
      <c r="F508" s="90"/>
      <c r="G508" s="90"/>
      <c r="H508" s="90"/>
      <c r="I508" s="90"/>
      <c r="J508" s="90"/>
      <c r="K508" s="90"/>
      <c r="L508" s="90"/>
      <c r="M508" s="90"/>
      <c r="N508" s="90"/>
      <c r="O508" s="90"/>
      <c r="P508" s="90"/>
      <c r="Q508" s="90"/>
    </row>
    <row r="509" ht="12.75" customHeight="1">
      <c r="A509" s="90"/>
      <c r="B509" s="90"/>
      <c r="C509" s="90"/>
      <c r="D509" s="90"/>
      <c r="E509" s="90"/>
      <c r="F509" s="90"/>
      <c r="G509" s="90"/>
      <c r="H509" s="90"/>
      <c r="I509" s="90"/>
      <c r="J509" s="90"/>
      <c r="K509" s="90"/>
      <c r="L509" s="90"/>
      <c r="M509" s="90"/>
      <c r="N509" s="90"/>
      <c r="O509" s="90"/>
      <c r="P509" s="90"/>
      <c r="Q509" s="90"/>
    </row>
    <row r="510" ht="12.75" customHeight="1">
      <c r="A510" s="937" t="s">
        <v>4808</v>
      </c>
      <c r="B510" s="90"/>
      <c r="C510" s="90"/>
      <c r="D510" s="90"/>
      <c r="E510" s="90"/>
      <c r="F510" s="90"/>
      <c r="G510" s="90"/>
      <c r="H510" s="90"/>
      <c r="I510" s="90"/>
      <c r="J510" s="90"/>
      <c r="K510" s="90"/>
      <c r="L510" s="90"/>
      <c r="M510" s="90"/>
      <c r="N510" s="90"/>
      <c r="O510" s="90"/>
      <c r="P510" s="90"/>
      <c r="Q510" s="90"/>
    </row>
    <row r="511" ht="12.75" customHeight="1">
      <c r="A511" s="90"/>
      <c r="B511" s="90"/>
      <c r="C511" s="90"/>
      <c r="D511" s="90"/>
      <c r="E511" s="90"/>
      <c r="F511" s="90"/>
      <c r="G511" s="90"/>
      <c r="H511" s="90"/>
      <c r="I511" s="90"/>
      <c r="J511" s="90"/>
      <c r="K511" s="90"/>
      <c r="L511" s="90"/>
      <c r="M511" s="90"/>
      <c r="N511" s="90"/>
      <c r="O511" s="90"/>
      <c r="P511" s="90"/>
      <c r="Q511" s="90"/>
    </row>
    <row r="512" ht="12.75" customHeight="1">
      <c r="A512" s="937" t="s">
        <v>4809</v>
      </c>
      <c r="B512" s="90"/>
      <c r="C512" s="90"/>
      <c r="D512" s="90"/>
      <c r="E512" s="90"/>
      <c r="F512" s="90"/>
      <c r="G512" s="90"/>
      <c r="H512" s="90"/>
      <c r="I512" s="90"/>
      <c r="J512" s="90"/>
      <c r="K512" s="90"/>
      <c r="L512" s="90"/>
      <c r="M512" s="90"/>
      <c r="N512" s="90"/>
      <c r="O512" s="90"/>
      <c r="P512" s="90"/>
      <c r="Q512" s="90"/>
    </row>
    <row r="513" ht="12.75" customHeight="1">
      <c r="A513" s="90"/>
      <c r="B513" s="90"/>
      <c r="C513" s="90"/>
      <c r="D513" s="90"/>
      <c r="E513" s="90"/>
      <c r="F513" s="90"/>
      <c r="G513" s="90"/>
      <c r="H513" s="90"/>
      <c r="I513" s="90"/>
      <c r="J513" s="90"/>
      <c r="K513" s="90"/>
      <c r="L513" s="90"/>
      <c r="M513" s="90"/>
      <c r="N513" s="90"/>
      <c r="O513" s="90"/>
      <c r="P513" s="90"/>
      <c r="Q513" s="90"/>
    </row>
    <row r="514" ht="12.75" customHeight="1">
      <c r="A514" s="937" t="s">
        <v>4810</v>
      </c>
      <c r="B514" s="90"/>
      <c r="C514" s="90"/>
      <c r="D514" s="90"/>
      <c r="E514" s="90"/>
      <c r="F514" s="90"/>
      <c r="G514" s="90"/>
      <c r="H514" s="90"/>
      <c r="I514" s="90"/>
      <c r="J514" s="90"/>
      <c r="K514" s="90"/>
      <c r="L514" s="90"/>
      <c r="M514" s="90"/>
      <c r="N514" s="90"/>
      <c r="O514" s="90"/>
      <c r="P514" s="90"/>
      <c r="Q514" s="90"/>
    </row>
    <row r="515" ht="12.75" customHeight="1">
      <c r="A515" s="90"/>
      <c r="B515" s="90"/>
      <c r="C515" s="90"/>
      <c r="D515" s="90"/>
      <c r="E515" s="90"/>
      <c r="F515" s="90"/>
      <c r="G515" s="90"/>
      <c r="H515" s="90"/>
      <c r="I515" s="90"/>
      <c r="J515" s="90"/>
      <c r="K515" s="90"/>
      <c r="L515" s="90"/>
      <c r="M515" s="90"/>
      <c r="N515" s="90"/>
      <c r="O515" s="90"/>
      <c r="P515" s="90"/>
      <c r="Q515" s="90"/>
    </row>
    <row r="516" ht="12.75" customHeight="1">
      <c r="A516" s="937" t="s">
        <v>4811</v>
      </c>
      <c r="B516" s="90"/>
      <c r="C516" s="90"/>
      <c r="D516" s="90"/>
      <c r="E516" s="90"/>
      <c r="F516" s="90"/>
      <c r="G516" s="90"/>
      <c r="H516" s="90"/>
      <c r="I516" s="90"/>
      <c r="J516" s="90"/>
      <c r="K516" s="90"/>
      <c r="L516" s="90"/>
      <c r="M516" s="90"/>
      <c r="N516" s="90"/>
      <c r="O516" s="90"/>
      <c r="P516" s="90"/>
      <c r="Q516" s="90"/>
    </row>
    <row r="517" ht="12.75" customHeight="1">
      <c r="A517" s="90"/>
      <c r="B517" s="90"/>
      <c r="C517" s="90"/>
      <c r="D517" s="90"/>
      <c r="E517" s="90"/>
      <c r="F517" s="90"/>
      <c r="G517" s="90"/>
      <c r="H517" s="90"/>
      <c r="I517" s="90"/>
      <c r="J517" s="90"/>
      <c r="K517" s="90"/>
      <c r="L517" s="90"/>
      <c r="M517" s="90"/>
      <c r="N517" s="90"/>
      <c r="O517" s="90"/>
      <c r="P517" s="90"/>
      <c r="Q517" s="90"/>
    </row>
    <row r="518" ht="12.75" customHeight="1">
      <c r="A518" s="937" t="s">
        <v>8020</v>
      </c>
      <c r="B518" s="90"/>
      <c r="C518" s="90"/>
      <c r="D518" s="90"/>
      <c r="E518" s="90"/>
      <c r="F518" s="90"/>
      <c r="G518" s="90"/>
      <c r="H518" s="90"/>
      <c r="I518" s="90"/>
      <c r="J518" s="90"/>
      <c r="K518" s="90"/>
      <c r="L518" s="90"/>
      <c r="M518" s="90"/>
      <c r="N518" s="90"/>
      <c r="O518" s="90"/>
      <c r="P518" s="90"/>
      <c r="Q518" s="90"/>
    </row>
    <row r="519" ht="12.75" customHeight="1">
      <c r="A519" s="90"/>
      <c r="B519" s="90"/>
      <c r="C519" s="90"/>
      <c r="D519" s="90"/>
      <c r="E519" s="90"/>
      <c r="F519" s="90"/>
      <c r="G519" s="90"/>
      <c r="H519" s="90"/>
      <c r="I519" s="90"/>
      <c r="J519" s="90"/>
      <c r="K519" s="90"/>
      <c r="L519" s="90"/>
      <c r="M519" s="90"/>
      <c r="N519" s="90"/>
      <c r="O519" s="90"/>
      <c r="P519" s="90"/>
      <c r="Q519" s="90"/>
    </row>
    <row r="520" ht="12.75" customHeight="1">
      <c r="A520" s="937" t="s">
        <v>4813</v>
      </c>
      <c r="B520" s="90"/>
      <c r="C520" s="90"/>
      <c r="D520" s="90"/>
      <c r="E520" s="90"/>
      <c r="F520" s="90"/>
      <c r="G520" s="90"/>
      <c r="H520" s="90"/>
      <c r="I520" s="90"/>
      <c r="J520" s="90"/>
      <c r="K520" s="90"/>
      <c r="L520" s="90"/>
      <c r="M520" s="90"/>
      <c r="N520" s="90"/>
      <c r="O520" s="90"/>
      <c r="P520" s="90"/>
      <c r="Q520" s="90"/>
    </row>
    <row r="521" ht="12.75" customHeight="1">
      <c r="A521" s="90"/>
      <c r="B521" s="90"/>
      <c r="C521" s="90"/>
      <c r="D521" s="90"/>
      <c r="E521" s="90"/>
      <c r="F521" s="90"/>
      <c r="G521" s="90"/>
      <c r="H521" s="90"/>
      <c r="I521" s="90"/>
      <c r="J521" s="90"/>
      <c r="K521" s="90"/>
      <c r="L521" s="90"/>
      <c r="M521" s="90"/>
      <c r="N521" s="90"/>
      <c r="O521" s="90"/>
      <c r="P521" s="90"/>
      <c r="Q521" s="90"/>
    </row>
    <row r="522" ht="12.75" customHeight="1">
      <c r="A522" s="937" t="s">
        <v>4814</v>
      </c>
      <c r="B522" s="90"/>
      <c r="C522" s="90"/>
      <c r="D522" s="90"/>
      <c r="E522" s="90"/>
      <c r="F522" s="90"/>
      <c r="G522" s="90"/>
      <c r="H522" s="90"/>
      <c r="I522" s="90"/>
      <c r="J522" s="90"/>
      <c r="K522" s="90"/>
      <c r="L522" s="90"/>
      <c r="M522" s="90"/>
      <c r="N522" s="90"/>
      <c r="O522" s="90"/>
      <c r="P522" s="90"/>
      <c r="Q522" s="90"/>
    </row>
    <row r="523" ht="12.75" customHeight="1">
      <c r="A523" s="90"/>
      <c r="B523" s="90"/>
      <c r="C523" s="90"/>
      <c r="D523" s="90"/>
      <c r="E523" s="90"/>
      <c r="F523" s="90"/>
      <c r="G523" s="90"/>
      <c r="H523" s="90"/>
      <c r="I523" s="90"/>
      <c r="J523" s="90"/>
      <c r="K523" s="90"/>
      <c r="L523" s="90"/>
      <c r="M523" s="90"/>
      <c r="N523" s="90"/>
      <c r="O523" s="90"/>
      <c r="P523" s="90"/>
      <c r="Q523" s="90"/>
    </row>
    <row r="524" ht="12.75" customHeight="1">
      <c r="A524" s="937" t="s">
        <v>4815</v>
      </c>
      <c r="B524" s="90"/>
      <c r="C524" s="90"/>
      <c r="D524" s="90"/>
      <c r="E524" s="90"/>
      <c r="F524" s="90"/>
      <c r="G524" s="90"/>
      <c r="H524" s="90"/>
      <c r="I524" s="90"/>
      <c r="J524" s="90"/>
      <c r="K524" s="90"/>
      <c r="L524" s="90"/>
      <c r="M524" s="90"/>
      <c r="N524" s="90"/>
      <c r="O524" s="90"/>
      <c r="P524" s="90"/>
      <c r="Q524" s="90"/>
    </row>
    <row r="525" ht="12.75" customHeight="1">
      <c r="A525" s="90"/>
      <c r="B525" s="90"/>
      <c r="C525" s="90"/>
      <c r="D525" s="90"/>
      <c r="E525" s="90"/>
      <c r="F525" s="90"/>
      <c r="G525" s="90"/>
      <c r="H525" s="90"/>
      <c r="I525" s="90"/>
      <c r="J525" s="90"/>
      <c r="K525" s="90"/>
      <c r="L525" s="90"/>
      <c r="M525" s="90"/>
      <c r="N525" s="90"/>
      <c r="O525" s="90"/>
      <c r="P525" s="90"/>
      <c r="Q525" s="90"/>
    </row>
    <row r="526" ht="12.75" customHeight="1">
      <c r="A526" s="937" t="s">
        <v>4816</v>
      </c>
      <c r="B526" s="90"/>
      <c r="C526" s="90"/>
      <c r="D526" s="90"/>
      <c r="E526" s="90"/>
      <c r="F526" s="90"/>
      <c r="G526" s="90"/>
      <c r="H526" s="90"/>
      <c r="I526" s="90"/>
      <c r="J526" s="90"/>
      <c r="K526" s="90"/>
      <c r="L526" s="90"/>
      <c r="M526" s="90"/>
      <c r="N526" s="90"/>
      <c r="O526" s="90"/>
      <c r="P526" s="90"/>
      <c r="Q526" s="90"/>
    </row>
    <row r="527" ht="12.75" customHeight="1">
      <c r="A527" s="90"/>
      <c r="B527" s="90"/>
      <c r="C527" s="90"/>
      <c r="D527" s="90"/>
      <c r="E527" s="90"/>
      <c r="F527" s="90"/>
      <c r="G527" s="90"/>
      <c r="H527" s="90"/>
      <c r="I527" s="90"/>
      <c r="J527" s="90"/>
      <c r="K527" s="90"/>
      <c r="L527" s="90"/>
      <c r="M527" s="90"/>
      <c r="N527" s="90"/>
      <c r="O527" s="90"/>
      <c r="P527" s="90"/>
      <c r="Q527" s="90"/>
    </row>
    <row r="528" ht="12.75" customHeight="1">
      <c r="A528" s="937" t="s">
        <v>4817</v>
      </c>
      <c r="B528" s="90"/>
      <c r="C528" s="90"/>
      <c r="D528" s="90"/>
      <c r="E528" s="90"/>
      <c r="F528" s="90"/>
      <c r="G528" s="90"/>
      <c r="H528" s="90"/>
      <c r="I528" s="90"/>
      <c r="J528" s="90"/>
      <c r="K528" s="90"/>
      <c r="L528" s="90"/>
      <c r="M528" s="90"/>
      <c r="N528" s="90"/>
      <c r="O528" s="90"/>
      <c r="P528" s="90"/>
      <c r="Q528" s="90"/>
    </row>
    <row r="529" ht="12.75" customHeight="1">
      <c r="A529" s="90"/>
      <c r="B529" s="90"/>
      <c r="C529" s="90"/>
      <c r="D529" s="90"/>
      <c r="E529" s="90"/>
      <c r="F529" s="90"/>
      <c r="G529" s="90"/>
      <c r="H529" s="90"/>
      <c r="I529" s="90"/>
      <c r="J529" s="90"/>
      <c r="K529" s="90"/>
      <c r="L529" s="90"/>
      <c r="M529" s="90"/>
      <c r="N529" s="90"/>
      <c r="O529" s="90"/>
      <c r="P529" s="90"/>
      <c r="Q529" s="90"/>
    </row>
    <row r="530" ht="12.75" customHeight="1">
      <c r="A530" s="937" t="s">
        <v>4818</v>
      </c>
      <c r="B530" s="90"/>
      <c r="C530" s="90"/>
      <c r="D530" s="90"/>
      <c r="E530" s="90"/>
      <c r="F530" s="90"/>
      <c r="G530" s="90"/>
      <c r="H530" s="90"/>
      <c r="I530" s="90"/>
      <c r="J530" s="90"/>
      <c r="K530" s="90"/>
      <c r="L530" s="90"/>
      <c r="M530" s="90"/>
      <c r="N530" s="90"/>
      <c r="O530" s="90"/>
      <c r="P530" s="90"/>
      <c r="Q530" s="90"/>
    </row>
    <row r="531" ht="12.75" customHeight="1">
      <c r="A531" s="90"/>
      <c r="B531" s="90"/>
      <c r="C531" s="90"/>
      <c r="D531" s="90"/>
      <c r="E531" s="90"/>
      <c r="F531" s="90"/>
      <c r="G531" s="90"/>
      <c r="H531" s="90"/>
      <c r="I531" s="90"/>
      <c r="J531" s="90"/>
      <c r="K531" s="90"/>
      <c r="L531" s="90"/>
      <c r="M531" s="90"/>
      <c r="N531" s="90"/>
      <c r="O531" s="90"/>
      <c r="P531" s="90"/>
      <c r="Q531" s="90"/>
    </row>
    <row r="532" ht="12.75" customHeight="1">
      <c r="A532" s="937" t="s">
        <v>4819</v>
      </c>
      <c r="B532" s="90"/>
      <c r="C532" s="90"/>
      <c r="D532" s="90"/>
      <c r="E532" s="90"/>
      <c r="F532" s="90"/>
      <c r="G532" s="90"/>
      <c r="H532" s="90"/>
      <c r="I532" s="90"/>
      <c r="J532" s="90"/>
      <c r="K532" s="90"/>
      <c r="L532" s="90"/>
      <c r="M532" s="90"/>
      <c r="N532" s="90"/>
      <c r="O532" s="90"/>
      <c r="P532" s="90"/>
      <c r="Q532" s="90"/>
    </row>
    <row r="533" ht="12.75" customHeight="1">
      <c r="A533" s="90"/>
      <c r="B533" s="90"/>
      <c r="C533" s="90"/>
      <c r="D533" s="90"/>
      <c r="E533" s="90"/>
      <c r="F533" s="90"/>
      <c r="G533" s="90"/>
      <c r="H533" s="90"/>
      <c r="I533" s="90"/>
      <c r="J533" s="90"/>
      <c r="K533" s="90"/>
      <c r="L533" s="90"/>
      <c r="M533" s="90"/>
      <c r="N533" s="90"/>
      <c r="O533" s="90"/>
      <c r="P533" s="90"/>
      <c r="Q533" s="90"/>
    </row>
    <row r="534" ht="12.75" customHeight="1">
      <c r="A534" s="937" t="s">
        <v>4820</v>
      </c>
      <c r="B534" s="90"/>
      <c r="C534" s="90"/>
      <c r="D534" s="90"/>
      <c r="E534" s="90"/>
      <c r="F534" s="90"/>
      <c r="G534" s="90"/>
      <c r="H534" s="90"/>
      <c r="I534" s="90"/>
      <c r="J534" s="90"/>
      <c r="K534" s="90"/>
      <c r="L534" s="90"/>
      <c r="M534" s="90"/>
      <c r="N534" s="90"/>
      <c r="O534" s="90"/>
      <c r="P534" s="90"/>
      <c r="Q534" s="90"/>
    </row>
    <row r="535" ht="12.75" customHeight="1">
      <c r="A535" s="90"/>
      <c r="B535" s="90"/>
      <c r="C535" s="90"/>
      <c r="D535" s="90"/>
      <c r="E535" s="90"/>
      <c r="F535" s="90"/>
      <c r="G535" s="90"/>
      <c r="H535" s="90"/>
      <c r="I535" s="90"/>
      <c r="J535" s="90"/>
      <c r="K535" s="90"/>
      <c r="L535" s="90"/>
      <c r="M535" s="90"/>
      <c r="N535" s="90"/>
      <c r="O535" s="90"/>
      <c r="P535" s="90"/>
      <c r="Q535" s="90"/>
    </row>
    <row r="536" ht="12.75" customHeight="1">
      <c r="A536" s="937" t="s">
        <v>8021</v>
      </c>
      <c r="B536" s="90"/>
      <c r="C536" s="90"/>
      <c r="D536" s="90"/>
      <c r="E536" s="90"/>
      <c r="F536" s="90"/>
      <c r="G536" s="90"/>
      <c r="H536" s="90"/>
      <c r="I536" s="90"/>
      <c r="J536" s="90"/>
      <c r="K536" s="90"/>
      <c r="L536" s="90"/>
      <c r="M536" s="90"/>
      <c r="N536" s="90"/>
      <c r="O536" s="90"/>
      <c r="P536" s="90"/>
      <c r="Q536" s="90"/>
    </row>
    <row r="537" ht="12.75" customHeight="1">
      <c r="A537" s="90"/>
      <c r="B537" s="90"/>
      <c r="C537" s="90"/>
      <c r="D537" s="90"/>
      <c r="E537" s="90"/>
      <c r="F537" s="90"/>
      <c r="G537" s="90"/>
      <c r="H537" s="90"/>
      <c r="I537" s="90"/>
      <c r="J537" s="90"/>
      <c r="K537" s="90"/>
      <c r="L537" s="90"/>
      <c r="M537" s="90"/>
      <c r="N537" s="90"/>
      <c r="O537" s="90"/>
      <c r="P537" s="90"/>
      <c r="Q537" s="90"/>
    </row>
    <row r="538" ht="12.75" customHeight="1">
      <c r="A538" s="937" t="s">
        <v>4822</v>
      </c>
      <c r="B538" s="90"/>
      <c r="C538" s="90"/>
      <c r="D538" s="90"/>
      <c r="E538" s="90"/>
      <c r="F538" s="90"/>
      <c r="G538" s="90"/>
      <c r="H538" s="90"/>
      <c r="I538" s="90"/>
      <c r="J538" s="90"/>
      <c r="K538" s="90"/>
      <c r="L538" s="90"/>
      <c r="M538" s="90"/>
      <c r="N538" s="90"/>
      <c r="O538" s="90"/>
      <c r="P538" s="90"/>
      <c r="Q538" s="90"/>
    </row>
    <row r="539" ht="12.75" customHeight="1">
      <c r="A539" s="90"/>
      <c r="B539" s="90"/>
      <c r="C539" s="90"/>
      <c r="D539" s="90"/>
      <c r="E539" s="90"/>
      <c r="F539" s="90"/>
      <c r="G539" s="90"/>
      <c r="H539" s="90"/>
      <c r="I539" s="90"/>
      <c r="J539" s="90"/>
      <c r="K539" s="90"/>
      <c r="L539" s="90"/>
      <c r="M539" s="90"/>
      <c r="N539" s="90"/>
      <c r="O539" s="90"/>
      <c r="P539" s="90"/>
      <c r="Q539" s="90"/>
    </row>
    <row r="540" ht="12.75" customHeight="1">
      <c r="A540" s="937" t="s">
        <v>4823</v>
      </c>
      <c r="B540" s="90"/>
      <c r="C540" s="90"/>
      <c r="D540" s="90"/>
      <c r="E540" s="90"/>
      <c r="F540" s="90"/>
      <c r="G540" s="90"/>
      <c r="H540" s="90"/>
      <c r="I540" s="90"/>
      <c r="J540" s="90"/>
      <c r="K540" s="90"/>
      <c r="L540" s="90"/>
      <c r="M540" s="90"/>
      <c r="N540" s="90"/>
      <c r="O540" s="90"/>
      <c r="P540" s="90"/>
      <c r="Q540" s="90"/>
    </row>
    <row r="541" ht="12.75" customHeight="1">
      <c r="A541" s="90"/>
      <c r="B541" s="90"/>
      <c r="C541" s="90"/>
      <c r="D541" s="90"/>
      <c r="E541" s="90"/>
      <c r="F541" s="90"/>
      <c r="G541" s="90"/>
      <c r="H541" s="90"/>
      <c r="I541" s="90"/>
      <c r="J541" s="90"/>
      <c r="K541" s="90"/>
      <c r="L541" s="90"/>
      <c r="M541" s="90"/>
      <c r="N541" s="90"/>
      <c r="O541" s="90"/>
      <c r="P541" s="90"/>
      <c r="Q541" s="90"/>
    </row>
    <row r="542" ht="12.75" customHeight="1">
      <c r="A542" s="937" t="s">
        <v>4824</v>
      </c>
      <c r="B542" s="90"/>
      <c r="C542" s="90"/>
      <c r="D542" s="90"/>
      <c r="E542" s="90"/>
      <c r="F542" s="90"/>
      <c r="G542" s="90"/>
      <c r="H542" s="90"/>
      <c r="I542" s="90"/>
      <c r="J542" s="90"/>
      <c r="K542" s="90"/>
      <c r="L542" s="90"/>
      <c r="M542" s="90"/>
      <c r="N542" s="90"/>
      <c r="O542" s="90"/>
      <c r="P542" s="90"/>
      <c r="Q542" s="90"/>
    </row>
    <row r="543" ht="12.75" customHeight="1">
      <c r="A543" s="90"/>
      <c r="B543" s="90"/>
      <c r="C543" s="90"/>
      <c r="D543" s="90"/>
      <c r="E543" s="90"/>
      <c r="F543" s="90"/>
      <c r="G543" s="90"/>
      <c r="H543" s="90"/>
      <c r="I543" s="90"/>
      <c r="J543" s="90"/>
      <c r="K543" s="90"/>
      <c r="L543" s="90"/>
      <c r="M543" s="90"/>
      <c r="N543" s="90"/>
      <c r="O543" s="90"/>
      <c r="P543" s="90"/>
      <c r="Q543" s="90"/>
    </row>
    <row r="544" ht="12.75" customHeight="1">
      <c r="A544" s="937" t="s">
        <v>4825</v>
      </c>
      <c r="B544" s="90"/>
      <c r="C544" s="90"/>
      <c r="D544" s="90"/>
      <c r="E544" s="90"/>
      <c r="F544" s="90"/>
      <c r="G544" s="90"/>
      <c r="H544" s="90"/>
      <c r="I544" s="90"/>
      <c r="J544" s="90"/>
      <c r="K544" s="90"/>
      <c r="L544" s="90"/>
      <c r="M544" s="90"/>
      <c r="N544" s="90"/>
      <c r="O544" s="90"/>
      <c r="P544" s="90"/>
      <c r="Q544" s="90"/>
    </row>
    <row r="545" ht="12.75" customHeight="1">
      <c r="A545" s="90"/>
      <c r="B545" s="90"/>
      <c r="C545" s="90"/>
      <c r="D545" s="90"/>
      <c r="E545" s="90"/>
      <c r="F545" s="90"/>
      <c r="G545" s="90"/>
      <c r="H545" s="90"/>
      <c r="I545" s="90"/>
      <c r="J545" s="90"/>
      <c r="K545" s="90"/>
      <c r="L545" s="90"/>
      <c r="M545" s="90"/>
      <c r="N545" s="90"/>
      <c r="O545" s="90"/>
      <c r="P545" s="90"/>
      <c r="Q545" s="90"/>
    </row>
    <row r="546" ht="12.75" customHeight="1">
      <c r="A546" s="937" t="s">
        <v>4826</v>
      </c>
      <c r="B546" s="90"/>
      <c r="C546" s="90"/>
      <c r="D546" s="90"/>
      <c r="E546" s="90"/>
      <c r="F546" s="90"/>
      <c r="G546" s="90"/>
      <c r="H546" s="90"/>
      <c r="I546" s="90"/>
      <c r="J546" s="90"/>
      <c r="K546" s="90"/>
      <c r="L546" s="90"/>
      <c r="M546" s="90"/>
      <c r="N546" s="90"/>
      <c r="O546" s="90"/>
      <c r="P546" s="90"/>
      <c r="Q546" s="90"/>
    </row>
    <row r="547" ht="12.75" customHeight="1">
      <c r="A547" s="90"/>
      <c r="B547" s="90"/>
      <c r="C547" s="90"/>
      <c r="D547" s="90"/>
      <c r="E547" s="90"/>
      <c r="F547" s="90"/>
      <c r="G547" s="90"/>
      <c r="H547" s="90"/>
      <c r="I547" s="90"/>
      <c r="J547" s="90"/>
      <c r="K547" s="90"/>
      <c r="L547" s="90"/>
      <c r="M547" s="90"/>
      <c r="N547" s="90"/>
      <c r="O547" s="90"/>
      <c r="P547" s="90"/>
      <c r="Q547" s="90"/>
    </row>
    <row r="548" ht="12.75" customHeight="1">
      <c r="A548" s="937" t="s">
        <v>4827</v>
      </c>
      <c r="B548" s="90"/>
      <c r="C548" s="90"/>
      <c r="D548" s="90"/>
      <c r="E548" s="90"/>
      <c r="F548" s="90"/>
      <c r="G548" s="90"/>
      <c r="H548" s="90"/>
      <c r="I548" s="90"/>
      <c r="J548" s="90"/>
      <c r="K548" s="90"/>
      <c r="L548" s="90"/>
      <c r="M548" s="90"/>
      <c r="N548" s="90"/>
      <c r="O548" s="90"/>
      <c r="P548" s="90"/>
      <c r="Q548" s="90"/>
    </row>
    <row r="549" ht="12.75" customHeight="1">
      <c r="A549" s="90"/>
      <c r="B549" s="90"/>
      <c r="C549" s="90"/>
      <c r="D549" s="90"/>
      <c r="E549" s="90"/>
      <c r="F549" s="90"/>
      <c r="G549" s="90"/>
      <c r="H549" s="90"/>
      <c r="I549" s="90"/>
      <c r="J549" s="90"/>
      <c r="K549" s="90"/>
      <c r="L549" s="90"/>
      <c r="M549" s="90"/>
      <c r="N549" s="90"/>
      <c r="O549" s="90"/>
      <c r="P549" s="90"/>
      <c r="Q549" s="90"/>
    </row>
    <row r="550" ht="12.75" customHeight="1">
      <c r="A550" s="937" t="s">
        <v>4828</v>
      </c>
      <c r="B550" s="90"/>
      <c r="C550" s="90"/>
      <c r="D550" s="90"/>
      <c r="E550" s="90"/>
      <c r="F550" s="90"/>
      <c r="G550" s="90"/>
      <c r="H550" s="90"/>
      <c r="I550" s="90"/>
      <c r="J550" s="90"/>
      <c r="K550" s="90"/>
      <c r="L550" s="90"/>
      <c r="M550" s="90"/>
      <c r="N550" s="90"/>
      <c r="O550" s="90"/>
      <c r="P550" s="90"/>
      <c r="Q550" s="90"/>
    </row>
    <row r="551" ht="12.75" customHeight="1">
      <c r="A551" s="90"/>
      <c r="B551" s="90"/>
      <c r="C551" s="90"/>
      <c r="D551" s="90"/>
      <c r="E551" s="90"/>
      <c r="F551" s="90"/>
      <c r="G551" s="90"/>
      <c r="H551" s="90"/>
      <c r="I551" s="90"/>
      <c r="J551" s="90"/>
      <c r="K551" s="90"/>
      <c r="L551" s="90"/>
      <c r="M551" s="90"/>
      <c r="N551" s="90"/>
      <c r="O551" s="90"/>
      <c r="P551" s="90"/>
      <c r="Q551" s="90"/>
    </row>
    <row r="552" ht="12.75" customHeight="1">
      <c r="A552" s="937" t="s">
        <v>4829</v>
      </c>
      <c r="B552" s="90"/>
      <c r="C552" s="90"/>
      <c r="D552" s="90"/>
      <c r="E552" s="90"/>
      <c r="F552" s="90"/>
      <c r="G552" s="90"/>
      <c r="H552" s="90"/>
      <c r="I552" s="90"/>
      <c r="J552" s="90"/>
      <c r="K552" s="90"/>
      <c r="L552" s="90"/>
      <c r="M552" s="90"/>
      <c r="N552" s="90"/>
      <c r="O552" s="90"/>
      <c r="P552" s="90"/>
      <c r="Q552" s="90"/>
    </row>
    <row r="553" ht="12.75" customHeight="1">
      <c r="A553" s="90"/>
      <c r="B553" s="90"/>
      <c r="C553" s="90"/>
      <c r="D553" s="90"/>
      <c r="E553" s="90"/>
      <c r="F553" s="90"/>
      <c r="G553" s="90"/>
      <c r="H553" s="90"/>
      <c r="I553" s="90"/>
      <c r="J553" s="90"/>
      <c r="K553" s="90"/>
      <c r="L553" s="90"/>
      <c r="M553" s="90"/>
      <c r="N553" s="90"/>
      <c r="O553" s="90"/>
      <c r="P553" s="90"/>
      <c r="Q553" s="90"/>
    </row>
    <row r="554" ht="12.75" customHeight="1">
      <c r="A554" s="937" t="s">
        <v>4830</v>
      </c>
      <c r="B554" s="90"/>
      <c r="C554" s="90"/>
      <c r="D554" s="90"/>
      <c r="E554" s="90"/>
      <c r="F554" s="90"/>
      <c r="G554" s="90"/>
      <c r="H554" s="90"/>
      <c r="I554" s="90"/>
      <c r="J554" s="90"/>
      <c r="K554" s="90"/>
      <c r="L554" s="90"/>
      <c r="M554" s="90"/>
      <c r="N554" s="90"/>
      <c r="O554" s="90"/>
      <c r="P554" s="90"/>
      <c r="Q554" s="90"/>
    </row>
    <row r="555" ht="12.75" customHeight="1">
      <c r="A555" s="90"/>
      <c r="B555" s="90"/>
      <c r="C555" s="90"/>
      <c r="D555" s="90"/>
      <c r="E555" s="90"/>
      <c r="F555" s="90"/>
      <c r="G555" s="90"/>
      <c r="H555" s="90"/>
      <c r="I555" s="90"/>
      <c r="J555" s="90"/>
      <c r="K555" s="90"/>
      <c r="L555" s="90"/>
      <c r="M555" s="90"/>
      <c r="N555" s="90"/>
      <c r="O555" s="90"/>
      <c r="P555" s="90"/>
      <c r="Q555" s="90"/>
    </row>
    <row r="556" ht="12.75" customHeight="1">
      <c r="A556" s="937" t="s">
        <v>4831</v>
      </c>
      <c r="B556" s="90"/>
      <c r="C556" s="90"/>
      <c r="D556" s="90"/>
      <c r="E556" s="90"/>
      <c r="F556" s="90"/>
      <c r="G556" s="90"/>
      <c r="H556" s="90"/>
      <c r="I556" s="90"/>
      <c r="J556" s="90"/>
      <c r="K556" s="90"/>
      <c r="L556" s="90"/>
      <c r="M556" s="90"/>
      <c r="N556" s="90"/>
      <c r="O556" s="90"/>
      <c r="P556" s="90"/>
      <c r="Q556" s="90"/>
    </row>
    <row r="557" ht="12.75" customHeight="1">
      <c r="A557" s="90"/>
      <c r="B557" s="90"/>
      <c r="C557" s="90"/>
      <c r="D557" s="90"/>
      <c r="E557" s="90"/>
      <c r="F557" s="90"/>
      <c r="G557" s="90"/>
      <c r="H557" s="90"/>
      <c r="I557" s="90"/>
      <c r="J557" s="90"/>
      <c r="K557" s="90"/>
      <c r="L557" s="90"/>
      <c r="M557" s="90"/>
      <c r="N557" s="90"/>
      <c r="O557" s="90"/>
      <c r="P557" s="90"/>
      <c r="Q557" s="90"/>
    </row>
    <row r="558" ht="12.75" customHeight="1">
      <c r="A558" s="937" t="s">
        <v>4832</v>
      </c>
      <c r="B558" s="90"/>
      <c r="C558" s="90"/>
      <c r="D558" s="90"/>
      <c r="E558" s="90"/>
      <c r="F558" s="90"/>
      <c r="G558" s="90"/>
      <c r="H558" s="90"/>
      <c r="I558" s="90"/>
      <c r="J558" s="90"/>
      <c r="K558" s="90"/>
      <c r="L558" s="90"/>
      <c r="M558" s="90"/>
      <c r="N558" s="90"/>
      <c r="O558" s="90"/>
      <c r="P558" s="90"/>
      <c r="Q558" s="90"/>
    </row>
    <row r="559" ht="12.75" customHeight="1">
      <c r="A559" s="90"/>
      <c r="B559" s="90"/>
      <c r="C559" s="90"/>
      <c r="D559" s="90"/>
      <c r="E559" s="90"/>
      <c r="F559" s="90"/>
      <c r="G559" s="90"/>
      <c r="H559" s="90"/>
      <c r="I559" s="90"/>
      <c r="J559" s="90"/>
      <c r="K559" s="90"/>
      <c r="L559" s="90"/>
      <c r="M559" s="90"/>
      <c r="N559" s="90"/>
      <c r="O559" s="90"/>
      <c r="P559" s="90"/>
      <c r="Q559" s="90"/>
    </row>
    <row r="560" ht="12.75" customHeight="1">
      <c r="A560" s="937" t="s">
        <v>4833</v>
      </c>
      <c r="B560" s="90"/>
      <c r="C560" s="90"/>
      <c r="D560" s="90"/>
      <c r="E560" s="90"/>
      <c r="F560" s="90"/>
      <c r="G560" s="90"/>
      <c r="H560" s="90"/>
      <c r="I560" s="90"/>
      <c r="J560" s="90"/>
      <c r="K560" s="90"/>
      <c r="L560" s="90"/>
      <c r="M560" s="90"/>
      <c r="N560" s="90"/>
      <c r="O560" s="90"/>
      <c r="P560" s="90"/>
      <c r="Q560" s="90"/>
    </row>
    <row r="561" ht="12.75" customHeight="1">
      <c r="A561" s="90"/>
      <c r="B561" s="90"/>
      <c r="C561" s="90"/>
      <c r="D561" s="90"/>
      <c r="E561" s="90"/>
      <c r="F561" s="90"/>
      <c r="G561" s="90"/>
      <c r="H561" s="90"/>
      <c r="I561" s="90"/>
      <c r="J561" s="90"/>
      <c r="K561" s="90"/>
      <c r="L561" s="90"/>
      <c r="M561" s="90"/>
      <c r="N561" s="90"/>
      <c r="O561" s="90"/>
      <c r="P561" s="90"/>
      <c r="Q561" s="90"/>
    </row>
    <row r="562" ht="12.75" customHeight="1">
      <c r="A562" s="937" t="s">
        <v>4834</v>
      </c>
      <c r="B562" s="90"/>
      <c r="C562" s="90"/>
      <c r="D562" s="90"/>
      <c r="E562" s="90"/>
      <c r="F562" s="90"/>
      <c r="G562" s="90"/>
      <c r="H562" s="90"/>
      <c r="I562" s="90"/>
      <c r="J562" s="90"/>
      <c r="K562" s="90"/>
      <c r="L562" s="90"/>
      <c r="M562" s="90"/>
      <c r="N562" s="90"/>
      <c r="O562" s="90"/>
      <c r="P562" s="90"/>
      <c r="Q562" s="90"/>
    </row>
    <row r="563" ht="12.75" customHeight="1">
      <c r="A563" s="90"/>
      <c r="B563" s="90"/>
      <c r="C563" s="90"/>
      <c r="D563" s="90"/>
      <c r="E563" s="90"/>
      <c r="F563" s="90"/>
      <c r="G563" s="90"/>
      <c r="H563" s="90"/>
      <c r="I563" s="90"/>
      <c r="J563" s="90"/>
      <c r="K563" s="90"/>
      <c r="L563" s="90"/>
      <c r="M563" s="90"/>
      <c r="N563" s="90"/>
      <c r="O563" s="90"/>
      <c r="P563" s="90"/>
      <c r="Q563" s="90"/>
    </row>
    <row r="564" ht="12.75" customHeight="1">
      <c r="A564" s="937" t="s">
        <v>4835</v>
      </c>
      <c r="B564" s="90"/>
      <c r="C564" s="90"/>
      <c r="D564" s="90"/>
      <c r="E564" s="90"/>
      <c r="F564" s="90"/>
      <c r="G564" s="90"/>
      <c r="H564" s="90"/>
      <c r="I564" s="90"/>
      <c r="J564" s="90"/>
      <c r="K564" s="90"/>
      <c r="L564" s="90"/>
      <c r="M564" s="90"/>
      <c r="N564" s="90"/>
      <c r="O564" s="90"/>
      <c r="P564" s="90"/>
      <c r="Q564" s="90"/>
    </row>
    <row r="565" ht="12.75" customHeight="1">
      <c r="A565" s="90"/>
      <c r="B565" s="90"/>
      <c r="C565" s="90"/>
      <c r="D565" s="90"/>
      <c r="E565" s="90"/>
      <c r="F565" s="90"/>
      <c r="G565" s="90"/>
      <c r="H565" s="90"/>
      <c r="I565" s="90"/>
      <c r="J565" s="90"/>
      <c r="K565" s="90"/>
      <c r="L565" s="90"/>
      <c r="M565" s="90"/>
      <c r="N565" s="90"/>
      <c r="O565" s="90"/>
      <c r="P565" s="90"/>
      <c r="Q565" s="90"/>
    </row>
    <row r="566" ht="12.75" customHeight="1">
      <c r="A566" s="937" t="s">
        <v>8022</v>
      </c>
      <c r="B566" s="90"/>
      <c r="C566" s="90"/>
      <c r="D566" s="90"/>
      <c r="E566" s="90"/>
      <c r="F566" s="90"/>
      <c r="G566" s="90"/>
      <c r="H566" s="90"/>
      <c r="I566" s="90"/>
      <c r="J566" s="90"/>
      <c r="K566" s="90"/>
      <c r="L566" s="90"/>
      <c r="M566" s="90"/>
      <c r="N566" s="90"/>
      <c r="O566" s="90"/>
      <c r="P566" s="90"/>
      <c r="Q566" s="90"/>
    </row>
    <row r="567" ht="12.75" customHeight="1">
      <c r="A567" s="937" t="s">
        <v>8023</v>
      </c>
      <c r="B567" s="90"/>
      <c r="C567" s="90"/>
      <c r="D567" s="90"/>
      <c r="E567" s="90"/>
      <c r="F567" s="90"/>
      <c r="G567" s="90"/>
      <c r="H567" s="90"/>
      <c r="I567" s="90"/>
      <c r="J567" s="90"/>
      <c r="K567" s="90"/>
      <c r="L567" s="90"/>
      <c r="M567" s="90"/>
      <c r="N567" s="90"/>
      <c r="O567" s="90"/>
      <c r="P567" s="90"/>
      <c r="Q567" s="90"/>
    </row>
    <row r="568" ht="12.75" customHeight="1">
      <c r="A568" s="90"/>
      <c r="B568" s="90"/>
      <c r="C568" s="90"/>
      <c r="D568" s="90"/>
      <c r="E568" s="90"/>
      <c r="F568" s="90"/>
      <c r="G568" s="90"/>
      <c r="H568" s="90"/>
      <c r="I568" s="90"/>
      <c r="J568" s="90"/>
      <c r="K568" s="90"/>
      <c r="L568" s="90"/>
      <c r="M568" s="90"/>
      <c r="N568" s="90"/>
      <c r="O568" s="90"/>
      <c r="P568" s="90"/>
      <c r="Q568" s="90"/>
    </row>
    <row r="569" ht="12.75" customHeight="1">
      <c r="A569" s="937" t="s">
        <v>4837</v>
      </c>
      <c r="B569" s="90"/>
      <c r="C569" s="90"/>
      <c r="D569" s="90"/>
      <c r="E569" s="90"/>
      <c r="F569" s="90"/>
      <c r="G569" s="90"/>
      <c r="H569" s="90"/>
      <c r="I569" s="90"/>
      <c r="J569" s="90"/>
      <c r="K569" s="90"/>
      <c r="L569" s="90"/>
      <c r="M569" s="90"/>
      <c r="N569" s="90"/>
      <c r="O569" s="90"/>
      <c r="P569" s="90"/>
      <c r="Q569" s="90"/>
    </row>
    <row r="570" ht="12.75" customHeight="1">
      <c r="A570" s="90"/>
      <c r="B570" s="90"/>
      <c r="C570" s="90"/>
      <c r="D570" s="90"/>
      <c r="E570" s="90"/>
      <c r="F570" s="90"/>
      <c r="G570" s="90"/>
      <c r="H570" s="90"/>
      <c r="I570" s="90"/>
      <c r="J570" s="90"/>
      <c r="K570" s="90"/>
      <c r="L570" s="90"/>
      <c r="M570" s="90"/>
      <c r="N570" s="90"/>
      <c r="O570" s="90"/>
      <c r="P570" s="90"/>
      <c r="Q570" s="90"/>
    </row>
    <row r="571" ht="12.75" customHeight="1">
      <c r="A571" s="90"/>
      <c r="B571" s="90"/>
      <c r="C571" s="90"/>
      <c r="D571" s="90"/>
      <c r="E571" s="90"/>
      <c r="F571" s="90"/>
      <c r="G571" s="90"/>
      <c r="H571" s="90"/>
      <c r="I571" s="90"/>
      <c r="J571" s="90"/>
      <c r="K571" s="90"/>
      <c r="L571" s="90"/>
      <c r="M571" s="90"/>
      <c r="N571" s="90"/>
      <c r="O571" s="90"/>
      <c r="P571" s="90"/>
      <c r="Q571" s="90"/>
    </row>
    <row r="572" ht="12.75" customHeight="1">
      <c r="A572" s="90"/>
      <c r="B572" s="90"/>
      <c r="C572" s="90"/>
      <c r="D572" s="90"/>
      <c r="E572" s="90"/>
      <c r="F572" s="90"/>
      <c r="G572" s="90"/>
      <c r="H572" s="90"/>
      <c r="I572" s="90"/>
      <c r="J572" s="90"/>
      <c r="K572" s="90"/>
      <c r="L572" s="90"/>
      <c r="M572" s="90"/>
      <c r="N572" s="90"/>
      <c r="O572" s="90"/>
      <c r="P572" s="90"/>
      <c r="Q572" s="90"/>
    </row>
    <row r="573" ht="12.75" customHeight="1">
      <c r="A573" s="90"/>
      <c r="B573" s="90"/>
      <c r="C573" s="90"/>
      <c r="D573" s="90"/>
      <c r="E573" s="90"/>
      <c r="F573" s="90"/>
      <c r="G573" s="90"/>
      <c r="H573" s="90"/>
      <c r="I573" s="90"/>
      <c r="J573" s="90"/>
      <c r="K573" s="90"/>
      <c r="L573" s="90"/>
      <c r="M573" s="90"/>
      <c r="N573" s="90"/>
      <c r="O573" s="90"/>
      <c r="P573" s="90"/>
      <c r="Q573" s="90"/>
    </row>
    <row r="574" ht="12.75" customHeight="1">
      <c r="A574" s="90"/>
      <c r="B574" s="90"/>
      <c r="C574" s="90"/>
      <c r="D574" s="90"/>
      <c r="E574" s="90"/>
      <c r="F574" s="90"/>
      <c r="G574" s="90"/>
      <c r="H574" s="90"/>
      <c r="I574" s="90"/>
      <c r="J574" s="90"/>
      <c r="K574" s="90"/>
      <c r="L574" s="90"/>
      <c r="M574" s="90"/>
      <c r="N574" s="90"/>
      <c r="O574" s="90"/>
      <c r="P574" s="90"/>
      <c r="Q574" s="90"/>
    </row>
    <row r="575" ht="12.75" customHeight="1">
      <c r="A575" s="90"/>
      <c r="B575" s="90"/>
      <c r="C575" s="90"/>
      <c r="D575" s="90"/>
      <c r="E575" s="90"/>
      <c r="F575" s="90"/>
      <c r="G575" s="90"/>
      <c r="H575" s="90"/>
      <c r="I575" s="90"/>
      <c r="J575" s="90"/>
      <c r="K575" s="90"/>
      <c r="L575" s="90"/>
      <c r="M575" s="90"/>
      <c r="N575" s="90"/>
      <c r="O575" s="90"/>
      <c r="P575" s="90"/>
      <c r="Q575" s="90"/>
    </row>
    <row r="576" ht="12.75" customHeight="1">
      <c r="A576" s="90"/>
      <c r="B576" s="90"/>
      <c r="C576" s="90"/>
      <c r="D576" s="90"/>
      <c r="E576" s="90"/>
      <c r="F576" s="90"/>
      <c r="G576" s="90"/>
      <c r="H576" s="90"/>
      <c r="I576" s="90"/>
      <c r="J576" s="90"/>
      <c r="K576" s="90"/>
      <c r="L576" s="90"/>
      <c r="M576" s="90"/>
      <c r="N576" s="90"/>
      <c r="O576" s="90"/>
      <c r="P576" s="90"/>
      <c r="Q576" s="90"/>
    </row>
    <row r="577" ht="12.75" customHeight="1">
      <c r="A577" s="90"/>
      <c r="B577" s="90"/>
      <c r="C577" s="90"/>
      <c r="D577" s="90"/>
      <c r="E577" s="90"/>
      <c r="F577" s="90"/>
      <c r="G577" s="90"/>
      <c r="H577" s="90"/>
      <c r="I577" s="90"/>
      <c r="J577" s="90"/>
      <c r="K577" s="90"/>
      <c r="L577" s="90"/>
      <c r="M577" s="90"/>
      <c r="N577" s="90"/>
      <c r="O577" s="90"/>
      <c r="P577" s="90"/>
      <c r="Q577" s="90"/>
    </row>
    <row r="578" ht="12.75" customHeight="1">
      <c r="A578" s="90"/>
      <c r="B578" s="90"/>
      <c r="C578" s="90"/>
      <c r="D578" s="90"/>
      <c r="E578" s="90"/>
      <c r="F578" s="90"/>
      <c r="G578" s="90"/>
      <c r="H578" s="90"/>
      <c r="I578" s="90"/>
      <c r="J578" s="90"/>
      <c r="K578" s="90"/>
      <c r="L578" s="90"/>
      <c r="M578" s="90"/>
      <c r="N578" s="90"/>
      <c r="O578" s="90"/>
      <c r="P578" s="90"/>
      <c r="Q578" s="90"/>
    </row>
    <row r="579" ht="12.75" customHeight="1">
      <c r="A579" s="90"/>
      <c r="B579" s="90"/>
      <c r="C579" s="90"/>
      <c r="D579" s="90"/>
      <c r="E579" s="90"/>
      <c r="F579" s="90"/>
      <c r="G579" s="90"/>
      <c r="H579" s="90"/>
      <c r="I579" s="90"/>
      <c r="J579" s="90"/>
      <c r="K579" s="90"/>
      <c r="L579" s="90"/>
      <c r="M579" s="90"/>
      <c r="N579" s="90"/>
      <c r="O579" s="90"/>
      <c r="P579" s="90"/>
      <c r="Q579" s="90"/>
    </row>
    <row r="580" ht="12.75" customHeight="1">
      <c r="A580" s="90"/>
      <c r="B580" s="90"/>
      <c r="C580" s="90"/>
      <c r="D580" s="90"/>
      <c r="E580" s="90"/>
      <c r="F580" s="90"/>
      <c r="G580" s="90"/>
      <c r="H580" s="90"/>
      <c r="I580" s="90"/>
      <c r="J580" s="90"/>
      <c r="K580" s="90"/>
      <c r="L580" s="90"/>
      <c r="M580" s="90"/>
      <c r="N580" s="90"/>
      <c r="O580" s="90"/>
      <c r="P580" s="90"/>
      <c r="Q580" s="90"/>
    </row>
    <row r="581" ht="12.75" customHeight="1">
      <c r="A581" s="90"/>
      <c r="B581" s="90"/>
      <c r="C581" s="90"/>
      <c r="D581" s="90"/>
      <c r="E581" s="90"/>
      <c r="F581" s="90"/>
      <c r="G581" s="90"/>
      <c r="H581" s="90"/>
      <c r="I581" s="90"/>
      <c r="J581" s="90"/>
      <c r="K581" s="90"/>
      <c r="L581" s="90"/>
      <c r="M581" s="90"/>
      <c r="N581" s="90"/>
      <c r="O581" s="90"/>
      <c r="P581" s="90"/>
      <c r="Q581" s="90"/>
    </row>
    <row r="582" ht="12.75" customHeight="1">
      <c r="A582" s="90"/>
      <c r="B582" s="90"/>
      <c r="C582" s="90"/>
      <c r="D582" s="90"/>
      <c r="E582" s="90"/>
      <c r="F582" s="90"/>
      <c r="G582" s="90"/>
      <c r="H582" s="90"/>
      <c r="I582" s="90"/>
      <c r="J582" s="90"/>
      <c r="K582" s="90"/>
      <c r="L582" s="90"/>
      <c r="M582" s="90"/>
      <c r="N582" s="90"/>
      <c r="O582" s="90"/>
      <c r="P582" s="90"/>
      <c r="Q582" s="90"/>
    </row>
    <row r="583" ht="12.75" customHeight="1">
      <c r="A583" s="90"/>
      <c r="B583" s="90"/>
      <c r="C583" s="90"/>
      <c r="D583" s="90"/>
      <c r="E583" s="90"/>
      <c r="F583" s="90"/>
      <c r="G583" s="90"/>
      <c r="H583" s="90"/>
      <c r="I583" s="90"/>
      <c r="J583" s="90"/>
      <c r="K583" s="90"/>
      <c r="L583" s="90"/>
      <c r="M583" s="90"/>
      <c r="N583" s="90"/>
      <c r="O583" s="90"/>
      <c r="P583" s="90"/>
      <c r="Q583" s="90"/>
    </row>
    <row r="584" ht="12.75" customHeight="1">
      <c r="A584" s="90"/>
      <c r="B584" s="90"/>
      <c r="C584" s="90"/>
      <c r="D584" s="90"/>
      <c r="E584" s="90"/>
      <c r="F584" s="90"/>
      <c r="G584" s="90"/>
      <c r="H584" s="90"/>
      <c r="I584" s="90"/>
      <c r="J584" s="90"/>
      <c r="K584" s="90"/>
      <c r="L584" s="90"/>
      <c r="M584" s="90"/>
      <c r="N584" s="90"/>
      <c r="O584" s="90"/>
      <c r="P584" s="90"/>
      <c r="Q584" s="90"/>
    </row>
    <row r="585" ht="12.75" customHeight="1">
      <c r="A585" s="90"/>
      <c r="B585" s="90"/>
      <c r="C585" s="90"/>
      <c r="D585" s="90"/>
      <c r="E585" s="90"/>
      <c r="F585" s="90"/>
      <c r="G585" s="90"/>
      <c r="H585" s="90"/>
      <c r="I585" s="90"/>
      <c r="J585" s="90"/>
      <c r="K585" s="90"/>
      <c r="L585" s="90"/>
      <c r="M585" s="90"/>
      <c r="N585" s="90"/>
      <c r="O585" s="90"/>
      <c r="P585" s="90"/>
      <c r="Q585" s="90"/>
    </row>
    <row r="586" ht="12.75" customHeight="1">
      <c r="A586" s="90"/>
      <c r="B586" s="90"/>
      <c r="C586" s="90"/>
      <c r="D586" s="90"/>
      <c r="E586" s="90"/>
      <c r="F586" s="90"/>
      <c r="G586" s="90"/>
      <c r="H586" s="90"/>
      <c r="I586" s="90"/>
      <c r="J586" s="90"/>
      <c r="K586" s="90"/>
      <c r="L586" s="90"/>
      <c r="M586" s="90"/>
      <c r="N586" s="90"/>
      <c r="O586" s="90"/>
      <c r="P586" s="90"/>
      <c r="Q586" s="90"/>
    </row>
    <row r="587" ht="12.75" customHeight="1">
      <c r="A587" s="90"/>
      <c r="B587" s="90"/>
      <c r="C587" s="90"/>
      <c r="D587" s="90"/>
      <c r="E587" s="90"/>
      <c r="F587" s="90"/>
      <c r="G587" s="90"/>
      <c r="H587" s="90"/>
      <c r="I587" s="90"/>
      <c r="J587" s="90"/>
      <c r="K587" s="90"/>
      <c r="L587" s="90"/>
      <c r="M587" s="90"/>
      <c r="N587" s="90"/>
      <c r="O587" s="90"/>
      <c r="P587" s="90"/>
      <c r="Q587" s="90"/>
    </row>
    <row r="588" ht="12.75" customHeight="1">
      <c r="A588" s="90"/>
      <c r="B588" s="90"/>
      <c r="C588" s="90"/>
      <c r="D588" s="90"/>
      <c r="E588" s="90"/>
      <c r="F588" s="90"/>
      <c r="G588" s="90"/>
      <c r="H588" s="90"/>
      <c r="I588" s="90"/>
      <c r="J588" s="90"/>
      <c r="K588" s="90"/>
      <c r="L588" s="90"/>
      <c r="M588" s="90"/>
      <c r="N588" s="90"/>
      <c r="O588" s="90"/>
      <c r="P588" s="90"/>
      <c r="Q588" s="90"/>
    </row>
    <row r="589" ht="12.75" customHeight="1">
      <c r="A589" s="90"/>
      <c r="B589" s="90"/>
      <c r="C589" s="90"/>
      <c r="D589" s="90"/>
      <c r="E589" s="90"/>
      <c r="F589" s="90"/>
      <c r="G589" s="90"/>
      <c r="H589" s="90"/>
      <c r="I589" s="90"/>
      <c r="J589" s="90"/>
      <c r="K589" s="90"/>
      <c r="L589" s="90"/>
      <c r="M589" s="90"/>
      <c r="N589" s="90"/>
      <c r="O589" s="90"/>
      <c r="P589" s="90"/>
      <c r="Q589" s="90"/>
    </row>
    <row r="590" ht="12.75" customHeight="1">
      <c r="A590" s="90"/>
      <c r="B590" s="90"/>
      <c r="C590" s="90"/>
      <c r="D590" s="90"/>
      <c r="E590" s="90"/>
      <c r="F590" s="90"/>
      <c r="G590" s="90"/>
      <c r="H590" s="90"/>
      <c r="I590" s="90"/>
      <c r="J590" s="90"/>
      <c r="K590" s="90"/>
      <c r="L590" s="90"/>
      <c r="M590" s="90"/>
      <c r="N590" s="90"/>
      <c r="O590" s="90"/>
      <c r="P590" s="90"/>
      <c r="Q590" s="90"/>
    </row>
    <row r="591" ht="12.75" customHeight="1">
      <c r="A591" s="90"/>
      <c r="B591" s="90"/>
      <c r="C591" s="90"/>
      <c r="D591" s="90"/>
      <c r="E591" s="90"/>
      <c r="F591" s="90"/>
      <c r="G591" s="90"/>
      <c r="H591" s="90"/>
      <c r="I591" s="90"/>
      <c r="J591" s="90"/>
      <c r="K591" s="90"/>
      <c r="L591" s="90"/>
      <c r="M591" s="90"/>
      <c r="N591" s="90"/>
      <c r="O591" s="90"/>
      <c r="P591" s="90"/>
      <c r="Q591" s="90"/>
    </row>
    <row r="592" ht="12.75" customHeight="1">
      <c r="A592" s="90"/>
      <c r="B592" s="90"/>
      <c r="C592" s="90"/>
      <c r="D592" s="90"/>
      <c r="E592" s="90"/>
      <c r="F592" s="90"/>
      <c r="G592" s="90"/>
      <c r="H592" s="90"/>
      <c r="I592" s="90"/>
      <c r="J592" s="90"/>
      <c r="K592" s="90"/>
      <c r="L592" s="90"/>
      <c r="M592" s="90"/>
      <c r="N592" s="90"/>
      <c r="O592" s="90"/>
      <c r="P592" s="90"/>
      <c r="Q592" s="90"/>
    </row>
    <row r="593" ht="12.75" customHeight="1">
      <c r="A593" s="90"/>
      <c r="B593" s="90"/>
      <c r="C593" s="90"/>
      <c r="D593" s="90"/>
      <c r="E593" s="90"/>
      <c r="F593" s="90"/>
      <c r="G593" s="90"/>
      <c r="H593" s="90"/>
      <c r="I593" s="90"/>
      <c r="J593" s="90"/>
      <c r="K593" s="90"/>
      <c r="L593" s="90"/>
      <c r="M593" s="90"/>
      <c r="N593" s="90"/>
      <c r="O593" s="90"/>
      <c r="P593" s="90"/>
      <c r="Q593" s="90"/>
    </row>
    <row r="594" ht="12.75" customHeight="1">
      <c r="A594" s="90"/>
      <c r="B594" s="90"/>
      <c r="C594" s="90"/>
      <c r="D594" s="90"/>
      <c r="E594" s="90"/>
      <c r="F594" s="90"/>
      <c r="G594" s="90"/>
      <c r="H594" s="90"/>
      <c r="I594" s="90"/>
      <c r="J594" s="90"/>
      <c r="K594" s="90"/>
      <c r="L594" s="90"/>
      <c r="M594" s="90"/>
      <c r="N594" s="90"/>
      <c r="O594" s="90"/>
      <c r="P594" s="90"/>
      <c r="Q594" s="90"/>
    </row>
    <row r="595" ht="12.75" customHeight="1">
      <c r="A595" s="90"/>
      <c r="B595" s="90"/>
      <c r="C595" s="90"/>
      <c r="D595" s="90"/>
      <c r="E595" s="90"/>
      <c r="F595" s="90"/>
      <c r="G595" s="90"/>
      <c r="H595" s="90"/>
      <c r="I595" s="90"/>
      <c r="J595" s="90"/>
      <c r="K595" s="90"/>
      <c r="L595" s="90"/>
      <c r="M595" s="90"/>
      <c r="N595" s="90"/>
      <c r="O595" s="90"/>
      <c r="P595" s="90"/>
      <c r="Q595" s="90"/>
    </row>
    <row r="596" ht="12.75" customHeight="1">
      <c r="A596" s="90"/>
      <c r="B596" s="90"/>
      <c r="C596" s="90"/>
      <c r="D596" s="90"/>
      <c r="E596" s="90"/>
      <c r="F596" s="90"/>
      <c r="G596" s="90"/>
      <c r="H596" s="90"/>
      <c r="I596" s="90"/>
      <c r="J596" s="90"/>
      <c r="K596" s="90"/>
      <c r="L596" s="90"/>
      <c r="M596" s="90"/>
      <c r="N596" s="90"/>
      <c r="O596" s="90"/>
      <c r="P596" s="90"/>
      <c r="Q596" s="90"/>
    </row>
    <row r="597" ht="12.75" customHeight="1">
      <c r="A597" s="90"/>
      <c r="B597" s="90"/>
      <c r="C597" s="90"/>
      <c r="D597" s="90"/>
      <c r="E597" s="90"/>
      <c r="F597" s="90"/>
      <c r="G597" s="90"/>
      <c r="H597" s="90"/>
      <c r="I597" s="90"/>
      <c r="J597" s="90"/>
      <c r="K597" s="90"/>
      <c r="L597" s="90"/>
      <c r="M597" s="90"/>
      <c r="N597" s="90"/>
      <c r="O597" s="90"/>
      <c r="P597" s="90"/>
      <c r="Q597" s="90"/>
    </row>
    <row r="598" ht="12.75" customHeight="1">
      <c r="A598" s="90"/>
      <c r="B598" s="90"/>
      <c r="C598" s="90"/>
      <c r="D598" s="90"/>
      <c r="E598" s="90"/>
      <c r="F598" s="90"/>
      <c r="G598" s="90"/>
      <c r="H598" s="90"/>
      <c r="I598" s="90"/>
      <c r="J598" s="90"/>
      <c r="K598" s="90"/>
      <c r="L598" s="90"/>
      <c r="M598" s="90"/>
      <c r="N598" s="90"/>
      <c r="O598" s="90"/>
      <c r="P598" s="90"/>
      <c r="Q598" s="90"/>
    </row>
    <row r="599" ht="12.75" customHeight="1">
      <c r="A599" s="90"/>
      <c r="B599" s="90"/>
      <c r="C599" s="90"/>
      <c r="D599" s="90"/>
      <c r="E599" s="90"/>
      <c r="F599" s="90"/>
      <c r="G599" s="90"/>
      <c r="H599" s="90"/>
      <c r="I599" s="90"/>
      <c r="J599" s="90"/>
      <c r="K599" s="90"/>
      <c r="L599" s="90"/>
      <c r="M599" s="90"/>
      <c r="N599" s="90"/>
      <c r="O599" s="90"/>
      <c r="P599" s="90"/>
      <c r="Q599" s="90"/>
    </row>
    <row r="600" ht="12.75" customHeight="1">
      <c r="A600" s="90"/>
      <c r="B600" s="90"/>
      <c r="C600" s="90"/>
      <c r="D600" s="90"/>
      <c r="E600" s="90"/>
      <c r="F600" s="90"/>
      <c r="G600" s="90"/>
      <c r="H600" s="90"/>
      <c r="I600" s="90"/>
      <c r="J600" s="90"/>
      <c r="K600" s="90"/>
      <c r="L600" s="90"/>
      <c r="M600" s="90"/>
      <c r="N600" s="90"/>
      <c r="O600" s="90"/>
      <c r="P600" s="90"/>
      <c r="Q600" s="90"/>
    </row>
    <row r="601" ht="12.75" customHeight="1">
      <c r="A601" s="90"/>
      <c r="B601" s="90"/>
      <c r="C601" s="90"/>
      <c r="D601" s="90"/>
      <c r="E601" s="90"/>
      <c r="F601" s="90"/>
      <c r="G601" s="90"/>
      <c r="H601" s="90"/>
      <c r="I601" s="90"/>
      <c r="J601" s="90"/>
      <c r="K601" s="90"/>
      <c r="L601" s="90"/>
      <c r="M601" s="90"/>
      <c r="N601" s="90"/>
      <c r="O601" s="90"/>
      <c r="P601" s="90"/>
      <c r="Q601" s="90"/>
    </row>
    <row r="602" ht="12.75" customHeight="1">
      <c r="A602" s="90"/>
      <c r="B602" s="90"/>
      <c r="C602" s="90"/>
      <c r="D602" s="90"/>
      <c r="E602" s="90"/>
      <c r="F602" s="90"/>
      <c r="G602" s="90"/>
      <c r="H602" s="90"/>
      <c r="I602" s="90"/>
      <c r="J602" s="90"/>
      <c r="K602" s="90"/>
      <c r="L602" s="90"/>
      <c r="M602" s="90"/>
      <c r="N602" s="90"/>
      <c r="O602" s="90"/>
      <c r="P602" s="90"/>
      <c r="Q602" s="90"/>
    </row>
    <row r="603" ht="12.75" customHeight="1">
      <c r="A603" s="90"/>
      <c r="B603" s="90"/>
      <c r="C603" s="90"/>
      <c r="D603" s="90"/>
      <c r="E603" s="90"/>
      <c r="F603" s="90"/>
      <c r="G603" s="90"/>
      <c r="H603" s="90"/>
      <c r="I603" s="90"/>
      <c r="J603" s="90"/>
      <c r="K603" s="90"/>
      <c r="L603" s="90"/>
      <c r="M603" s="90"/>
      <c r="N603" s="90"/>
      <c r="O603" s="90"/>
      <c r="P603" s="90"/>
      <c r="Q603" s="90"/>
    </row>
    <row r="604" ht="12.75" customHeight="1">
      <c r="A604" s="90"/>
      <c r="B604" s="90"/>
      <c r="C604" s="90"/>
      <c r="D604" s="90"/>
      <c r="E604" s="90"/>
      <c r="F604" s="90"/>
      <c r="G604" s="90"/>
      <c r="H604" s="90"/>
      <c r="I604" s="90"/>
      <c r="J604" s="90"/>
      <c r="K604" s="90"/>
      <c r="L604" s="90"/>
      <c r="M604" s="90"/>
      <c r="N604" s="90"/>
      <c r="O604" s="90"/>
      <c r="P604" s="90"/>
      <c r="Q604" s="90"/>
    </row>
    <row r="605" ht="12.75" customHeight="1">
      <c r="A605" s="90"/>
      <c r="B605" s="90"/>
      <c r="C605" s="90"/>
      <c r="D605" s="90"/>
      <c r="E605" s="90"/>
      <c r="F605" s="90"/>
      <c r="G605" s="90"/>
      <c r="H605" s="90"/>
      <c r="I605" s="90"/>
      <c r="J605" s="90"/>
      <c r="K605" s="90"/>
      <c r="L605" s="90"/>
      <c r="M605" s="90"/>
      <c r="N605" s="90"/>
      <c r="O605" s="90"/>
      <c r="P605" s="90"/>
      <c r="Q605" s="90"/>
    </row>
    <row r="606" ht="12.75" customHeight="1">
      <c r="A606" s="90"/>
      <c r="B606" s="90"/>
      <c r="C606" s="90"/>
      <c r="D606" s="90"/>
      <c r="E606" s="90"/>
      <c r="F606" s="90"/>
      <c r="G606" s="90"/>
      <c r="H606" s="90"/>
      <c r="I606" s="90"/>
      <c r="J606" s="90"/>
      <c r="K606" s="90"/>
      <c r="L606" s="90"/>
      <c r="M606" s="90"/>
      <c r="N606" s="90"/>
      <c r="O606" s="90"/>
      <c r="P606" s="90"/>
      <c r="Q606" s="90"/>
    </row>
    <row r="607" ht="12.75" customHeight="1">
      <c r="A607" s="90"/>
      <c r="B607" s="90"/>
      <c r="C607" s="90"/>
      <c r="D607" s="90"/>
      <c r="E607" s="90"/>
      <c r="F607" s="90"/>
      <c r="G607" s="90"/>
      <c r="H607" s="90"/>
      <c r="I607" s="90"/>
      <c r="J607" s="90"/>
      <c r="K607" s="90"/>
      <c r="L607" s="90"/>
      <c r="M607" s="90"/>
      <c r="N607" s="90"/>
      <c r="O607" s="90"/>
      <c r="P607" s="90"/>
      <c r="Q607" s="90"/>
    </row>
    <row r="608" ht="12.75" customHeight="1">
      <c r="A608" s="90"/>
      <c r="B608" s="90"/>
      <c r="C608" s="90"/>
      <c r="D608" s="90"/>
      <c r="E608" s="90"/>
      <c r="F608" s="90"/>
      <c r="G608" s="90"/>
      <c r="H608" s="90"/>
      <c r="I608" s="90"/>
      <c r="J608" s="90"/>
      <c r="K608" s="90"/>
      <c r="L608" s="90"/>
      <c r="M608" s="90"/>
      <c r="N608" s="90"/>
      <c r="O608" s="90"/>
      <c r="P608" s="90"/>
      <c r="Q608" s="90"/>
    </row>
    <row r="609" ht="12.75" customHeight="1">
      <c r="A609" s="90"/>
      <c r="B609" s="90"/>
      <c r="C609" s="90"/>
      <c r="D609" s="90"/>
      <c r="E609" s="90"/>
      <c r="F609" s="90"/>
      <c r="G609" s="90"/>
      <c r="H609" s="90"/>
      <c r="I609" s="90"/>
      <c r="J609" s="90"/>
      <c r="K609" s="90"/>
      <c r="L609" s="90"/>
      <c r="M609" s="90"/>
      <c r="N609" s="90"/>
      <c r="O609" s="90"/>
      <c r="P609" s="90"/>
      <c r="Q609" s="90"/>
    </row>
    <row r="610" ht="12.75" customHeight="1">
      <c r="A610" s="90"/>
      <c r="B610" s="90"/>
      <c r="C610" s="90"/>
      <c r="D610" s="90"/>
      <c r="E610" s="90"/>
      <c r="F610" s="90"/>
      <c r="G610" s="90"/>
      <c r="H610" s="90"/>
      <c r="I610" s="90"/>
      <c r="J610" s="90"/>
      <c r="K610" s="90"/>
      <c r="L610" s="90"/>
      <c r="M610" s="90"/>
      <c r="N610" s="90"/>
      <c r="O610" s="90"/>
      <c r="P610" s="90"/>
      <c r="Q610" s="90"/>
    </row>
    <row r="611" ht="12.75" customHeight="1">
      <c r="A611" s="90"/>
      <c r="B611" s="90"/>
      <c r="C611" s="90"/>
      <c r="D611" s="90"/>
      <c r="E611" s="90"/>
      <c r="F611" s="90"/>
      <c r="G611" s="90"/>
      <c r="H611" s="90"/>
      <c r="I611" s="90"/>
      <c r="J611" s="90"/>
      <c r="K611" s="90"/>
      <c r="L611" s="90"/>
      <c r="M611" s="90"/>
      <c r="N611" s="90"/>
      <c r="O611" s="90"/>
      <c r="P611" s="90"/>
      <c r="Q611" s="90"/>
    </row>
    <row r="612" ht="12.75" customHeight="1">
      <c r="A612" s="90"/>
      <c r="B612" s="90"/>
      <c r="C612" s="90"/>
      <c r="D612" s="90"/>
      <c r="E612" s="90"/>
      <c r="F612" s="90"/>
      <c r="G612" s="90"/>
      <c r="H612" s="90"/>
      <c r="I612" s="90"/>
      <c r="J612" s="90"/>
      <c r="K612" s="90"/>
      <c r="L612" s="90"/>
      <c r="M612" s="90"/>
      <c r="N612" s="90"/>
      <c r="O612" s="90"/>
      <c r="P612" s="90"/>
      <c r="Q612" s="90"/>
    </row>
    <row r="613" ht="12.75" customHeight="1">
      <c r="A613" s="90"/>
      <c r="B613" s="90"/>
      <c r="C613" s="90"/>
      <c r="D613" s="90"/>
      <c r="E613" s="90"/>
      <c r="F613" s="90"/>
      <c r="G613" s="90"/>
      <c r="H613" s="90"/>
      <c r="I613" s="90"/>
      <c r="J613" s="90"/>
      <c r="K613" s="90"/>
      <c r="L613" s="90"/>
      <c r="M613" s="90"/>
      <c r="N613" s="90"/>
      <c r="O613" s="90"/>
      <c r="P613" s="90"/>
      <c r="Q613" s="90"/>
    </row>
    <row r="614" ht="12.75" customHeight="1">
      <c r="A614" s="90"/>
      <c r="B614" s="90"/>
      <c r="C614" s="90"/>
      <c r="D614" s="90"/>
      <c r="E614" s="90"/>
      <c r="F614" s="90"/>
      <c r="G614" s="90"/>
      <c r="H614" s="90"/>
      <c r="I614" s="90"/>
      <c r="J614" s="90"/>
      <c r="K614" s="90"/>
      <c r="L614" s="90"/>
      <c r="M614" s="90"/>
      <c r="N614" s="90"/>
      <c r="O614" s="90"/>
      <c r="P614" s="90"/>
      <c r="Q614" s="90"/>
    </row>
    <row r="615" ht="12.75" customHeight="1">
      <c r="A615" s="90"/>
      <c r="B615" s="90"/>
      <c r="C615" s="90"/>
      <c r="D615" s="90"/>
      <c r="E615" s="90"/>
      <c r="F615" s="90"/>
      <c r="G615" s="90"/>
      <c r="H615" s="90"/>
      <c r="I615" s="90"/>
      <c r="J615" s="90"/>
      <c r="K615" s="90"/>
      <c r="L615" s="90"/>
      <c r="M615" s="90"/>
      <c r="N615" s="90"/>
      <c r="O615" s="90"/>
      <c r="P615" s="90"/>
      <c r="Q615" s="90"/>
    </row>
    <row r="616" ht="12.75" customHeight="1">
      <c r="A616" s="90"/>
      <c r="B616" s="90"/>
      <c r="C616" s="90"/>
      <c r="D616" s="90"/>
      <c r="E616" s="90"/>
      <c r="F616" s="90"/>
      <c r="G616" s="90"/>
      <c r="H616" s="90"/>
      <c r="I616" s="90"/>
      <c r="J616" s="90"/>
      <c r="K616" s="90"/>
      <c r="L616" s="90"/>
      <c r="M616" s="90"/>
      <c r="N616" s="90"/>
      <c r="O616" s="90"/>
      <c r="P616" s="90"/>
      <c r="Q616" s="90"/>
    </row>
    <row r="617" ht="12.75" customHeight="1">
      <c r="A617" s="90"/>
      <c r="B617" s="90"/>
      <c r="C617" s="90"/>
      <c r="D617" s="90"/>
      <c r="E617" s="90"/>
      <c r="F617" s="90"/>
      <c r="G617" s="90"/>
      <c r="H617" s="90"/>
      <c r="I617" s="90"/>
      <c r="J617" s="90"/>
      <c r="K617" s="90"/>
      <c r="L617" s="90"/>
      <c r="M617" s="90"/>
      <c r="N617" s="90"/>
      <c r="O617" s="90"/>
      <c r="P617" s="90"/>
      <c r="Q617" s="90"/>
    </row>
    <row r="618" ht="12.75" customHeight="1">
      <c r="A618" s="90"/>
      <c r="B618" s="90"/>
      <c r="C618" s="90"/>
      <c r="D618" s="90"/>
      <c r="E618" s="90"/>
      <c r="F618" s="90"/>
      <c r="G618" s="90"/>
      <c r="H618" s="90"/>
      <c r="I618" s="90"/>
      <c r="J618" s="90"/>
      <c r="K618" s="90"/>
      <c r="L618" s="90"/>
      <c r="M618" s="90"/>
      <c r="N618" s="90"/>
      <c r="O618" s="90"/>
      <c r="P618" s="90"/>
      <c r="Q618" s="90"/>
    </row>
    <row r="619" ht="12.75" customHeight="1">
      <c r="A619" s="90"/>
      <c r="B619" s="90"/>
      <c r="C619" s="90"/>
      <c r="D619" s="90"/>
      <c r="E619" s="90"/>
      <c r="F619" s="90"/>
      <c r="G619" s="90"/>
      <c r="H619" s="90"/>
      <c r="I619" s="90"/>
      <c r="J619" s="90"/>
      <c r="K619" s="90"/>
      <c r="L619" s="90"/>
      <c r="M619" s="90"/>
      <c r="N619" s="90"/>
      <c r="O619" s="90"/>
      <c r="P619" s="90"/>
      <c r="Q619" s="90"/>
    </row>
    <row r="620" ht="12.75" customHeight="1">
      <c r="A620" s="90"/>
      <c r="B620" s="90"/>
      <c r="C620" s="90"/>
      <c r="D620" s="90"/>
      <c r="E620" s="90"/>
      <c r="F620" s="90"/>
      <c r="G620" s="90"/>
      <c r="H620" s="90"/>
      <c r="I620" s="90"/>
      <c r="J620" s="90"/>
      <c r="K620" s="90"/>
      <c r="L620" s="90"/>
      <c r="M620" s="90"/>
      <c r="N620" s="90"/>
      <c r="O620" s="90"/>
      <c r="P620" s="90"/>
      <c r="Q620" s="90"/>
    </row>
    <row r="621" ht="12.75" customHeight="1">
      <c r="A621" s="90"/>
      <c r="B621" s="90"/>
      <c r="C621" s="90"/>
      <c r="D621" s="90"/>
      <c r="E621" s="90"/>
      <c r="F621" s="90"/>
      <c r="G621" s="90"/>
      <c r="H621" s="90"/>
      <c r="I621" s="90"/>
      <c r="J621" s="90"/>
      <c r="K621" s="90"/>
      <c r="L621" s="90"/>
      <c r="M621" s="90"/>
      <c r="N621" s="90"/>
      <c r="O621" s="90"/>
      <c r="P621" s="90"/>
      <c r="Q621" s="90"/>
    </row>
    <row r="622" ht="12.75" customHeight="1">
      <c r="A622" s="90"/>
      <c r="B622" s="90"/>
      <c r="C622" s="90"/>
      <c r="D622" s="90"/>
      <c r="E622" s="90"/>
      <c r="F622" s="90"/>
      <c r="G622" s="90"/>
      <c r="H622" s="90"/>
      <c r="I622" s="90"/>
      <c r="J622" s="90"/>
      <c r="K622" s="90"/>
      <c r="L622" s="90"/>
      <c r="M622" s="90"/>
      <c r="N622" s="90"/>
      <c r="O622" s="90"/>
      <c r="P622" s="90"/>
      <c r="Q622" s="90"/>
    </row>
    <row r="623" ht="12.75" customHeight="1">
      <c r="A623" s="90"/>
      <c r="B623" s="90"/>
      <c r="C623" s="90"/>
      <c r="D623" s="90"/>
      <c r="E623" s="90"/>
      <c r="F623" s="90"/>
      <c r="G623" s="90"/>
      <c r="H623" s="90"/>
      <c r="I623" s="90"/>
      <c r="J623" s="90"/>
      <c r="K623" s="90"/>
      <c r="L623" s="90"/>
      <c r="M623" s="90"/>
      <c r="N623" s="90"/>
      <c r="O623" s="90"/>
      <c r="P623" s="90"/>
      <c r="Q623" s="90"/>
    </row>
    <row r="624" ht="12.75" customHeight="1">
      <c r="A624" s="90"/>
      <c r="B624" s="90"/>
      <c r="C624" s="90"/>
      <c r="D624" s="90"/>
      <c r="E624" s="90"/>
      <c r="F624" s="90"/>
      <c r="G624" s="90"/>
      <c r="H624" s="90"/>
      <c r="I624" s="90"/>
      <c r="J624" s="90"/>
      <c r="K624" s="90"/>
      <c r="L624" s="90"/>
      <c r="M624" s="90"/>
      <c r="N624" s="90"/>
      <c r="O624" s="90"/>
      <c r="P624" s="90"/>
      <c r="Q624" s="90"/>
    </row>
    <row r="625" ht="12.75" customHeight="1">
      <c r="A625" s="90"/>
      <c r="B625" s="90"/>
      <c r="C625" s="90"/>
      <c r="D625" s="90"/>
      <c r="E625" s="90"/>
      <c r="F625" s="90"/>
      <c r="G625" s="90"/>
      <c r="H625" s="90"/>
      <c r="I625" s="90"/>
      <c r="J625" s="90"/>
      <c r="K625" s="90"/>
      <c r="L625" s="90"/>
      <c r="M625" s="90"/>
      <c r="N625" s="90"/>
      <c r="O625" s="90"/>
      <c r="P625" s="90"/>
      <c r="Q625" s="90"/>
    </row>
    <row r="626" ht="12.75" customHeight="1">
      <c r="A626" s="90"/>
      <c r="B626" s="90"/>
      <c r="C626" s="90"/>
      <c r="D626" s="90"/>
      <c r="E626" s="90"/>
      <c r="F626" s="90"/>
      <c r="G626" s="90"/>
      <c r="H626" s="90"/>
      <c r="I626" s="90"/>
      <c r="J626" s="90"/>
      <c r="K626" s="90"/>
      <c r="L626" s="90"/>
      <c r="M626" s="90"/>
      <c r="N626" s="90"/>
      <c r="O626" s="90"/>
      <c r="P626" s="90"/>
      <c r="Q626" s="90"/>
    </row>
    <row r="627" ht="12.75" customHeight="1">
      <c r="A627" s="90"/>
      <c r="B627" s="90"/>
      <c r="C627" s="90"/>
      <c r="D627" s="90"/>
      <c r="E627" s="90"/>
      <c r="F627" s="90"/>
      <c r="G627" s="90"/>
      <c r="H627" s="90"/>
      <c r="I627" s="90"/>
      <c r="J627" s="90"/>
      <c r="K627" s="90"/>
      <c r="L627" s="90"/>
      <c r="M627" s="90"/>
      <c r="N627" s="90"/>
      <c r="O627" s="90"/>
      <c r="P627" s="90"/>
      <c r="Q627" s="90"/>
    </row>
    <row r="628" ht="12.75" customHeight="1">
      <c r="A628" s="90"/>
      <c r="B628" s="90"/>
      <c r="C628" s="90"/>
      <c r="D628" s="90"/>
      <c r="E628" s="90"/>
      <c r="F628" s="90"/>
      <c r="G628" s="90"/>
      <c r="H628" s="90"/>
      <c r="I628" s="90"/>
      <c r="J628" s="90"/>
      <c r="K628" s="90"/>
      <c r="L628" s="90"/>
      <c r="M628" s="90"/>
      <c r="N628" s="90"/>
      <c r="O628" s="90"/>
      <c r="P628" s="90"/>
      <c r="Q628" s="90"/>
    </row>
    <row r="629" ht="12.75" customHeight="1">
      <c r="A629" s="90"/>
      <c r="B629" s="90"/>
      <c r="C629" s="90"/>
      <c r="D629" s="90"/>
      <c r="E629" s="90"/>
      <c r="F629" s="90"/>
      <c r="G629" s="90"/>
      <c r="H629" s="90"/>
      <c r="I629" s="90"/>
      <c r="J629" s="90"/>
      <c r="K629" s="90"/>
      <c r="L629" s="90"/>
      <c r="M629" s="90"/>
      <c r="N629" s="90"/>
      <c r="O629" s="90"/>
      <c r="P629" s="90"/>
      <c r="Q629" s="90"/>
    </row>
    <row r="630" ht="12.75" customHeight="1">
      <c r="A630" s="90"/>
      <c r="B630" s="90"/>
      <c r="C630" s="90"/>
      <c r="D630" s="90"/>
      <c r="E630" s="90"/>
      <c r="F630" s="90"/>
      <c r="G630" s="90"/>
      <c r="H630" s="90"/>
      <c r="I630" s="90"/>
      <c r="J630" s="90"/>
      <c r="K630" s="90"/>
      <c r="L630" s="90"/>
      <c r="M630" s="90"/>
      <c r="N630" s="90"/>
      <c r="O630" s="90"/>
      <c r="P630" s="90"/>
      <c r="Q630" s="90"/>
    </row>
    <row r="631" ht="12.75" customHeight="1">
      <c r="A631" s="90"/>
      <c r="B631" s="90"/>
      <c r="C631" s="90"/>
      <c r="D631" s="90"/>
      <c r="E631" s="90"/>
      <c r="F631" s="90"/>
      <c r="G631" s="90"/>
      <c r="H631" s="90"/>
      <c r="I631" s="90"/>
      <c r="J631" s="90"/>
      <c r="K631" s="90"/>
      <c r="L631" s="90"/>
      <c r="M631" s="90"/>
      <c r="N631" s="90"/>
      <c r="O631" s="90"/>
      <c r="P631" s="90"/>
      <c r="Q631" s="90"/>
    </row>
    <row r="632" ht="12.75" customHeight="1">
      <c r="A632" s="90"/>
      <c r="B632" s="90"/>
      <c r="C632" s="90"/>
      <c r="D632" s="90"/>
      <c r="E632" s="90"/>
      <c r="F632" s="90"/>
      <c r="G632" s="90"/>
      <c r="H632" s="90"/>
      <c r="I632" s="90"/>
      <c r="J632" s="90"/>
      <c r="K632" s="90"/>
      <c r="L632" s="90"/>
      <c r="M632" s="90"/>
      <c r="N632" s="90"/>
      <c r="O632" s="90"/>
      <c r="P632" s="90"/>
      <c r="Q632" s="90"/>
    </row>
    <row r="633" ht="12.75" customHeight="1">
      <c r="A633" s="90"/>
      <c r="B633" s="90"/>
      <c r="C633" s="90"/>
      <c r="D633" s="90"/>
      <c r="E633" s="90"/>
      <c r="F633" s="90"/>
      <c r="G633" s="90"/>
      <c r="H633" s="90"/>
      <c r="I633" s="90"/>
      <c r="J633" s="90"/>
      <c r="K633" s="90"/>
      <c r="L633" s="90"/>
      <c r="M633" s="90"/>
      <c r="N633" s="90"/>
      <c r="O633" s="90"/>
      <c r="P633" s="90"/>
      <c r="Q633" s="90"/>
    </row>
    <row r="634" ht="12.75" customHeight="1">
      <c r="A634" s="90"/>
      <c r="B634" s="90"/>
      <c r="C634" s="90"/>
      <c r="D634" s="90"/>
      <c r="E634" s="90"/>
      <c r="F634" s="90"/>
      <c r="G634" s="90"/>
      <c r="H634" s="90"/>
      <c r="I634" s="90"/>
      <c r="J634" s="90"/>
      <c r="K634" s="90"/>
      <c r="L634" s="90"/>
      <c r="M634" s="90"/>
      <c r="N634" s="90"/>
      <c r="O634" s="90"/>
      <c r="P634" s="90"/>
      <c r="Q634" s="90"/>
    </row>
    <row r="635" ht="12.75" customHeight="1">
      <c r="A635" s="90"/>
      <c r="B635" s="90"/>
      <c r="C635" s="90"/>
      <c r="D635" s="90"/>
      <c r="E635" s="90"/>
      <c r="F635" s="90"/>
      <c r="G635" s="90"/>
      <c r="H635" s="90"/>
      <c r="I635" s="90"/>
      <c r="J635" s="90"/>
      <c r="K635" s="90"/>
      <c r="L635" s="90"/>
      <c r="M635" s="90"/>
      <c r="N635" s="90"/>
      <c r="O635" s="90"/>
      <c r="P635" s="90"/>
      <c r="Q635" s="90"/>
    </row>
    <row r="636" ht="12.75" customHeight="1">
      <c r="A636" s="90"/>
      <c r="B636" s="90"/>
      <c r="C636" s="90"/>
      <c r="D636" s="90"/>
      <c r="E636" s="90"/>
      <c r="F636" s="90"/>
      <c r="G636" s="90"/>
      <c r="H636" s="90"/>
      <c r="I636" s="90"/>
      <c r="J636" s="90"/>
      <c r="K636" s="90"/>
      <c r="L636" s="90"/>
      <c r="M636" s="90"/>
      <c r="N636" s="90"/>
      <c r="O636" s="90"/>
      <c r="P636" s="90"/>
      <c r="Q636" s="90"/>
    </row>
    <row r="637" ht="12.75" customHeight="1">
      <c r="A637" s="90"/>
      <c r="B637" s="90"/>
      <c r="C637" s="90"/>
      <c r="D637" s="90"/>
      <c r="E637" s="90"/>
      <c r="F637" s="90"/>
      <c r="G637" s="90"/>
      <c r="H637" s="90"/>
      <c r="I637" s="90"/>
      <c r="J637" s="90"/>
      <c r="K637" s="90"/>
      <c r="L637" s="90"/>
      <c r="M637" s="90"/>
      <c r="N637" s="90"/>
      <c r="O637" s="90"/>
      <c r="P637" s="90"/>
      <c r="Q637" s="90"/>
    </row>
    <row r="638" ht="12.75" customHeight="1">
      <c r="A638" s="90"/>
      <c r="B638" s="90"/>
      <c r="C638" s="90"/>
      <c r="D638" s="90"/>
      <c r="E638" s="90"/>
      <c r="F638" s="90"/>
      <c r="G638" s="90"/>
      <c r="H638" s="90"/>
      <c r="I638" s="90"/>
      <c r="J638" s="90"/>
      <c r="K638" s="90"/>
      <c r="L638" s="90"/>
      <c r="M638" s="90"/>
      <c r="N638" s="90"/>
      <c r="O638" s="90"/>
      <c r="P638" s="90"/>
      <c r="Q638" s="90"/>
    </row>
    <row r="639" ht="12.75" customHeight="1">
      <c r="A639" s="90"/>
      <c r="B639" s="90"/>
      <c r="C639" s="90"/>
      <c r="D639" s="90"/>
      <c r="E639" s="90"/>
      <c r="F639" s="90"/>
      <c r="G639" s="90"/>
      <c r="H639" s="90"/>
      <c r="I639" s="90"/>
      <c r="J639" s="90"/>
      <c r="K639" s="90"/>
      <c r="L639" s="90"/>
      <c r="M639" s="90"/>
      <c r="N639" s="90"/>
      <c r="O639" s="90"/>
      <c r="P639" s="90"/>
      <c r="Q639" s="90"/>
    </row>
    <row r="640" ht="12.75" customHeight="1">
      <c r="A640" s="90"/>
      <c r="B640" s="90"/>
      <c r="C640" s="90"/>
      <c r="D640" s="90"/>
      <c r="E640" s="90"/>
      <c r="F640" s="90"/>
      <c r="G640" s="90"/>
      <c r="H640" s="90"/>
      <c r="I640" s="90"/>
      <c r="J640" s="90"/>
      <c r="K640" s="90"/>
      <c r="L640" s="90"/>
      <c r="M640" s="90"/>
      <c r="N640" s="90"/>
      <c r="O640" s="90"/>
      <c r="P640" s="90"/>
      <c r="Q640" s="90"/>
    </row>
    <row r="641" ht="12.75" customHeight="1">
      <c r="A641" s="90"/>
      <c r="B641" s="90"/>
      <c r="C641" s="90"/>
      <c r="D641" s="90"/>
      <c r="E641" s="90"/>
      <c r="F641" s="90"/>
      <c r="G641" s="90"/>
      <c r="H641" s="90"/>
      <c r="I641" s="90"/>
      <c r="J641" s="90"/>
      <c r="K641" s="90"/>
      <c r="L641" s="90"/>
      <c r="M641" s="90"/>
      <c r="N641" s="90"/>
      <c r="O641" s="90"/>
      <c r="P641" s="90"/>
      <c r="Q641" s="90"/>
    </row>
    <row r="642" ht="12.75" customHeight="1">
      <c r="A642" s="90"/>
      <c r="B642" s="90"/>
      <c r="C642" s="90"/>
      <c r="D642" s="90"/>
      <c r="E642" s="90"/>
      <c r="F642" s="90"/>
      <c r="G642" s="90"/>
      <c r="H642" s="90"/>
      <c r="I642" s="90"/>
      <c r="J642" s="90"/>
      <c r="K642" s="90"/>
      <c r="L642" s="90"/>
      <c r="M642" s="90"/>
      <c r="N642" s="90"/>
      <c r="O642" s="90"/>
      <c r="P642" s="90"/>
      <c r="Q642" s="90"/>
    </row>
    <row r="643" ht="12.75" customHeight="1">
      <c r="A643" s="90"/>
      <c r="B643" s="90"/>
      <c r="C643" s="90"/>
      <c r="D643" s="90"/>
      <c r="E643" s="90"/>
      <c r="F643" s="90"/>
      <c r="G643" s="90"/>
      <c r="H643" s="90"/>
      <c r="I643" s="90"/>
      <c r="J643" s="90"/>
      <c r="K643" s="90"/>
      <c r="L643" s="90"/>
      <c r="M643" s="90"/>
      <c r="N643" s="90"/>
      <c r="O643" s="90"/>
      <c r="P643" s="90"/>
      <c r="Q643" s="90"/>
    </row>
    <row r="644" ht="12.75" customHeight="1">
      <c r="A644" s="90"/>
      <c r="B644" s="90"/>
      <c r="C644" s="90"/>
      <c r="D644" s="90"/>
      <c r="E644" s="90"/>
      <c r="F644" s="90"/>
      <c r="G644" s="90"/>
      <c r="H644" s="90"/>
      <c r="I644" s="90"/>
      <c r="J644" s="90"/>
      <c r="K644" s="90"/>
      <c r="L644" s="90"/>
      <c r="M644" s="90"/>
      <c r="N644" s="90"/>
      <c r="O644" s="90"/>
      <c r="P644" s="90"/>
      <c r="Q644" s="90"/>
    </row>
    <row r="645" ht="12.75" customHeight="1">
      <c r="A645" s="90"/>
      <c r="B645" s="90"/>
      <c r="C645" s="90"/>
      <c r="D645" s="90"/>
      <c r="E645" s="90"/>
      <c r="F645" s="90"/>
      <c r="G645" s="90"/>
      <c r="H645" s="90"/>
      <c r="I645" s="90"/>
      <c r="J645" s="90"/>
      <c r="K645" s="90"/>
      <c r="L645" s="90"/>
      <c r="M645" s="90"/>
      <c r="N645" s="90"/>
      <c r="O645" s="90"/>
      <c r="P645" s="90"/>
      <c r="Q645" s="90"/>
    </row>
    <row r="646" ht="12.75" customHeight="1">
      <c r="A646" s="90"/>
      <c r="B646" s="90"/>
      <c r="C646" s="90"/>
      <c r="D646" s="90"/>
      <c r="E646" s="90"/>
      <c r="F646" s="90"/>
      <c r="G646" s="90"/>
      <c r="H646" s="90"/>
      <c r="I646" s="90"/>
      <c r="J646" s="90"/>
      <c r="K646" s="90"/>
      <c r="L646" s="90"/>
      <c r="M646" s="90"/>
      <c r="N646" s="90"/>
      <c r="O646" s="90"/>
      <c r="P646" s="90"/>
      <c r="Q646" s="90"/>
    </row>
    <row r="647" ht="12.75" customHeight="1">
      <c r="A647" s="90"/>
      <c r="B647" s="90"/>
      <c r="C647" s="90"/>
      <c r="D647" s="90"/>
      <c r="E647" s="90"/>
      <c r="F647" s="90"/>
      <c r="G647" s="90"/>
      <c r="H647" s="90"/>
      <c r="I647" s="90"/>
      <c r="J647" s="90"/>
      <c r="K647" s="90"/>
      <c r="L647" s="90"/>
      <c r="M647" s="90"/>
      <c r="N647" s="90"/>
      <c r="O647" s="90"/>
      <c r="P647" s="90"/>
      <c r="Q647" s="90"/>
    </row>
    <row r="648" ht="12.75" customHeight="1">
      <c r="A648" s="90"/>
      <c r="B648" s="90"/>
      <c r="C648" s="90"/>
      <c r="D648" s="90"/>
      <c r="E648" s="90"/>
      <c r="F648" s="90"/>
      <c r="G648" s="90"/>
      <c r="H648" s="90"/>
      <c r="I648" s="90"/>
      <c r="J648" s="90"/>
      <c r="K648" s="90"/>
      <c r="L648" s="90"/>
      <c r="M648" s="90"/>
      <c r="N648" s="90"/>
      <c r="O648" s="90"/>
      <c r="P648" s="90"/>
      <c r="Q648" s="90"/>
    </row>
    <row r="649" ht="12.75" customHeight="1">
      <c r="A649" s="90"/>
      <c r="B649" s="90"/>
      <c r="C649" s="90"/>
      <c r="D649" s="90"/>
      <c r="E649" s="90"/>
      <c r="F649" s="90"/>
      <c r="G649" s="90"/>
      <c r="H649" s="90"/>
      <c r="I649" s="90"/>
      <c r="J649" s="90"/>
      <c r="K649" s="90"/>
      <c r="L649" s="90"/>
      <c r="M649" s="90"/>
      <c r="N649" s="90"/>
      <c r="O649" s="90"/>
      <c r="P649" s="90"/>
      <c r="Q649" s="90"/>
    </row>
    <row r="650" ht="12.75" customHeight="1">
      <c r="A650" s="90"/>
      <c r="B650" s="90"/>
      <c r="C650" s="90"/>
      <c r="D650" s="90"/>
      <c r="E650" s="90"/>
      <c r="F650" s="90"/>
      <c r="G650" s="90"/>
      <c r="H650" s="90"/>
      <c r="I650" s="90"/>
      <c r="J650" s="90"/>
      <c r="K650" s="90"/>
      <c r="L650" s="90"/>
      <c r="M650" s="90"/>
      <c r="N650" s="90"/>
      <c r="O650" s="90"/>
      <c r="P650" s="90"/>
      <c r="Q650" s="90"/>
    </row>
    <row r="651" ht="12.75" customHeight="1">
      <c r="A651" s="90"/>
      <c r="B651" s="90"/>
      <c r="C651" s="90"/>
      <c r="D651" s="90"/>
      <c r="E651" s="90"/>
      <c r="F651" s="90"/>
      <c r="G651" s="90"/>
      <c r="H651" s="90"/>
      <c r="I651" s="90"/>
      <c r="J651" s="90"/>
      <c r="K651" s="90"/>
      <c r="L651" s="90"/>
      <c r="M651" s="90"/>
      <c r="N651" s="90"/>
      <c r="O651" s="90"/>
      <c r="P651" s="90"/>
      <c r="Q651" s="90"/>
    </row>
    <row r="652" ht="12.75" customHeight="1">
      <c r="A652" s="90"/>
      <c r="B652" s="90"/>
      <c r="C652" s="90"/>
      <c r="D652" s="90"/>
      <c r="E652" s="90"/>
      <c r="F652" s="90"/>
      <c r="G652" s="90"/>
      <c r="H652" s="90"/>
      <c r="I652" s="90"/>
      <c r="J652" s="90"/>
      <c r="K652" s="90"/>
      <c r="L652" s="90"/>
      <c r="M652" s="90"/>
      <c r="N652" s="90"/>
      <c r="O652" s="90"/>
      <c r="P652" s="90"/>
      <c r="Q652" s="90"/>
    </row>
    <row r="653" ht="12.75" customHeight="1">
      <c r="A653" s="90"/>
      <c r="B653" s="90"/>
      <c r="C653" s="90"/>
      <c r="D653" s="90"/>
      <c r="E653" s="90"/>
      <c r="F653" s="90"/>
      <c r="G653" s="90"/>
      <c r="H653" s="90"/>
      <c r="I653" s="90"/>
      <c r="J653" s="90"/>
      <c r="K653" s="90"/>
      <c r="L653" s="90"/>
      <c r="M653" s="90"/>
      <c r="N653" s="90"/>
      <c r="O653" s="90"/>
      <c r="P653" s="90"/>
      <c r="Q653" s="90"/>
    </row>
    <row r="654" ht="12.75" customHeight="1">
      <c r="A654" s="90"/>
      <c r="B654" s="90"/>
      <c r="C654" s="90"/>
      <c r="D654" s="90"/>
      <c r="E654" s="90"/>
      <c r="F654" s="90"/>
      <c r="G654" s="90"/>
      <c r="H654" s="90"/>
      <c r="I654" s="90"/>
      <c r="J654" s="90"/>
      <c r="K654" s="90"/>
      <c r="L654" s="90"/>
      <c r="M654" s="90"/>
      <c r="N654" s="90"/>
      <c r="O654" s="90"/>
      <c r="P654" s="90"/>
      <c r="Q654" s="90"/>
    </row>
    <row r="655" ht="12.75" customHeight="1">
      <c r="A655" s="90"/>
      <c r="B655" s="90"/>
      <c r="C655" s="90"/>
      <c r="D655" s="90"/>
      <c r="E655" s="90"/>
      <c r="F655" s="90"/>
      <c r="G655" s="90"/>
      <c r="H655" s="90"/>
      <c r="I655" s="90"/>
      <c r="J655" s="90"/>
      <c r="K655" s="90"/>
      <c r="L655" s="90"/>
      <c r="M655" s="90"/>
      <c r="N655" s="90"/>
      <c r="O655" s="90"/>
      <c r="P655" s="90"/>
      <c r="Q655" s="90"/>
    </row>
    <row r="656" ht="12.75" customHeight="1">
      <c r="A656" s="90"/>
      <c r="B656" s="90"/>
      <c r="C656" s="90"/>
      <c r="D656" s="90"/>
      <c r="E656" s="90"/>
      <c r="F656" s="90"/>
      <c r="G656" s="90"/>
      <c r="H656" s="90"/>
      <c r="I656" s="90"/>
      <c r="J656" s="90"/>
      <c r="K656" s="90"/>
      <c r="L656" s="90"/>
      <c r="M656" s="90"/>
      <c r="N656" s="90"/>
      <c r="O656" s="90"/>
      <c r="P656" s="90"/>
      <c r="Q656" s="90"/>
    </row>
    <row r="657" ht="12.75" customHeight="1">
      <c r="A657" s="90"/>
      <c r="B657" s="90"/>
      <c r="C657" s="90"/>
      <c r="D657" s="90"/>
      <c r="E657" s="90"/>
      <c r="F657" s="90"/>
      <c r="G657" s="90"/>
      <c r="H657" s="90"/>
      <c r="I657" s="90"/>
      <c r="J657" s="90"/>
      <c r="K657" s="90"/>
      <c r="L657" s="90"/>
      <c r="M657" s="90"/>
      <c r="N657" s="90"/>
      <c r="O657" s="90"/>
      <c r="P657" s="90"/>
      <c r="Q657" s="90"/>
    </row>
    <row r="658" ht="12.75" customHeight="1">
      <c r="A658" s="90"/>
      <c r="B658" s="90"/>
      <c r="C658" s="90"/>
      <c r="D658" s="90"/>
      <c r="E658" s="90"/>
      <c r="F658" s="90"/>
      <c r="G658" s="90"/>
      <c r="H658" s="90"/>
      <c r="I658" s="90"/>
      <c r="J658" s="90"/>
      <c r="K658" s="90"/>
      <c r="L658" s="90"/>
      <c r="M658" s="90"/>
      <c r="N658" s="90"/>
      <c r="O658" s="90"/>
      <c r="P658" s="90"/>
      <c r="Q658" s="90"/>
    </row>
    <row r="659" ht="12.75" customHeight="1">
      <c r="A659" s="90"/>
      <c r="B659" s="90"/>
      <c r="C659" s="90"/>
      <c r="D659" s="90"/>
      <c r="E659" s="90"/>
      <c r="F659" s="90"/>
      <c r="G659" s="90"/>
      <c r="H659" s="90"/>
      <c r="I659" s="90"/>
      <c r="J659" s="90"/>
      <c r="K659" s="90"/>
      <c r="L659" s="90"/>
      <c r="M659" s="90"/>
      <c r="N659" s="90"/>
      <c r="O659" s="90"/>
      <c r="P659" s="90"/>
      <c r="Q659" s="90"/>
    </row>
    <row r="660" ht="12.75" customHeight="1">
      <c r="A660" s="90"/>
      <c r="B660" s="90"/>
      <c r="C660" s="90"/>
      <c r="D660" s="90"/>
      <c r="E660" s="90"/>
      <c r="F660" s="90"/>
      <c r="G660" s="90"/>
      <c r="H660" s="90"/>
      <c r="I660" s="90"/>
      <c r="J660" s="90"/>
      <c r="K660" s="90"/>
      <c r="L660" s="90"/>
      <c r="M660" s="90"/>
      <c r="N660" s="90"/>
      <c r="O660" s="90"/>
      <c r="P660" s="90"/>
      <c r="Q660" s="90"/>
    </row>
    <row r="661" ht="12.75" customHeight="1">
      <c r="A661" s="90"/>
      <c r="B661" s="90"/>
      <c r="C661" s="90"/>
      <c r="D661" s="90"/>
      <c r="E661" s="90"/>
      <c r="F661" s="90"/>
      <c r="G661" s="90"/>
      <c r="H661" s="90"/>
      <c r="I661" s="90"/>
      <c r="J661" s="90"/>
      <c r="K661" s="90"/>
      <c r="L661" s="90"/>
      <c r="M661" s="90"/>
      <c r="N661" s="90"/>
      <c r="O661" s="90"/>
      <c r="P661" s="90"/>
      <c r="Q661" s="90"/>
    </row>
    <row r="662" ht="12.75" customHeight="1">
      <c r="A662" s="90"/>
      <c r="B662" s="90"/>
      <c r="C662" s="90"/>
      <c r="D662" s="90"/>
      <c r="E662" s="90"/>
      <c r="F662" s="90"/>
      <c r="G662" s="90"/>
      <c r="H662" s="90"/>
      <c r="I662" s="90"/>
      <c r="J662" s="90"/>
      <c r="K662" s="90"/>
      <c r="L662" s="90"/>
      <c r="M662" s="90"/>
      <c r="N662" s="90"/>
      <c r="O662" s="90"/>
      <c r="P662" s="90"/>
      <c r="Q662" s="90"/>
    </row>
    <row r="663" ht="12.75" customHeight="1">
      <c r="A663" s="90"/>
      <c r="B663" s="90"/>
      <c r="C663" s="90"/>
      <c r="D663" s="90"/>
      <c r="E663" s="90"/>
      <c r="F663" s="90"/>
      <c r="G663" s="90"/>
      <c r="H663" s="90"/>
      <c r="I663" s="90"/>
      <c r="J663" s="90"/>
      <c r="K663" s="90"/>
      <c r="L663" s="90"/>
      <c r="M663" s="90"/>
      <c r="N663" s="90"/>
      <c r="O663" s="90"/>
      <c r="P663" s="90"/>
      <c r="Q663" s="90"/>
    </row>
    <row r="664" ht="12.75" customHeight="1">
      <c r="A664" s="90"/>
      <c r="B664" s="90"/>
      <c r="C664" s="90"/>
      <c r="D664" s="90"/>
      <c r="E664" s="90"/>
      <c r="F664" s="90"/>
      <c r="G664" s="90"/>
      <c r="H664" s="90"/>
      <c r="I664" s="90"/>
      <c r="J664" s="90"/>
      <c r="K664" s="90"/>
      <c r="L664" s="90"/>
      <c r="M664" s="90"/>
      <c r="N664" s="90"/>
      <c r="O664" s="90"/>
      <c r="P664" s="90"/>
      <c r="Q664" s="90"/>
    </row>
    <row r="665" ht="12.75" customHeight="1">
      <c r="A665" s="90"/>
      <c r="B665" s="90"/>
      <c r="C665" s="90"/>
      <c r="D665" s="90"/>
      <c r="E665" s="90"/>
      <c r="F665" s="90"/>
      <c r="G665" s="90"/>
      <c r="H665" s="90"/>
      <c r="I665" s="90"/>
      <c r="J665" s="90"/>
      <c r="K665" s="90"/>
      <c r="L665" s="90"/>
      <c r="M665" s="90"/>
      <c r="N665" s="90"/>
      <c r="O665" s="90"/>
      <c r="P665" s="90"/>
      <c r="Q665" s="90"/>
    </row>
    <row r="666" ht="12.75" customHeight="1">
      <c r="A666" s="90"/>
      <c r="B666" s="90"/>
      <c r="C666" s="90"/>
      <c r="D666" s="90"/>
      <c r="E666" s="90"/>
      <c r="F666" s="90"/>
      <c r="G666" s="90"/>
      <c r="H666" s="90"/>
      <c r="I666" s="90"/>
      <c r="J666" s="90"/>
      <c r="K666" s="90"/>
      <c r="L666" s="90"/>
      <c r="M666" s="90"/>
      <c r="N666" s="90"/>
      <c r="O666" s="90"/>
      <c r="P666" s="90"/>
      <c r="Q666" s="90"/>
    </row>
    <row r="667" ht="12.75" customHeight="1">
      <c r="A667" s="90"/>
      <c r="B667" s="90"/>
      <c r="C667" s="90"/>
      <c r="D667" s="90"/>
      <c r="E667" s="90"/>
      <c r="F667" s="90"/>
      <c r="G667" s="90"/>
      <c r="H667" s="90"/>
      <c r="I667" s="90"/>
      <c r="J667" s="90"/>
      <c r="K667" s="90"/>
      <c r="L667" s="90"/>
      <c r="M667" s="90"/>
      <c r="N667" s="90"/>
      <c r="O667" s="90"/>
      <c r="P667" s="90"/>
      <c r="Q667" s="90"/>
    </row>
    <row r="668" ht="12.75" customHeight="1">
      <c r="A668" s="90"/>
      <c r="B668" s="90"/>
      <c r="C668" s="90"/>
      <c r="D668" s="90"/>
      <c r="E668" s="90"/>
      <c r="F668" s="90"/>
      <c r="G668" s="90"/>
      <c r="H668" s="90"/>
      <c r="I668" s="90"/>
      <c r="J668" s="90"/>
      <c r="K668" s="90"/>
      <c r="L668" s="90"/>
      <c r="M668" s="90"/>
      <c r="N668" s="90"/>
      <c r="O668" s="90"/>
      <c r="P668" s="90"/>
      <c r="Q668" s="90"/>
    </row>
    <row r="669" ht="12.75" customHeight="1">
      <c r="A669" s="90"/>
      <c r="B669" s="90"/>
      <c r="C669" s="90"/>
      <c r="D669" s="90"/>
      <c r="E669" s="90"/>
      <c r="F669" s="90"/>
      <c r="G669" s="90"/>
      <c r="H669" s="90"/>
      <c r="I669" s="90"/>
      <c r="J669" s="90"/>
      <c r="K669" s="90"/>
      <c r="L669" s="90"/>
      <c r="M669" s="90"/>
      <c r="N669" s="90"/>
      <c r="O669" s="90"/>
      <c r="P669" s="90"/>
      <c r="Q669" s="90"/>
    </row>
    <row r="670" ht="12.75" customHeight="1">
      <c r="A670" s="90"/>
      <c r="B670" s="90"/>
      <c r="C670" s="90"/>
      <c r="D670" s="90"/>
      <c r="E670" s="90"/>
      <c r="F670" s="90"/>
      <c r="G670" s="90"/>
      <c r="H670" s="90"/>
      <c r="I670" s="90"/>
      <c r="J670" s="90"/>
      <c r="K670" s="90"/>
      <c r="L670" s="90"/>
      <c r="M670" s="90"/>
      <c r="N670" s="90"/>
      <c r="O670" s="90"/>
      <c r="P670" s="90"/>
      <c r="Q670" s="90"/>
    </row>
    <row r="671" ht="12.75" customHeight="1">
      <c r="A671" s="90"/>
      <c r="B671" s="90"/>
      <c r="C671" s="90"/>
      <c r="D671" s="90"/>
      <c r="E671" s="90"/>
      <c r="F671" s="90"/>
      <c r="G671" s="90"/>
      <c r="H671" s="90"/>
      <c r="I671" s="90"/>
      <c r="J671" s="90"/>
      <c r="K671" s="90"/>
      <c r="L671" s="90"/>
      <c r="M671" s="90"/>
      <c r="N671" s="90"/>
      <c r="O671" s="90"/>
      <c r="P671" s="90"/>
      <c r="Q671" s="90"/>
    </row>
    <row r="672" ht="12.75" customHeight="1">
      <c r="A672" s="90"/>
      <c r="B672" s="90"/>
      <c r="C672" s="90"/>
      <c r="D672" s="90"/>
      <c r="E672" s="90"/>
      <c r="F672" s="90"/>
      <c r="G672" s="90"/>
      <c r="H672" s="90"/>
      <c r="I672" s="90"/>
      <c r="J672" s="90"/>
      <c r="K672" s="90"/>
      <c r="L672" s="90"/>
      <c r="M672" s="90"/>
      <c r="N672" s="90"/>
      <c r="O672" s="90"/>
      <c r="P672" s="90"/>
      <c r="Q672" s="90"/>
    </row>
    <row r="673" ht="12.75" customHeight="1">
      <c r="A673" s="90"/>
      <c r="B673" s="90"/>
      <c r="C673" s="90"/>
      <c r="D673" s="90"/>
      <c r="E673" s="90"/>
      <c r="F673" s="90"/>
      <c r="G673" s="90"/>
      <c r="H673" s="90"/>
      <c r="I673" s="90"/>
      <c r="J673" s="90"/>
      <c r="K673" s="90"/>
      <c r="L673" s="90"/>
      <c r="M673" s="90"/>
      <c r="N673" s="90"/>
      <c r="O673" s="90"/>
      <c r="P673" s="90"/>
      <c r="Q673" s="90"/>
    </row>
    <row r="674" ht="12.75" customHeight="1">
      <c r="A674" s="90"/>
      <c r="B674" s="90"/>
      <c r="C674" s="90"/>
      <c r="D674" s="90"/>
      <c r="E674" s="90"/>
      <c r="F674" s="90"/>
      <c r="G674" s="90"/>
      <c r="H674" s="90"/>
      <c r="I674" s="90"/>
      <c r="J674" s="90"/>
      <c r="K674" s="90"/>
      <c r="L674" s="90"/>
      <c r="M674" s="90"/>
      <c r="N674" s="90"/>
      <c r="O674" s="90"/>
      <c r="P674" s="90"/>
      <c r="Q674" s="90"/>
    </row>
    <row r="675" ht="12.75" customHeight="1">
      <c r="A675" s="90"/>
      <c r="B675" s="90"/>
      <c r="C675" s="90"/>
      <c r="D675" s="90"/>
      <c r="E675" s="90"/>
      <c r="F675" s="90"/>
      <c r="G675" s="90"/>
      <c r="H675" s="90"/>
      <c r="I675" s="90"/>
      <c r="J675" s="90"/>
      <c r="K675" s="90"/>
      <c r="L675" s="90"/>
      <c r="M675" s="90"/>
      <c r="N675" s="90"/>
      <c r="O675" s="90"/>
      <c r="P675" s="90"/>
      <c r="Q675" s="90"/>
    </row>
    <row r="676" ht="12.75" customHeight="1">
      <c r="A676" s="90"/>
      <c r="B676" s="90"/>
      <c r="C676" s="90"/>
      <c r="D676" s="90"/>
      <c r="E676" s="90"/>
      <c r="F676" s="90"/>
      <c r="G676" s="90"/>
      <c r="H676" s="90"/>
      <c r="I676" s="90"/>
      <c r="J676" s="90"/>
      <c r="K676" s="90"/>
      <c r="L676" s="90"/>
      <c r="M676" s="90"/>
      <c r="N676" s="90"/>
      <c r="O676" s="90"/>
      <c r="P676" s="90"/>
      <c r="Q676" s="90"/>
    </row>
    <row r="677" ht="12.75" customHeight="1">
      <c r="A677" s="90"/>
      <c r="B677" s="90"/>
      <c r="C677" s="90"/>
      <c r="D677" s="90"/>
      <c r="E677" s="90"/>
      <c r="F677" s="90"/>
      <c r="G677" s="90"/>
      <c r="H677" s="90"/>
      <c r="I677" s="90"/>
      <c r="J677" s="90"/>
      <c r="K677" s="90"/>
      <c r="L677" s="90"/>
      <c r="M677" s="90"/>
      <c r="N677" s="90"/>
      <c r="O677" s="90"/>
      <c r="P677" s="90"/>
      <c r="Q677" s="90"/>
    </row>
    <row r="678" ht="12.75" customHeight="1">
      <c r="A678" s="90"/>
      <c r="B678" s="90"/>
      <c r="C678" s="90"/>
      <c r="D678" s="90"/>
      <c r="E678" s="90"/>
      <c r="F678" s="90"/>
      <c r="G678" s="90"/>
      <c r="H678" s="90"/>
      <c r="I678" s="90"/>
      <c r="J678" s="90"/>
      <c r="K678" s="90"/>
      <c r="L678" s="90"/>
      <c r="M678" s="90"/>
      <c r="N678" s="90"/>
      <c r="O678" s="90"/>
      <c r="P678" s="90"/>
      <c r="Q678" s="90"/>
    </row>
    <row r="679" ht="12.75" customHeight="1">
      <c r="A679" s="90"/>
      <c r="B679" s="90"/>
      <c r="C679" s="90"/>
      <c r="D679" s="90"/>
      <c r="E679" s="90"/>
      <c r="F679" s="90"/>
      <c r="G679" s="90"/>
      <c r="H679" s="90"/>
      <c r="I679" s="90"/>
      <c r="J679" s="90"/>
      <c r="K679" s="90"/>
      <c r="L679" s="90"/>
      <c r="M679" s="90"/>
      <c r="N679" s="90"/>
      <c r="O679" s="90"/>
      <c r="P679" s="90"/>
      <c r="Q679" s="90"/>
    </row>
    <row r="680" ht="12.75" customHeight="1">
      <c r="A680" s="90"/>
      <c r="B680" s="90"/>
      <c r="C680" s="90"/>
      <c r="D680" s="90"/>
      <c r="E680" s="90"/>
      <c r="F680" s="90"/>
      <c r="G680" s="90"/>
      <c r="H680" s="90"/>
      <c r="I680" s="90"/>
      <c r="J680" s="90"/>
      <c r="K680" s="90"/>
      <c r="L680" s="90"/>
      <c r="M680" s="90"/>
      <c r="N680" s="90"/>
      <c r="O680" s="90"/>
      <c r="P680" s="90"/>
      <c r="Q680" s="90"/>
    </row>
    <row r="681" ht="12.75" customHeight="1">
      <c r="A681" s="90"/>
      <c r="B681" s="90"/>
      <c r="C681" s="90"/>
      <c r="D681" s="90"/>
      <c r="E681" s="90"/>
      <c r="F681" s="90"/>
      <c r="G681" s="90"/>
      <c r="H681" s="90"/>
      <c r="I681" s="90"/>
      <c r="J681" s="90"/>
      <c r="K681" s="90"/>
      <c r="L681" s="90"/>
      <c r="M681" s="90"/>
      <c r="N681" s="90"/>
      <c r="O681" s="90"/>
      <c r="P681" s="90"/>
      <c r="Q681" s="90"/>
    </row>
    <row r="682" ht="12.75" customHeight="1">
      <c r="A682" s="90"/>
      <c r="B682" s="90"/>
      <c r="C682" s="90"/>
      <c r="D682" s="90"/>
      <c r="E682" s="90"/>
      <c r="F682" s="90"/>
      <c r="G682" s="90"/>
      <c r="H682" s="90"/>
      <c r="I682" s="90"/>
      <c r="J682" s="90"/>
      <c r="K682" s="90"/>
      <c r="L682" s="90"/>
      <c r="M682" s="90"/>
      <c r="N682" s="90"/>
      <c r="O682" s="90"/>
      <c r="P682" s="90"/>
      <c r="Q682" s="90"/>
    </row>
    <row r="683" ht="12.75" customHeight="1">
      <c r="A683" s="90"/>
      <c r="B683" s="90"/>
      <c r="C683" s="90"/>
      <c r="D683" s="90"/>
      <c r="E683" s="90"/>
      <c r="F683" s="90"/>
      <c r="G683" s="90"/>
      <c r="H683" s="90"/>
      <c r="I683" s="90"/>
      <c r="J683" s="90"/>
      <c r="K683" s="90"/>
      <c r="L683" s="90"/>
      <c r="M683" s="90"/>
      <c r="N683" s="90"/>
      <c r="O683" s="90"/>
      <c r="P683" s="90"/>
      <c r="Q683" s="90"/>
    </row>
    <row r="684" ht="12.75" customHeight="1">
      <c r="A684" s="90"/>
      <c r="B684" s="90"/>
      <c r="C684" s="90"/>
      <c r="D684" s="90"/>
      <c r="E684" s="90"/>
      <c r="F684" s="90"/>
      <c r="G684" s="90"/>
      <c r="H684" s="90"/>
      <c r="I684" s="90"/>
      <c r="J684" s="90"/>
      <c r="K684" s="90"/>
      <c r="L684" s="90"/>
      <c r="M684" s="90"/>
      <c r="N684" s="90"/>
      <c r="O684" s="90"/>
      <c r="P684" s="90"/>
      <c r="Q684" s="90"/>
    </row>
    <row r="685" ht="12.75" customHeight="1">
      <c r="A685" s="90"/>
      <c r="B685" s="90"/>
      <c r="C685" s="90"/>
      <c r="D685" s="90"/>
      <c r="E685" s="90"/>
      <c r="F685" s="90"/>
      <c r="G685" s="90"/>
      <c r="H685" s="90"/>
      <c r="I685" s="90"/>
      <c r="J685" s="90"/>
      <c r="K685" s="90"/>
      <c r="L685" s="90"/>
      <c r="M685" s="90"/>
      <c r="N685" s="90"/>
      <c r="O685" s="90"/>
      <c r="P685" s="90"/>
      <c r="Q685" s="90"/>
    </row>
    <row r="686" ht="12.75" customHeight="1">
      <c r="A686" s="90"/>
      <c r="B686" s="90"/>
      <c r="C686" s="90"/>
      <c r="D686" s="90"/>
      <c r="E686" s="90"/>
      <c r="F686" s="90"/>
      <c r="G686" s="90"/>
      <c r="H686" s="90"/>
      <c r="I686" s="90"/>
      <c r="J686" s="90"/>
      <c r="K686" s="90"/>
      <c r="L686" s="90"/>
      <c r="M686" s="90"/>
      <c r="N686" s="90"/>
      <c r="O686" s="90"/>
      <c r="P686" s="90"/>
      <c r="Q686" s="90"/>
    </row>
    <row r="687" ht="12.75" customHeight="1">
      <c r="A687" s="90"/>
      <c r="B687" s="90"/>
      <c r="C687" s="90"/>
      <c r="D687" s="90"/>
      <c r="E687" s="90"/>
      <c r="F687" s="90"/>
      <c r="G687" s="90"/>
      <c r="H687" s="90"/>
      <c r="I687" s="90"/>
      <c r="J687" s="90"/>
      <c r="K687" s="90"/>
      <c r="L687" s="90"/>
      <c r="M687" s="90"/>
      <c r="N687" s="90"/>
      <c r="O687" s="90"/>
      <c r="P687" s="90"/>
      <c r="Q687" s="90"/>
    </row>
    <row r="688" ht="12.75" customHeight="1">
      <c r="A688" s="90"/>
      <c r="B688" s="90"/>
      <c r="C688" s="90"/>
      <c r="D688" s="90"/>
      <c r="E688" s="90"/>
      <c r="F688" s="90"/>
      <c r="G688" s="90"/>
      <c r="H688" s="90"/>
      <c r="I688" s="90"/>
      <c r="J688" s="90"/>
      <c r="K688" s="90"/>
      <c r="L688" s="90"/>
      <c r="M688" s="90"/>
      <c r="N688" s="90"/>
      <c r="O688" s="90"/>
      <c r="P688" s="90"/>
      <c r="Q688" s="90"/>
    </row>
    <row r="689" ht="12.75" customHeight="1">
      <c r="A689" s="90"/>
      <c r="B689" s="90"/>
      <c r="C689" s="90"/>
      <c r="D689" s="90"/>
      <c r="E689" s="90"/>
      <c r="F689" s="90"/>
      <c r="G689" s="90"/>
      <c r="H689" s="90"/>
      <c r="I689" s="90"/>
      <c r="J689" s="90"/>
      <c r="K689" s="90"/>
      <c r="L689" s="90"/>
      <c r="M689" s="90"/>
      <c r="N689" s="90"/>
      <c r="O689" s="90"/>
      <c r="P689" s="90"/>
      <c r="Q689" s="90"/>
    </row>
    <row r="690" ht="12.75" customHeight="1">
      <c r="A690" s="90"/>
      <c r="B690" s="90"/>
      <c r="C690" s="90"/>
      <c r="D690" s="90"/>
      <c r="E690" s="90"/>
      <c r="F690" s="90"/>
      <c r="G690" s="90"/>
      <c r="H690" s="90"/>
      <c r="I690" s="90"/>
      <c r="J690" s="90"/>
      <c r="K690" s="90"/>
      <c r="L690" s="90"/>
      <c r="M690" s="90"/>
      <c r="N690" s="90"/>
      <c r="O690" s="90"/>
      <c r="P690" s="90"/>
      <c r="Q690" s="90"/>
    </row>
    <row r="691" ht="12.75" customHeight="1">
      <c r="A691" s="90"/>
      <c r="B691" s="90"/>
      <c r="C691" s="90"/>
      <c r="D691" s="90"/>
      <c r="E691" s="90"/>
      <c r="F691" s="90"/>
      <c r="G691" s="90"/>
      <c r="H691" s="90"/>
      <c r="I691" s="90"/>
      <c r="J691" s="90"/>
      <c r="K691" s="90"/>
      <c r="L691" s="90"/>
      <c r="M691" s="90"/>
      <c r="N691" s="90"/>
      <c r="O691" s="90"/>
      <c r="P691" s="90"/>
      <c r="Q691" s="90"/>
    </row>
    <row r="692" ht="12.75" customHeight="1">
      <c r="A692" s="90"/>
      <c r="B692" s="90"/>
      <c r="C692" s="90"/>
      <c r="D692" s="90"/>
      <c r="E692" s="90"/>
      <c r="F692" s="90"/>
      <c r="G692" s="90"/>
      <c r="H692" s="90"/>
      <c r="I692" s="90"/>
      <c r="J692" s="90"/>
      <c r="K692" s="90"/>
      <c r="L692" s="90"/>
      <c r="M692" s="90"/>
      <c r="N692" s="90"/>
      <c r="O692" s="90"/>
      <c r="P692" s="90"/>
      <c r="Q692" s="90"/>
    </row>
    <row r="693" ht="12.75" customHeight="1">
      <c r="A693" s="90"/>
      <c r="B693" s="90"/>
      <c r="C693" s="90"/>
      <c r="D693" s="90"/>
      <c r="E693" s="90"/>
      <c r="F693" s="90"/>
      <c r="G693" s="90"/>
      <c r="H693" s="90"/>
      <c r="I693" s="90"/>
      <c r="J693" s="90"/>
      <c r="K693" s="90"/>
      <c r="L693" s="90"/>
      <c r="M693" s="90"/>
      <c r="N693" s="90"/>
      <c r="O693" s="90"/>
      <c r="P693" s="90"/>
      <c r="Q693" s="90"/>
    </row>
    <row r="694" ht="12.75" customHeight="1">
      <c r="A694" s="90"/>
      <c r="B694" s="90"/>
      <c r="C694" s="90"/>
      <c r="D694" s="90"/>
      <c r="E694" s="90"/>
      <c r="F694" s="90"/>
      <c r="G694" s="90"/>
      <c r="H694" s="90"/>
      <c r="I694" s="90"/>
      <c r="J694" s="90"/>
      <c r="K694" s="90"/>
      <c r="L694" s="90"/>
      <c r="M694" s="90"/>
      <c r="N694" s="90"/>
      <c r="O694" s="90"/>
      <c r="P694" s="90"/>
      <c r="Q694" s="90"/>
    </row>
    <row r="695" ht="12.75" customHeight="1">
      <c r="A695" s="90"/>
      <c r="B695" s="90"/>
      <c r="C695" s="90"/>
      <c r="D695" s="90"/>
      <c r="E695" s="90"/>
      <c r="F695" s="90"/>
      <c r="G695" s="90"/>
      <c r="H695" s="90"/>
      <c r="I695" s="90"/>
      <c r="J695" s="90"/>
      <c r="K695" s="90"/>
      <c r="L695" s="90"/>
      <c r="M695" s="90"/>
      <c r="N695" s="90"/>
      <c r="O695" s="90"/>
      <c r="P695" s="90"/>
      <c r="Q695" s="90"/>
    </row>
    <row r="696" ht="12.75" customHeight="1">
      <c r="A696" s="90"/>
      <c r="B696" s="90"/>
      <c r="C696" s="90"/>
      <c r="D696" s="90"/>
      <c r="E696" s="90"/>
      <c r="F696" s="90"/>
      <c r="G696" s="90"/>
      <c r="H696" s="90"/>
      <c r="I696" s="90"/>
      <c r="J696" s="90"/>
      <c r="K696" s="90"/>
      <c r="L696" s="90"/>
      <c r="M696" s="90"/>
      <c r="N696" s="90"/>
      <c r="O696" s="90"/>
      <c r="P696" s="90"/>
      <c r="Q696" s="90"/>
    </row>
    <row r="697" ht="12.75" customHeight="1">
      <c r="A697" s="90"/>
      <c r="B697" s="90"/>
      <c r="C697" s="90"/>
      <c r="D697" s="90"/>
      <c r="E697" s="90"/>
      <c r="F697" s="90"/>
      <c r="G697" s="90"/>
      <c r="H697" s="90"/>
      <c r="I697" s="90"/>
      <c r="J697" s="90"/>
      <c r="K697" s="90"/>
      <c r="L697" s="90"/>
      <c r="M697" s="90"/>
      <c r="N697" s="90"/>
      <c r="O697" s="90"/>
      <c r="P697" s="90"/>
      <c r="Q697" s="90"/>
    </row>
    <row r="698" ht="12.75" customHeight="1">
      <c r="A698" s="90"/>
      <c r="B698" s="90"/>
      <c r="C698" s="90"/>
      <c r="D698" s="90"/>
      <c r="E698" s="90"/>
      <c r="F698" s="90"/>
      <c r="G698" s="90"/>
      <c r="H698" s="90"/>
      <c r="I698" s="90"/>
      <c r="J698" s="90"/>
      <c r="K698" s="90"/>
      <c r="L698" s="90"/>
      <c r="M698" s="90"/>
      <c r="N698" s="90"/>
      <c r="O698" s="90"/>
      <c r="P698" s="90"/>
      <c r="Q698" s="90"/>
    </row>
    <row r="699" ht="12.75" customHeight="1">
      <c r="A699" s="90"/>
      <c r="B699" s="90"/>
      <c r="C699" s="90"/>
      <c r="D699" s="90"/>
      <c r="E699" s="90"/>
      <c r="F699" s="90"/>
      <c r="G699" s="90"/>
      <c r="H699" s="90"/>
      <c r="I699" s="90"/>
      <c r="J699" s="90"/>
      <c r="K699" s="90"/>
      <c r="L699" s="90"/>
      <c r="M699" s="90"/>
      <c r="N699" s="90"/>
      <c r="O699" s="90"/>
      <c r="P699" s="90"/>
      <c r="Q699" s="90"/>
    </row>
    <row r="700" ht="12.75" customHeight="1">
      <c r="A700" s="90"/>
      <c r="B700" s="90"/>
      <c r="C700" s="90"/>
      <c r="D700" s="90"/>
      <c r="E700" s="90"/>
      <c r="F700" s="90"/>
      <c r="G700" s="90"/>
      <c r="H700" s="90"/>
      <c r="I700" s="90"/>
      <c r="J700" s="90"/>
      <c r="K700" s="90"/>
      <c r="L700" s="90"/>
      <c r="M700" s="90"/>
      <c r="N700" s="90"/>
      <c r="O700" s="90"/>
      <c r="P700" s="90"/>
      <c r="Q700" s="90"/>
    </row>
    <row r="701" ht="12.75" customHeight="1">
      <c r="A701" s="90"/>
      <c r="B701" s="90"/>
      <c r="C701" s="90"/>
      <c r="D701" s="90"/>
      <c r="E701" s="90"/>
      <c r="F701" s="90"/>
      <c r="G701" s="90"/>
      <c r="H701" s="90"/>
      <c r="I701" s="90"/>
      <c r="J701" s="90"/>
      <c r="K701" s="90"/>
      <c r="L701" s="90"/>
      <c r="M701" s="90"/>
      <c r="N701" s="90"/>
      <c r="O701" s="90"/>
      <c r="P701" s="90"/>
      <c r="Q701" s="90"/>
    </row>
    <row r="702" ht="12.75" customHeight="1">
      <c r="A702" s="90"/>
      <c r="B702" s="90"/>
      <c r="C702" s="90"/>
      <c r="D702" s="90"/>
      <c r="E702" s="90"/>
      <c r="F702" s="90"/>
      <c r="G702" s="90"/>
      <c r="H702" s="90"/>
      <c r="I702" s="90"/>
      <c r="J702" s="90"/>
      <c r="K702" s="90"/>
      <c r="L702" s="90"/>
      <c r="M702" s="90"/>
      <c r="N702" s="90"/>
      <c r="O702" s="90"/>
      <c r="P702" s="90"/>
      <c r="Q702" s="90"/>
    </row>
    <row r="703" ht="12.75" customHeight="1">
      <c r="A703" s="90"/>
      <c r="B703" s="90"/>
      <c r="C703" s="90"/>
      <c r="D703" s="90"/>
      <c r="E703" s="90"/>
      <c r="F703" s="90"/>
      <c r="G703" s="90"/>
      <c r="H703" s="90"/>
      <c r="I703" s="90"/>
      <c r="J703" s="90"/>
      <c r="K703" s="90"/>
      <c r="L703" s="90"/>
      <c r="M703" s="90"/>
      <c r="N703" s="90"/>
      <c r="O703" s="90"/>
      <c r="P703" s="90"/>
      <c r="Q703" s="90"/>
    </row>
    <row r="704" ht="12.75" customHeight="1">
      <c r="A704" s="90"/>
      <c r="B704" s="90"/>
      <c r="C704" s="90"/>
      <c r="D704" s="90"/>
      <c r="E704" s="90"/>
      <c r="F704" s="90"/>
      <c r="G704" s="90"/>
      <c r="H704" s="90"/>
      <c r="I704" s="90"/>
      <c r="J704" s="90"/>
      <c r="K704" s="90"/>
      <c r="L704" s="90"/>
      <c r="M704" s="90"/>
      <c r="N704" s="90"/>
      <c r="O704" s="90"/>
      <c r="P704" s="90"/>
      <c r="Q704" s="90"/>
    </row>
    <row r="705" ht="12.75" customHeight="1">
      <c r="A705" s="90"/>
      <c r="B705" s="90"/>
      <c r="C705" s="90"/>
      <c r="D705" s="90"/>
      <c r="E705" s="90"/>
      <c r="F705" s="90"/>
      <c r="G705" s="90"/>
      <c r="H705" s="90"/>
      <c r="I705" s="90"/>
      <c r="J705" s="90"/>
      <c r="K705" s="90"/>
      <c r="L705" s="90"/>
      <c r="M705" s="90"/>
      <c r="N705" s="90"/>
      <c r="O705" s="90"/>
      <c r="P705" s="90"/>
      <c r="Q705" s="90"/>
    </row>
    <row r="706" ht="12.75" customHeight="1">
      <c r="A706" s="90"/>
      <c r="B706" s="90"/>
      <c r="C706" s="90"/>
      <c r="D706" s="90"/>
      <c r="E706" s="90"/>
      <c r="F706" s="90"/>
      <c r="G706" s="90"/>
      <c r="H706" s="90"/>
      <c r="I706" s="90"/>
      <c r="J706" s="90"/>
      <c r="K706" s="90"/>
      <c r="L706" s="90"/>
      <c r="M706" s="90"/>
      <c r="N706" s="90"/>
      <c r="O706" s="90"/>
      <c r="P706" s="90"/>
      <c r="Q706" s="90"/>
    </row>
    <row r="707" ht="12.75" customHeight="1">
      <c r="A707" s="90"/>
      <c r="B707" s="90"/>
      <c r="C707" s="90"/>
      <c r="D707" s="90"/>
      <c r="E707" s="90"/>
      <c r="F707" s="90"/>
      <c r="G707" s="90"/>
      <c r="H707" s="90"/>
      <c r="I707" s="90"/>
      <c r="J707" s="90"/>
      <c r="K707" s="90"/>
      <c r="L707" s="90"/>
      <c r="M707" s="90"/>
      <c r="N707" s="90"/>
      <c r="O707" s="90"/>
      <c r="P707" s="90"/>
      <c r="Q707" s="90"/>
    </row>
    <row r="708" ht="12.75" customHeight="1">
      <c r="A708" s="90"/>
      <c r="B708" s="90"/>
      <c r="C708" s="90"/>
      <c r="D708" s="90"/>
      <c r="E708" s="90"/>
      <c r="F708" s="90"/>
      <c r="G708" s="90"/>
      <c r="H708" s="90"/>
      <c r="I708" s="90"/>
      <c r="J708" s="90"/>
      <c r="K708" s="90"/>
      <c r="L708" s="90"/>
      <c r="M708" s="90"/>
      <c r="N708" s="90"/>
      <c r="O708" s="90"/>
      <c r="P708" s="90"/>
      <c r="Q708" s="90"/>
    </row>
    <row r="709" ht="12.75" customHeight="1">
      <c r="A709" s="90"/>
      <c r="B709" s="90"/>
      <c r="C709" s="90"/>
      <c r="D709" s="90"/>
      <c r="E709" s="90"/>
      <c r="F709" s="90"/>
      <c r="G709" s="90"/>
      <c r="H709" s="90"/>
      <c r="I709" s="90"/>
      <c r="J709" s="90"/>
      <c r="K709" s="90"/>
      <c r="L709" s="90"/>
      <c r="M709" s="90"/>
      <c r="N709" s="90"/>
      <c r="O709" s="90"/>
      <c r="P709" s="90"/>
      <c r="Q709" s="90"/>
    </row>
    <row r="710" ht="12.75" customHeight="1">
      <c r="A710" s="90"/>
      <c r="B710" s="90"/>
      <c r="C710" s="90"/>
      <c r="D710" s="90"/>
      <c r="E710" s="90"/>
      <c r="F710" s="90"/>
      <c r="G710" s="90"/>
      <c r="H710" s="90"/>
      <c r="I710" s="90"/>
      <c r="J710" s="90"/>
      <c r="K710" s="90"/>
      <c r="L710" s="90"/>
      <c r="M710" s="90"/>
      <c r="N710" s="90"/>
      <c r="O710" s="90"/>
      <c r="P710" s="90"/>
      <c r="Q710" s="90"/>
    </row>
    <row r="711" ht="12.75" customHeight="1">
      <c r="A711" s="90"/>
      <c r="B711" s="90"/>
      <c r="C711" s="90"/>
      <c r="D711" s="90"/>
      <c r="E711" s="90"/>
      <c r="F711" s="90"/>
      <c r="G711" s="90"/>
      <c r="H711" s="90"/>
      <c r="I711" s="90"/>
      <c r="J711" s="90"/>
      <c r="K711" s="90"/>
      <c r="L711" s="90"/>
      <c r="M711" s="90"/>
      <c r="N711" s="90"/>
      <c r="O711" s="90"/>
      <c r="P711" s="90"/>
      <c r="Q711" s="90"/>
    </row>
    <row r="712" ht="12.75" customHeight="1">
      <c r="A712" s="90"/>
      <c r="B712" s="90"/>
      <c r="C712" s="90"/>
      <c r="D712" s="90"/>
      <c r="E712" s="90"/>
      <c r="F712" s="90"/>
      <c r="G712" s="90"/>
      <c r="H712" s="90"/>
      <c r="I712" s="90"/>
      <c r="J712" s="90"/>
      <c r="K712" s="90"/>
      <c r="L712" s="90"/>
      <c r="M712" s="90"/>
      <c r="N712" s="90"/>
      <c r="O712" s="90"/>
      <c r="P712" s="90"/>
      <c r="Q712" s="90"/>
    </row>
    <row r="713" ht="12.75" customHeight="1">
      <c r="A713" s="90"/>
      <c r="B713" s="90"/>
      <c r="C713" s="90"/>
      <c r="D713" s="90"/>
      <c r="E713" s="90"/>
      <c r="F713" s="90"/>
      <c r="G713" s="90"/>
      <c r="H713" s="90"/>
      <c r="I713" s="90"/>
      <c r="J713" s="90"/>
      <c r="K713" s="90"/>
      <c r="L713" s="90"/>
      <c r="M713" s="90"/>
      <c r="N713" s="90"/>
      <c r="O713" s="90"/>
      <c r="P713" s="90"/>
      <c r="Q713" s="90"/>
    </row>
    <row r="714" ht="12.75" customHeight="1">
      <c r="A714" s="90"/>
      <c r="B714" s="90"/>
      <c r="C714" s="90"/>
      <c r="D714" s="90"/>
      <c r="E714" s="90"/>
      <c r="F714" s="90"/>
      <c r="G714" s="90"/>
      <c r="H714" s="90"/>
      <c r="I714" s="90"/>
      <c r="J714" s="90"/>
      <c r="K714" s="90"/>
      <c r="L714" s="90"/>
      <c r="M714" s="90"/>
      <c r="N714" s="90"/>
      <c r="O714" s="90"/>
      <c r="P714" s="90"/>
      <c r="Q714" s="90"/>
    </row>
    <row r="715" ht="12.75" customHeight="1">
      <c r="A715" s="90"/>
      <c r="B715" s="90"/>
      <c r="C715" s="90"/>
      <c r="D715" s="90"/>
      <c r="E715" s="90"/>
      <c r="F715" s="90"/>
      <c r="G715" s="90"/>
      <c r="H715" s="90"/>
      <c r="I715" s="90"/>
      <c r="J715" s="90"/>
      <c r="K715" s="90"/>
      <c r="L715" s="90"/>
      <c r="M715" s="90"/>
      <c r="N715" s="90"/>
      <c r="O715" s="90"/>
      <c r="P715" s="90"/>
      <c r="Q715" s="90"/>
    </row>
    <row r="716" ht="12.75" customHeight="1">
      <c r="A716" s="90"/>
      <c r="B716" s="90"/>
      <c r="C716" s="90"/>
      <c r="D716" s="90"/>
      <c r="E716" s="90"/>
      <c r="F716" s="90"/>
      <c r="G716" s="90"/>
      <c r="H716" s="90"/>
      <c r="I716" s="90"/>
      <c r="J716" s="90"/>
      <c r="K716" s="90"/>
      <c r="L716" s="90"/>
      <c r="M716" s="90"/>
      <c r="N716" s="90"/>
      <c r="O716" s="90"/>
      <c r="P716" s="90"/>
      <c r="Q716" s="90"/>
    </row>
    <row r="717" ht="12.75" customHeight="1">
      <c r="A717" s="90"/>
      <c r="B717" s="90"/>
      <c r="C717" s="90"/>
      <c r="D717" s="90"/>
      <c r="E717" s="90"/>
      <c r="F717" s="90"/>
      <c r="G717" s="90"/>
      <c r="H717" s="90"/>
      <c r="I717" s="90"/>
      <c r="J717" s="90"/>
      <c r="K717" s="90"/>
      <c r="L717" s="90"/>
      <c r="M717" s="90"/>
      <c r="N717" s="90"/>
      <c r="O717" s="90"/>
      <c r="P717" s="90"/>
      <c r="Q717" s="90"/>
    </row>
    <row r="718" ht="12.75" customHeight="1">
      <c r="A718" s="90"/>
      <c r="B718" s="90"/>
      <c r="C718" s="90"/>
      <c r="D718" s="90"/>
      <c r="E718" s="90"/>
      <c r="F718" s="90"/>
      <c r="G718" s="90"/>
      <c r="H718" s="90"/>
      <c r="I718" s="90"/>
      <c r="J718" s="90"/>
      <c r="K718" s="90"/>
      <c r="L718" s="90"/>
      <c r="M718" s="90"/>
      <c r="N718" s="90"/>
      <c r="O718" s="90"/>
      <c r="P718" s="90"/>
      <c r="Q718" s="90"/>
    </row>
    <row r="719" ht="12.75" customHeight="1">
      <c r="A719" s="90"/>
      <c r="B719" s="90"/>
      <c r="C719" s="90"/>
      <c r="D719" s="90"/>
      <c r="E719" s="90"/>
      <c r="F719" s="90"/>
      <c r="G719" s="90"/>
      <c r="H719" s="90"/>
      <c r="I719" s="90"/>
      <c r="J719" s="90"/>
      <c r="K719" s="90"/>
      <c r="L719" s="90"/>
      <c r="M719" s="90"/>
      <c r="N719" s="90"/>
      <c r="O719" s="90"/>
      <c r="P719" s="90"/>
      <c r="Q719" s="90"/>
    </row>
    <row r="720" ht="12.75" customHeight="1">
      <c r="A720" s="90"/>
      <c r="B720" s="90"/>
      <c r="C720" s="90"/>
      <c r="D720" s="90"/>
      <c r="E720" s="90"/>
      <c r="F720" s="90"/>
      <c r="G720" s="90"/>
      <c r="H720" s="90"/>
      <c r="I720" s="90"/>
      <c r="J720" s="90"/>
      <c r="K720" s="90"/>
      <c r="L720" s="90"/>
      <c r="M720" s="90"/>
      <c r="N720" s="90"/>
      <c r="O720" s="90"/>
      <c r="P720" s="90"/>
      <c r="Q720" s="90"/>
    </row>
    <row r="721" ht="12.75" customHeight="1">
      <c r="A721" s="90"/>
      <c r="B721" s="90"/>
      <c r="C721" s="90"/>
      <c r="D721" s="90"/>
      <c r="E721" s="90"/>
      <c r="F721" s="90"/>
      <c r="G721" s="90"/>
      <c r="H721" s="90"/>
      <c r="I721" s="90"/>
      <c r="J721" s="90"/>
      <c r="K721" s="90"/>
      <c r="L721" s="90"/>
      <c r="M721" s="90"/>
      <c r="N721" s="90"/>
      <c r="O721" s="90"/>
      <c r="P721" s="90"/>
      <c r="Q721" s="90"/>
    </row>
    <row r="722" ht="12.75" customHeight="1">
      <c r="A722" s="90"/>
      <c r="B722" s="90"/>
      <c r="C722" s="90"/>
      <c r="D722" s="90"/>
      <c r="E722" s="90"/>
      <c r="F722" s="90"/>
      <c r="G722" s="90"/>
      <c r="H722" s="90"/>
      <c r="I722" s="90"/>
      <c r="J722" s="90"/>
      <c r="K722" s="90"/>
      <c r="L722" s="90"/>
      <c r="M722" s="90"/>
      <c r="N722" s="90"/>
      <c r="O722" s="90"/>
      <c r="P722" s="90"/>
      <c r="Q722" s="90"/>
    </row>
    <row r="723" ht="12.75" customHeight="1">
      <c r="A723" s="90"/>
      <c r="B723" s="90"/>
      <c r="C723" s="90"/>
      <c r="D723" s="90"/>
      <c r="E723" s="90"/>
      <c r="F723" s="90"/>
      <c r="G723" s="90"/>
      <c r="H723" s="90"/>
      <c r="I723" s="90"/>
      <c r="J723" s="90"/>
      <c r="K723" s="90"/>
      <c r="L723" s="90"/>
      <c r="M723" s="90"/>
      <c r="N723" s="90"/>
      <c r="O723" s="90"/>
      <c r="P723" s="90"/>
      <c r="Q723" s="90"/>
    </row>
    <row r="724" ht="12.75" customHeight="1">
      <c r="A724" s="90"/>
      <c r="B724" s="90"/>
      <c r="C724" s="90"/>
      <c r="D724" s="90"/>
      <c r="E724" s="90"/>
      <c r="F724" s="90"/>
      <c r="G724" s="90"/>
      <c r="H724" s="90"/>
      <c r="I724" s="90"/>
      <c r="J724" s="90"/>
      <c r="K724" s="90"/>
      <c r="L724" s="90"/>
      <c r="M724" s="90"/>
      <c r="N724" s="90"/>
      <c r="O724" s="90"/>
      <c r="P724" s="90"/>
      <c r="Q724" s="90"/>
    </row>
    <row r="725" ht="12.75" customHeight="1">
      <c r="A725" s="90"/>
      <c r="B725" s="90"/>
      <c r="C725" s="90"/>
      <c r="D725" s="90"/>
      <c r="E725" s="90"/>
      <c r="F725" s="90"/>
      <c r="G725" s="90"/>
      <c r="H725" s="90"/>
      <c r="I725" s="90"/>
      <c r="J725" s="90"/>
      <c r="K725" s="90"/>
      <c r="L725" s="90"/>
      <c r="M725" s="90"/>
      <c r="N725" s="90"/>
      <c r="O725" s="90"/>
      <c r="P725" s="90"/>
      <c r="Q725" s="90"/>
    </row>
    <row r="726" ht="12.75" customHeight="1">
      <c r="A726" s="90"/>
      <c r="B726" s="90"/>
      <c r="C726" s="90"/>
      <c r="D726" s="90"/>
      <c r="E726" s="90"/>
      <c r="F726" s="90"/>
      <c r="G726" s="90"/>
      <c r="H726" s="90"/>
      <c r="I726" s="90"/>
      <c r="J726" s="90"/>
      <c r="K726" s="90"/>
      <c r="L726" s="90"/>
      <c r="M726" s="90"/>
      <c r="N726" s="90"/>
      <c r="O726" s="90"/>
      <c r="P726" s="90"/>
      <c r="Q726" s="90"/>
    </row>
    <row r="727" ht="12.75" customHeight="1">
      <c r="A727" s="90"/>
      <c r="B727" s="90"/>
      <c r="C727" s="90"/>
      <c r="D727" s="90"/>
      <c r="E727" s="90"/>
      <c r="F727" s="90"/>
      <c r="G727" s="90"/>
      <c r="H727" s="90"/>
      <c r="I727" s="90"/>
      <c r="J727" s="90"/>
      <c r="K727" s="90"/>
      <c r="L727" s="90"/>
      <c r="M727" s="90"/>
      <c r="N727" s="90"/>
      <c r="O727" s="90"/>
      <c r="P727" s="90"/>
      <c r="Q727" s="90"/>
    </row>
    <row r="728" ht="12.75" customHeight="1">
      <c r="A728" s="90"/>
      <c r="B728" s="90"/>
      <c r="C728" s="90"/>
      <c r="D728" s="90"/>
      <c r="E728" s="90"/>
      <c r="F728" s="90"/>
      <c r="G728" s="90"/>
      <c r="H728" s="90"/>
      <c r="I728" s="90"/>
      <c r="J728" s="90"/>
      <c r="K728" s="90"/>
      <c r="L728" s="90"/>
      <c r="M728" s="90"/>
      <c r="N728" s="90"/>
      <c r="O728" s="90"/>
      <c r="P728" s="90"/>
      <c r="Q728" s="90"/>
    </row>
    <row r="729" ht="12.75" customHeight="1">
      <c r="A729" s="90"/>
      <c r="B729" s="90"/>
      <c r="C729" s="90"/>
      <c r="D729" s="90"/>
      <c r="E729" s="90"/>
      <c r="F729" s="90"/>
      <c r="G729" s="90"/>
      <c r="H729" s="90"/>
      <c r="I729" s="90"/>
      <c r="J729" s="90"/>
      <c r="K729" s="90"/>
      <c r="L729" s="90"/>
      <c r="M729" s="90"/>
      <c r="N729" s="90"/>
      <c r="O729" s="90"/>
      <c r="P729" s="90"/>
      <c r="Q729" s="90"/>
    </row>
    <row r="730" ht="12.75" customHeight="1">
      <c r="A730" s="90"/>
      <c r="B730" s="90"/>
      <c r="C730" s="90"/>
      <c r="D730" s="90"/>
      <c r="E730" s="90"/>
      <c r="F730" s="90"/>
      <c r="G730" s="90"/>
      <c r="H730" s="90"/>
      <c r="I730" s="90"/>
      <c r="J730" s="90"/>
      <c r="K730" s="90"/>
      <c r="L730" s="90"/>
      <c r="M730" s="90"/>
      <c r="N730" s="90"/>
      <c r="O730" s="90"/>
      <c r="P730" s="90"/>
      <c r="Q730" s="90"/>
    </row>
    <row r="731" ht="12.75" customHeight="1">
      <c r="A731" s="90"/>
      <c r="B731" s="90"/>
      <c r="C731" s="90"/>
      <c r="D731" s="90"/>
      <c r="E731" s="90"/>
      <c r="F731" s="90"/>
      <c r="G731" s="90"/>
      <c r="H731" s="90"/>
      <c r="I731" s="90"/>
      <c r="J731" s="90"/>
      <c r="K731" s="90"/>
      <c r="L731" s="90"/>
      <c r="M731" s="90"/>
      <c r="N731" s="90"/>
      <c r="O731" s="90"/>
      <c r="P731" s="90"/>
      <c r="Q731" s="90"/>
    </row>
    <row r="732" ht="12.75" customHeight="1">
      <c r="A732" s="90"/>
      <c r="B732" s="90"/>
      <c r="C732" s="90"/>
      <c r="D732" s="90"/>
      <c r="E732" s="90"/>
      <c r="F732" s="90"/>
      <c r="G732" s="90"/>
      <c r="H732" s="90"/>
      <c r="I732" s="90"/>
      <c r="J732" s="90"/>
      <c r="K732" s="90"/>
      <c r="L732" s="90"/>
      <c r="M732" s="90"/>
      <c r="N732" s="90"/>
      <c r="O732" s="90"/>
      <c r="P732" s="90"/>
      <c r="Q732" s="90"/>
    </row>
    <row r="733" ht="12.75" customHeight="1">
      <c r="A733" s="90"/>
      <c r="B733" s="90"/>
      <c r="C733" s="90"/>
      <c r="D733" s="90"/>
      <c r="E733" s="90"/>
      <c r="F733" s="90"/>
      <c r="G733" s="90"/>
      <c r="H733" s="90"/>
      <c r="I733" s="90"/>
      <c r="J733" s="90"/>
      <c r="K733" s="90"/>
      <c r="L733" s="90"/>
      <c r="M733" s="90"/>
      <c r="N733" s="90"/>
      <c r="O733" s="90"/>
      <c r="P733" s="90"/>
      <c r="Q733" s="90"/>
    </row>
    <row r="734" ht="12.75" customHeight="1">
      <c r="A734" s="90"/>
      <c r="B734" s="90"/>
      <c r="C734" s="90"/>
      <c r="D734" s="90"/>
      <c r="E734" s="90"/>
      <c r="F734" s="90"/>
      <c r="G734" s="90"/>
      <c r="H734" s="90"/>
      <c r="I734" s="90"/>
      <c r="J734" s="90"/>
      <c r="K734" s="90"/>
      <c r="L734" s="90"/>
      <c r="M734" s="90"/>
      <c r="N734" s="90"/>
      <c r="O734" s="90"/>
      <c r="P734" s="90"/>
      <c r="Q734" s="90"/>
    </row>
    <row r="735" ht="12.75" customHeight="1">
      <c r="A735" s="90"/>
      <c r="B735" s="90"/>
      <c r="C735" s="90"/>
      <c r="D735" s="90"/>
      <c r="E735" s="90"/>
      <c r="F735" s="90"/>
      <c r="G735" s="90"/>
      <c r="H735" s="90"/>
      <c r="I735" s="90"/>
      <c r="J735" s="90"/>
      <c r="K735" s="90"/>
      <c r="L735" s="90"/>
      <c r="M735" s="90"/>
      <c r="N735" s="90"/>
      <c r="O735" s="90"/>
      <c r="P735" s="90"/>
      <c r="Q735" s="90"/>
    </row>
    <row r="736" ht="12.75" customHeight="1">
      <c r="A736" s="90"/>
      <c r="B736" s="90"/>
      <c r="C736" s="90"/>
      <c r="D736" s="90"/>
      <c r="E736" s="90"/>
      <c r="F736" s="90"/>
      <c r="G736" s="90"/>
      <c r="H736" s="90"/>
      <c r="I736" s="90"/>
      <c r="J736" s="90"/>
      <c r="K736" s="90"/>
      <c r="L736" s="90"/>
      <c r="M736" s="90"/>
      <c r="N736" s="90"/>
      <c r="O736" s="90"/>
      <c r="P736" s="90"/>
      <c r="Q736" s="90"/>
    </row>
    <row r="737" ht="12.75" customHeight="1">
      <c r="A737" s="90"/>
      <c r="B737" s="90"/>
      <c r="C737" s="90"/>
      <c r="D737" s="90"/>
      <c r="E737" s="90"/>
      <c r="F737" s="90"/>
      <c r="G737" s="90"/>
      <c r="H737" s="90"/>
      <c r="I737" s="90"/>
      <c r="J737" s="90"/>
      <c r="K737" s="90"/>
      <c r="L737" s="90"/>
      <c r="M737" s="90"/>
      <c r="N737" s="90"/>
      <c r="O737" s="90"/>
      <c r="P737" s="90"/>
      <c r="Q737" s="90"/>
    </row>
    <row r="738" ht="12.75" customHeight="1">
      <c r="A738" s="90"/>
      <c r="B738" s="90"/>
      <c r="C738" s="90"/>
      <c r="D738" s="90"/>
      <c r="E738" s="90"/>
      <c r="F738" s="90"/>
      <c r="G738" s="90"/>
      <c r="H738" s="90"/>
      <c r="I738" s="90"/>
      <c r="J738" s="90"/>
      <c r="K738" s="90"/>
      <c r="L738" s="90"/>
      <c r="M738" s="90"/>
      <c r="N738" s="90"/>
      <c r="O738" s="90"/>
      <c r="P738" s="90"/>
      <c r="Q738" s="90"/>
    </row>
    <row r="739" ht="12.75" customHeight="1">
      <c r="A739" s="90"/>
      <c r="B739" s="90"/>
      <c r="C739" s="90"/>
      <c r="D739" s="90"/>
      <c r="E739" s="90"/>
      <c r="F739" s="90"/>
      <c r="G739" s="90"/>
      <c r="H739" s="90"/>
      <c r="I739" s="90"/>
      <c r="J739" s="90"/>
      <c r="K739" s="90"/>
      <c r="L739" s="90"/>
      <c r="M739" s="90"/>
      <c r="N739" s="90"/>
      <c r="O739" s="90"/>
      <c r="P739" s="90"/>
      <c r="Q739" s="90"/>
    </row>
    <row r="740" ht="12.75" customHeight="1">
      <c r="A740" s="90"/>
      <c r="B740" s="90"/>
      <c r="C740" s="90"/>
      <c r="D740" s="90"/>
      <c r="E740" s="90"/>
      <c r="F740" s="90"/>
      <c r="G740" s="90"/>
      <c r="H740" s="90"/>
      <c r="I740" s="90"/>
      <c r="J740" s="90"/>
      <c r="K740" s="90"/>
      <c r="L740" s="90"/>
      <c r="M740" s="90"/>
      <c r="N740" s="90"/>
      <c r="O740" s="90"/>
      <c r="P740" s="90"/>
      <c r="Q740" s="90"/>
    </row>
    <row r="741" ht="12.75" customHeight="1">
      <c r="A741" s="90"/>
      <c r="B741" s="90"/>
      <c r="C741" s="90"/>
      <c r="D741" s="90"/>
      <c r="E741" s="90"/>
      <c r="F741" s="90"/>
      <c r="G741" s="90"/>
      <c r="H741" s="90"/>
      <c r="I741" s="90"/>
      <c r="J741" s="90"/>
      <c r="K741" s="90"/>
      <c r="L741" s="90"/>
      <c r="M741" s="90"/>
      <c r="N741" s="90"/>
      <c r="O741" s="90"/>
      <c r="P741" s="90"/>
      <c r="Q741" s="90"/>
    </row>
    <row r="742" ht="12.75" customHeight="1">
      <c r="A742" s="90"/>
      <c r="B742" s="90"/>
      <c r="C742" s="90"/>
      <c r="D742" s="90"/>
      <c r="E742" s="90"/>
      <c r="F742" s="90"/>
      <c r="G742" s="90"/>
      <c r="H742" s="90"/>
      <c r="I742" s="90"/>
      <c r="J742" s="90"/>
      <c r="K742" s="90"/>
      <c r="L742" s="90"/>
      <c r="M742" s="90"/>
      <c r="N742" s="90"/>
      <c r="O742" s="90"/>
      <c r="P742" s="90"/>
      <c r="Q742" s="90"/>
    </row>
    <row r="743" ht="12.75" customHeight="1">
      <c r="A743" s="90"/>
      <c r="B743" s="90"/>
      <c r="C743" s="90"/>
      <c r="D743" s="90"/>
      <c r="E743" s="90"/>
      <c r="F743" s="90"/>
      <c r="G743" s="90"/>
      <c r="H743" s="90"/>
      <c r="I743" s="90"/>
      <c r="J743" s="90"/>
      <c r="K743" s="90"/>
      <c r="L743" s="90"/>
      <c r="M743" s="90"/>
      <c r="N743" s="90"/>
      <c r="O743" s="90"/>
      <c r="P743" s="90"/>
      <c r="Q743" s="90"/>
    </row>
    <row r="744" ht="12.75" customHeight="1">
      <c r="A744" s="90"/>
      <c r="B744" s="90"/>
      <c r="C744" s="90"/>
      <c r="D744" s="90"/>
      <c r="E744" s="90"/>
      <c r="F744" s="90"/>
      <c r="G744" s="90"/>
      <c r="H744" s="90"/>
      <c r="I744" s="90"/>
      <c r="J744" s="90"/>
      <c r="K744" s="90"/>
      <c r="L744" s="90"/>
      <c r="M744" s="90"/>
      <c r="N744" s="90"/>
      <c r="O744" s="90"/>
      <c r="P744" s="90"/>
      <c r="Q744" s="90"/>
    </row>
    <row r="745" ht="12.75" customHeight="1">
      <c r="A745" s="90"/>
      <c r="B745" s="90"/>
      <c r="C745" s="90"/>
      <c r="D745" s="90"/>
      <c r="E745" s="90"/>
      <c r="F745" s="90"/>
      <c r="G745" s="90"/>
      <c r="H745" s="90"/>
      <c r="I745" s="90"/>
      <c r="J745" s="90"/>
      <c r="K745" s="90"/>
      <c r="L745" s="90"/>
      <c r="M745" s="90"/>
      <c r="N745" s="90"/>
      <c r="O745" s="90"/>
      <c r="P745" s="90"/>
      <c r="Q745" s="90"/>
    </row>
    <row r="746" ht="12.75" customHeight="1">
      <c r="A746" s="90"/>
      <c r="B746" s="90"/>
      <c r="C746" s="90"/>
      <c r="D746" s="90"/>
      <c r="E746" s="90"/>
      <c r="F746" s="90"/>
      <c r="G746" s="90"/>
      <c r="H746" s="90"/>
      <c r="I746" s="90"/>
      <c r="J746" s="90"/>
      <c r="K746" s="90"/>
      <c r="L746" s="90"/>
      <c r="M746" s="90"/>
      <c r="N746" s="90"/>
      <c r="O746" s="90"/>
      <c r="P746" s="90"/>
      <c r="Q746" s="90"/>
    </row>
    <row r="747" ht="12.75" customHeight="1">
      <c r="A747" s="90"/>
      <c r="B747" s="90"/>
      <c r="C747" s="90"/>
      <c r="D747" s="90"/>
      <c r="E747" s="90"/>
      <c r="F747" s="90"/>
      <c r="G747" s="90"/>
      <c r="H747" s="90"/>
      <c r="I747" s="90"/>
      <c r="J747" s="90"/>
      <c r="K747" s="90"/>
      <c r="L747" s="90"/>
      <c r="M747" s="90"/>
      <c r="N747" s="90"/>
      <c r="O747" s="90"/>
      <c r="P747" s="90"/>
      <c r="Q747" s="90"/>
    </row>
    <row r="748" ht="12.75" customHeight="1">
      <c r="A748" s="90"/>
      <c r="B748" s="90"/>
      <c r="C748" s="90"/>
      <c r="D748" s="90"/>
      <c r="E748" s="90"/>
      <c r="F748" s="90"/>
      <c r="G748" s="90"/>
      <c r="H748" s="90"/>
      <c r="I748" s="90"/>
      <c r="J748" s="90"/>
      <c r="K748" s="90"/>
      <c r="L748" s="90"/>
      <c r="M748" s="90"/>
      <c r="N748" s="90"/>
      <c r="O748" s="90"/>
      <c r="P748" s="90"/>
      <c r="Q748" s="90"/>
    </row>
    <row r="749" ht="12.75" customHeight="1">
      <c r="A749" s="90"/>
      <c r="B749" s="90"/>
      <c r="C749" s="90"/>
      <c r="D749" s="90"/>
      <c r="E749" s="90"/>
      <c r="F749" s="90"/>
      <c r="G749" s="90"/>
      <c r="H749" s="90"/>
      <c r="I749" s="90"/>
      <c r="J749" s="90"/>
      <c r="K749" s="90"/>
      <c r="L749" s="90"/>
      <c r="M749" s="90"/>
      <c r="N749" s="90"/>
      <c r="O749" s="90"/>
      <c r="P749" s="90"/>
      <c r="Q749" s="90"/>
    </row>
    <row r="750" ht="12.75" customHeight="1">
      <c r="A750" s="90"/>
      <c r="B750" s="90"/>
      <c r="C750" s="90"/>
      <c r="D750" s="90"/>
      <c r="E750" s="90"/>
      <c r="F750" s="90"/>
      <c r="G750" s="90"/>
      <c r="H750" s="90"/>
      <c r="I750" s="90"/>
      <c r="J750" s="90"/>
      <c r="K750" s="90"/>
      <c r="L750" s="90"/>
      <c r="M750" s="90"/>
      <c r="N750" s="90"/>
      <c r="O750" s="90"/>
      <c r="P750" s="90"/>
      <c r="Q750" s="90"/>
    </row>
    <row r="751" ht="12.75" customHeight="1">
      <c r="A751" s="90"/>
      <c r="B751" s="90"/>
      <c r="C751" s="90"/>
      <c r="D751" s="90"/>
      <c r="E751" s="90"/>
      <c r="F751" s="90"/>
      <c r="G751" s="90"/>
      <c r="H751" s="90"/>
      <c r="I751" s="90"/>
      <c r="J751" s="90"/>
      <c r="K751" s="90"/>
      <c r="L751" s="90"/>
      <c r="M751" s="90"/>
      <c r="N751" s="90"/>
      <c r="O751" s="90"/>
      <c r="P751" s="90"/>
      <c r="Q751" s="90"/>
    </row>
    <row r="752" ht="12.75" customHeight="1">
      <c r="A752" s="90"/>
      <c r="B752" s="90"/>
      <c r="C752" s="90"/>
      <c r="D752" s="90"/>
      <c r="E752" s="90"/>
      <c r="F752" s="90"/>
      <c r="G752" s="90"/>
      <c r="H752" s="90"/>
      <c r="I752" s="90"/>
      <c r="J752" s="90"/>
      <c r="K752" s="90"/>
      <c r="L752" s="90"/>
      <c r="M752" s="90"/>
      <c r="N752" s="90"/>
      <c r="O752" s="90"/>
      <c r="P752" s="90"/>
      <c r="Q752" s="90"/>
    </row>
    <row r="753" ht="12.75" customHeight="1">
      <c r="A753" s="90"/>
      <c r="B753" s="90"/>
      <c r="C753" s="90"/>
      <c r="D753" s="90"/>
      <c r="E753" s="90"/>
      <c r="F753" s="90"/>
      <c r="G753" s="90"/>
      <c r="H753" s="90"/>
      <c r="I753" s="90"/>
      <c r="J753" s="90"/>
      <c r="K753" s="90"/>
      <c r="L753" s="90"/>
      <c r="M753" s="90"/>
      <c r="N753" s="90"/>
      <c r="O753" s="90"/>
      <c r="P753" s="90"/>
      <c r="Q753" s="90"/>
    </row>
    <row r="754" ht="12.75" customHeight="1">
      <c r="A754" s="90"/>
      <c r="B754" s="90"/>
      <c r="C754" s="90"/>
      <c r="D754" s="90"/>
      <c r="E754" s="90"/>
      <c r="F754" s="90"/>
      <c r="G754" s="90"/>
      <c r="H754" s="90"/>
      <c r="I754" s="90"/>
      <c r="J754" s="90"/>
      <c r="K754" s="90"/>
      <c r="L754" s="90"/>
      <c r="M754" s="90"/>
      <c r="N754" s="90"/>
      <c r="O754" s="90"/>
      <c r="P754" s="90"/>
      <c r="Q754" s="90"/>
    </row>
    <row r="755" ht="12.75" customHeight="1">
      <c r="A755" s="90"/>
      <c r="B755" s="90"/>
      <c r="C755" s="90"/>
      <c r="D755" s="90"/>
      <c r="E755" s="90"/>
      <c r="F755" s="90"/>
      <c r="G755" s="90"/>
      <c r="H755" s="90"/>
      <c r="I755" s="90"/>
      <c r="J755" s="90"/>
      <c r="K755" s="90"/>
      <c r="L755" s="90"/>
      <c r="M755" s="90"/>
      <c r="N755" s="90"/>
      <c r="O755" s="90"/>
      <c r="P755" s="90"/>
      <c r="Q755" s="90"/>
    </row>
    <row r="756" ht="12.75" customHeight="1">
      <c r="A756" s="90"/>
      <c r="B756" s="90"/>
      <c r="C756" s="90"/>
      <c r="D756" s="90"/>
      <c r="E756" s="90"/>
      <c r="F756" s="90"/>
      <c r="G756" s="90"/>
      <c r="H756" s="90"/>
      <c r="I756" s="90"/>
      <c r="J756" s="90"/>
      <c r="K756" s="90"/>
      <c r="L756" s="90"/>
      <c r="M756" s="90"/>
      <c r="N756" s="90"/>
      <c r="O756" s="90"/>
      <c r="P756" s="90"/>
      <c r="Q756" s="90"/>
    </row>
    <row r="757" ht="12.75" customHeight="1">
      <c r="A757" s="90"/>
      <c r="B757" s="90"/>
      <c r="C757" s="90"/>
      <c r="D757" s="90"/>
      <c r="E757" s="90"/>
      <c r="F757" s="90"/>
      <c r="G757" s="90"/>
      <c r="H757" s="90"/>
      <c r="I757" s="90"/>
      <c r="J757" s="90"/>
      <c r="K757" s="90"/>
      <c r="L757" s="90"/>
      <c r="M757" s="90"/>
      <c r="N757" s="90"/>
      <c r="O757" s="90"/>
      <c r="P757" s="90"/>
      <c r="Q757" s="90"/>
    </row>
    <row r="758" ht="12.75" customHeight="1">
      <c r="A758" s="90"/>
      <c r="B758" s="90"/>
      <c r="C758" s="90"/>
      <c r="D758" s="90"/>
      <c r="E758" s="90"/>
      <c r="F758" s="90"/>
      <c r="G758" s="90"/>
      <c r="H758" s="90"/>
      <c r="I758" s="90"/>
      <c r="J758" s="90"/>
      <c r="K758" s="90"/>
      <c r="L758" s="90"/>
      <c r="M758" s="90"/>
      <c r="N758" s="90"/>
      <c r="O758" s="90"/>
      <c r="P758" s="90"/>
      <c r="Q758" s="90"/>
    </row>
    <row r="759" ht="12.75" customHeight="1">
      <c r="A759" s="90"/>
      <c r="B759" s="90"/>
      <c r="C759" s="90"/>
      <c r="D759" s="90"/>
      <c r="E759" s="90"/>
      <c r="F759" s="90"/>
      <c r="G759" s="90"/>
      <c r="H759" s="90"/>
      <c r="I759" s="90"/>
      <c r="J759" s="90"/>
      <c r="K759" s="90"/>
      <c r="L759" s="90"/>
      <c r="M759" s="90"/>
      <c r="N759" s="90"/>
      <c r="O759" s="90"/>
      <c r="P759" s="90"/>
      <c r="Q759" s="90"/>
    </row>
    <row r="760" ht="12.75" customHeight="1">
      <c r="A760" s="90"/>
      <c r="B760" s="90"/>
      <c r="C760" s="90"/>
      <c r="D760" s="90"/>
      <c r="E760" s="90"/>
      <c r="F760" s="90"/>
      <c r="G760" s="90"/>
      <c r="H760" s="90"/>
      <c r="I760" s="90"/>
      <c r="J760" s="90"/>
      <c r="K760" s="90"/>
      <c r="L760" s="90"/>
      <c r="M760" s="90"/>
      <c r="N760" s="90"/>
      <c r="O760" s="90"/>
      <c r="P760" s="90"/>
      <c r="Q760" s="90"/>
    </row>
    <row r="761" ht="12.75" customHeight="1">
      <c r="A761" s="90"/>
      <c r="B761" s="90"/>
      <c r="C761" s="90"/>
      <c r="D761" s="90"/>
      <c r="E761" s="90"/>
      <c r="F761" s="90"/>
      <c r="G761" s="90"/>
      <c r="H761" s="90"/>
      <c r="I761" s="90"/>
      <c r="J761" s="90"/>
      <c r="K761" s="90"/>
      <c r="L761" s="90"/>
      <c r="M761" s="90"/>
      <c r="N761" s="90"/>
      <c r="O761" s="90"/>
      <c r="P761" s="90"/>
      <c r="Q761" s="90"/>
    </row>
    <row r="762" ht="12.75" customHeight="1">
      <c r="A762" s="90"/>
      <c r="B762" s="90"/>
      <c r="C762" s="90"/>
      <c r="D762" s="90"/>
      <c r="E762" s="90"/>
      <c r="F762" s="90"/>
      <c r="G762" s="90"/>
      <c r="H762" s="90"/>
      <c r="I762" s="90"/>
      <c r="J762" s="90"/>
      <c r="K762" s="90"/>
      <c r="L762" s="90"/>
      <c r="M762" s="90"/>
      <c r="N762" s="90"/>
      <c r="O762" s="90"/>
      <c r="P762" s="90"/>
      <c r="Q762" s="90"/>
    </row>
    <row r="763" ht="12.75" customHeight="1">
      <c r="A763" s="90"/>
      <c r="B763" s="90"/>
      <c r="C763" s="90"/>
      <c r="D763" s="90"/>
      <c r="E763" s="90"/>
      <c r="F763" s="90"/>
      <c r="G763" s="90"/>
      <c r="H763" s="90"/>
      <c r="I763" s="90"/>
      <c r="J763" s="90"/>
      <c r="K763" s="90"/>
      <c r="L763" s="90"/>
      <c r="M763" s="90"/>
      <c r="N763" s="90"/>
      <c r="O763" s="90"/>
      <c r="P763" s="90"/>
      <c r="Q763" s="90"/>
    </row>
    <row r="764" ht="12.75" customHeight="1">
      <c r="A764" s="90"/>
      <c r="B764" s="90"/>
      <c r="C764" s="90"/>
      <c r="D764" s="90"/>
      <c r="E764" s="90"/>
      <c r="F764" s="90"/>
      <c r="G764" s="90"/>
      <c r="H764" s="90"/>
      <c r="I764" s="90"/>
      <c r="J764" s="90"/>
      <c r="K764" s="90"/>
      <c r="L764" s="90"/>
      <c r="M764" s="90"/>
      <c r="N764" s="90"/>
      <c r="O764" s="90"/>
      <c r="P764" s="90"/>
      <c r="Q764" s="90"/>
    </row>
    <row r="765" ht="12.75" customHeight="1">
      <c r="A765" s="90"/>
      <c r="B765" s="90"/>
      <c r="C765" s="90"/>
      <c r="D765" s="90"/>
      <c r="E765" s="90"/>
      <c r="F765" s="90"/>
      <c r="G765" s="90"/>
      <c r="H765" s="90"/>
      <c r="I765" s="90"/>
      <c r="J765" s="90"/>
      <c r="K765" s="90"/>
      <c r="L765" s="90"/>
      <c r="M765" s="90"/>
      <c r="N765" s="90"/>
      <c r="O765" s="90"/>
      <c r="P765" s="90"/>
      <c r="Q765" s="90"/>
    </row>
    <row r="766" ht="12.75" customHeight="1">
      <c r="A766" s="90"/>
      <c r="B766" s="90"/>
      <c r="C766" s="90"/>
      <c r="D766" s="90"/>
      <c r="E766" s="90"/>
      <c r="F766" s="90"/>
      <c r="G766" s="90"/>
      <c r="H766" s="90"/>
      <c r="I766" s="90"/>
      <c r="J766" s="90"/>
      <c r="K766" s="90"/>
      <c r="L766" s="90"/>
      <c r="M766" s="90"/>
      <c r="N766" s="90"/>
      <c r="O766" s="90"/>
      <c r="P766" s="90"/>
      <c r="Q766" s="90"/>
    </row>
    <row r="767" ht="12.75" customHeight="1">
      <c r="A767" s="90"/>
      <c r="B767" s="90"/>
      <c r="C767" s="90"/>
      <c r="D767" s="90"/>
      <c r="E767" s="90"/>
      <c r="F767" s="90"/>
      <c r="G767" s="90"/>
      <c r="H767" s="90"/>
      <c r="I767" s="90"/>
      <c r="J767" s="90"/>
      <c r="K767" s="90"/>
      <c r="L767" s="90"/>
      <c r="M767" s="90"/>
      <c r="N767" s="90"/>
      <c r="O767" s="90"/>
      <c r="P767" s="90"/>
      <c r="Q767" s="90"/>
    </row>
    <row r="768" ht="12.75" customHeight="1">
      <c r="A768" s="90"/>
      <c r="B768" s="90"/>
      <c r="C768" s="90"/>
      <c r="D768" s="90"/>
      <c r="E768" s="90"/>
      <c r="F768" s="90"/>
      <c r="G768" s="90"/>
      <c r="H768" s="90"/>
      <c r="I768" s="90"/>
      <c r="J768" s="90"/>
      <c r="K768" s="90"/>
      <c r="L768" s="90"/>
      <c r="M768" s="90"/>
      <c r="N768" s="90"/>
      <c r="O768" s="90"/>
      <c r="P768" s="90"/>
      <c r="Q768" s="90"/>
    </row>
    <row r="769" ht="12.75" customHeight="1">
      <c r="A769" s="90"/>
      <c r="B769" s="90"/>
      <c r="C769" s="90"/>
      <c r="D769" s="90"/>
      <c r="E769" s="90"/>
      <c r="F769" s="90"/>
      <c r="G769" s="90"/>
      <c r="H769" s="90"/>
      <c r="I769" s="90"/>
      <c r="J769" s="90"/>
      <c r="K769" s="90"/>
      <c r="L769" s="90"/>
      <c r="M769" s="90"/>
      <c r="N769" s="90"/>
      <c r="O769" s="90"/>
      <c r="P769" s="90"/>
      <c r="Q769" s="90"/>
    </row>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